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  <sheet state="visible" name="Joint" sheetId="2" r:id="rId5"/>
    <sheet state="visible" name="Income Query" sheetId="3" r:id="rId6"/>
    <sheet state="visible" name="YTD" sheetId="4" r:id="rId7"/>
    <sheet state="visible" name="Joint Expense Query" sheetId="5" r:id="rId8"/>
    <sheet state="visible" name="Individual Expense Query" sheetId="6" r:id="rId9"/>
    <sheet state="visible" name="Projections" sheetId="7" r:id="rId10"/>
  </sheets>
  <definedNames/>
  <calcPr/>
</workbook>
</file>

<file path=xl/sharedStrings.xml><?xml version="1.0" encoding="utf-8"?>
<sst xmlns="http://schemas.openxmlformats.org/spreadsheetml/2006/main" count="148" uniqueCount="85">
  <si>
    <t>MONTHLY BUDGET</t>
  </si>
  <si>
    <t>-</t>
  </si>
  <si>
    <t>Gil</t>
  </si>
  <si>
    <t>Month</t>
  </si>
  <si>
    <t>Jan</t>
  </si>
  <si>
    <t>Year</t>
  </si>
  <si>
    <t>Expenses</t>
  </si>
  <si>
    <t>Income</t>
  </si>
  <si>
    <t>Planned</t>
  </si>
  <si>
    <t>Actual</t>
  </si>
  <si>
    <t>Diff.</t>
  </si>
  <si>
    <t>%</t>
  </si>
  <si>
    <t>Totals</t>
  </si>
  <si>
    <t>Rent</t>
  </si>
  <si>
    <t>KAL</t>
  </si>
  <si>
    <t>Utilities</t>
  </si>
  <si>
    <t>STE</t>
  </si>
  <si>
    <t>Internet</t>
  </si>
  <si>
    <t>JOE</t>
  </si>
  <si>
    <t>Mobile Phone</t>
  </si>
  <si>
    <t>Other</t>
  </si>
  <si>
    <t>Insurance</t>
  </si>
  <si>
    <t>Groceries</t>
  </si>
  <si>
    <t>Work Meals</t>
  </si>
  <si>
    <t>Gym</t>
  </si>
  <si>
    <t>Transportation</t>
  </si>
  <si>
    <t>Household</t>
  </si>
  <si>
    <t>Personal</t>
  </si>
  <si>
    <t>Storage</t>
  </si>
  <si>
    <t>Subscriptions</t>
  </si>
  <si>
    <t>Clothing</t>
  </si>
  <si>
    <t>Meals</t>
  </si>
  <si>
    <t>Entertainment</t>
  </si>
  <si>
    <t>Alcohol/Weed</t>
  </si>
  <si>
    <t>Gift/Donations</t>
  </si>
  <si>
    <t>Travel</t>
  </si>
  <si>
    <t>JOINT</t>
  </si>
  <si>
    <t>Oct</t>
  </si>
  <si>
    <t>Shaeffer</t>
  </si>
  <si>
    <t>Amex Blue</t>
  </si>
  <si>
    <t>Amex Delta Skymiles</t>
  </si>
  <si>
    <t>Amex Gold</t>
  </si>
  <si>
    <t>Chase Reserve</t>
  </si>
  <si>
    <t>Amazon Prime Chase</t>
  </si>
  <si>
    <t>Jet Blue</t>
  </si>
  <si>
    <t>Discover</t>
  </si>
  <si>
    <t>Checking</t>
  </si>
  <si>
    <t>Capital ONE</t>
  </si>
  <si>
    <t>Cash</t>
  </si>
  <si>
    <t>Wells Fargo</t>
  </si>
  <si>
    <t>Zelle</t>
  </si>
  <si>
    <t>TD Bank</t>
  </si>
  <si>
    <t>Shaeffer ONLY</t>
  </si>
  <si>
    <t>Current Week</t>
  </si>
  <si>
    <t>INCOME</t>
  </si>
  <si>
    <t>AVERAGE/WK</t>
  </si>
  <si>
    <t>AVERAGE/MTH</t>
  </si>
  <si>
    <t>TOTAL</t>
  </si>
  <si>
    <t>Y-END PROJ</t>
  </si>
  <si>
    <t>TOTALS</t>
  </si>
  <si>
    <t>EXPENSES</t>
  </si>
  <si>
    <t>Gifts/Donations</t>
  </si>
  <si>
    <t>DIFFERNCE</t>
  </si>
  <si>
    <t>"50%"</t>
  </si>
  <si>
    <t>Expense Category (Choose 1)</t>
  </si>
  <si>
    <t>Income Projections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</si>
  <si>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</si>
  <si>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</si>
  <si>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</si>
  <si>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</si>
  <si>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</si>
  <si>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</si>
  <si>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</si>
  <si>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</si>
  <si>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</si>
  <si>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</si>
  <si>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</si>
  <si>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</si>
  <si>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ACTUAL INCOME TTL</t>
  </si>
  <si>
    <t xml:space="preserve">Projected Net Income </t>
  </si>
  <si>
    <t>Difference</t>
  </si>
  <si>
    <t>YTD GMI AVG</t>
  </si>
  <si>
    <t>YTD EXP AVG</t>
  </si>
  <si>
    <t xml:space="preserve">YTD NI </t>
  </si>
  <si>
    <t>YTD PROJ 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</si>
</sst>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"/>
    <numFmt numFmtId="165" formatCode="+$#,#;-$#,#;$0"/>
    <numFmt numFmtId="166" formatCode="&quot;$&quot;#,##0.00"/>
    <numFmt numFmtId="167" formatCode="0.000"/>
    <numFmt numFmtId="168" formatCode="m/d/yyyy"/>
    <numFmt numFmtId="169" formatCode="&quot;$&quot;#,##0.000"/>
  </numFmts>
  <fonts count="30">
    <font>
      <sz val="10.0"/>
      <color rgb="FF000000"/>
      <name val="Arial"/>
      <scheme val="minor"/>
    </font>
    <font>
      <color theme="1"/>
      <name val="Spectral"/>
    </font>
    <font>
      <sz val="26.0"/>
      <color rgb="FF5B0F00"/>
      <name val="Spectral"/>
    </font>
    <font>
      <color rgb="FF5B0F00"/>
      <name val="Spectral"/>
    </font>
    <font>
      <b/>
      <sz val="14.0"/>
      <color rgb="FF5B0F00"/>
      <name val="Spectral"/>
    </font>
    <font>
      <b/>
      <sz val="14.0"/>
      <color rgb="FF334960"/>
      <name val="Spectral"/>
    </font>
    <font>
      <b/>
      <color rgb="FF576475"/>
      <name val="Spectral"/>
    </font>
    <font>
      <b/>
      <color rgb="FF334960"/>
      <name val="Spectral"/>
    </font>
    <font>
      <b/>
      <sz val="17.0"/>
      <color rgb="FF5B0F00"/>
      <name val="Spectral"/>
    </font>
    <font/>
    <font>
      <b/>
      <sz val="18.0"/>
      <color rgb="FF5B0F00"/>
      <name val="Spectral"/>
    </font>
    <font>
      <b/>
      <sz val="11.0"/>
      <color theme="1"/>
      <name val="Spectral"/>
    </font>
    <font>
      <b/>
      <sz val="11.0"/>
      <color rgb="FF334960"/>
      <name val="Spectral"/>
    </font>
    <font>
      <i/>
      <sz val="9.0"/>
      <color rgb="FF687887"/>
      <name val="Spectral"/>
    </font>
    <font>
      <b/>
      <color rgb="FF434343"/>
      <name val="Spectral"/>
    </font>
    <font>
      <color rgb="FF434343"/>
      <name val="Spectral"/>
    </font>
    <font>
      <color rgb="FF687887"/>
      <name val="Spectral"/>
    </font>
    <font>
      <color rgb="FF334960"/>
      <name val="Spectral"/>
    </font>
    <font>
      <color rgb="FFC53929"/>
      <name val="Spectral"/>
    </font>
    <font>
      <sz val="61.0"/>
      <color theme="1"/>
      <name val="Ultra"/>
    </font>
    <font>
      <color rgb="FFFFFFFF"/>
      <name val="Arial"/>
      <scheme val="minor"/>
    </font>
    <font>
      <sz val="18.0"/>
      <color rgb="FF980000"/>
      <name val="Alfa Slab One"/>
    </font>
    <font>
      <color theme="1"/>
      <name val="Arial"/>
      <scheme val="minor"/>
    </font>
    <font>
      <sz val="11.0"/>
      <color rgb="FFFFFFFF"/>
      <name val="&quot;Söhne Mono&quot;"/>
    </font>
    <font>
      <b/>
      <color theme="1"/>
      <name val="Spectral"/>
    </font>
    <font>
      <b/>
      <color theme="1"/>
      <name val="Arial"/>
      <scheme val="minor"/>
    </font>
    <font>
      <color rgb="FF434343"/>
      <name val="Arial"/>
      <scheme val="minor"/>
    </font>
    <font>
      <sz val="9.0"/>
      <color rgb="FF000000"/>
      <name val="&quot;Google Sans Mono&quot;"/>
    </font>
    <font>
      <b/>
      <color theme="1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FC5FE"/>
        <bgColor rgb="FFDFC5F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6CFF2"/>
        <bgColor rgb="FFE6CFF2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  <fill>
      <patternFill patternType="solid">
        <fgColor rgb="FFE8E7FD"/>
        <bgColor rgb="FFE8E7FD"/>
      </patternFill>
    </fill>
    <fill>
      <patternFill patternType="solid">
        <fgColor theme="6"/>
        <bgColor theme="6"/>
      </patternFill>
    </fill>
  </fills>
  <borders count="16">
    <border/>
    <border>
      <bottom style="thin">
        <color rgb="FFA7B0B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000000"/>
      </top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0" fillId="0" fontId="5" numFmtId="0" xfId="0" applyFont="1"/>
    <xf borderId="0" fillId="0" fontId="6" numFmtId="0" xfId="0" applyFont="1"/>
    <xf borderId="0" fillId="0" fontId="3" numFmtId="164" xfId="0" applyAlignment="1" applyFont="1" applyNumberFormat="1">
      <alignment horizontal="right"/>
    </xf>
    <xf borderId="0" fillId="3" fontId="1" numFmtId="0" xfId="0" applyFill="1" applyFont="1"/>
    <xf borderId="0" fillId="0" fontId="7" numFmtId="0" xfId="0" applyFont="1"/>
    <xf borderId="1" fillId="0" fontId="8" numFmtId="0" xfId="0" applyAlignment="1" applyBorder="1" applyFont="1">
      <alignment vertical="top"/>
    </xf>
    <xf borderId="1" fillId="0" fontId="9" numFmtId="0" xfId="0" applyBorder="1" applyFont="1"/>
    <xf borderId="1" fillId="0" fontId="1" numFmtId="0" xfId="0" applyAlignment="1" applyBorder="1" applyFont="1">
      <alignment vertical="top"/>
    </xf>
    <xf borderId="0" fillId="0" fontId="1" numFmtId="0" xfId="0" applyAlignment="1" applyFont="1">
      <alignment vertical="top"/>
    </xf>
    <xf borderId="1" fillId="0" fontId="10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1" fillId="0" fontId="13" numFmtId="0" xfId="0" applyAlignment="1" applyBorder="1" applyFont="1">
      <alignment vertical="top"/>
    </xf>
    <xf borderId="1" fillId="0" fontId="13" numFmtId="164" xfId="0" applyAlignment="1" applyBorder="1" applyFont="1" applyNumberFormat="1">
      <alignment horizontal="right" readingOrder="0" vertical="top"/>
    </xf>
    <xf borderId="1" fillId="0" fontId="13" numFmtId="164" xfId="0" applyAlignment="1" applyBorder="1" applyFont="1" applyNumberFormat="1">
      <alignment horizontal="right" vertical="top"/>
    </xf>
    <xf borderId="1" fillId="0" fontId="13" numFmtId="165" xfId="0" applyAlignment="1" applyBorder="1" applyFont="1" applyNumberFormat="1">
      <alignment horizontal="right" vertical="top"/>
    </xf>
    <xf borderId="1" fillId="0" fontId="13" numFmtId="9" xfId="0" applyAlignment="1" applyBorder="1" applyFont="1" applyNumberFormat="1">
      <alignment horizontal="right" vertical="top"/>
    </xf>
    <xf borderId="0" fillId="0" fontId="13" numFmtId="9" xfId="0" applyAlignment="1" applyFont="1" applyNumberFormat="1">
      <alignment horizontal="right" vertical="top"/>
    </xf>
    <xf borderId="2" fillId="0" fontId="1" numFmtId="0" xfId="0" applyBorder="1" applyFont="1"/>
    <xf borderId="3" fillId="0" fontId="9" numFmtId="0" xfId="0" applyBorder="1" applyFont="1"/>
    <xf borderId="3" fillId="0" fontId="1" numFmtId="164" xfId="0" applyBorder="1" applyFont="1" applyNumberFormat="1"/>
    <xf borderId="0" fillId="0" fontId="1" numFmtId="164" xfId="0" applyFont="1" applyNumberFormat="1"/>
    <xf borderId="0" fillId="0" fontId="1" numFmtId="165" xfId="0" applyFont="1" applyNumberFormat="1"/>
    <xf borderId="4" fillId="2" fontId="14" numFmtId="164" xfId="0" applyBorder="1" applyFont="1" applyNumberFormat="1"/>
    <xf borderId="3" fillId="4" fontId="15" numFmtId="164" xfId="0" applyAlignment="1" applyBorder="1" applyFill="1" applyFont="1" applyNumberFormat="1">
      <alignment horizontal="right"/>
    </xf>
    <xf borderId="0" fillId="0" fontId="15" numFmtId="164" xfId="0" applyAlignment="1" applyFont="1" applyNumberFormat="1">
      <alignment horizontal="right"/>
    </xf>
    <xf borderId="0" fillId="0" fontId="16" numFmtId="165" xfId="0" applyAlignment="1" applyFont="1" applyNumberFormat="1">
      <alignment horizontal="right"/>
    </xf>
    <xf borderId="0" fillId="0" fontId="17" numFmtId="9" xfId="0" applyAlignment="1" applyFont="1" applyNumberFormat="1">
      <alignment horizontal="right"/>
    </xf>
    <xf borderId="3" fillId="4" fontId="15" numFmtId="164" xfId="0" applyAlignment="1" applyBorder="1" applyFont="1" applyNumberFormat="1">
      <alignment horizontal="right" readingOrder="0"/>
    </xf>
    <xf borderId="4" fillId="2" fontId="14" numFmtId="164" xfId="0" applyAlignment="1" applyBorder="1" applyFont="1" applyNumberFormat="1">
      <alignment readingOrder="0"/>
    </xf>
    <xf borderId="0" fillId="0" fontId="18" numFmtId="165" xfId="0" applyAlignment="1" applyFont="1" applyNumberFormat="1">
      <alignment horizontal="right"/>
    </xf>
    <xf borderId="2" fillId="2" fontId="1" numFmtId="0" xfId="0" applyBorder="1" applyFont="1"/>
    <xf borderId="5" fillId="5" fontId="19" numFmtId="164" xfId="0" applyAlignment="1" applyBorder="1" applyFill="1" applyFont="1" applyNumberFormat="1">
      <alignment horizontal="center" vertical="center"/>
    </xf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9" fillId="0" fontId="9" numFmtId="0" xfId="0" applyBorder="1" applyFont="1"/>
    <xf borderId="3" fillId="4" fontId="15" numFmtId="164" xfId="0" applyAlignment="1" applyBorder="1" applyFont="1" applyNumberFormat="1">
      <alignment horizontal="right" readingOrder="0" vertical="bottom"/>
    </xf>
    <xf borderId="4" fillId="2" fontId="14" numFmtId="164" xfId="0" applyAlignment="1" applyBorder="1" applyFont="1" applyNumberFormat="1">
      <alignment readingOrder="0" shrinkToFit="0" wrapText="0"/>
    </xf>
    <xf borderId="3" fillId="2" fontId="1" numFmtId="0" xfId="0" applyBorder="1" applyFont="1"/>
    <xf borderId="0" fillId="0" fontId="1" numFmtId="9" xfId="0" applyAlignment="1" applyFont="1" applyNumberFormat="1">
      <alignment horizontal="right"/>
    </xf>
    <xf borderId="10" fillId="0" fontId="9" numFmtId="0" xfId="0" applyBorder="1" applyFont="1"/>
    <xf borderId="11" fillId="0" fontId="9" numFmtId="0" xfId="0" applyBorder="1" applyFont="1"/>
    <xf borderId="12" fillId="0" fontId="9" numFmtId="0" xfId="0" applyBorder="1" applyFont="1"/>
    <xf borderId="0" fillId="6" fontId="2" numFmtId="0" xfId="0" applyAlignment="1" applyFill="1" applyFont="1">
      <alignment horizontal="center" readingOrder="0"/>
    </xf>
    <xf borderId="1" fillId="0" fontId="8" numFmtId="0" xfId="0" applyAlignment="1" applyBorder="1" applyFont="1">
      <alignment readingOrder="0" vertical="top"/>
    </xf>
    <xf borderId="0" fillId="0" fontId="12" numFmtId="0" xfId="0" applyAlignment="1" applyFont="1">
      <alignment horizontal="right" readingOrder="0" vertical="bottom"/>
    </xf>
    <xf borderId="5" fillId="4" fontId="20" numFmtId="0" xfId="0" applyBorder="1" applyFont="1"/>
    <xf borderId="6" fillId="4" fontId="20" numFmtId="0" xfId="0" applyBorder="1" applyFont="1"/>
    <xf borderId="7" fillId="4" fontId="20" numFmtId="0" xfId="0" applyBorder="1" applyFont="1"/>
    <xf borderId="8" fillId="4" fontId="20" numFmtId="0" xfId="0" applyBorder="1" applyFont="1"/>
    <xf borderId="0" fillId="4" fontId="20" numFmtId="0" xfId="0" applyFont="1"/>
    <xf borderId="9" fillId="4" fontId="20" numFmtId="0" xfId="0" applyBorder="1" applyFont="1"/>
    <xf borderId="8" fillId="4" fontId="21" numFmtId="0" xfId="0" applyAlignment="1" applyBorder="1" applyFont="1">
      <alignment horizontal="center" vertical="center"/>
    </xf>
    <xf borderId="4" fillId="7" fontId="14" numFmtId="164" xfId="0" applyAlignment="1" applyBorder="1" applyFill="1" applyFont="1" applyNumberFormat="1">
      <alignment readingOrder="0"/>
    </xf>
    <xf borderId="3" fillId="7" fontId="14" numFmtId="164" xfId="0" applyBorder="1" applyFont="1" applyNumberFormat="1"/>
    <xf borderId="10" fillId="4" fontId="20" numFmtId="0" xfId="0" applyBorder="1" applyFont="1"/>
    <xf borderId="11" fillId="4" fontId="20" numFmtId="0" xfId="0" applyBorder="1" applyFont="1"/>
    <xf borderId="12" fillId="4" fontId="20" numFmtId="0" xfId="0" applyBorder="1" applyFont="1"/>
    <xf borderId="0" fillId="0" fontId="20" numFmtId="164" xfId="0" applyFont="1" applyNumberFormat="1"/>
    <xf borderId="13" fillId="4" fontId="15" numFmtId="164" xfId="0" applyAlignment="1" applyBorder="1" applyFont="1" applyNumberFormat="1">
      <alignment horizontal="right" readingOrder="0"/>
    </xf>
    <xf borderId="4" fillId="0" fontId="14" numFmtId="164" xfId="0" applyAlignment="1" applyBorder="1" applyFont="1" applyNumberFormat="1">
      <alignment readingOrder="0"/>
    </xf>
    <xf borderId="3" fillId="0" fontId="14" numFmtId="164" xfId="0" applyBorder="1" applyFont="1" applyNumberFormat="1"/>
    <xf borderId="4" fillId="0" fontId="14" numFmtId="164" xfId="0" applyBorder="1" applyFont="1" applyNumberFormat="1"/>
    <xf borderId="3" fillId="0" fontId="14" numFmtId="164" xfId="0" applyAlignment="1" applyBorder="1" applyFont="1" applyNumberFormat="1">
      <alignment readingOrder="0"/>
    </xf>
    <xf borderId="4" fillId="0" fontId="14" numFmtId="164" xfId="0" applyAlignment="1" applyBorder="1" applyFont="1" applyNumberFormat="1">
      <alignment readingOrder="0" shrinkToFit="0" wrapText="0"/>
    </xf>
    <xf borderId="3" fillId="0" fontId="1" numFmtId="0" xfId="0" applyBorder="1" applyFont="1"/>
    <xf borderId="4" fillId="0" fontId="14" numFmtId="164" xfId="0" applyAlignment="1" applyBorder="1" applyFont="1" applyNumberFormat="1">
      <alignment shrinkToFit="0" wrapText="0"/>
    </xf>
    <xf borderId="0" fillId="0" fontId="22" numFmtId="0" xfId="0" applyFont="1"/>
    <xf borderId="0" fillId="0" fontId="22" numFmtId="166" xfId="0" applyFont="1" applyNumberFormat="1"/>
    <xf borderId="0" fillId="8" fontId="22" numFmtId="0" xfId="0" applyAlignment="1" applyFill="1" applyFont="1">
      <alignment readingOrder="0"/>
    </xf>
    <xf borderId="0" fillId="0" fontId="22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22" numFmtId="14" xfId="0" applyFont="1" applyNumberFormat="1"/>
    <xf borderId="0" fillId="8" fontId="22" numFmtId="0" xfId="0" applyFont="1"/>
    <xf borderId="0" fillId="0" fontId="23" numFmtId="0" xfId="0" applyAlignment="1" applyFont="1">
      <alignment horizontal="left"/>
    </xf>
    <xf borderId="0" fillId="0" fontId="22" numFmtId="0" xfId="0" applyAlignment="1" applyFont="1">
      <alignment horizontal="left"/>
    </xf>
    <xf borderId="0" fillId="0" fontId="24" numFmtId="0" xfId="0" applyAlignment="1" applyFont="1">
      <alignment readingOrder="0"/>
    </xf>
    <xf borderId="0" fillId="0" fontId="24" numFmtId="0" xfId="0" applyFont="1"/>
    <xf borderId="0" fillId="0" fontId="25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166" xfId="0" applyFont="1" applyNumberFormat="1"/>
    <xf borderId="0" fillId="0" fontId="24" numFmtId="166" xfId="0" applyAlignment="1" applyFont="1" applyNumberFormat="1">
      <alignment readingOrder="0"/>
    </xf>
    <xf borderId="0" fillId="0" fontId="24" numFmtId="164" xfId="0" applyAlignment="1" applyFont="1" applyNumberFormat="1">
      <alignment readingOrder="0"/>
    </xf>
    <xf borderId="0" fillId="0" fontId="1" numFmtId="166" xfId="0" applyFont="1" applyNumberFormat="1"/>
    <xf borderId="0" fillId="0" fontId="26" numFmtId="0" xfId="0" applyFont="1"/>
    <xf borderId="0" fillId="0" fontId="24" numFmtId="164" xfId="0" applyFont="1" applyNumberFormat="1"/>
    <xf borderId="0" fillId="0" fontId="24" numFmtId="166" xfId="0" applyFont="1" applyNumberFormat="1"/>
    <xf borderId="0" fillId="3" fontId="27" numFmtId="0" xfId="0" applyFont="1"/>
    <xf borderId="0" fillId="0" fontId="22" numFmtId="4" xfId="0" applyFont="1" applyNumberFormat="1"/>
    <xf borderId="0" fillId="8" fontId="25" numFmtId="167" xfId="0" applyAlignment="1" applyFont="1" applyNumberFormat="1">
      <alignment readingOrder="0"/>
    </xf>
    <xf borderId="0" fillId="8" fontId="25" numFmtId="0" xfId="0" applyAlignment="1" applyFont="1">
      <alignment readingOrder="0"/>
    </xf>
    <xf borderId="0" fillId="0" fontId="22" numFmtId="168" xfId="0" applyFont="1" applyNumberFormat="1"/>
    <xf borderId="0" fillId="8" fontId="22" numFmtId="167" xfId="0" applyFont="1" applyNumberFormat="1"/>
    <xf borderId="0" fillId="8" fontId="27" numFmtId="0" xfId="0" applyFont="1"/>
    <xf borderId="0" fillId="0" fontId="22" numFmtId="169" xfId="0" applyFont="1" applyNumberFormat="1"/>
    <xf borderId="0" fillId="0" fontId="22" numFmtId="166" xfId="0" applyFont="1" applyNumberFormat="1"/>
    <xf borderId="0" fillId="0" fontId="22" numFmtId="164" xfId="0" applyFont="1" applyNumberFormat="1"/>
    <xf borderId="0" fillId="0" fontId="25" numFmtId="0" xfId="0" applyAlignment="1" applyFont="1">
      <alignment readingOrder="0"/>
    </xf>
    <xf borderId="0" fillId="9" fontId="28" numFmtId="0" xfId="0" applyAlignment="1" applyFill="1" applyFont="1">
      <alignment readingOrder="0" vertical="bottom"/>
    </xf>
    <xf borderId="0" fillId="0" fontId="22" numFmtId="0" xfId="0" applyAlignment="1" applyFont="1">
      <alignment readingOrder="0"/>
    </xf>
    <xf borderId="0" fillId="3" fontId="29" numFmtId="0" xfId="0" applyAlignment="1" applyFont="1">
      <alignment readingOrder="0" vertical="bottom"/>
    </xf>
    <xf borderId="0" fillId="10" fontId="29" numFmtId="0" xfId="0" applyAlignment="1" applyFill="1" applyFont="1">
      <alignment readingOrder="0" vertical="bottom"/>
    </xf>
    <xf borderId="0" fillId="4" fontId="22" numFmtId="0" xfId="0" applyAlignment="1" applyFont="1">
      <alignment readingOrder="0"/>
    </xf>
    <xf borderId="0" fillId="4" fontId="29" numFmtId="0" xfId="0" applyAlignment="1" applyFont="1">
      <alignment readingOrder="0" vertical="bottom"/>
    </xf>
    <xf borderId="0" fillId="0" fontId="22" numFmtId="0" xfId="0" applyFont="1"/>
    <xf borderId="0" fillId="10" fontId="29" numFmtId="0" xfId="0" applyAlignment="1" applyFont="1">
      <alignment vertical="bottom"/>
    </xf>
    <xf borderId="14" fillId="0" fontId="25" numFmtId="0" xfId="0" applyAlignment="1" applyBorder="1" applyFont="1">
      <alignment readingOrder="0"/>
    </xf>
    <xf borderId="14" fillId="0" fontId="22" numFmtId="0" xfId="0" applyBorder="1" applyFont="1"/>
    <xf borderId="14" fillId="0" fontId="22" numFmtId="0" xfId="0" applyBorder="1" applyFont="1"/>
    <xf borderId="0" fillId="0" fontId="25" numFmtId="1" xfId="0" applyFont="1" applyNumberFormat="1"/>
    <xf borderId="0" fillId="11" fontId="25" numFmtId="1" xfId="0" applyFill="1" applyFont="1" applyNumberFormat="1"/>
    <xf borderId="0" fillId="11" fontId="25" numFmtId="0" xfId="0" applyAlignment="1" applyFont="1">
      <alignment readingOrder="0"/>
    </xf>
    <xf borderId="0" fillId="11" fontId="25" numFmtId="0" xfId="0" applyFont="1"/>
    <xf borderId="15" fillId="0" fontId="25" numFmtId="0" xfId="0" applyAlignment="1" applyBorder="1" applyFont="1">
      <alignment readingOrder="0"/>
    </xf>
    <xf borderId="15" fillId="0" fontId="25" numFmtId="0" xfId="0" applyBorder="1" applyFont="1"/>
    <xf borderId="15" fillId="12" fontId="25" numFmtId="0" xfId="0" applyBorder="1" applyFill="1" applyFont="1"/>
    <xf borderId="15" fillId="8" fontId="25" numFmtId="0" xfId="0" applyBorder="1" applyFont="1"/>
    <xf borderId="15" fillId="0" fontId="22" numFmtId="0" xfId="0" applyBorder="1" applyFont="1"/>
    <xf borderId="0" fillId="3" fontId="29" numFmtId="0" xfId="0" applyAlignment="1" applyFont="1">
      <alignment vertical="bottom"/>
    </xf>
    <xf borderId="0" fillId="0" fontId="22" numFmtId="1" xfId="0" applyAlignment="1" applyFont="1" applyNumberFormat="1">
      <alignment readingOrder="0"/>
    </xf>
    <xf borderId="0" fillId="3" fontId="29" numFmtId="1" xfId="0" applyAlignment="1" applyFont="1" applyNumberFormat="1">
      <alignment readingOrder="0" vertical="bottom"/>
    </xf>
  </cellXfs>
  <cellStyles count="1">
    <cellStyle xfId="0" name="Normal" builtinId="0"/>
  </cellStyles>
  <dxfs count="16">
    <dxf>
      <font/>
      <fill>
        <patternFill patternType="solid">
          <fgColor rgb="FFF92323"/>
          <bgColor rgb="FFF92323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>
        <color rgb="FF0B8043"/>
      </font>
      <fill>
        <patternFill patternType="none"/>
      </fill>
      <border/>
    </dxf>
    <dxf>
      <font>
        <color rgb="FFC53929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3">
    <tableStyle count="3" pivot="0" name="YTD-style">
      <tableStyleElement dxfId="6" type="headerRow"/>
      <tableStyleElement dxfId="7" type="firstRowStripe"/>
      <tableStyleElement dxfId="8" type="secondRowStripe"/>
    </tableStyle>
    <tableStyle count="3" pivot="0" name="Projections-style">
      <tableStyleElement dxfId="11" type="headerRow"/>
      <tableStyleElement dxfId="12" type="firstRowStripe"/>
      <tableStyleElement dxfId="13" type="secondRowStripe"/>
    </tableStyle>
    <tableStyle count="3" pivot="0" name="Projections-style 2">
      <tableStyleElement dxfId="14" type="headerRow"/>
      <tableStyleElement dxfId="12" type="firstRowStripe"/>
      <tableStyleElement dxfId="1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35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YT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A1001" displayName="Table_2" name="Table_2" id="2">
  <tableColumns count="1">
    <tableColumn name="Income Projections" id="1"/>
  </tableColumns>
  <tableStyleInfo name="Projections-style" showColumnStripes="0" showFirstColumn="1" showLastColumn="1" showRowStripes="1"/>
</table>
</file>

<file path=xl/tables/table3.xml><?xml version="1.0" encoding="utf-8"?>
<table xmlns="http://schemas.openxmlformats.org/spreadsheetml/2006/main" ref="B1:M1001" displayName="Table_3" name="Table_3" id="3">
  <tableColumns count="12">
    <tableColumn name="JAN" id="1"/>
    <tableColumn name="FEB" id="2"/>
    <tableColumn name="MAR" id="3"/>
    <tableColumn name="APR" id="4"/>
    <tableColumn name="MAY" id="5"/>
    <tableColumn name="JUN" id="6"/>
    <tableColumn name="JUL" id="7"/>
    <tableColumn name="AUG" id="8"/>
    <tableColumn name="SEP" id="9"/>
    <tableColumn name="OCT" id="10"/>
    <tableColumn name="NOV" id="11"/>
    <tableColumn name="DEC" id="12"/>
  </tableColumns>
  <tableStyleInfo name="Projection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5"/>
    <col customWidth="1" min="2" max="7" width="8.63"/>
    <col customWidth="1" min="9" max="13" width="8.88"/>
  </cols>
  <sheetData>
    <row r="1" ht="3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3"/>
      <c r="F2" s="3"/>
      <c r="G2" s="4" t="s">
        <v>1</v>
      </c>
      <c r="H2" s="2" t="s">
        <v>2</v>
      </c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3</v>
      </c>
      <c r="C4" s="6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5</v>
      </c>
      <c r="C5" s="7">
        <v>2024.0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 t="s">
        <v>6</v>
      </c>
      <c r="G7" s="9"/>
      <c r="H7" s="9"/>
      <c r="I7" s="8" t="s">
        <v>7</v>
      </c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8</v>
      </c>
      <c r="C8" s="12">
        <f>D13</f>
        <v>4890</v>
      </c>
      <c r="D8" s="13" t="str">
        <f>IFERROR(__xludf.DUMMYFUNCTION("SPARKLINE(C8,{""charttype"",""bar"";""max"",max(C8:C9);""color1"",""#DFC5FE""})"),"")</f>
        <v/>
      </c>
      <c r="G8" s="1"/>
      <c r="H8" s="1"/>
      <c r="I8" s="11" t="s">
        <v>8</v>
      </c>
      <c r="J8" s="12">
        <f>K13</f>
        <v>5246</v>
      </c>
      <c r="K8" s="13" t="str">
        <f>IFERROR(__xludf.DUMMYFUNCTION("SPARKLINE(J8,{""charttype"",""bar"";""max"",max(J8:J9);""color1"",""#DFC5FE""})"),"")</f>
        <v/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 t="s">
        <v>9</v>
      </c>
      <c r="C9" s="12">
        <f>E13+L24</f>
        <v>8866.275</v>
      </c>
      <c r="D9" s="1" t="str">
        <f>IFERROR(__xludf.DUMMYFUNCTION("SPARKLINE(C9,{""charttype"",""bar"";""max"",max(C8:C9);""color1"",""#614051""})"),"")</f>
        <v/>
      </c>
      <c r="G9" s="1"/>
      <c r="H9" s="1"/>
      <c r="I9" s="14" t="s">
        <v>9</v>
      </c>
      <c r="J9" s="12">
        <f>L13</f>
        <v>10969.06</v>
      </c>
      <c r="K9" s="1" t="str">
        <f>IFERROR(__xludf.DUMMYFUNCTION("SPARKLINE(J9,{""charttype"",""bar"";""max"",max(J8:J9);""color1"",""#614051""})"),"")</f>
        <v/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5" t="s">
        <v>6</v>
      </c>
      <c r="C11" s="16"/>
      <c r="D11" s="17"/>
      <c r="E11" s="17"/>
      <c r="F11" s="17"/>
      <c r="G11" s="17"/>
      <c r="H11" s="18"/>
      <c r="I11" s="19" t="s">
        <v>7</v>
      </c>
      <c r="J11" s="17"/>
      <c r="K11" s="17"/>
      <c r="L11" s="17"/>
      <c r="M11" s="1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1" t="s">
        <v>8</v>
      </c>
      <c r="E12" s="22" t="s">
        <v>9</v>
      </c>
      <c r="F12" s="22" t="s">
        <v>10</v>
      </c>
      <c r="G12" s="22" t="s">
        <v>11</v>
      </c>
      <c r="H12" s="22"/>
      <c r="I12" s="20"/>
      <c r="J12" s="20"/>
      <c r="K12" s="22" t="s">
        <v>8</v>
      </c>
      <c r="L12" s="22" t="s">
        <v>9</v>
      </c>
      <c r="M12" s="22" t="s">
        <v>10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3" t="s">
        <v>12</v>
      </c>
      <c r="C13" s="17"/>
      <c r="D13" s="24">
        <v>4890.0</v>
      </c>
      <c r="E13" s="25">
        <f t="shared" ref="E13:G13" si="1">sum(E14:E1000)</f>
        <v>8866.275</v>
      </c>
      <c r="F13" s="26">
        <f t="shared" si="1"/>
        <v>-4696.275</v>
      </c>
      <c r="G13" s="27">
        <f t="shared" si="1"/>
        <v>0.8082985233</v>
      </c>
      <c r="H13" s="28"/>
      <c r="I13" s="23" t="s">
        <v>12</v>
      </c>
      <c r="J13" s="17"/>
      <c r="K13" s="25">
        <f t="shared" ref="K13:L13" si="2">sum(K14:K20)</f>
        <v>5246</v>
      </c>
      <c r="L13" s="25">
        <f t="shared" si="2"/>
        <v>10969.06</v>
      </c>
      <c r="M13" s="26">
        <f>sum(L13-K13)</f>
        <v>5723.06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9"/>
      <c r="C14" s="30"/>
      <c r="D14" s="31"/>
      <c r="E14" s="32" t="str">
        <f>if(isblank($B14), "", sumif(Transactions!$E:$E,$B14,Transactions!$C:$C))</f>
        <v/>
      </c>
      <c r="F14" s="33" t="str">
        <f t="shared" ref="F14:F34" si="3">if(isblank($B14), "", D14-E14)</f>
        <v/>
      </c>
      <c r="G14" s="1"/>
      <c r="H14" s="1"/>
      <c r="I14" s="29"/>
      <c r="J14" s="30"/>
      <c r="K14" s="31"/>
      <c r="L14" s="32" t="str">
        <f>if(isblank($I14), "", sumif(Transactions!$J:$J,$I14,Transactions!$H:$H))</f>
        <v/>
      </c>
      <c r="M14" s="33" t="str">
        <f t="shared" ref="M14:M20" si="4">if(isblank($I14), "", L14-K14)</f>
        <v/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4" t="s">
        <v>13</v>
      </c>
      <c r="C15" s="30"/>
      <c r="D15" s="35">
        <v>1350.0</v>
      </c>
      <c r="E15" s="36">
        <f>IF(ISBLANK($B15), "", 
  SUMIFS('Individual Expense Query'!$B:$B, 'Individual Expense Query'!$D:$D, $B15, 'Individual Expense Query'!$E:$E, $C$4, 'Individual Expense Query'!$F:$F, $H$2) + 
  SUMIFS('Joint Expense Query'!$G:$G, 'Joint Expense Query'!$E:$E, $B15, 'Joint Expense Query'!$H:$H, $C$4)
)
</f>
        <v>4050</v>
      </c>
      <c r="F15" s="37">
        <f t="shared" si="3"/>
        <v>-2700</v>
      </c>
      <c r="G15" s="38">
        <f t="shared" ref="G15:G34" si="5">iferror(E15/$L$13,"")</f>
        <v>0.3692203343</v>
      </c>
      <c r="H15" s="38"/>
      <c r="I15" s="34" t="s">
        <v>14</v>
      </c>
      <c r="J15" s="30"/>
      <c r="K15" s="39">
        <v>1946.0</v>
      </c>
      <c r="L15" s="36">
        <f>IF(ISBLANK($I15), "", SUMIFS('Income Query'!$B:$B, 'Income Query'!$D:$D, $I15, 'Income Query'!$E:$E, $C$4, 'Income Query'!$F:$F, $H$2))
</f>
        <v>4009.21</v>
      </c>
      <c r="M15" s="37">
        <f t="shared" si="4"/>
        <v>2063.21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0" t="s">
        <v>15</v>
      </c>
      <c r="C16" s="30"/>
      <c r="D16" s="35">
        <v>60.0</v>
      </c>
      <c r="E16" s="36">
        <f>IF(ISBLANK($B16), "", 
  SUMIFS('Individual Expense Query'!$B:$B, 'Individual Expense Query'!$D:$D, $B16, 'Individual Expense Query'!$E:$E, $C$4, 'Individual Expense Query'!$F:$F, $H$2) + 
  SUMIFS('Joint Expense Query'!$G:$G, 'Joint Expense Query'!$E:$E, $B16, 'Joint Expense Query'!$H:$H, $C$4)
)
</f>
        <v>64.975</v>
      </c>
      <c r="F16" s="41">
        <f t="shared" si="3"/>
        <v>-4.975</v>
      </c>
      <c r="G16" s="38">
        <f t="shared" si="5"/>
        <v>0.005923479314</v>
      </c>
      <c r="H16" s="38"/>
      <c r="I16" s="34" t="s">
        <v>16</v>
      </c>
      <c r="J16" s="30"/>
      <c r="K16" s="39">
        <v>300.0</v>
      </c>
      <c r="L16" s="36">
        <f>IF(ISBLANK($I16), "", SUMIFS('Income Query'!$B:$B, 'Income Query'!$D:$D, $I16, 'Income Query'!$E:$E, $C$4, 'Income Query'!$F:$F, $H$2))
</f>
        <v>600</v>
      </c>
      <c r="M16" s="37">
        <f t="shared" si="4"/>
        <v>300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0" t="s">
        <v>17</v>
      </c>
      <c r="C17" s="30"/>
      <c r="D17" s="39">
        <v>31.0</v>
      </c>
      <c r="E17" s="36">
        <f>IF(ISBLANK($B17), "", 
  SUMIFS('Individual Expense Query'!$B:$B, 'Individual Expense Query'!$D:$D, $B17, 'Individual Expense Query'!$E:$E, $C$4, 'Individual Expense Query'!$F:$F, $H$2) + 
  SUMIFS('Joint Expense Query'!$G:$G, 'Joint Expense Query'!$E:$E, $B17, 'Joint Expense Query'!$H:$H, $C$4)
)
</f>
        <v>100.475</v>
      </c>
      <c r="F17" s="37">
        <f t="shared" si="3"/>
        <v>-69.475</v>
      </c>
      <c r="G17" s="38">
        <f t="shared" si="5"/>
        <v>0.009159855083</v>
      </c>
      <c r="H17" s="38"/>
      <c r="I17" s="34" t="s">
        <v>18</v>
      </c>
      <c r="J17" s="30"/>
      <c r="K17" s="39">
        <v>3000.0</v>
      </c>
      <c r="L17" s="36">
        <f>IF(ISBLANK($I17), "", SUMIFS('Income Query'!$B:$B, 'Income Query'!$D:$D, $I17, 'Income Query'!$E:$E, $C$4, 'Income Query'!$F:$F, $H$2))
</f>
        <v>5987.85</v>
      </c>
      <c r="M17" s="37">
        <f t="shared" si="4"/>
        <v>2987.85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0" t="s">
        <v>19</v>
      </c>
      <c r="C18" s="30"/>
      <c r="D18" s="39">
        <v>95.0</v>
      </c>
      <c r="E18" s="36">
        <f>IF(ISBLANK($B18), "", 
  SUMIFS('Individual Expense Query'!$B:$B, 'Individual Expense Query'!$D:$D, $B18, 'Individual Expense Query'!$E:$E, $C$4, 'Individual Expense Query'!$F:$F, $H$2) + 
  SUMIFS('Joint Expense Query'!$G:$G, 'Joint Expense Query'!$E:$E, $B18, 'Joint Expense Query'!$H:$H, $C$4)
)
</f>
        <v>94.25</v>
      </c>
      <c r="F18" s="37">
        <f t="shared" si="3"/>
        <v>0.75</v>
      </c>
      <c r="G18" s="38">
        <f t="shared" si="5"/>
        <v>0.008592349755</v>
      </c>
      <c r="H18" s="38"/>
      <c r="I18" s="34" t="s">
        <v>20</v>
      </c>
      <c r="J18" s="30"/>
      <c r="K18" s="39">
        <v>0.0</v>
      </c>
      <c r="L18" s="36">
        <f>IF(ISBLANK($I18), "", SUMIFS('Income Query'!$B:$B, 'Income Query'!$D:$D, $I18, 'Income Query'!$E:$E, $C$4, 'Income Query'!$F:$F, $H$2))
</f>
        <v>372</v>
      </c>
      <c r="M18" s="37">
        <f t="shared" si="4"/>
        <v>372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0" t="s">
        <v>21</v>
      </c>
      <c r="C19" s="30"/>
      <c r="D19" s="39">
        <v>440.0</v>
      </c>
      <c r="E19" s="36">
        <f>IF(ISBLANK($B19), "", 
  SUMIFS('Individual Expense Query'!$B:$B, 'Individual Expense Query'!$D:$D, $B19, 'Individual Expense Query'!$E:$E, $C$4, 'Individual Expense Query'!$F:$F, $H$2) + 
  SUMIFS('Joint Expense Query'!$G:$G, 'Joint Expense Query'!$E:$E, $B19, 'Joint Expense Query'!$H:$H, $C$4)
)
</f>
        <v>926.96</v>
      </c>
      <c r="F19" s="41">
        <f t="shared" si="3"/>
        <v>-486.96</v>
      </c>
      <c r="G19" s="38">
        <f t="shared" si="5"/>
        <v>0.08450678545</v>
      </c>
      <c r="H19" s="38"/>
      <c r="I19" s="42"/>
      <c r="J19" s="30"/>
      <c r="K19" s="35">
        <v>0.0</v>
      </c>
      <c r="L19" s="36" t="str">
        <f t="shared" ref="L19:L20" si="6">if(isblank($I19), "", sumif(Transactions!$J:$J,$I19,Transactions!$H:$H))</f>
        <v/>
      </c>
      <c r="M19" s="37" t="str">
        <f t="shared" si="4"/>
        <v/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40" t="s">
        <v>22</v>
      </c>
      <c r="C20" s="30"/>
      <c r="D20" s="39">
        <v>400.0</v>
      </c>
      <c r="E20" s="36">
        <f>IF(ISBLANK($B20), "", 
  SUMIFS('Individual Expense Query'!$B:$B, 'Individual Expense Query'!$D:$D, $B20, 'Individual Expense Query'!$E:$E, $C$4, 'Individual Expense Query'!$F:$F, $H$2) + 
  SUMIFS('Joint Expense Query'!$G:$G, 'Joint Expense Query'!$E:$E, $B20, 'Joint Expense Query'!$H:$H, $C$4)
)
</f>
        <v>765.13</v>
      </c>
      <c r="F20" s="41">
        <f t="shared" si="3"/>
        <v>-365.13</v>
      </c>
      <c r="G20" s="38">
        <f t="shared" si="5"/>
        <v>0.06975347022</v>
      </c>
      <c r="H20" s="38"/>
      <c r="I20" s="42"/>
      <c r="J20" s="30"/>
      <c r="K20" s="35">
        <v>0.0</v>
      </c>
      <c r="L20" s="36" t="str">
        <f t="shared" si="6"/>
        <v/>
      </c>
      <c r="M20" s="37" t="str">
        <f t="shared" si="4"/>
        <v/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0" t="s">
        <v>23</v>
      </c>
      <c r="C21" s="30"/>
      <c r="D21" s="39">
        <v>200.0</v>
      </c>
      <c r="E21" s="36">
        <f>IF(ISBLANK($B21), "", 
  SUMIFS('Individual Expense Query'!$B:$B, 'Individual Expense Query'!$D:$D, $B21, 'Individual Expense Query'!$E:$E, $C$4, 'Individual Expense Query'!$F:$F, $H$2) + 
  SUMIFS('Joint Expense Query'!$G:$G, 'Joint Expense Query'!$E:$E, $B21, 'Joint Expense Query'!$H:$H, $C$4)
)
</f>
        <v>63.47</v>
      </c>
      <c r="F21" s="37">
        <f t="shared" si="3"/>
        <v>136.53</v>
      </c>
      <c r="G21" s="38">
        <f t="shared" si="5"/>
        <v>0.005786275214</v>
      </c>
      <c r="H21" s="3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4" t="s">
        <v>24</v>
      </c>
      <c r="C22" s="30"/>
      <c r="D22" s="39">
        <v>300.0</v>
      </c>
      <c r="E22" s="36">
        <f>IF(ISBLANK($B22), "", 
  SUMIFS('Individual Expense Query'!$B:$B, 'Individual Expense Query'!$D:$D, $B22, 'Individual Expense Query'!$E:$E, $C$4, 'Individual Expense Query'!$F:$F, $H$2) + 
  SUMIFS('Joint Expense Query'!$G:$G, 'Joint Expense Query'!$E:$E, $B22, 'Joint Expense Query'!$H:$H, $C$4)
)
</f>
        <v>299.82</v>
      </c>
      <c r="F22" s="37">
        <f t="shared" si="3"/>
        <v>0.18</v>
      </c>
      <c r="G22" s="38">
        <f t="shared" si="5"/>
        <v>0.0273332446</v>
      </c>
      <c r="H22" s="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4" t="s">
        <v>25</v>
      </c>
      <c r="C23" s="30"/>
      <c r="D23" s="39">
        <v>132.0</v>
      </c>
      <c r="E23" s="36">
        <f>IF(ISBLANK($B23), "", 
  SUMIFS('Individual Expense Query'!$B:$B, 'Individual Expense Query'!$D:$D, $B23, 'Individual Expense Query'!$E:$E, $C$4, 'Individual Expense Query'!$F:$F, $H$2) + 
  SUMIFS('Joint Expense Query'!$G:$G, 'Joint Expense Query'!$E:$E, $B23, 'Joint Expense Query'!$H:$H, $C$4)
)
</f>
        <v>136</v>
      </c>
      <c r="F23" s="37">
        <f t="shared" si="3"/>
        <v>-4</v>
      </c>
      <c r="G23" s="38">
        <f t="shared" si="5"/>
        <v>0.01239850999</v>
      </c>
      <c r="H23" s="38"/>
      <c r="I23" s="43">
        <f>L13-E13</f>
        <v>2102.785</v>
      </c>
      <c r="J23" s="44"/>
      <c r="K23" s="44"/>
      <c r="L23" s="44"/>
      <c r="M23" s="4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4" t="s">
        <v>26</v>
      </c>
      <c r="C24" s="30"/>
      <c r="D24" s="35">
        <v>100.0</v>
      </c>
      <c r="E24" s="36">
        <f>IF(ISBLANK($B24), "", 
  SUMIFS('Individual Expense Query'!$B:$B, 'Individual Expense Query'!$D:$D, $B24, 'Individual Expense Query'!$E:$E, $C$4, 'Individual Expense Query'!$F:$F, $H$2) + 
  SUMIFS('Joint Expense Query'!$G:$G, 'Joint Expense Query'!$E:$E, $B24, 'Joint Expense Query'!$H:$H, $C$4)
)
</f>
        <v>443.155</v>
      </c>
      <c r="F24" s="37">
        <f t="shared" si="3"/>
        <v>-343.155</v>
      </c>
      <c r="G24" s="38">
        <f t="shared" si="5"/>
        <v>0.04040045364</v>
      </c>
      <c r="H24" s="38"/>
      <c r="I24" s="46"/>
      <c r="M24" s="4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34" t="s">
        <v>27</v>
      </c>
      <c r="C25" s="30"/>
      <c r="D25" s="35">
        <v>100.0</v>
      </c>
      <c r="E25" s="36">
        <f>IF(ISBLANK($B25), "", 
  SUMIFS('Individual Expense Query'!$B:$B, 'Individual Expense Query'!$D:$D, $B25, 'Individual Expense Query'!$E:$E, $C$4, 'Individual Expense Query'!$F:$F, $H$2) + 
  SUMIFS('Joint Expense Query'!$G:$G, 'Joint Expense Query'!$E:$E, $B25, 'Joint Expense Query'!$H:$H, $C$4)
)
</f>
        <v>111.77</v>
      </c>
      <c r="F25" s="37">
        <f t="shared" si="3"/>
        <v>-11.77</v>
      </c>
      <c r="G25" s="38">
        <f t="shared" si="5"/>
        <v>0.01018956957</v>
      </c>
      <c r="H25" s="38"/>
      <c r="I25" s="46"/>
      <c r="M25" s="4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0" t="s">
        <v>28</v>
      </c>
      <c r="C26" s="30"/>
      <c r="D26" s="39">
        <v>412.0</v>
      </c>
      <c r="E26" s="36">
        <f>IF(ISBLANK($B26), "", 
  SUMIFS('Individual Expense Query'!$B:$B, 'Individual Expense Query'!$D:$D, $B26, 'Individual Expense Query'!$E:$E, $C$4, 'Individual Expense Query'!$F:$F, $H$2) + 
  SUMIFS('Joint Expense Query'!$G:$G, 'Joint Expense Query'!$E:$E, $B26, 'Joint Expense Query'!$H:$H, $C$4)
)
</f>
        <v>161.25</v>
      </c>
      <c r="F26" s="37">
        <f t="shared" si="3"/>
        <v>250.75</v>
      </c>
      <c r="G26" s="38">
        <f t="shared" si="5"/>
        <v>0.01470043924</v>
      </c>
      <c r="H26" s="38"/>
      <c r="I26" s="46"/>
      <c r="M26" s="4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4" t="s">
        <v>29</v>
      </c>
      <c r="C27" s="30"/>
      <c r="D27" s="35">
        <v>100.0</v>
      </c>
      <c r="E27" s="36">
        <f>IF(ISBLANK($B27), "", 
  SUMIFS('Individual Expense Query'!$B:$B, 'Individual Expense Query'!$D:$D, $B27, 'Individual Expense Query'!$E:$E, $C$4, 'Individual Expense Query'!$F:$F, $H$2) + 
  SUMIFS('Joint Expense Query'!$G:$G, 'Joint Expense Query'!$E:$E, $B27, 'Joint Expense Query'!$H:$H, $C$4)
)
</f>
        <v>71.195</v>
      </c>
      <c r="F27" s="37">
        <f t="shared" si="3"/>
        <v>28.805</v>
      </c>
      <c r="G27" s="38">
        <f t="shared" si="5"/>
        <v>0.006490528815</v>
      </c>
      <c r="H27" s="38"/>
      <c r="I27" s="46"/>
      <c r="M27" s="4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34" t="s">
        <v>30</v>
      </c>
      <c r="C28" s="30"/>
      <c r="D28" s="48">
        <v>100.0</v>
      </c>
      <c r="E28" s="36">
        <f>IF(ISBLANK($B28), "", 
  SUMIFS('Individual Expense Query'!$B:$B, 'Individual Expense Query'!$D:$D, $B28, 'Individual Expense Query'!$E:$E, $C$4, 'Individual Expense Query'!$F:$F, $H$2) + 
  SUMIFS('Joint Expense Query'!$G:$G, 'Joint Expense Query'!$E:$E, $B28, 'Joint Expense Query'!$H:$H, $C$4)
)
</f>
        <v>0</v>
      </c>
      <c r="F28" s="37">
        <f t="shared" si="3"/>
        <v>100</v>
      </c>
      <c r="G28" s="38">
        <f t="shared" si="5"/>
        <v>0</v>
      </c>
      <c r="H28" s="38"/>
      <c r="I28" s="46"/>
      <c r="M28" s="4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0" t="s">
        <v>31</v>
      </c>
      <c r="C29" s="30"/>
      <c r="D29" s="48">
        <v>200.0</v>
      </c>
      <c r="E29" s="36">
        <f>IF(ISBLANK($B29), "", 
  SUMIFS('Individual Expense Query'!$B:$B, 'Individual Expense Query'!$D:$D, $B29, 'Individual Expense Query'!$E:$E, $C$4, 'Individual Expense Query'!$F:$F, $H$2) + 
  SUMIFS('Joint Expense Query'!$G:$G, 'Joint Expense Query'!$E:$E, $B29, 'Joint Expense Query'!$H:$H, $C$4)
)
</f>
        <v>246.29</v>
      </c>
      <c r="F29" s="37">
        <f t="shared" si="3"/>
        <v>-46.29</v>
      </c>
      <c r="G29" s="38">
        <f t="shared" si="5"/>
        <v>0.0224531546</v>
      </c>
      <c r="H29" s="38"/>
      <c r="I29" s="46"/>
      <c r="M29" s="4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0" t="s">
        <v>32</v>
      </c>
      <c r="C30" s="30"/>
      <c r="D30" s="48">
        <v>100.0</v>
      </c>
      <c r="E30" s="36">
        <f>IF(ISBLANK($B30), "", 
  SUMIFS('Individual Expense Query'!$B:$B, 'Individual Expense Query'!$D:$D, $B30, 'Individual Expense Query'!$E:$E, $C$4, 'Individual Expense Query'!$F:$F, $H$2) + 
  SUMIFS('Joint Expense Query'!$G:$G, 'Joint Expense Query'!$E:$E, $B30, 'Joint Expense Query'!$H:$H, $C$4)
)
</f>
        <v>255.265</v>
      </c>
      <c r="F30" s="37">
        <f t="shared" si="3"/>
        <v>-155.265</v>
      </c>
      <c r="G30" s="38">
        <f t="shared" si="5"/>
        <v>0.02327136509</v>
      </c>
      <c r="H30" s="38"/>
      <c r="I30" s="46"/>
      <c r="M30" s="4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9" t="s">
        <v>33</v>
      </c>
      <c r="C31" s="50"/>
      <c r="D31" s="48">
        <v>50.0</v>
      </c>
      <c r="E31" s="36">
        <f>IF(ISBLANK($B31), "", 
  SUMIFS('Individual Expense Query'!$B:$B, 'Individual Expense Query'!$D:$D, $B31, 'Individual Expense Query'!$E:$E, $C$4, 'Individual Expense Query'!$F:$F, $H$2) + 
  SUMIFS('Joint Expense Query'!$G:$G, 'Joint Expense Query'!$E:$E, $B31, 'Joint Expense Query'!$H:$H, $C$4)
)
</f>
        <v>53.175</v>
      </c>
      <c r="F31" s="37">
        <f t="shared" si="3"/>
        <v>-3.175</v>
      </c>
      <c r="G31" s="38">
        <f t="shared" si="5"/>
        <v>0.004847726241</v>
      </c>
      <c r="H31" s="38"/>
      <c r="I31" s="46"/>
      <c r="M31" s="4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40" t="s">
        <v>34</v>
      </c>
      <c r="C32" s="30"/>
      <c r="D32" s="35">
        <v>0.0</v>
      </c>
      <c r="E32" s="36">
        <f>IF(ISBLANK($B32), "", 
  SUMIFS('Individual Expense Query'!$B:$B, 'Individual Expense Query'!$D:$D, $B32, 'Individual Expense Query'!$E:$E, $C$4, 'Individual Expense Query'!$F:$F, $H$2) + 
  SUMIFS('Joint Expense Query'!$G:$G, 'Joint Expense Query'!$E:$E, $B32, 'Joint Expense Query'!$H:$H, $C$4)
)
</f>
        <v>0</v>
      </c>
      <c r="F32" s="37">
        <f t="shared" si="3"/>
        <v>0</v>
      </c>
      <c r="G32" s="38">
        <f t="shared" si="5"/>
        <v>0</v>
      </c>
      <c r="H32" s="51"/>
      <c r="I32" s="52"/>
      <c r="J32" s="53"/>
      <c r="K32" s="53"/>
      <c r="L32" s="53"/>
      <c r="M32" s="5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0" t="s">
        <v>35</v>
      </c>
      <c r="C33" s="30"/>
      <c r="D33" s="35">
        <v>0.0</v>
      </c>
      <c r="E33" s="36">
        <f>IF(ISBLANK($B33), "", 
  SUMIFS('Individual Expense Query'!$B:$B, 'Individual Expense Query'!$D:$D, $B33, 'Individual Expense Query'!$E:$E, $C$4, 'Individual Expense Query'!$F:$F, $H$2) + 
  SUMIFS('Joint Expense Query'!$G:$G, 'Joint Expense Query'!$E:$E, $B33, 'Joint Expense Query'!$H:$H, $C$4)
)
</f>
        <v>1023.095</v>
      </c>
      <c r="F33" s="37">
        <f t="shared" si="3"/>
        <v>-1023.095</v>
      </c>
      <c r="G33" s="38">
        <f t="shared" si="5"/>
        <v>0.0932709822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40" t="s">
        <v>20</v>
      </c>
      <c r="C34" s="30"/>
      <c r="D34" s="35">
        <v>0.0</v>
      </c>
      <c r="E34" s="36">
        <f>IF(ISBLANK($B34), "", 
  SUMIFS('Individual Expense Query'!$B:$B, 'Individual Expense Query'!$D:$D, $B34, 'Individual Expense Query'!$E:$E, $C$4, 'Individual Expense Query'!$F:$F, $H$2) + 
  SUMIFS('Joint Expense Query'!$G:$G, 'Joint Expense Query'!$E:$E, $B34, 'Joint Expense Query'!$H:$H, $C$4)
)
</f>
        <v>0</v>
      </c>
      <c r="F34" s="37">
        <f t="shared" si="3"/>
        <v>0</v>
      </c>
      <c r="G34" s="38">
        <f t="shared" si="5"/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6">
    <mergeCell ref="C4:D4"/>
    <mergeCell ref="C5:D5"/>
    <mergeCell ref="B7:F7"/>
    <mergeCell ref="D8:F8"/>
    <mergeCell ref="K8:M8"/>
    <mergeCell ref="D9:F9"/>
    <mergeCell ref="K9:M9"/>
    <mergeCell ref="I16:J16"/>
    <mergeCell ref="I17:J17"/>
    <mergeCell ref="I23:M32"/>
    <mergeCell ref="I15:J15"/>
    <mergeCell ref="I18:J18"/>
    <mergeCell ref="B11:C11"/>
    <mergeCell ref="B14:C14"/>
    <mergeCell ref="I14:J14"/>
    <mergeCell ref="B15:C15"/>
    <mergeCell ref="B16:C16"/>
    <mergeCell ref="B17:C17"/>
    <mergeCell ref="B18:C18"/>
    <mergeCell ref="B19:C19"/>
    <mergeCell ref="I19:J19"/>
    <mergeCell ref="B20:C20"/>
    <mergeCell ref="I20:J20"/>
    <mergeCell ref="B21:C21"/>
    <mergeCell ref="B22:C22"/>
    <mergeCell ref="B23:C23"/>
    <mergeCell ref="B32:C32"/>
    <mergeCell ref="B33:C33"/>
    <mergeCell ref="B34:C34"/>
    <mergeCell ref="B24:C24"/>
    <mergeCell ref="B25:C25"/>
    <mergeCell ref="B26:C26"/>
    <mergeCell ref="B27:C27"/>
    <mergeCell ref="B28:C28"/>
    <mergeCell ref="B29:C29"/>
    <mergeCell ref="B30:C30"/>
  </mergeCells>
  <conditionalFormatting sqref="I23:M32">
    <cfRule type="cellIs" dxfId="0" priority="1" operator="lessThan">
      <formula>0</formula>
    </cfRule>
  </conditionalFormatting>
  <conditionalFormatting sqref="I23:M32">
    <cfRule type="cellIs" dxfId="1" priority="2" operator="equal">
      <formula>0</formula>
    </cfRule>
  </conditionalFormatting>
  <conditionalFormatting sqref="I23:M32">
    <cfRule type="cellIs" dxfId="2" priority="3" operator="greaterThan">
      <formula>0</formula>
    </cfRule>
  </conditionalFormatting>
  <conditionalFormatting sqref="F15:F34">
    <cfRule type="cellIs" dxfId="3" priority="4" operator="greaterThanOrEqual">
      <formula>0</formula>
    </cfRule>
  </conditionalFormatting>
  <conditionalFormatting sqref="F15:F34">
    <cfRule type="cellIs" dxfId="4" priority="5" operator="lessThan">
      <formula>0</formula>
    </cfRule>
  </conditionalFormatting>
  <dataValidations>
    <dataValidation type="list" allowBlank="1" showErrorMessage="1" sqref="C4">
      <formula1>"Jan,Feb,Mar,Apr,May,Jun,Jul,Aug,Sep,Oct,Nov,Dec"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7.75"/>
    <col customWidth="1" min="3" max="3" width="9.75"/>
    <col customWidth="1" min="4" max="4" width="9.63"/>
    <col customWidth="1" min="6" max="7" width="9.25"/>
    <col customWidth="1" min="8" max="8" width="9.88"/>
  </cols>
  <sheetData>
    <row r="1" ht="36.75" customHeight="1"/>
    <row r="2">
      <c r="B2" s="55" t="s">
        <v>36</v>
      </c>
    </row>
    <row r="3">
      <c r="B3" s="1"/>
      <c r="C3" s="1"/>
    </row>
    <row r="4">
      <c r="B4" s="5" t="s">
        <v>3</v>
      </c>
      <c r="C4" s="6" t="s">
        <v>37</v>
      </c>
    </row>
    <row r="5">
      <c r="B5" s="5" t="s">
        <v>5</v>
      </c>
      <c r="C5" s="5">
        <v>2024.0</v>
      </c>
    </row>
    <row r="7">
      <c r="B7" s="56" t="s">
        <v>38</v>
      </c>
      <c r="C7" s="16"/>
      <c r="D7" s="17"/>
      <c r="E7" s="18"/>
      <c r="F7" s="19" t="s">
        <v>2</v>
      </c>
      <c r="G7" s="17"/>
      <c r="H7" s="17"/>
    </row>
    <row r="8">
      <c r="B8" s="20"/>
      <c r="C8" s="20"/>
      <c r="D8" s="57" t="s">
        <v>9</v>
      </c>
      <c r="F8" s="20"/>
      <c r="G8" s="20"/>
      <c r="H8" s="57" t="s">
        <v>9</v>
      </c>
      <c r="J8" s="58"/>
      <c r="K8" s="59"/>
      <c r="L8" s="60"/>
    </row>
    <row r="9">
      <c r="B9" s="23" t="s">
        <v>12</v>
      </c>
      <c r="C9" s="17"/>
      <c r="D9" s="25">
        <f>sum(D11:D1008)</f>
        <v>3143.38</v>
      </c>
      <c r="F9" s="23" t="s">
        <v>12</v>
      </c>
      <c r="G9" s="17"/>
      <c r="H9" s="25">
        <f>sum(H11:H1008)</f>
        <v>3504.47</v>
      </c>
      <c r="J9" s="61"/>
      <c r="K9" s="62"/>
      <c r="L9" s="63"/>
    </row>
    <row r="10">
      <c r="B10" s="29"/>
      <c r="C10" s="30"/>
      <c r="F10" s="29"/>
      <c r="G10" s="30"/>
      <c r="J10" s="64" t="str">
        <f>IF((D9-H9)/2-H27 &gt; (H9-D9)/2+H27, 
    "Shaeffer is owed:" &amp; CHAR(10) &amp; TEXT((D9 - H9) / 2 - H27, "$0.00"), 
    IF((H9-D9)/2+H27 &gt; (D9-H9)/2-H27, 
        "Gil is owed:" &amp; CHAR(10) &amp; TEXT((H9 - D9) / 2 + H27, "$0.00"), 
        ""
    )
)</f>
        <v>Gil is owed:
$342.65</v>
      </c>
      <c r="L10" s="47"/>
    </row>
    <row r="11">
      <c r="B11" s="65" t="s">
        <v>13</v>
      </c>
      <c r="C11" s="66"/>
      <c r="D11" s="39">
        <f>IF(ISBLANK($B11), "",
  SUMIFS('Joint Expense Query'!$B:$B, 'Joint Expense Query'!$D:$D, $B11, 'Joint Expense Query'!$H:$H, $C$4, 'Joint Expense Query'!$F:$F, $B$7)
)
</f>
        <v>0</v>
      </c>
      <c r="F11" s="65" t="s">
        <v>39</v>
      </c>
      <c r="G11" s="30"/>
      <c r="H11" s="39">
        <f>IF(ISBLANK($F11), "",
  SUMIFS('Joint Expense Query'!$B:$B, 'Joint Expense Query'!$D:$D, $F11, 'Joint Expense Query'!$H:$H, $C$4, 'Joint Expense Query'!$F:$F, $F$7)
)
</f>
        <v>253.85</v>
      </c>
      <c r="J11" s="46"/>
      <c r="L11" s="47"/>
    </row>
    <row r="12">
      <c r="B12" s="65" t="s">
        <v>40</v>
      </c>
      <c r="C12" s="66"/>
      <c r="D12" s="39">
        <f>IF(ISBLANK($B12), "",
  SUMIFS('Joint Expense Query'!$B:$B, 'Joint Expense Query'!$D:$D, $B12, 'Joint Expense Query'!$H:$H, $C$4, 'Joint Expense Query'!$F:$F, $B$7)
)
</f>
        <v>62.98</v>
      </c>
      <c r="F12" s="65" t="s">
        <v>41</v>
      </c>
      <c r="G12" s="30"/>
      <c r="H12" s="39">
        <f>IF(ISBLANK($F12), "",
  SUMIFS('Joint Expense Query'!$B:$B, 'Joint Expense Query'!$D:$D, $F12, 'Joint Expense Query'!$H:$H, $C$4, 'Joint Expense Query'!$F:$F, $F$7)
)
</f>
        <v>293.29</v>
      </c>
      <c r="J12" s="46"/>
      <c r="L12" s="47"/>
    </row>
    <row r="13">
      <c r="B13" s="65" t="s">
        <v>42</v>
      </c>
      <c r="C13" s="66"/>
      <c r="D13" s="39">
        <f>IF(ISBLANK($B13), "",
  SUMIFS('Joint Expense Query'!$B:$B, 'Joint Expense Query'!$D:$D, $B13, 'Joint Expense Query'!$H:$H, $C$4, 'Joint Expense Query'!$F:$F, $B$7)
)
</f>
        <v>162.4</v>
      </c>
      <c r="F13" s="65" t="s">
        <v>43</v>
      </c>
      <c r="G13" s="30"/>
      <c r="H13" s="39">
        <f>IF(ISBLANK($F13), "",
  SUMIFS('Joint Expense Query'!$B:$B, 'Joint Expense Query'!$D:$D, $F13, 'Joint Expense Query'!$H:$H, $C$4, 'Joint Expense Query'!$F:$F, $F$7)
)
</f>
        <v>1927.31</v>
      </c>
      <c r="J13" s="46"/>
      <c r="L13" s="47"/>
    </row>
    <row r="14">
      <c r="B14" s="65" t="s">
        <v>44</v>
      </c>
      <c r="C14" s="66"/>
      <c r="D14" s="39">
        <f>IF(ISBLANK($B14), "",
  SUMIFS('Joint Expense Query'!$B:$B, 'Joint Expense Query'!$D:$D, $B14, 'Joint Expense Query'!$H:$H, $C$4, 'Joint Expense Query'!$F:$F, $B$7)
)
</f>
        <v>0</v>
      </c>
      <c r="F14" s="65" t="s">
        <v>45</v>
      </c>
      <c r="G14" s="30"/>
      <c r="H14" s="39">
        <f>IF(ISBLANK($F14), "",
  SUMIFS('Joint Expense Query'!$B:$B, 'Joint Expense Query'!$D:$D, $F14, 'Joint Expense Query'!$H:$H, $C$4, 'Joint Expense Query'!$F:$F, $F$7)
)
</f>
        <v>0</v>
      </c>
      <c r="J14" s="46"/>
      <c r="L14" s="47"/>
    </row>
    <row r="15">
      <c r="B15" s="65" t="s">
        <v>46</v>
      </c>
      <c r="C15" s="66"/>
      <c r="D15" s="39">
        <f>IF(ISBLANK($B15), "",
  SUMIFS('Joint Expense Query'!$B:$B, 'Joint Expense Query'!$D:$D, $B15, 'Joint Expense Query'!$H:$H, $C$4, 'Joint Expense Query'!$F:$F, $B$7)
)
</f>
        <v>2835</v>
      </c>
      <c r="F15" s="65" t="s">
        <v>47</v>
      </c>
      <c r="G15" s="30"/>
      <c r="H15" s="39">
        <f>IF(ISBLANK($F15), "",
  SUMIFS('Joint Expense Query'!$B:$B, 'Joint Expense Query'!$D:$D, $F15, 'Joint Expense Query'!$H:$H, $C$4, 'Joint Expense Query'!$F:$F, $F$7)
)
</f>
        <v>39.25</v>
      </c>
      <c r="J15" s="46"/>
      <c r="L15" s="47"/>
    </row>
    <row r="16">
      <c r="B16" s="65" t="s">
        <v>48</v>
      </c>
      <c r="C16" s="66"/>
      <c r="D16" s="39">
        <f>IF(ISBLANK($B16), "",
  SUMIFS('Joint Expense Query'!$B:$B, 'Joint Expense Query'!$D:$D, $B16, 'Joint Expense Query'!$H:$H, $C$4, 'Joint Expense Query'!$F:$F, $B$7)
)
</f>
        <v>83</v>
      </c>
      <c r="F16" s="65" t="s">
        <v>49</v>
      </c>
      <c r="G16" s="30"/>
      <c r="H16" s="39">
        <f>IF(ISBLANK($F16), "",
  SUMIFS('Joint Expense Query'!$B:$B, 'Joint Expense Query'!$D:$D, $F16, 'Joint Expense Query'!$H:$H, $C$4, 'Joint Expense Query'!$F:$F, $F$7)
)
</f>
        <v>50.84</v>
      </c>
      <c r="J16" s="46"/>
      <c r="L16" s="47"/>
    </row>
    <row r="17">
      <c r="B17" s="65" t="s">
        <v>50</v>
      </c>
      <c r="C17" s="66"/>
      <c r="D17" s="39">
        <f>IF(ISBLANK($B17), "",
  SUMIFS('Joint Expense Query'!$B:$B, 'Joint Expense Query'!$D:$D, $B17, 'Joint Expense Query'!$H:$H, $C$4, 'Joint Expense Query'!$F:$F, $B$7)
)
</f>
        <v>0</v>
      </c>
      <c r="F17" s="65" t="s">
        <v>45</v>
      </c>
      <c r="G17" s="30"/>
      <c r="H17" s="39">
        <f>IF(ISBLANK($F17), "",
  SUMIFS('Joint Expense Query'!$B:$B, 'Joint Expense Query'!$D:$D, $F17, 'Joint Expense Query'!$H:$H, $C$4, 'Joint Expense Query'!$F:$F, $F$7)
)
</f>
        <v>0</v>
      </c>
      <c r="J17" s="61"/>
      <c r="K17" s="62"/>
      <c r="L17" s="63"/>
    </row>
    <row r="18">
      <c r="B18" s="65" t="s">
        <v>20</v>
      </c>
      <c r="C18" s="66"/>
      <c r="D18" s="39">
        <f>IF(ISBLANK($B18), "",
  SUMIFS('Joint Expense Query'!$B:$B, 'Joint Expense Query'!$D:$D, $B18, 'Joint Expense Query'!$H:$H, $C$4, 'Joint Expense Query'!$F:$F, $B$7)
)
</f>
        <v>0</v>
      </c>
      <c r="F18" s="65" t="s">
        <v>51</v>
      </c>
      <c r="G18" s="30"/>
      <c r="H18" s="39">
        <f>IF(ISBLANK($F18), "",
  SUMIFS('Joint Expense Query'!$B:$B, 'Joint Expense Query'!$D:$D, $F18, 'Joint Expense Query'!$H:$H, $C$4, 'Joint Expense Query'!$F:$F, $F$7)
)
</f>
        <v>0</v>
      </c>
      <c r="J18" s="67"/>
      <c r="K18" s="68"/>
      <c r="L18" s="69"/>
    </row>
    <row r="19">
      <c r="B19" s="65"/>
      <c r="C19" s="66"/>
      <c r="D19" s="39"/>
      <c r="F19" s="65" t="s">
        <v>46</v>
      </c>
      <c r="G19" s="30"/>
      <c r="H19" s="39">
        <f>IF(ISBLANK($F19), "",
  SUMIFS('Joint Expense Query'!$B:$B, 'Joint Expense Query'!$D:$D, $F19, 'Joint Expense Query'!$H:$H, $C$4, 'Joint Expense Query'!$F:$F, $F$7)
)
</f>
        <v>535.73</v>
      </c>
      <c r="J19" s="70">
        <f>SUM((H9-D9)/2+H27)
</f>
        <v>342.645</v>
      </c>
    </row>
    <row r="20">
      <c r="B20" s="65"/>
      <c r="C20" s="66"/>
      <c r="D20" s="71"/>
      <c r="F20" s="65" t="s">
        <v>48</v>
      </c>
      <c r="G20" s="30"/>
      <c r="H20" s="39">
        <f>IF(ISBLANK($F20), "",
  SUMIFS('Joint Expense Query'!$B:$B, 'Joint Expense Query'!$D:$D, $F20, 'Joint Expense Query'!$H:$H, $C$4, 'Joint Expense Query'!$F:$F, $F$7)
)
</f>
        <v>148</v>
      </c>
    </row>
    <row r="21">
      <c r="B21" s="65"/>
      <c r="C21" s="66"/>
      <c r="D21" s="71"/>
      <c r="F21" s="65" t="s">
        <v>50</v>
      </c>
      <c r="G21" s="30"/>
      <c r="H21" s="39">
        <f>IF(ISBLANK($F21), "",
  SUMIFS('Joint Expense Query'!$B:$B, 'Joint Expense Query'!$D:$D, $F21, 'Joint Expense Query'!$H:$H, $C$4, 'Joint Expense Query'!$F:$F, $F$7)
)
</f>
        <v>0</v>
      </c>
    </row>
    <row r="22">
      <c r="B22" s="65"/>
      <c r="C22" s="66"/>
      <c r="D22" s="71"/>
      <c r="F22" s="65" t="s">
        <v>20</v>
      </c>
      <c r="G22" s="30"/>
      <c r="H22" s="39">
        <f>IF(ISBLANK($F22), "",
  SUMIFS('Joint Expense Query'!$B:$B, 'Joint Expense Query'!$D:$D, $F22, 'Joint Expense Query'!$H:$H, $C$4, 'Joint Expense Query'!$F:$F, $F$7)
)
</f>
        <v>94.1</v>
      </c>
    </row>
    <row r="23">
      <c r="B23" s="65"/>
      <c r="C23" s="66"/>
      <c r="D23" s="71"/>
      <c r="F23" s="65"/>
      <c r="G23" s="30"/>
      <c r="H23" s="39" t="str">
        <f>IF(ISBLANK($F23), "",
  SUMIFS('Joint Expense Query'!$B:$B, 'Joint Expense Query'!$D:$D, $F23, 'Joint Expense Query'!$H:$H, $C$4, 'Joint Expense Query'!$F:$F, $F$7)
)
</f>
        <v/>
      </c>
    </row>
    <row r="24">
      <c r="B24" s="65"/>
      <c r="C24" s="66"/>
      <c r="D24" s="71"/>
      <c r="F24" s="65"/>
      <c r="G24" s="30"/>
      <c r="H24" s="39" t="str">
        <f>IF(ISBLANK($F24), "",
  SUMIFS('Joint Expense Query'!$B:$B, 'Joint Expense Query'!$D:$D, $F24, 'Joint Expense Query'!$H:$H, $C$4, 'Joint Expense Query'!$F:$F, $F$7)
)
</f>
        <v/>
      </c>
    </row>
    <row r="25">
      <c r="B25" s="65"/>
      <c r="C25" s="66"/>
      <c r="D25" s="71"/>
      <c r="F25" s="65"/>
      <c r="G25" s="30"/>
      <c r="H25" s="39" t="str">
        <f>IF(ISBLANK($F25), "",
  SUMIFS('Joint Expense Query'!$B:$B, 'Joint Expense Query'!$D:$D, $F25, 'Joint Expense Query'!$H:$H, $C$4, 'Joint Expense Query'!$F:$F, $F$7)
)
</f>
        <v/>
      </c>
    </row>
    <row r="26">
      <c r="B26" s="65"/>
      <c r="C26" s="66"/>
      <c r="D26" s="71"/>
      <c r="F26" s="65"/>
      <c r="G26" s="30"/>
      <c r="H26" s="39" t="str">
        <f>IF(ISBLANK($F26), "",
  SUMIFS('Joint Expense Query'!$B:$B, 'Joint Expense Query'!$D:$D, $F26, 'Joint Expense Query'!$H:$H, $C$4, 'Joint Expense Query'!$F:$F, $F$7)
)
</f>
        <v/>
      </c>
    </row>
    <row r="27">
      <c r="B27" s="65"/>
      <c r="C27" s="66"/>
      <c r="D27" s="71"/>
      <c r="F27" s="65" t="s">
        <v>52</v>
      </c>
      <c r="G27" s="30"/>
      <c r="H27" s="39">
        <f>IF(ISBLANK($F27), "",
  SUMIFS('Joint Expense Query'!$B:$B, 'Joint Expense Query'!$D:$D, $F27, 'Joint Expense Query'!$H:$H, $C$4, 'Joint Expense Query'!$F:$F, $F$7)
)
</f>
        <v>162.1</v>
      </c>
    </row>
    <row r="28">
      <c r="B28" s="72"/>
      <c r="C28" s="73"/>
      <c r="F28" s="74"/>
      <c r="G28" s="30"/>
    </row>
    <row r="29">
      <c r="B29" s="72"/>
      <c r="C29" s="73"/>
      <c r="F29" s="74"/>
      <c r="G29" s="30"/>
    </row>
    <row r="30">
      <c r="B30" s="72"/>
      <c r="C30" s="75"/>
      <c r="F30" s="72"/>
      <c r="G30" s="30"/>
    </row>
    <row r="31">
      <c r="B31" s="72"/>
      <c r="C31" s="73"/>
      <c r="F31" s="74"/>
      <c r="G31" s="30"/>
    </row>
    <row r="32">
      <c r="B32" s="72"/>
      <c r="C32" s="73"/>
      <c r="F32" s="74"/>
      <c r="G32" s="30"/>
    </row>
    <row r="33">
      <c r="B33" s="72"/>
      <c r="C33" s="73"/>
      <c r="F33" s="74"/>
      <c r="G33" s="30"/>
    </row>
    <row r="34">
      <c r="B34" s="72"/>
      <c r="C34" s="73"/>
      <c r="F34" s="74"/>
      <c r="G34" s="30"/>
    </row>
    <row r="35">
      <c r="B35" s="76"/>
      <c r="C35" s="77"/>
      <c r="F35" s="78"/>
      <c r="G35" s="77"/>
    </row>
    <row r="36">
      <c r="B36" s="72"/>
      <c r="C36" s="73"/>
      <c r="F36" s="74"/>
      <c r="G36" s="30"/>
    </row>
  </sheetData>
  <mergeCells count="32">
    <mergeCell ref="F11:G11"/>
    <mergeCell ref="F12:G12"/>
    <mergeCell ref="F13:G13"/>
    <mergeCell ref="F14:G14"/>
    <mergeCell ref="B2:L2"/>
    <mergeCell ref="C4:D4"/>
    <mergeCell ref="C5:D5"/>
    <mergeCell ref="B7:C7"/>
    <mergeCell ref="B10:C10"/>
    <mergeCell ref="F10:G10"/>
    <mergeCell ref="J10:L16"/>
    <mergeCell ref="F15:G15"/>
    <mergeCell ref="F16:G16"/>
    <mergeCell ref="F17:G17"/>
    <mergeCell ref="F18:G18"/>
    <mergeCell ref="F19:G19"/>
    <mergeCell ref="F20:G20"/>
    <mergeCell ref="F21:G21"/>
    <mergeCell ref="F29:G29"/>
    <mergeCell ref="F30:G30"/>
    <mergeCell ref="F31:G31"/>
    <mergeCell ref="F32:G32"/>
    <mergeCell ref="F33:G33"/>
    <mergeCell ref="F34:G34"/>
    <mergeCell ref="F36:G36"/>
    <mergeCell ref="F22:G22"/>
    <mergeCell ref="F23:G23"/>
    <mergeCell ref="F24:G24"/>
    <mergeCell ref="F25:G25"/>
    <mergeCell ref="F26:G26"/>
    <mergeCell ref="F27:G27"/>
    <mergeCell ref="F28:G28"/>
  </mergeCells>
  <dataValidations>
    <dataValidation type="list" allowBlank="1" showErrorMessage="1" sqref="C4">
      <formula1>"Jan,Feb,Mar,Apr,May,Jun,Jul,Aug,Sep,Oct,Nov,Dec"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25"/>
    <col customWidth="1" min="3" max="3" width="29.88"/>
    <col customWidth="1" min="4" max="7" width="17.25"/>
  </cols>
  <sheetData>
    <row r="1">
      <c r="A1" s="79" t="str">
        <f>IFERROR(__xludf.DUMMYFUNCTION("QUERY(IMPORTRANGE(""https://docs.google.com/spreadsheets/d/1ImQFcJoVLADSXlCV12sTbdZdxM9zXkulluBIP8sm_M4/edit?usp=sharing"", ""Form Responses 2!P1:S""), ""SELECT Col1, Col2, Col3, Col4 WHERE Col1 IS NOT NULL"")
"),"Date ")</f>
        <v>Date </v>
      </c>
      <c r="B1" s="80" t="str">
        <f>IFERROR(__xludf.DUMMYFUNCTION("""COMPUTED_VALUE"""),"Amount (00.00) ")</f>
        <v>Amount (00.00) </v>
      </c>
      <c r="C1" s="79" t="str">
        <f>IFERROR(__xludf.DUMMYFUNCTION("""COMPUTED_VALUE"""),"Description ")</f>
        <v>Description </v>
      </c>
      <c r="D1" s="79" t="str">
        <f>IFERROR(__xludf.DUMMYFUNCTION("""COMPUTED_VALUE"""),"Income Category (Choose 1) ")</f>
        <v>Income Category (Choose 1) </v>
      </c>
      <c r="E1" s="81" t="s">
        <v>3</v>
      </c>
      <c r="F1" s="82" t="str">
        <f>IFERROR(__xludf.DUMMYFUNCTION("QUERY(IMPORTRANGE(""https://docs.google.com/spreadsheets/d/1ImQFcJoVLADSXlCV12sTbdZdxM9zXkulluBIP8sm_M4/edit?usp=sharing"", ""Form Responses 2!O1:O""), ""SELECT Col1 WHERE Col1 IS NOT NULL"")
"),"Shaeffer or Gil")</f>
        <v>Shaeffer or Gil</v>
      </c>
      <c r="H1" s="83"/>
      <c r="J1" s="84"/>
    </row>
    <row r="2">
      <c r="A2" s="85">
        <f>IFERROR(__xludf.DUMMYFUNCTION("""COMPUTED_VALUE"""),45304.0)</f>
        <v>45304</v>
      </c>
      <c r="B2" s="80">
        <f>IFERROR(__xludf.DUMMYFUNCTION("""COMPUTED_VALUE"""),80.0)</f>
        <v>80</v>
      </c>
      <c r="C2" s="79" t="str">
        <f>IFERROR(__xludf.DUMMYFUNCTION("""COMPUTED_VALUE"""),"Cash")</f>
        <v>Cash</v>
      </c>
      <c r="D2" s="79" t="str">
        <f>IFERROR(__xludf.DUMMYFUNCTION("""COMPUTED_VALUE"""),"Other")</f>
        <v>Other</v>
      </c>
      <c r="E2" s="86" t="str">
        <f t="shared" ref="E2:E1000" si="1">TEXT(DATEVALUE(A2), "mmm")
</f>
        <v>Jan</v>
      </c>
      <c r="F2" s="79" t="str">
        <f>IFERROR(__xludf.DUMMYFUNCTION("""COMPUTED_VALUE"""),"Gil")</f>
        <v>Gil</v>
      </c>
      <c r="H2" s="87"/>
      <c r="J2" s="88"/>
    </row>
    <row r="3">
      <c r="A3" s="85">
        <f>IFERROR(__xludf.DUMMYFUNCTION("""COMPUTED_VALUE"""),45305.0)</f>
        <v>45305</v>
      </c>
      <c r="B3" s="80">
        <f>IFERROR(__xludf.DUMMYFUNCTION("""COMPUTED_VALUE"""),61.0)</f>
        <v>61</v>
      </c>
      <c r="C3" s="79" t="str">
        <f>IFERROR(__xludf.DUMMYFUNCTION("""COMPUTED_VALUE"""),"OPC")</f>
        <v>OPC</v>
      </c>
      <c r="D3" s="79" t="str">
        <f>IFERROR(__xludf.DUMMYFUNCTION("""COMPUTED_VALUE"""),"Other")</f>
        <v>Other</v>
      </c>
      <c r="E3" s="86" t="str">
        <f t="shared" si="1"/>
        <v>Jan</v>
      </c>
      <c r="F3" s="79" t="str">
        <f>IFERROR(__xludf.DUMMYFUNCTION("""COMPUTED_VALUE"""),"Gil")</f>
        <v>Gil</v>
      </c>
      <c r="H3" s="87"/>
      <c r="J3" s="88"/>
    </row>
    <row r="4">
      <c r="A4" s="85">
        <f>IFERROR(__xludf.DUMMYFUNCTION("""COMPUTED_VALUE"""),45306.0)</f>
        <v>45306</v>
      </c>
      <c r="B4" s="80">
        <f>IFERROR(__xludf.DUMMYFUNCTION("""COMPUTED_VALUE"""),92.0)</f>
        <v>92</v>
      </c>
      <c r="C4" s="79" t="str">
        <f>IFERROR(__xludf.DUMMYFUNCTION("""COMPUTED_VALUE"""),"Cash")</f>
        <v>Cash</v>
      </c>
      <c r="D4" s="79" t="str">
        <f>IFERROR(__xludf.DUMMYFUNCTION("""COMPUTED_VALUE"""),"Other")</f>
        <v>Other</v>
      </c>
      <c r="E4" s="86" t="str">
        <f t="shared" si="1"/>
        <v>Jan</v>
      </c>
      <c r="F4" s="79" t="str">
        <f>IFERROR(__xludf.DUMMYFUNCTION("""COMPUTED_VALUE"""),"Gil")</f>
        <v>Gil</v>
      </c>
      <c r="J4" s="88"/>
    </row>
    <row r="5">
      <c r="A5" s="85">
        <f>IFERROR(__xludf.DUMMYFUNCTION("""COMPUTED_VALUE"""),45307.0)</f>
        <v>45307</v>
      </c>
      <c r="B5" s="80">
        <f>IFERROR(__xludf.DUMMYFUNCTION("""COMPUTED_VALUE"""),8.55)</f>
        <v>8.55</v>
      </c>
      <c r="C5" s="79" t="str">
        <f>IFERROR(__xludf.DUMMYFUNCTION("""COMPUTED_VALUE"""),"Cash Tips")</f>
        <v>Cash Tips</v>
      </c>
      <c r="D5" s="79" t="str">
        <f>IFERROR(__xludf.DUMMYFUNCTION("""COMPUTED_VALUE"""),"JOE")</f>
        <v>JOE</v>
      </c>
      <c r="E5" s="86" t="str">
        <f t="shared" si="1"/>
        <v>Jan</v>
      </c>
      <c r="F5" s="79" t="str">
        <f>IFERROR(__xludf.DUMMYFUNCTION("""COMPUTED_VALUE"""),"Gil")</f>
        <v>Gil</v>
      </c>
      <c r="J5" s="88"/>
    </row>
    <row r="6">
      <c r="A6" s="85">
        <f>IFERROR(__xludf.DUMMYFUNCTION("""COMPUTED_VALUE"""),45308.0)</f>
        <v>45308</v>
      </c>
      <c r="B6" s="80">
        <f>IFERROR(__xludf.DUMMYFUNCTION("""COMPUTED_VALUE"""),54.0)</f>
        <v>54</v>
      </c>
      <c r="C6" s="79" t="str">
        <f>IFERROR(__xludf.DUMMYFUNCTION("""COMPUTED_VALUE"""),"Cash")</f>
        <v>Cash</v>
      </c>
      <c r="D6" s="79" t="str">
        <f>IFERROR(__xludf.DUMMYFUNCTION("""COMPUTED_VALUE"""),"Other")</f>
        <v>Other</v>
      </c>
      <c r="E6" s="86" t="str">
        <f t="shared" si="1"/>
        <v>Jan</v>
      </c>
      <c r="F6" s="79" t="str">
        <f>IFERROR(__xludf.DUMMYFUNCTION("""COMPUTED_VALUE"""),"Gil")</f>
        <v>Gil</v>
      </c>
      <c r="J6" s="88"/>
    </row>
    <row r="7">
      <c r="A7" s="85">
        <f>IFERROR(__xludf.DUMMYFUNCTION("""COMPUTED_VALUE"""),45309.0)</f>
        <v>45309</v>
      </c>
      <c r="B7" s="80">
        <f>IFERROR(__xludf.DUMMYFUNCTION("""COMPUTED_VALUE"""),13.0)</f>
        <v>13</v>
      </c>
      <c r="C7" s="79" t="str">
        <f>IFERROR(__xludf.DUMMYFUNCTION("""COMPUTED_VALUE"""),"Cash Tips")</f>
        <v>Cash Tips</v>
      </c>
      <c r="D7" s="79" t="str">
        <f>IFERROR(__xludf.DUMMYFUNCTION("""COMPUTED_VALUE"""),"JOE")</f>
        <v>JOE</v>
      </c>
      <c r="E7" s="86" t="str">
        <f t="shared" si="1"/>
        <v>Jan</v>
      </c>
      <c r="F7" s="79" t="str">
        <f>IFERROR(__xludf.DUMMYFUNCTION("""COMPUTED_VALUE"""),"Gil")</f>
        <v>Gil</v>
      </c>
      <c r="J7" s="88"/>
    </row>
    <row r="8">
      <c r="A8" s="85">
        <f>IFERROR(__xludf.DUMMYFUNCTION("""COMPUTED_VALUE"""),45310.0)</f>
        <v>45310</v>
      </c>
      <c r="B8" s="80">
        <f>IFERROR(__xludf.DUMMYFUNCTION("""COMPUTED_VALUE"""),664.14)</f>
        <v>664.14</v>
      </c>
      <c r="C8" s="79" t="str">
        <f>IFERROR(__xludf.DUMMYFUNCTION("""COMPUTED_VALUE"""),"01/19/2024 (#27257)")</f>
        <v>01/19/2024 (#27257)</v>
      </c>
      <c r="D8" s="79" t="str">
        <f>IFERROR(__xludf.DUMMYFUNCTION("""COMPUTED_VALUE"""),"JOE")</f>
        <v>JOE</v>
      </c>
      <c r="E8" s="86" t="str">
        <f t="shared" si="1"/>
        <v>Jan</v>
      </c>
      <c r="F8" s="79" t="str">
        <f>IFERROR(__xludf.DUMMYFUNCTION("""COMPUTED_VALUE"""),"Gil")</f>
        <v>Gil</v>
      </c>
      <c r="J8" s="88"/>
    </row>
    <row r="9">
      <c r="A9" s="85">
        <f>IFERROR(__xludf.DUMMYFUNCTION("""COMPUTED_VALUE"""),45310.0)</f>
        <v>45310</v>
      </c>
      <c r="B9" s="80">
        <f>IFERROR(__xludf.DUMMYFUNCTION("""COMPUTED_VALUE"""),162.68)</f>
        <v>162.68</v>
      </c>
      <c r="C9" s="79" t="str">
        <f>IFERROR(__xludf.DUMMYFUNCTION("""COMPUTED_VALUE"""),"01/19/2024 (#27257) - 401k")</f>
        <v>01/19/2024 (#27257) - 401k</v>
      </c>
      <c r="D9" s="79" t="str">
        <f>IFERROR(__xludf.DUMMYFUNCTION("""COMPUTED_VALUE"""),"JOE")</f>
        <v>JOE</v>
      </c>
      <c r="E9" s="86" t="str">
        <f t="shared" si="1"/>
        <v>Jan</v>
      </c>
      <c r="F9" s="79" t="str">
        <f>IFERROR(__xludf.DUMMYFUNCTION("""COMPUTED_VALUE"""),"Gil")</f>
        <v>Gil</v>
      </c>
      <c r="J9" s="88"/>
    </row>
    <row r="10">
      <c r="A10" s="85">
        <f>IFERROR(__xludf.DUMMYFUNCTION("""COMPUTED_VALUE"""),45315.0)</f>
        <v>45315</v>
      </c>
      <c r="B10" s="80">
        <f>IFERROR(__xludf.DUMMYFUNCTION("""COMPUTED_VALUE"""),985.77)</f>
        <v>985.77</v>
      </c>
      <c r="C10" s="79" t="str">
        <f>IFERROR(__xludf.DUMMYFUNCTION("""COMPUTED_VALUE"""),"01/14/2024 - 01/27/2024")</f>
        <v>01/14/2024 - 01/27/2024</v>
      </c>
      <c r="D10" s="79" t="str">
        <f>IFERROR(__xludf.DUMMYFUNCTION("""COMPUTED_VALUE"""),"KAL")</f>
        <v>KAL</v>
      </c>
      <c r="E10" s="86" t="str">
        <f t="shared" si="1"/>
        <v>Jan</v>
      </c>
      <c r="F10" s="79" t="str">
        <f>IFERROR(__xludf.DUMMYFUNCTION("""COMPUTED_VALUE"""),"Gil")</f>
        <v>Gil</v>
      </c>
      <c r="J10" s="88"/>
    </row>
    <row r="11">
      <c r="A11" s="85">
        <f>IFERROR(__xludf.DUMMYFUNCTION("""COMPUTED_VALUE"""),45316.0)</f>
        <v>45316</v>
      </c>
      <c r="B11" s="80">
        <f>IFERROR(__xludf.DUMMYFUNCTION("""COMPUTED_VALUE"""),12.67)</f>
        <v>12.67</v>
      </c>
      <c r="C11" s="79" t="str">
        <f>IFERROR(__xludf.DUMMYFUNCTION("""COMPUTED_VALUE"""),"Cash Tips")</f>
        <v>Cash Tips</v>
      </c>
      <c r="D11" s="79" t="str">
        <f>IFERROR(__xludf.DUMMYFUNCTION("""COMPUTED_VALUE"""),"JOE")</f>
        <v>JOE</v>
      </c>
      <c r="E11" s="86" t="str">
        <f t="shared" si="1"/>
        <v>Jan</v>
      </c>
      <c r="F11" s="79" t="str">
        <f>IFERROR(__xludf.DUMMYFUNCTION("""COMPUTED_VALUE"""),"Gil")</f>
        <v>Gil</v>
      </c>
      <c r="J11" s="88"/>
    </row>
    <row r="12">
      <c r="A12" s="85">
        <f>IFERROR(__xludf.DUMMYFUNCTION("""COMPUTED_VALUE"""),45317.0)</f>
        <v>45317</v>
      </c>
      <c r="B12" s="80">
        <f>IFERROR(__xludf.DUMMYFUNCTION("""COMPUTED_VALUE"""),294.74)</f>
        <v>294.74</v>
      </c>
      <c r="C12" s="79" t="str">
        <f>IFERROR(__xludf.DUMMYFUNCTION("""COMPUTED_VALUE"""),"01/26/2024 (#27493)")</f>
        <v>01/26/2024 (#27493)</v>
      </c>
      <c r="D12" s="79" t="str">
        <f>IFERROR(__xludf.DUMMYFUNCTION("""COMPUTED_VALUE"""),"JOE")</f>
        <v>JOE</v>
      </c>
      <c r="E12" s="86" t="str">
        <f t="shared" si="1"/>
        <v>Jan</v>
      </c>
      <c r="F12" s="79" t="str">
        <f>IFERROR(__xludf.DUMMYFUNCTION("""COMPUTED_VALUE"""),"Gil")</f>
        <v>Gil</v>
      </c>
      <c r="J12" s="88"/>
    </row>
    <row r="13">
      <c r="A13" s="85">
        <f>IFERROR(__xludf.DUMMYFUNCTION("""COMPUTED_VALUE"""),45317.0)</f>
        <v>45317</v>
      </c>
      <c r="B13" s="80">
        <f>IFERROR(__xludf.DUMMYFUNCTION("""COMPUTED_VALUE"""),128.46)</f>
        <v>128.46</v>
      </c>
      <c r="C13" s="79" t="str">
        <f>IFERROR(__xludf.DUMMYFUNCTION("""COMPUTED_VALUE"""),"01/26/2024 (#27493) - 401k")</f>
        <v>01/26/2024 (#27493) - 401k</v>
      </c>
      <c r="D13" s="79" t="str">
        <f>IFERROR(__xludf.DUMMYFUNCTION("""COMPUTED_VALUE"""),"JOE")</f>
        <v>JOE</v>
      </c>
      <c r="E13" s="86" t="str">
        <f t="shared" si="1"/>
        <v>Jan</v>
      </c>
      <c r="F13" s="79" t="str">
        <f>IFERROR(__xludf.DUMMYFUNCTION("""COMPUTED_VALUE"""),"Gil")</f>
        <v>Gil</v>
      </c>
      <c r="J13" s="88"/>
    </row>
    <row r="14">
      <c r="A14" s="85">
        <f>IFERROR(__xludf.DUMMYFUNCTION("""COMPUTED_VALUE"""),45318.0)</f>
        <v>45318</v>
      </c>
      <c r="B14" s="80">
        <f>IFERROR(__xludf.DUMMYFUNCTION("""COMPUTED_VALUE"""),43.0)</f>
        <v>43</v>
      </c>
      <c r="C14" s="79" t="str">
        <f>IFERROR(__xludf.DUMMYFUNCTION("""COMPUTED_VALUE"""),"Cash")</f>
        <v>Cash</v>
      </c>
      <c r="D14" s="79" t="str">
        <f>IFERROR(__xludf.DUMMYFUNCTION("""COMPUTED_VALUE"""),"Other")</f>
        <v>Other</v>
      </c>
      <c r="E14" s="86" t="str">
        <f t="shared" si="1"/>
        <v>Jan</v>
      </c>
      <c r="F14" s="79" t="str">
        <f>IFERROR(__xludf.DUMMYFUNCTION("""COMPUTED_VALUE"""),"Gil")</f>
        <v>Gil</v>
      </c>
      <c r="J14" s="88"/>
    </row>
    <row r="15">
      <c r="A15" s="85">
        <f>IFERROR(__xludf.DUMMYFUNCTION("""COMPUTED_VALUE"""),45323.0)</f>
        <v>45323</v>
      </c>
      <c r="B15" s="80">
        <f>IFERROR(__xludf.DUMMYFUNCTION("""COMPUTED_VALUE"""),20.0)</f>
        <v>20</v>
      </c>
      <c r="C15" s="79" t="str">
        <f>IFERROR(__xludf.DUMMYFUNCTION("""COMPUTED_VALUE"""),"Cash Tips")</f>
        <v>Cash Tips</v>
      </c>
      <c r="D15" s="79" t="str">
        <f>IFERROR(__xludf.DUMMYFUNCTION("""COMPUTED_VALUE"""),"JOE")</f>
        <v>JOE</v>
      </c>
      <c r="E15" s="86" t="str">
        <f t="shared" si="1"/>
        <v>Feb</v>
      </c>
      <c r="F15" s="79" t="str">
        <f>IFERROR(__xludf.DUMMYFUNCTION("""COMPUTED_VALUE"""),"Gil")</f>
        <v>Gil</v>
      </c>
      <c r="J15" s="88"/>
    </row>
    <row r="16">
      <c r="A16" s="85">
        <f>IFERROR(__xludf.DUMMYFUNCTION("""COMPUTED_VALUE"""),45322.0)</f>
        <v>45322</v>
      </c>
      <c r="B16" s="80">
        <f>IFERROR(__xludf.DUMMYFUNCTION("""COMPUTED_VALUE"""),312.89)</f>
        <v>312.89</v>
      </c>
      <c r="C16" s="79" t="str">
        <f>IFERROR(__xludf.DUMMYFUNCTION("""COMPUTED_VALUE"""),"02/02/2024 (#27701)")</f>
        <v>02/02/2024 (#27701)</v>
      </c>
      <c r="D16" s="79" t="str">
        <f>IFERROR(__xludf.DUMMYFUNCTION("""COMPUTED_VALUE"""),"JOE")</f>
        <v>JOE</v>
      </c>
      <c r="E16" s="86" t="str">
        <f t="shared" si="1"/>
        <v>Jan</v>
      </c>
      <c r="F16" s="79" t="str">
        <f>IFERROR(__xludf.DUMMYFUNCTION("""COMPUTED_VALUE"""),"Gil")</f>
        <v>Gil</v>
      </c>
      <c r="J16" s="88"/>
    </row>
    <row r="17">
      <c r="A17" s="85">
        <f>IFERROR(__xludf.DUMMYFUNCTION("""COMPUTED_VALUE"""),45322.0)</f>
        <v>45322</v>
      </c>
      <c r="B17" s="80">
        <f>IFERROR(__xludf.DUMMYFUNCTION("""COMPUTED_VALUE"""),136.83)</f>
        <v>136.83</v>
      </c>
      <c r="C17" s="79" t="str">
        <f>IFERROR(__xludf.DUMMYFUNCTION("""COMPUTED_VALUE"""),"02/02/2024 (#27701) - 401k")</f>
        <v>02/02/2024 (#27701) - 401k</v>
      </c>
      <c r="D17" s="79" t="str">
        <f>IFERROR(__xludf.DUMMYFUNCTION("""COMPUTED_VALUE"""),"JOE")</f>
        <v>JOE</v>
      </c>
      <c r="E17" s="86" t="str">
        <f t="shared" si="1"/>
        <v>Jan</v>
      </c>
      <c r="F17" s="79" t="str">
        <f>IFERROR(__xludf.DUMMYFUNCTION("""COMPUTED_VALUE"""),"Gil")</f>
        <v>Gil</v>
      </c>
      <c r="J17" s="88"/>
    </row>
    <row r="18">
      <c r="A18" s="85">
        <f>IFERROR(__xludf.DUMMYFUNCTION("""COMPUTED_VALUE"""),45322.0)</f>
        <v>45322</v>
      </c>
      <c r="B18" s="80">
        <f>IFERROR(__xludf.DUMMYFUNCTION("""COMPUTED_VALUE"""),600.0)</f>
        <v>600</v>
      </c>
      <c r="C18" s="79" t="str">
        <f>IFERROR(__xludf.DUMMYFUNCTION("""COMPUTED_VALUE"""),"Dutch 1.9, 1.23")</f>
        <v>Dutch 1.9, 1.23</v>
      </c>
      <c r="D18" s="79" t="str">
        <f>IFERROR(__xludf.DUMMYFUNCTION("""COMPUTED_VALUE"""),"JOE")</f>
        <v>JOE</v>
      </c>
      <c r="E18" s="86" t="str">
        <f t="shared" si="1"/>
        <v>Jan</v>
      </c>
      <c r="F18" s="79" t="str">
        <f>IFERROR(__xludf.DUMMYFUNCTION("""COMPUTED_VALUE"""),"Gil")</f>
        <v>Gil</v>
      </c>
      <c r="J18" s="88"/>
    </row>
    <row r="19">
      <c r="A19" s="85">
        <f>IFERROR(__xludf.DUMMYFUNCTION("""COMPUTED_VALUE"""),45322.0)</f>
        <v>45322</v>
      </c>
      <c r="B19" s="80">
        <f>IFERROR(__xludf.DUMMYFUNCTION("""COMPUTED_VALUE"""),600.0)</f>
        <v>600</v>
      </c>
      <c r="C19" s="79" t="str">
        <f>IFERROR(__xludf.DUMMYFUNCTION("""COMPUTED_VALUE"""),"Dutch 1.9 + 1.23")</f>
        <v>Dutch 1.9 + 1.23</v>
      </c>
      <c r="D19" s="79" t="str">
        <f>IFERROR(__xludf.DUMMYFUNCTION("""COMPUTED_VALUE"""),"STE")</f>
        <v>STE</v>
      </c>
      <c r="E19" s="86" t="str">
        <f t="shared" si="1"/>
        <v>Jan</v>
      </c>
      <c r="F19" s="79" t="str">
        <f>IFERROR(__xludf.DUMMYFUNCTION("""COMPUTED_VALUE"""),"Gil")</f>
        <v>Gil</v>
      </c>
      <c r="J19" s="88"/>
    </row>
    <row r="20">
      <c r="A20" s="85">
        <f>IFERROR(__xludf.DUMMYFUNCTION("""COMPUTED_VALUE"""),45324.0)</f>
        <v>45324</v>
      </c>
      <c r="B20" s="80">
        <f>IFERROR(__xludf.DUMMYFUNCTION("""COMPUTED_VALUE"""),6000.0)</f>
        <v>6000</v>
      </c>
      <c r="C20" s="79" t="str">
        <f>IFERROR(__xludf.DUMMYFUNCTION("""COMPUTED_VALUE"""),"ALTU_05")</f>
        <v>ALTU_05</v>
      </c>
      <c r="D20" s="79" t="str">
        <f>IFERROR(__xludf.DUMMYFUNCTION("""COMPUTED_VALUE"""),"Altuzarra")</f>
        <v>Altuzarra</v>
      </c>
      <c r="E20" s="86" t="str">
        <f t="shared" si="1"/>
        <v>Feb</v>
      </c>
      <c r="F20" s="79" t="str">
        <f>IFERROR(__xludf.DUMMYFUNCTION("""COMPUTED_VALUE"""),"Shaeffer")</f>
        <v>Shaeffer</v>
      </c>
      <c r="J20" s="88"/>
    </row>
    <row r="21">
      <c r="A21" s="85">
        <f>IFERROR(__xludf.DUMMYFUNCTION("""COMPUTED_VALUE"""),45325.0)</f>
        <v>45325</v>
      </c>
      <c r="B21" s="80">
        <f>IFERROR(__xludf.DUMMYFUNCTION("""COMPUTED_VALUE"""),230.0)</f>
        <v>230</v>
      </c>
      <c r="C21" s="79" t="str">
        <f>IFERROR(__xludf.DUMMYFUNCTION("""COMPUTED_VALUE"""),"Cash")</f>
        <v>Cash</v>
      </c>
      <c r="D21" s="79" t="str">
        <f>IFERROR(__xludf.DUMMYFUNCTION("""COMPUTED_VALUE"""),"Other")</f>
        <v>Other</v>
      </c>
      <c r="E21" s="86" t="str">
        <f t="shared" si="1"/>
        <v>Feb</v>
      </c>
      <c r="F21" s="79" t="str">
        <f>IFERROR(__xludf.DUMMYFUNCTION("""COMPUTED_VALUE"""),"Gil")</f>
        <v>Gil</v>
      </c>
      <c r="J21" s="88"/>
    </row>
    <row r="22">
      <c r="A22" s="85">
        <f>IFERROR(__xludf.DUMMYFUNCTION("""COMPUTED_VALUE"""),45329.0)</f>
        <v>45329</v>
      </c>
      <c r="B22" s="80">
        <f>IFERROR(__xludf.DUMMYFUNCTION("""COMPUTED_VALUE"""),14.27)</f>
        <v>14.27</v>
      </c>
      <c r="C22" s="79" t="str">
        <f>IFERROR(__xludf.DUMMYFUNCTION("""COMPUTED_VALUE"""),"Cash Tips")</f>
        <v>Cash Tips</v>
      </c>
      <c r="D22" s="79" t="str">
        <f>IFERROR(__xludf.DUMMYFUNCTION("""COMPUTED_VALUE"""),"JOE")</f>
        <v>JOE</v>
      </c>
      <c r="E22" s="86" t="str">
        <f t="shared" si="1"/>
        <v>Feb</v>
      </c>
      <c r="F22" s="79" t="str">
        <f>IFERROR(__xludf.DUMMYFUNCTION("""COMPUTED_VALUE"""),"Gil")</f>
        <v>Gil</v>
      </c>
      <c r="J22" s="88"/>
    </row>
    <row r="23">
      <c r="A23" s="85">
        <f>IFERROR(__xludf.DUMMYFUNCTION("""COMPUTED_VALUE"""),45334.0)</f>
        <v>45334</v>
      </c>
      <c r="B23" s="80">
        <f>IFERROR(__xludf.DUMMYFUNCTION("""COMPUTED_VALUE"""),985.77)</f>
        <v>985.77</v>
      </c>
      <c r="C23" s="79" t="str">
        <f>IFERROR(__xludf.DUMMYFUNCTION("""COMPUTED_VALUE"""),"01/28/2024 - 02/10/2024")</f>
        <v>01/28/2024 - 02/10/2024</v>
      </c>
      <c r="D23" s="79" t="str">
        <f>IFERROR(__xludf.DUMMYFUNCTION("""COMPUTED_VALUE"""),"KAL")</f>
        <v>KAL</v>
      </c>
      <c r="E23" s="86" t="str">
        <f t="shared" si="1"/>
        <v>Feb</v>
      </c>
      <c r="F23" s="79" t="str">
        <f>IFERROR(__xludf.DUMMYFUNCTION("""COMPUTED_VALUE"""),"Gil")</f>
        <v>Gil</v>
      </c>
      <c r="J23" s="88"/>
    </row>
    <row r="24">
      <c r="A24" s="85">
        <f>IFERROR(__xludf.DUMMYFUNCTION("""COMPUTED_VALUE"""),45322.0)</f>
        <v>45322</v>
      </c>
      <c r="B24" s="80">
        <f>IFERROR(__xludf.DUMMYFUNCTION("""COMPUTED_VALUE"""),336.5)</f>
        <v>336.5</v>
      </c>
      <c r="C24" s="79" t="str">
        <f>IFERROR(__xludf.DUMMYFUNCTION("""COMPUTED_VALUE"""),"02/09/2024 (#27915)")</f>
        <v>02/09/2024 (#27915)</v>
      </c>
      <c r="D24" s="79" t="str">
        <f>IFERROR(__xludf.DUMMYFUNCTION("""COMPUTED_VALUE"""),"JOE")</f>
        <v>JOE</v>
      </c>
      <c r="E24" s="86" t="str">
        <f t="shared" si="1"/>
        <v>Jan</v>
      </c>
      <c r="F24" s="79" t="str">
        <f>IFERROR(__xludf.DUMMYFUNCTION("""COMPUTED_VALUE"""),"Gil")</f>
        <v>Gil</v>
      </c>
      <c r="J24" s="88"/>
    </row>
    <row r="25">
      <c r="A25" s="85">
        <f>IFERROR(__xludf.DUMMYFUNCTION("""COMPUTED_VALUE"""),45322.0)</f>
        <v>45322</v>
      </c>
      <c r="B25" s="80">
        <f>IFERROR(__xludf.DUMMYFUNCTION("""COMPUTED_VALUE"""),151.74)</f>
        <v>151.74</v>
      </c>
      <c r="C25" s="79" t="str">
        <f>IFERROR(__xludf.DUMMYFUNCTION("""COMPUTED_VALUE"""),"02/09/2024 (#27915) - 401k")</f>
        <v>02/09/2024 (#27915) - 401k</v>
      </c>
      <c r="D25" s="79" t="str">
        <f>IFERROR(__xludf.DUMMYFUNCTION("""COMPUTED_VALUE"""),"JOE")</f>
        <v>JOE</v>
      </c>
      <c r="E25" s="86" t="str">
        <f t="shared" si="1"/>
        <v>Jan</v>
      </c>
      <c r="F25" s="79" t="str">
        <f>IFERROR(__xludf.DUMMYFUNCTION("""COMPUTED_VALUE"""),"Gil")</f>
        <v>Gil</v>
      </c>
      <c r="J25" s="88"/>
    </row>
    <row r="26">
      <c r="A26" s="85">
        <f>IFERROR(__xludf.DUMMYFUNCTION("""COMPUTED_VALUE"""),45331.0)</f>
        <v>45331</v>
      </c>
      <c r="B26" s="80">
        <f>IFERROR(__xludf.DUMMYFUNCTION("""COMPUTED_VALUE"""),157.41)</f>
        <v>157.41</v>
      </c>
      <c r="C26" s="79" t="str">
        <f>IFERROR(__xludf.DUMMYFUNCTION("""COMPUTED_VALUE"""),"02/09/2024 (#27915)")</f>
        <v>02/09/2024 (#27915)</v>
      </c>
      <c r="D26" s="79" t="str">
        <f>IFERROR(__xludf.DUMMYFUNCTION("""COMPUTED_VALUE"""),"JOE")</f>
        <v>JOE</v>
      </c>
      <c r="E26" s="86" t="str">
        <f t="shared" si="1"/>
        <v>Feb</v>
      </c>
      <c r="F26" s="79" t="str">
        <f>IFERROR(__xludf.DUMMYFUNCTION("""COMPUTED_VALUE"""),"Gil")</f>
        <v>Gil</v>
      </c>
      <c r="J26" s="88"/>
    </row>
    <row r="27">
      <c r="A27" s="85">
        <f>IFERROR(__xludf.DUMMYFUNCTION("""COMPUTED_VALUE"""),45331.0)</f>
        <v>45331</v>
      </c>
      <c r="B27" s="80">
        <f>IFERROR(__xludf.DUMMYFUNCTION("""COMPUTED_VALUE"""),70.98)</f>
        <v>70.98</v>
      </c>
      <c r="C27" s="79" t="str">
        <f>IFERROR(__xludf.DUMMYFUNCTION("""COMPUTED_VALUE"""),"02/09/2024 (#27915) - 401k")</f>
        <v>02/09/2024 (#27915) - 401k</v>
      </c>
      <c r="D27" s="79" t="str">
        <f>IFERROR(__xludf.DUMMYFUNCTION("""COMPUTED_VALUE"""),"JOE")</f>
        <v>JOE</v>
      </c>
      <c r="E27" s="86" t="str">
        <f t="shared" si="1"/>
        <v>Feb</v>
      </c>
      <c r="F27" s="79" t="str">
        <f>IFERROR(__xludf.DUMMYFUNCTION("""COMPUTED_VALUE"""),"Gil")</f>
        <v>Gil</v>
      </c>
      <c r="J27" s="88"/>
    </row>
    <row r="28">
      <c r="A28" s="85">
        <f>IFERROR(__xludf.DUMMYFUNCTION("""COMPUTED_VALUE"""),45332.0)</f>
        <v>45332</v>
      </c>
      <c r="B28" s="80">
        <f>IFERROR(__xludf.DUMMYFUNCTION("""COMPUTED_VALUE"""),40.0)</f>
        <v>40</v>
      </c>
      <c r="C28" s="79" t="str">
        <f>IFERROR(__xludf.DUMMYFUNCTION("""COMPUTED_VALUE"""),"Cash")</f>
        <v>Cash</v>
      </c>
      <c r="D28" s="79" t="str">
        <f>IFERROR(__xludf.DUMMYFUNCTION("""COMPUTED_VALUE"""),"Other")</f>
        <v>Other</v>
      </c>
      <c r="E28" s="86" t="str">
        <f t="shared" si="1"/>
        <v>Feb</v>
      </c>
      <c r="F28" s="79" t="str">
        <f>IFERROR(__xludf.DUMMYFUNCTION("""COMPUTED_VALUE"""),"Gil")</f>
        <v>Gil</v>
      </c>
      <c r="J28" s="88"/>
    </row>
    <row r="29">
      <c r="A29" s="85">
        <f>IFERROR(__xludf.DUMMYFUNCTION("""COMPUTED_VALUE"""),45334.0)</f>
        <v>45334</v>
      </c>
      <c r="B29" s="80">
        <f>IFERROR(__xludf.DUMMYFUNCTION("""COMPUTED_VALUE"""),6000.0)</f>
        <v>6000</v>
      </c>
      <c r="C29" s="79" t="str">
        <f>IFERROR(__xludf.DUMMYFUNCTION("""COMPUTED_VALUE"""),"Altu_06")</f>
        <v>Altu_06</v>
      </c>
      <c r="D29" s="79" t="str">
        <f>IFERROR(__xludf.DUMMYFUNCTION("""COMPUTED_VALUE"""),"Altuzarra")</f>
        <v>Altuzarra</v>
      </c>
      <c r="E29" s="86" t="str">
        <f t="shared" si="1"/>
        <v>Feb</v>
      </c>
      <c r="F29" s="79" t="str">
        <f>IFERROR(__xludf.DUMMYFUNCTION("""COMPUTED_VALUE"""),"Shaeffer")</f>
        <v>Shaeffer</v>
      </c>
      <c r="J29" s="88"/>
    </row>
    <row r="30">
      <c r="A30" s="85">
        <f>IFERROR(__xludf.DUMMYFUNCTION("""COMPUTED_VALUE"""),45335.0)</f>
        <v>45335</v>
      </c>
      <c r="B30" s="80">
        <f>IFERROR(__xludf.DUMMYFUNCTION("""COMPUTED_VALUE"""),68.0)</f>
        <v>68</v>
      </c>
      <c r="C30" s="79" t="str">
        <f>IFERROR(__xludf.DUMMYFUNCTION("""COMPUTED_VALUE"""),"Cash")</f>
        <v>Cash</v>
      </c>
      <c r="D30" s="79" t="str">
        <f>IFERROR(__xludf.DUMMYFUNCTION("""COMPUTED_VALUE"""),"Other")</f>
        <v>Other</v>
      </c>
      <c r="E30" s="86" t="str">
        <f t="shared" si="1"/>
        <v>Feb</v>
      </c>
      <c r="F30" s="79" t="str">
        <f>IFERROR(__xludf.DUMMYFUNCTION("""COMPUTED_VALUE"""),"Gil")</f>
        <v>Gil</v>
      </c>
      <c r="J30" s="88"/>
    </row>
    <row r="31">
      <c r="A31" s="85">
        <f>IFERROR(__xludf.DUMMYFUNCTION("""COMPUTED_VALUE"""),45336.0)</f>
        <v>45336</v>
      </c>
      <c r="B31" s="80">
        <f>IFERROR(__xludf.DUMMYFUNCTION("""COMPUTED_VALUE"""),12.79)</f>
        <v>12.79</v>
      </c>
      <c r="C31" s="79" t="str">
        <f>IFERROR(__xludf.DUMMYFUNCTION("""COMPUTED_VALUE"""),"Cash Tips")</f>
        <v>Cash Tips</v>
      </c>
      <c r="D31" s="79" t="str">
        <f>IFERROR(__xludf.DUMMYFUNCTION("""COMPUTED_VALUE"""),"JOE")</f>
        <v>JOE</v>
      </c>
      <c r="E31" s="86" t="str">
        <f t="shared" si="1"/>
        <v>Feb</v>
      </c>
      <c r="F31" s="79" t="str">
        <f>IFERROR(__xludf.DUMMYFUNCTION("""COMPUTED_VALUE"""),"Gil")</f>
        <v>Gil</v>
      </c>
      <c r="J31" s="88"/>
    </row>
    <row r="32">
      <c r="A32" s="85">
        <f>IFERROR(__xludf.DUMMYFUNCTION("""COMPUTED_VALUE"""),45337.0)</f>
        <v>45337</v>
      </c>
      <c r="B32" s="80">
        <f>IFERROR(__xludf.DUMMYFUNCTION("""COMPUTED_VALUE"""),20.58)</f>
        <v>20.58</v>
      </c>
      <c r="C32" s="79" t="str">
        <f>IFERROR(__xludf.DUMMYFUNCTION("""COMPUTED_VALUE"""),"Cash Tips")</f>
        <v>Cash Tips</v>
      </c>
      <c r="D32" s="79" t="str">
        <f>IFERROR(__xludf.DUMMYFUNCTION("""COMPUTED_VALUE"""),"JOE")</f>
        <v>JOE</v>
      </c>
      <c r="E32" s="86" t="str">
        <f t="shared" si="1"/>
        <v>Feb</v>
      </c>
      <c r="F32" s="79" t="str">
        <f>IFERROR(__xludf.DUMMYFUNCTION("""COMPUTED_VALUE"""),"Gil")</f>
        <v>Gil</v>
      </c>
      <c r="J32" s="88"/>
    </row>
    <row r="33">
      <c r="A33" s="85">
        <f>IFERROR(__xludf.DUMMYFUNCTION("""COMPUTED_VALUE"""),45338.0)</f>
        <v>45338</v>
      </c>
      <c r="B33" s="80">
        <f>IFERROR(__xludf.DUMMYFUNCTION("""COMPUTED_VALUE"""),534.25)</f>
        <v>534.25</v>
      </c>
      <c r="C33" s="79" t="str">
        <f>IFERROR(__xludf.DUMMYFUNCTION("""COMPUTED_VALUE"""),"02/16/2024 (#28160)")</f>
        <v>02/16/2024 (#28160)</v>
      </c>
      <c r="D33" s="79" t="str">
        <f>IFERROR(__xludf.DUMMYFUNCTION("""COMPUTED_VALUE"""),"JOE")</f>
        <v>JOE</v>
      </c>
      <c r="E33" s="86" t="str">
        <f t="shared" si="1"/>
        <v>Feb</v>
      </c>
      <c r="F33" s="79" t="str">
        <f>IFERROR(__xludf.DUMMYFUNCTION("""COMPUTED_VALUE"""),"Gil")</f>
        <v>Gil</v>
      </c>
      <c r="J33" s="88"/>
    </row>
    <row r="34">
      <c r="A34" s="85">
        <f>IFERROR(__xludf.DUMMYFUNCTION("""COMPUTED_VALUE"""),45338.0)</f>
        <v>45338</v>
      </c>
      <c r="B34" s="80">
        <f>IFERROR(__xludf.DUMMYFUNCTION("""COMPUTED_VALUE"""),250.86)</f>
        <v>250.86</v>
      </c>
      <c r="C34" s="79" t="str">
        <f>IFERROR(__xludf.DUMMYFUNCTION("""COMPUTED_VALUE"""),"02/16/2024 (#28160) - 401k")</f>
        <v>02/16/2024 (#28160) - 401k</v>
      </c>
      <c r="D34" s="79" t="str">
        <f>IFERROR(__xludf.DUMMYFUNCTION("""COMPUTED_VALUE"""),"JOE")</f>
        <v>JOE</v>
      </c>
      <c r="E34" s="86" t="str">
        <f t="shared" si="1"/>
        <v>Feb</v>
      </c>
      <c r="F34" s="79" t="str">
        <f>IFERROR(__xludf.DUMMYFUNCTION("""COMPUTED_VALUE"""),"Gil")</f>
        <v>Gil</v>
      </c>
      <c r="J34" s="88"/>
    </row>
    <row r="35">
      <c r="A35" s="85">
        <f>IFERROR(__xludf.DUMMYFUNCTION("""COMPUTED_VALUE"""),45343.0)</f>
        <v>45343</v>
      </c>
      <c r="B35" s="80">
        <f>IFERROR(__xludf.DUMMYFUNCTION("""COMPUTED_VALUE"""),10.0)</f>
        <v>10</v>
      </c>
      <c r="C35" s="79" t="str">
        <f>IFERROR(__xludf.DUMMYFUNCTION("""COMPUTED_VALUE"""),"Cash Tips")</f>
        <v>Cash Tips</v>
      </c>
      <c r="D35" s="79" t="str">
        <f>IFERROR(__xludf.DUMMYFUNCTION("""COMPUTED_VALUE"""),"JOE")</f>
        <v>JOE</v>
      </c>
      <c r="E35" s="86" t="str">
        <f t="shared" si="1"/>
        <v>Feb</v>
      </c>
      <c r="F35" s="79" t="str">
        <f>IFERROR(__xludf.DUMMYFUNCTION("""COMPUTED_VALUE"""),"Gil")</f>
        <v>Gil</v>
      </c>
      <c r="J35" s="88"/>
    </row>
    <row r="36">
      <c r="A36" s="85">
        <f>IFERROR(__xludf.DUMMYFUNCTION("""COMPUTED_VALUE"""),45348.0)</f>
        <v>45348</v>
      </c>
      <c r="B36" s="80">
        <f>IFERROR(__xludf.DUMMYFUNCTION("""COMPUTED_VALUE"""),985.75)</f>
        <v>985.75</v>
      </c>
      <c r="C36" s="79" t="str">
        <f>IFERROR(__xludf.DUMMYFUNCTION("""COMPUTED_VALUE"""),"02/11/2024 - 02/24/2024")</f>
        <v>02/11/2024 - 02/24/2024</v>
      </c>
      <c r="D36" s="79" t="str">
        <f>IFERROR(__xludf.DUMMYFUNCTION("""COMPUTED_VALUE"""),"KAL")</f>
        <v>KAL</v>
      </c>
      <c r="E36" s="86" t="str">
        <f t="shared" si="1"/>
        <v>Feb</v>
      </c>
      <c r="F36" s="79" t="str">
        <f>IFERROR(__xludf.DUMMYFUNCTION("""COMPUTED_VALUE"""),"Gil")</f>
        <v>Gil</v>
      </c>
      <c r="J36" s="88"/>
    </row>
    <row r="37">
      <c r="A37" s="85">
        <f>IFERROR(__xludf.DUMMYFUNCTION("""COMPUTED_VALUE"""),45344.0)</f>
        <v>45344</v>
      </c>
      <c r="B37" s="80">
        <f>IFERROR(__xludf.DUMMYFUNCTION("""COMPUTED_VALUE"""),11.82)</f>
        <v>11.82</v>
      </c>
      <c r="C37" s="79" t="str">
        <f>IFERROR(__xludf.DUMMYFUNCTION("""COMPUTED_VALUE"""),"Cash Tips")</f>
        <v>Cash Tips</v>
      </c>
      <c r="D37" s="79" t="str">
        <f>IFERROR(__xludf.DUMMYFUNCTION("""COMPUTED_VALUE"""),"JOE")</f>
        <v>JOE</v>
      </c>
      <c r="E37" s="86" t="str">
        <f t="shared" si="1"/>
        <v>Feb</v>
      </c>
      <c r="F37" s="79" t="str">
        <f>IFERROR(__xludf.DUMMYFUNCTION("""COMPUTED_VALUE"""),"Gil")</f>
        <v>Gil</v>
      </c>
      <c r="J37" s="88"/>
    </row>
    <row r="38">
      <c r="A38" s="85">
        <f>IFERROR(__xludf.DUMMYFUNCTION("""COMPUTED_VALUE"""),45345.0)</f>
        <v>45345</v>
      </c>
      <c r="B38" s="80">
        <f>IFERROR(__xludf.DUMMYFUNCTION("""COMPUTED_VALUE"""),302.39)</f>
        <v>302.39</v>
      </c>
      <c r="C38" s="79" t="str">
        <f>IFERROR(__xludf.DUMMYFUNCTION("""COMPUTED_VALUE"""),"02/23/2024 (#28376)")</f>
        <v>02/23/2024 (#28376)</v>
      </c>
      <c r="D38" s="79" t="str">
        <f>IFERROR(__xludf.DUMMYFUNCTION("""COMPUTED_VALUE"""),"JOE")</f>
        <v>JOE</v>
      </c>
      <c r="E38" s="86" t="str">
        <f t="shared" si="1"/>
        <v>Feb</v>
      </c>
      <c r="F38" s="79" t="str">
        <f>IFERROR(__xludf.DUMMYFUNCTION("""COMPUTED_VALUE"""),"Gil")</f>
        <v>Gil</v>
      </c>
      <c r="J38" s="88"/>
    </row>
    <row r="39">
      <c r="A39" s="85">
        <f>IFERROR(__xludf.DUMMYFUNCTION("""COMPUTED_VALUE"""),45345.0)</f>
        <v>45345</v>
      </c>
      <c r="B39" s="80">
        <f>IFERROR(__xludf.DUMMYFUNCTION("""COMPUTED_VALUE"""),132.63)</f>
        <v>132.63</v>
      </c>
      <c r="C39" s="79" t="str">
        <f>IFERROR(__xludf.DUMMYFUNCTION("""COMPUTED_VALUE"""),"02/23/2024 (#28376) - 401k")</f>
        <v>02/23/2024 (#28376) - 401k</v>
      </c>
      <c r="D39" s="79" t="str">
        <f>IFERROR(__xludf.DUMMYFUNCTION("""COMPUTED_VALUE"""),"JOE")</f>
        <v>JOE</v>
      </c>
      <c r="E39" s="86" t="str">
        <f t="shared" si="1"/>
        <v>Feb</v>
      </c>
      <c r="F39" s="79" t="str">
        <f>IFERROR(__xludf.DUMMYFUNCTION("""COMPUTED_VALUE"""),"Gil")</f>
        <v>Gil</v>
      </c>
      <c r="J39" s="88"/>
    </row>
    <row r="40">
      <c r="A40" s="85">
        <f>IFERROR(__xludf.DUMMYFUNCTION("""COMPUTED_VALUE"""),45350.0)</f>
        <v>45350</v>
      </c>
      <c r="B40" s="80">
        <f>IFERROR(__xludf.DUMMYFUNCTION("""COMPUTED_VALUE"""),12.78)</f>
        <v>12.78</v>
      </c>
      <c r="C40" s="79" t="str">
        <f>IFERROR(__xludf.DUMMYFUNCTION("""COMPUTED_VALUE"""),"Cash Tips")</f>
        <v>Cash Tips</v>
      </c>
      <c r="D40" s="79" t="str">
        <f>IFERROR(__xludf.DUMMYFUNCTION("""COMPUTED_VALUE"""),"JOE")</f>
        <v>JOE</v>
      </c>
      <c r="E40" s="86" t="str">
        <f t="shared" si="1"/>
        <v>Feb</v>
      </c>
      <c r="F40" s="79" t="str">
        <f>IFERROR(__xludf.DUMMYFUNCTION("""COMPUTED_VALUE"""),"Gil")</f>
        <v>Gil</v>
      </c>
      <c r="J40" s="88"/>
    </row>
    <row r="41">
      <c r="A41" s="85">
        <f>IFERROR(__xludf.DUMMYFUNCTION("""COMPUTED_VALUE"""),45350.0)</f>
        <v>45350</v>
      </c>
      <c r="B41" s="80">
        <f>IFERROR(__xludf.DUMMYFUNCTION("""COMPUTED_VALUE"""),15.28)</f>
        <v>15.28</v>
      </c>
      <c r="C41" s="79" t="str">
        <f>IFERROR(__xludf.DUMMYFUNCTION("""COMPUTED_VALUE"""),"Cash Tips")</f>
        <v>Cash Tips</v>
      </c>
      <c r="D41" s="79" t="str">
        <f>IFERROR(__xludf.DUMMYFUNCTION("""COMPUTED_VALUE"""),"JOE")</f>
        <v>JOE</v>
      </c>
      <c r="E41" s="86" t="str">
        <f t="shared" si="1"/>
        <v>Feb</v>
      </c>
      <c r="F41" s="79" t="str">
        <f>IFERROR(__xludf.DUMMYFUNCTION("""COMPUTED_VALUE"""),"Gil")</f>
        <v>Gil</v>
      </c>
      <c r="J41" s="88"/>
    </row>
    <row r="42">
      <c r="A42" s="85">
        <f>IFERROR(__xludf.DUMMYFUNCTION("""COMPUTED_VALUE"""),45350.0)</f>
        <v>45350</v>
      </c>
      <c r="B42" s="80">
        <f>IFERROR(__xludf.DUMMYFUNCTION("""COMPUTED_VALUE"""),457.11)</f>
        <v>457.11</v>
      </c>
      <c r="C42" s="79" t="str">
        <f>IFERROR(__xludf.DUMMYFUNCTION("""COMPUTED_VALUE"""),"03/01/2024 (#28644)")</f>
        <v>03/01/2024 (#28644)</v>
      </c>
      <c r="D42" s="79" t="str">
        <f>IFERROR(__xludf.DUMMYFUNCTION("""COMPUTED_VALUE"""),"JOE")</f>
        <v>JOE</v>
      </c>
      <c r="E42" s="86" t="str">
        <f t="shared" si="1"/>
        <v>Feb</v>
      </c>
      <c r="F42" s="79" t="str">
        <f>IFERROR(__xludf.DUMMYFUNCTION("""COMPUTED_VALUE"""),"Gil")</f>
        <v>Gil</v>
      </c>
      <c r="J42" s="88"/>
    </row>
    <row r="43">
      <c r="A43" s="85">
        <f>IFERROR(__xludf.DUMMYFUNCTION("""COMPUTED_VALUE"""),45350.0)</f>
        <v>45350</v>
      </c>
      <c r="B43" s="80">
        <f>IFERROR(__xludf.DUMMYFUNCTION("""COMPUTED_VALUE"""),217.21)</f>
        <v>217.21</v>
      </c>
      <c r="C43" s="79" t="str">
        <f>IFERROR(__xludf.DUMMYFUNCTION("""COMPUTED_VALUE"""),"03/01/2024 (#28644) - 401k")</f>
        <v>03/01/2024 (#28644) - 401k</v>
      </c>
      <c r="D43" s="79" t="str">
        <f>IFERROR(__xludf.DUMMYFUNCTION("""COMPUTED_VALUE"""),"JOE")</f>
        <v>JOE</v>
      </c>
      <c r="E43" s="86" t="str">
        <f t="shared" si="1"/>
        <v>Feb</v>
      </c>
      <c r="F43" s="79" t="str">
        <f>IFERROR(__xludf.DUMMYFUNCTION("""COMPUTED_VALUE"""),"Gil")</f>
        <v>Gil</v>
      </c>
      <c r="J43" s="88"/>
    </row>
    <row r="44">
      <c r="A44" s="85">
        <f>IFERROR(__xludf.DUMMYFUNCTION("""COMPUTED_VALUE"""),45357.0)</f>
        <v>45357</v>
      </c>
      <c r="B44" s="80">
        <f>IFERROR(__xludf.DUMMYFUNCTION("""COMPUTED_VALUE"""),7200.0)</f>
        <v>7200</v>
      </c>
      <c r="C44" s="79" t="str">
        <f>IFERROR(__xludf.DUMMYFUNCTION("""COMPUTED_VALUE"""),"Altu_07")</f>
        <v>Altu_07</v>
      </c>
      <c r="D44" s="79" t="str">
        <f>IFERROR(__xludf.DUMMYFUNCTION("""COMPUTED_VALUE"""),"Altuzarra")</f>
        <v>Altuzarra</v>
      </c>
      <c r="E44" s="86" t="str">
        <f t="shared" si="1"/>
        <v>Mar</v>
      </c>
      <c r="F44" s="79" t="str">
        <f>IFERROR(__xludf.DUMMYFUNCTION("""COMPUTED_VALUE"""),"Shaeffer")</f>
        <v>Shaeffer</v>
      </c>
      <c r="J44" s="88"/>
    </row>
    <row r="45">
      <c r="A45" s="85">
        <f>IFERROR(__xludf.DUMMYFUNCTION("""COMPUTED_VALUE"""),45350.0)</f>
        <v>45350</v>
      </c>
      <c r="B45" s="80">
        <f>IFERROR(__xludf.DUMMYFUNCTION("""COMPUTED_VALUE"""),328.59)</f>
        <v>328.59</v>
      </c>
      <c r="C45" s="79" t="str">
        <f>IFERROR(__xludf.DUMMYFUNCTION("""COMPUTED_VALUE"""),"2/26, 2/27")</f>
        <v>2/26, 2/27</v>
      </c>
      <c r="D45" s="79" t="str">
        <f>IFERROR(__xludf.DUMMYFUNCTION("""COMPUTED_VALUE"""),"KAL")</f>
        <v>KAL</v>
      </c>
      <c r="E45" s="86" t="str">
        <f t="shared" si="1"/>
        <v>Feb</v>
      </c>
      <c r="F45" s="79" t="str">
        <f>IFERROR(__xludf.DUMMYFUNCTION("""COMPUTED_VALUE"""),"Gil")</f>
        <v>Gil</v>
      </c>
      <c r="J45" s="88"/>
    </row>
    <row r="46">
      <c r="A46" s="85">
        <f>IFERROR(__xludf.DUMMYFUNCTION("""COMPUTED_VALUE"""),45362.0)</f>
        <v>45362</v>
      </c>
      <c r="B46" s="80">
        <f>IFERROR(__xludf.DUMMYFUNCTION("""COMPUTED_VALUE"""),657.18)</f>
        <v>657.18</v>
      </c>
      <c r="C46" s="79" t="str">
        <f>IFERROR(__xludf.DUMMYFUNCTION("""COMPUTED_VALUE"""),"3/2, 3/4, 3/8, 3/9")</f>
        <v>3/2, 3/4, 3/8, 3/9</v>
      </c>
      <c r="D46" s="79" t="str">
        <f>IFERROR(__xludf.DUMMYFUNCTION("""COMPUTED_VALUE"""),"KAL")</f>
        <v>KAL</v>
      </c>
      <c r="E46" s="86" t="str">
        <f t="shared" si="1"/>
        <v>Mar</v>
      </c>
      <c r="F46" s="79" t="str">
        <f>IFERROR(__xludf.DUMMYFUNCTION("""COMPUTED_VALUE"""),"Gil")</f>
        <v>Gil</v>
      </c>
      <c r="J46" s="88"/>
    </row>
    <row r="47">
      <c r="A47" s="85">
        <f>IFERROR(__xludf.DUMMYFUNCTION("""COMPUTED_VALUE"""),45358.0)</f>
        <v>45358</v>
      </c>
      <c r="B47" s="80">
        <f>IFERROR(__xludf.DUMMYFUNCTION("""COMPUTED_VALUE"""),13.4)</f>
        <v>13.4</v>
      </c>
      <c r="C47" s="79" t="str">
        <f>IFERROR(__xludf.DUMMYFUNCTION("""COMPUTED_VALUE"""),"Cash Tips")</f>
        <v>Cash Tips</v>
      </c>
      <c r="D47" s="79" t="str">
        <f>IFERROR(__xludf.DUMMYFUNCTION("""COMPUTED_VALUE"""),"JOE")</f>
        <v>JOE</v>
      </c>
      <c r="E47" s="86" t="str">
        <f t="shared" si="1"/>
        <v>Mar</v>
      </c>
      <c r="F47" s="79" t="str">
        <f>IFERROR(__xludf.DUMMYFUNCTION("""COMPUTED_VALUE"""),"Gil")</f>
        <v>Gil</v>
      </c>
      <c r="J47" s="88"/>
    </row>
    <row r="48">
      <c r="A48" s="85">
        <f>IFERROR(__xludf.DUMMYFUNCTION("""COMPUTED_VALUE"""),45350.0)</f>
        <v>45350</v>
      </c>
      <c r="B48" s="80">
        <f>IFERROR(__xludf.DUMMYFUNCTION("""COMPUTED_VALUE"""),351.13)</f>
        <v>351.13</v>
      </c>
      <c r="C48" s="79" t="str">
        <f>IFERROR(__xludf.DUMMYFUNCTION("""COMPUTED_VALUE"""),"03/08/2024 (#28892)")</f>
        <v>03/08/2024 (#28892)</v>
      </c>
      <c r="D48" s="79" t="str">
        <f>IFERROR(__xludf.DUMMYFUNCTION("""COMPUTED_VALUE"""),"JOE")</f>
        <v>JOE</v>
      </c>
      <c r="E48" s="86" t="str">
        <f t="shared" si="1"/>
        <v>Feb</v>
      </c>
      <c r="F48" s="79" t="str">
        <f>IFERROR(__xludf.DUMMYFUNCTION("""COMPUTED_VALUE"""),"Gil")</f>
        <v>Gil</v>
      </c>
      <c r="J48" s="88"/>
    </row>
    <row r="49">
      <c r="A49" s="85">
        <f>IFERROR(__xludf.DUMMYFUNCTION("""COMPUTED_VALUE"""),45350.0)</f>
        <v>45350</v>
      </c>
      <c r="B49" s="80">
        <f>IFERROR(__xludf.DUMMYFUNCTION("""COMPUTED_VALUE"""),160.15)</f>
        <v>160.15</v>
      </c>
      <c r="C49" s="79" t="str">
        <f>IFERROR(__xludf.DUMMYFUNCTION("""COMPUTED_VALUE"""),"03/08/2024 (#28892) - 401k")</f>
        <v>03/08/2024 (#28892) - 401k</v>
      </c>
      <c r="D49" s="79" t="str">
        <f>IFERROR(__xludf.DUMMYFUNCTION("""COMPUTED_VALUE"""),"JOE")</f>
        <v>JOE</v>
      </c>
      <c r="E49" s="86" t="str">
        <f t="shared" si="1"/>
        <v>Feb</v>
      </c>
      <c r="F49" s="79" t="str">
        <f>IFERROR(__xludf.DUMMYFUNCTION("""COMPUTED_VALUE"""),"Gil")</f>
        <v>Gil</v>
      </c>
      <c r="J49" s="88"/>
    </row>
    <row r="50">
      <c r="A50" s="85">
        <f>IFERROR(__xludf.DUMMYFUNCTION("""COMPUTED_VALUE"""),45359.0)</f>
        <v>45359</v>
      </c>
      <c r="B50" s="80">
        <f>IFERROR(__xludf.DUMMYFUNCTION("""COMPUTED_VALUE"""),43.0)</f>
        <v>43</v>
      </c>
      <c r="C50" s="79" t="str">
        <f>IFERROR(__xludf.DUMMYFUNCTION("""COMPUTED_VALUE"""),"Cash")</f>
        <v>Cash</v>
      </c>
      <c r="D50" s="79" t="str">
        <f>IFERROR(__xludf.DUMMYFUNCTION("""COMPUTED_VALUE"""),"Other")</f>
        <v>Other</v>
      </c>
      <c r="E50" s="86" t="str">
        <f t="shared" si="1"/>
        <v>Mar</v>
      </c>
      <c r="F50" s="79" t="str">
        <f>IFERROR(__xludf.DUMMYFUNCTION("""COMPUTED_VALUE"""),"Gil")</f>
        <v>Gil</v>
      </c>
      <c r="J50" s="88"/>
    </row>
    <row r="51">
      <c r="A51" s="85">
        <f>IFERROR(__xludf.DUMMYFUNCTION("""COMPUTED_VALUE"""),45360.0)</f>
        <v>45360</v>
      </c>
      <c r="B51" s="80">
        <f>IFERROR(__xludf.DUMMYFUNCTION("""COMPUTED_VALUE"""),14.0)</f>
        <v>14</v>
      </c>
      <c r="C51" s="79" t="str">
        <f>IFERROR(__xludf.DUMMYFUNCTION("""COMPUTED_VALUE"""),"Cash")</f>
        <v>Cash</v>
      </c>
      <c r="D51" s="79" t="str">
        <f>IFERROR(__xludf.DUMMYFUNCTION("""COMPUTED_VALUE"""),"Other")</f>
        <v>Other</v>
      </c>
      <c r="E51" s="86" t="str">
        <f t="shared" si="1"/>
        <v>Mar</v>
      </c>
      <c r="F51" s="79" t="str">
        <f>IFERROR(__xludf.DUMMYFUNCTION("""COMPUTED_VALUE"""),"Gil")</f>
        <v>Gil</v>
      </c>
      <c r="J51" s="88"/>
    </row>
    <row r="52">
      <c r="A52" s="85">
        <f>IFERROR(__xludf.DUMMYFUNCTION("""COMPUTED_VALUE"""),45360.0)</f>
        <v>45360</v>
      </c>
      <c r="B52" s="80">
        <f>IFERROR(__xludf.DUMMYFUNCTION("""COMPUTED_VALUE"""),286.0)</f>
        <v>286</v>
      </c>
      <c r="C52" s="79" t="str">
        <f>IFERROR(__xludf.DUMMYFUNCTION("""COMPUTED_VALUE"""),"Cash")</f>
        <v>Cash</v>
      </c>
      <c r="D52" s="79" t="str">
        <f>IFERROR(__xludf.DUMMYFUNCTION("""COMPUTED_VALUE"""),"Other")</f>
        <v>Other</v>
      </c>
      <c r="E52" s="86" t="str">
        <f t="shared" si="1"/>
        <v>Mar</v>
      </c>
      <c r="F52" s="79" t="str">
        <f>IFERROR(__xludf.DUMMYFUNCTION("""COMPUTED_VALUE"""),"Gil")</f>
        <v>Gil</v>
      </c>
      <c r="J52" s="88"/>
    </row>
    <row r="53">
      <c r="A53" s="85">
        <f>IFERROR(__xludf.DUMMYFUNCTION("""COMPUTED_VALUE"""),45360.0)</f>
        <v>45360</v>
      </c>
      <c r="B53" s="80">
        <f>IFERROR(__xludf.DUMMYFUNCTION("""COMPUTED_VALUE"""),26.0)</f>
        <v>26</v>
      </c>
      <c r="C53" s="79" t="str">
        <f>IFERROR(__xludf.DUMMYFUNCTION("""COMPUTED_VALUE"""),"Cash")</f>
        <v>Cash</v>
      </c>
      <c r="D53" s="79" t="str">
        <f>IFERROR(__xludf.DUMMYFUNCTION("""COMPUTED_VALUE"""),"Other")</f>
        <v>Other</v>
      </c>
      <c r="E53" s="86" t="str">
        <f t="shared" si="1"/>
        <v>Mar</v>
      </c>
      <c r="F53" s="79" t="str">
        <f>IFERROR(__xludf.DUMMYFUNCTION("""COMPUTED_VALUE"""),"Gil")</f>
        <v>Gil</v>
      </c>
      <c r="J53" s="88"/>
    </row>
    <row r="54">
      <c r="A54" s="85">
        <f>IFERROR(__xludf.DUMMYFUNCTION("""COMPUTED_VALUE"""),45361.0)</f>
        <v>45361</v>
      </c>
      <c r="B54" s="80">
        <f>IFERROR(__xludf.DUMMYFUNCTION("""COMPUTED_VALUE"""),300.0)</f>
        <v>300</v>
      </c>
      <c r="C54" s="79" t="str">
        <f>IFERROR(__xludf.DUMMYFUNCTION("""COMPUTED_VALUE"""),"Dutch 3.6")</f>
        <v>Dutch 3.6</v>
      </c>
      <c r="D54" s="79" t="str">
        <f>IFERROR(__xludf.DUMMYFUNCTION("""COMPUTED_VALUE"""),"STE")</f>
        <v>STE</v>
      </c>
      <c r="E54" s="86" t="str">
        <f t="shared" si="1"/>
        <v>Mar</v>
      </c>
      <c r="F54" s="79" t="str">
        <f>IFERROR(__xludf.DUMMYFUNCTION("""COMPUTED_VALUE"""),"Gil")</f>
        <v>Gil</v>
      </c>
      <c r="J54" s="88"/>
    </row>
    <row r="55">
      <c r="A55" s="85">
        <f>IFERROR(__xludf.DUMMYFUNCTION("""COMPUTED_VALUE"""),45362.0)</f>
        <v>45362</v>
      </c>
      <c r="B55" s="80">
        <f>IFERROR(__xludf.DUMMYFUNCTION("""COMPUTED_VALUE"""),32.0)</f>
        <v>32</v>
      </c>
      <c r="C55" s="79" t="str">
        <f>IFERROR(__xludf.DUMMYFUNCTION("""COMPUTED_VALUE"""),"Cash")</f>
        <v>Cash</v>
      </c>
      <c r="D55" s="79" t="str">
        <f>IFERROR(__xludf.DUMMYFUNCTION("""COMPUTED_VALUE"""),"Other")</f>
        <v>Other</v>
      </c>
      <c r="E55" s="86" t="str">
        <f t="shared" si="1"/>
        <v>Mar</v>
      </c>
      <c r="F55" s="79" t="str">
        <f>IFERROR(__xludf.DUMMYFUNCTION("""COMPUTED_VALUE"""),"Gil")</f>
        <v>Gil</v>
      </c>
      <c r="J55" s="88"/>
    </row>
    <row r="56">
      <c r="A56" s="85">
        <f>IFERROR(__xludf.DUMMYFUNCTION("""COMPUTED_VALUE"""),45366.0)</f>
        <v>45366</v>
      </c>
      <c r="B56" s="80">
        <f>IFERROR(__xludf.DUMMYFUNCTION("""COMPUTED_VALUE"""),377.54)</f>
        <v>377.54</v>
      </c>
      <c r="C56" s="79" t="str">
        <f>IFERROR(__xludf.DUMMYFUNCTION("""COMPUTED_VALUE"""),"03/15/2024 (#29104)")</f>
        <v>03/15/2024 (#29104)</v>
      </c>
      <c r="D56" s="79" t="str">
        <f>IFERROR(__xludf.DUMMYFUNCTION("""COMPUTED_VALUE"""),"JOE")</f>
        <v>JOE</v>
      </c>
      <c r="E56" s="86" t="str">
        <f t="shared" si="1"/>
        <v>Mar</v>
      </c>
      <c r="F56" s="79" t="str">
        <f>IFERROR(__xludf.DUMMYFUNCTION("""COMPUTED_VALUE"""),"Gil")</f>
        <v>Gil</v>
      </c>
      <c r="J56" s="88"/>
    </row>
    <row r="57">
      <c r="A57" s="85">
        <f>IFERROR(__xludf.DUMMYFUNCTION("""COMPUTED_VALUE"""),45366.0)</f>
        <v>45366</v>
      </c>
      <c r="B57" s="80">
        <f>IFERROR(__xludf.DUMMYFUNCTION("""COMPUTED_VALUE"""),171.28)</f>
        <v>171.28</v>
      </c>
      <c r="C57" s="79" t="str">
        <f>IFERROR(__xludf.DUMMYFUNCTION("""COMPUTED_VALUE"""),"03/15/2024 (#29104) - 401k")</f>
        <v>03/15/2024 (#29104) - 401k</v>
      </c>
      <c r="D57" s="79" t="str">
        <f>IFERROR(__xludf.DUMMYFUNCTION("""COMPUTED_VALUE"""),"JOE")</f>
        <v>JOE</v>
      </c>
      <c r="E57" s="86" t="str">
        <f t="shared" si="1"/>
        <v>Mar</v>
      </c>
      <c r="F57" s="79" t="str">
        <f>IFERROR(__xludf.DUMMYFUNCTION("""COMPUTED_VALUE"""),"Gil")</f>
        <v>Gil</v>
      </c>
      <c r="J57" s="88"/>
    </row>
    <row r="58">
      <c r="A58" s="85">
        <f>IFERROR(__xludf.DUMMYFUNCTION("""COMPUTED_VALUE"""),45367.0)</f>
        <v>45367</v>
      </c>
      <c r="B58" s="80">
        <f>IFERROR(__xludf.DUMMYFUNCTION("""COMPUTED_VALUE"""),25.0)</f>
        <v>25</v>
      </c>
      <c r="C58" s="79" t="str">
        <f>IFERROR(__xludf.DUMMYFUNCTION("""COMPUTED_VALUE"""),"Cash")</f>
        <v>Cash</v>
      </c>
      <c r="D58" s="79" t="str">
        <f>IFERROR(__xludf.DUMMYFUNCTION("""COMPUTED_VALUE"""),"Other")</f>
        <v>Other</v>
      </c>
      <c r="E58" s="86" t="str">
        <f t="shared" si="1"/>
        <v>Mar</v>
      </c>
      <c r="F58" s="79" t="str">
        <f>IFERROR(__xludf.DUMMYFUNCTION("""COMPUTED_VALUE"""),"Gil")</f>
        <v>Gil</v>
      </c>
      <c r="J58" s="88"/>
    </row>
    <row r="59">
      <c r="A59" s="85">
        <f>IFERROR(__xludf.DUMMYFUNCTION("""COMPUTED_VALUE"""),45367.0)</f>
        <v>45367</v>
      </c>
      <c r="B59" s="80">
        <f>IFERROR(__xludf.DUMMYFUNCTION("""COMPUTED_VALUE"""),23.0)</f>
        <v>23</v>
      </c>
      <c r="C59" s="79" t="str">
        <f>IFERROR(__xludf.DUMMYFUNCTION("""COMPUTED_VALUE"""),"Cash")</f>
        <v>Cash</v>
      </c>
      <c r="D59" s="79" t="str">
        <f>IFERROR(__xludf.DUMMYFUNCTION("""COMPUTED_VALUE"""),"Other")</f>
        <v>Other</v>
      </c>
      <c r="E59" s="86" t="str">
        <f t="shared" si="1"/>
        <v>Mar</v>
      </c>
      <c r="F59" s="79" t="str">
        <f>IFERROR(__xludf.DUMMYFUNCTION("""COMPUTED_VALUE"""),"Gil")</f>
        <v>Gil</v>
      </c>
      <c r="J59" s="88"/>
    </row>
    <row r="60">
      <c r="A60" s="85">
        <f>IFERROR(__xludf.DUMMYFUNCTION("""COMPUTED_VALUE"""),45367.0)</f>
        <v>45367</v>
      </c>
      <c r="B60" s="80">
        <f>IFERROR(__xludf.DUMMYFUNCTION("""COMPUTED_VALUE"""),150.0)</f>
        <v>150</v>
      </c>
      <c r="C60" s="79" t="str">
        <f>IFERROR(__xludf.DUMMYFUNCTION("""COMPUTED_VALUE"""),"Cash Tip")</f>
        <v>Cash Tip</v>
      </c>
      <c r="D60" s="79" t="str">
        <f>IFERROR(__xludf.DUMMYFUNCTION("""COMPUTED_VALUE"""),"STE")</f>
        <v>STE</v>
      </c>
      <c r="E60" s="86" t="str">
        <f t="shared" si="1"/>
        <v>Mar</v>
      </c>
      <c r="F60" s="79" t="str">
        <f>IFERROR(__xludf.DUMMYFUNCTION("""COMPUTED_VALUE"""),"Gil")</f>
        <v>Gil</v>
      </c>
      <c r="J60" s="88"/>
    </row>
    <row r="61">
      <c r="A61" s="85">
        <f>IFERROR(__xludf.DUMMYFUNCTION("""COMPUTED_VALUE"""),45369.0)</f>
        <v>45369</v>
      </c>
      <c r="B61" s="80">
        <f>IFERROR(__xludf.DUMMYFUNCTION("""COMPUTED_VALUE"""),55.0)</f>
        <v>55</v>
      </c>
      <c r="C61" s="79" t="str">
        <f>IFERROR(__xludf.DUMMYFUNCTION("""COMPUTED_VALUE"""),"Cash")</f>
        <v>Cash</v>
      </c>
      <c r="D61" s="79" t="str">
        <f>IFERROR(__xludf.DUMMYFUNCTION("""COMPUTED_VALUE"""),"Other")</f>
        <v>Other</v>
      </c>
      <c r="E61" s="86" t="str">
        <f t="shared" si="1"/>
        <v>Mar</v>
      </c>
      <c r="F61" s="79" t="str">
        <f>IFERROR(__xludf.DUMMYFUNCTION("""COMPUTED_VALUE"""),"Gil")</f>
        <v>Gil</v>
      </c>
      <c r="J61" s="88"/>
    </row>
    <row r="62">
      <c r="A62" s="85">
        <f>IFERROR(__xludf.DUMMYFUNCTION("""COMPUTED_VALUE"""),45372.0)</f>
        <v>45372</v>
      </c>
      <c r="B62" s="80">
        <f>IFERROR(__xludf.DUMMYFUNCTION("""COMPUTED_VALUE"""),1055.68)</f>
        <v>1055.68</v>
      </c>
      <c r="C62" s="79" t="str">
        <f>IFERROR(__xludf.DUMMYFUNCTION("""COMPUTED_VALUE"""),"Mar 10 - Mar 23, 2024")</f>
        <v>Mar 10 - Mar 23, 2024</v>
      </c>
      <c r="D62" s="79" t="str">
        <f>IFERROR(__xludf.DUMMYFUNCTION("""COMPUTED_VALUE"""),"KAL")</f>
        <v>KAL</v>
      </c>
      <c r="E62" s="86" t="str">
        <f t="shared" si="1"/>
        <v>Mar</v>
      </c>
      <c r="F62" s="79" t="str">
        <f>IFERROR(__xludf.DUMMYFUNCTION("""COMPUTED_VALUE"""),"Gil")</f>
        <v>Gil</v>
      </c>
      <c r="J62" s="88"/>
    </row>
    <row r="63">
      <c r="A63" s="85">
        <f>IFERROR(__xludf.DUMMYFUNCTION("""COMPUTED_VALUE"""),45373.0)</f>
        <v>45373</v>
      </c>
      <c r="B63" s="80">
        <f>IFERROR(__xludf.DUMMYFUNCTION("""COMPUTED_VALUE"""),532.69)</f>
        <v>532.69</v>
      </c>
      <c r="C63" s="79" t="str">
        <f>IFERROR(__xludf.DUMMYFUNCTION("""COMPUTED_VALUE"""),"03/22/2024 (#29364)")</f>
        <v>03/22/2024 (#29364)</v>
      </c>
      <c r="D63" s="79" t="str">
        <f>IFERROR(__xludf.DUMMYFUNCTION("""COMPUTED_VALUE"""),"JOE")</f>
        <v>JOE</v>
      </c>
      <c r="E63" s="86" t="str">
        <f t="shared" si="1"/>
        <v>Mar</v>
      </c>
      <c r="F63" s="79" t="str">
        <f>IFERROR(__xludf.DUMMYFUNCTION("""COMPUTED_VALUE"""),"Gil")</f>
        <v>Gil</v>
      </c>
      <c r="J63" s="88"/>
    </row>
    <row r="64">
      <c r="A64" s="85">
        <f>IFERROR(__xludf.DUMMYFUNCTION("""COMPUTED_VALUE"""),45373.0)</f>
        <v>45373</v>
      </c>
      <c r="B64" s="80">
        <f>IFERROR(__xludf.DUMMYFUNCTION("""COMPUTED_VALUE"""),237.54)</f>
        <v>237.54</v>
      </c>
      <c r="C64" s="79" t="str">
        <f>IFERROR(__xludf.DUMMYFUNCTION("""COMPUTED_VALUE"""),"03/22/2024 (#29364) - 401k")</f>
        <v>03/22/2024 (#29364) - 401k</v>
      </c>
      <c r="D64" s="79" t="str">
        <f>IFERROR(__xludf.DUMMYFUNCTION("""COMPUTED_VALUE"""),"JOE")</f>
        <v>JOE</v>
      </c>
      <c r="E64" s="86" t="str">
        <f t="shared" si="1"/>
        <v>Mar</v>
      </c>
      <c r="F64" s="79" t="str">
        <f>IFERROR(__xludf.DUMMYFUNCTION("""COMPUTED_VALUE"""),"Gil")</f>
        <v>Gil</v>
      </c>
      <c r="J64" s="88"/>
    </row>
    <row r="65">
      <c r="A65" s="85">
        <f>IFERROR(__xludf.DUMMYFUNCTION("""COMPUTED_VALUE"""),45368.0)</f>
        <v>45368</v>
      </c>
      <c r="B65" s="80">
        <f>IFERROR(__xludf.DUMMYFUNCTION("""COMPUTED_VALUE"""),300.0)</f>
        <v>300</v>
      </c>
      <c r="C65" s="79" t="str">
        <f>IFERROR(__xludf.DUMMYFUNCTION("""COMPUTED_VALUE"""),"Savannah Sacks")</f>
        <v>Savannah Sacks</v>
      </c>
      <c r="D65" s="79" t="str">
        <f>IFERROR(__xludf.DUMMYFUNCTION("""COMPUTED_VALUE"""),"STE")</f>
        <v>STE</v>
      </c>
      <c r="E65" s="86" t="str">
        <f t="shared" si="1"/>
        <v>Mar</v>
      </c>
      <c r="F65" s="79" t="str">
        <f>IFERROR(__xludf.DUMMYFUNCTION("""COMPUTED_VALUE"""),"Gil")</f>
        <v>Gil</v>
      </c>
      <c r="J65" s="88"/>
    </row>
    <row r="66">
      <c r="A66" s="85">
        <f>IFERROR(__xludf.DUMMYFUNCTION("""COMPUTED_VALUE"""),45374.0)</f>
        <v>45374</v>
      </c>
      <c r="B66" s="80">
        <f>IFERROR(__xludf.DUMMYFUNCTION("""COMPUTED_VALUE"""),30.0)</f>
        <v>30</v>
      </c>
      <c r="C66" s="79" t="str">
        <f>IFERROR(__xludf.DUMMYFUNCTION("""COMPUTED_VALUE"""),"Cash")</f>
        <v>Cash</v>
      </c>
      <c r="D66" s="79" t="str">
        <f>IFERROR(__xludf.DUMMYFUNCTION("""COMPUTED_VALUE"""),"KAL")</f>
        <v>KAL</v>
      </c>
      <c r="E66" s="86" t="str">
        <f t="shared" si="1"/>
        <v>Mar</v>
      </c>
      <c r="F66" s="79" t="str">
        <f>IFERROR(__xludf.DUMMYFUNCTION("""COMPUTED_VALUE"""),"Gil")</f>
        <v>Gil</v>
      </c>
      <c r="J66" s="88"/>
    </row>
    <row r="67">
      <c r="A67" s="85">
        <f>IFERROR(__xludf.DUMMYFUNCTION("""COMPUTED_VALUE"""),45376.0)</f>
        <v>45376</v>
      </c>
      <c r="B67" s="80">
        <f>IFERROR(__xludf.DUMMYFUNCTION("""COMPUTED_VALUE"""),40.0)</f>
        <v>40</v>
      </c>
      <c r="C67" s="79" t="str">
        <f>IFERROR(__xludf.DUMMYFUNCTION("""COMPUTED_VALUE"""),"Cash")</f>
        <v>Cash</v>
      </c>
      <c r="D67" s="79" t="str">
        <f>IFERROR(__xludf.DUMMYFUNCTION("""COMPUTED_VALUE"""),"Other")</f>
        <v>Other</v>
      </c>
      <c r="E67" s="86" t="str">
        <f t="shared" si="1"/>
        <v>Mar</v>
      </c>
      <c r="F67" s="79" t="str">
        <f>IFERROR(__xludf.DUMMYFUNCTION("""COMPUTED_VALUE"""),"Gil")</f>
        <v>Gil</v>
      </c>
      <c r="J67" s="88"/>
    </row>
    <row r="68">
      <c r="A68" s="85">
        <f>IFERROR(__xludf.DUMMYFUNCTION("""COMPUTED_VALUE"""),45355.0)</f>
        <v>45355</v>
      </c>
      <c r="B68" s="80">
        <f>IFERROR(__xludf.DUMMYFUNCTION("""COMPUTED_VALUE"""),22.0)</f>
        <v>22</v>
      </c>
      <c r="C68" s="79" t="str">
        <f>IFERROR(__xludf.DUMMYFUNCTION("""COMPUTED_VALUE"""),"venmo-meg")</f>
        <v>venmo-meg</v>
      </c>
      <c r="D68" s="79" t="str">
        <f>IFERROR(__xludf.DUMMYFUNCTION("""COMPUTED_VALUE"""),"Other")</f>
        <v>Other</v>
      </c>
      <c r="E68" s="86" t="str">
        <f t="shared" si="1"/>
        <v>Mar</v>
      </c>
      <c r="F68" s="79" t="str">
        <f>IFERROR(__xludf.DUMMYFUNCTION("""COMPUTED_VALUE"""),"Shaeffer")</f>
        <v>Shaeffer</v>
      </c>
      <c r="J68" s="88"/>
    </row>
    <row r="69">
      <c r="A69" s="85">
        <f>IFERROR(__xludf.DUMMYFUNCTION("""COMPUTED_VALUE"""),45363.0)</f>
        <v>45363</v>
      </c>
      <c r="B69" s="80">
        <f>IFERROR(__xludf.DUMMYFUNCTION("""COMPUTED_VALUE"""),494.0)</f>
        <v>494</v>
      </c>
      <c r="C69" s="79" t="str">
        <f>IFERROR(__xludf.DUMMYFUNCTION("""COMPUTED_VALUE"""),"amelia studio - March")</f>
        <v>amelia studio - March</v>
      </c>
      <c r="D69" s="79" t="str">
        <f>IFERROR(__xludf.DUMMYFUNCTION("""COMPUTED_VALUE"""),"Other")</f>
        <v>Other</v>
      </c>
      <c r="E69" s="86" t="str">
        <f t="shared" si="1"/>
        <v>Mar</v>
      </c>
      <c r="F69" s="79" t="str">
        <f>IFERROR(__xludf.DUMMYFUNCTION("""COMPUTED_VALUE"""),"Shaeffer")</f>
        <v>Shaeffer</v>
      </c>
      <c r="J69" s="88"/>
    </row>
    <row r="70">
      <c r="A70" s="85">
        <f>IFERROR(__xludf.DUMMYFUNCTION("""COMPUTED_VALUE"""),45367.0)</f>
        <v>45367</v>
      </c>
      <c r="B70" s="80">
        <f>IFERROR(__xludf.DUMMYFUNCTION("""COMPUTED_VALUE"""),66.0)</f>
        <v>66</v>
      </c>
      <c r="C70" s="79" t="str">
        <f>IFERROR(__xludf.DUMMYFUNCTION("""COMPUTED_VALUE"""),"venmo-dale-laurel")</f>
        <v>venmo-dale-laurel</v>
      </c>
      <c r="D70" s="79" t="str">
        <f>IFERROR(__xludf.DUMMYFUNCTION("""COMPUTED_VALUE"""),"Other")</f>
        <v>Other</v>
      </c>
      <c r="E70" s="86" t="str">
        <f t="shared" si="1"/>
        <v>Mar</v>
      </c>
      <c r="F70" s="79" t="str">
        <f>IFERROR(__xludf.DUMMYFUNCTION("""COMPUTED_VALUE"""),"Shaeffer")</f>
        <v>Shaeffer</v>
      </c>
      <c r="J70" s="88"/>
    </row>
    <row r="71">
      <c r="A71" s="85">
        <f>IFERROR(__xludf.DUMMYFUNCTION("""COMPUTED_VALUE"""),45357.0)</f>
        <v>45357</v>
      </c>
      <c r="B71" s="80">
        <f>IFERROR(__xludf.DUMMYFUNCTION("""COMPUTED_VALUE"""),7200.0)</f>
        <v>7200</v>
      </c>
      <c r="C71" s="79" t="str">
        <f>IFERROR(__xludf.DUMMYFUNCTION("""COMPUTED_VALUE"""),"Altu_08")</f>
        <v>Altu_08</v>
      </c>
      <c r="D71" s="79" t="str">
        <f>IFERROR(__xludf.DUMMYFUNCTION("""COMPUTED_VALUE"""),"Altuzarra")</f>
        <v>Altuzarra</v>
      </c>
      <c r="E71" s="86" t="str">
        <f t="shared" si="1"/>
        <v>Mar</v>
      </c>
      <c r="F71" s="79" t="str">
        <f>IFERROR(__xludf.DUMMYFUNCTION("""COMPUTED_VALUE"""),"Shaeffer")</f>
        <v>Shaeffer</v>
      </c>
      <c r="J71" s="88"/>
    </row>
    <row r="72">
      <c r="A72" s="85">
        <f>IFERROR(__xludf.DUMMYFUNCTION("""COMPUTED_VALUE"""),45369.0)</f>
        <v>45369</v>
      </c>
      <c r="B72" s="80">
        <f>IFERROR(__xludf.DUMMYFUNCTION("""COMPUTED_VALUE"""),7200.0)</f>
        <v>7200</v>
      </c>
      <c r="C72" s="79" t="str">
        <f>IFERROR(__xludf.DUMMYFUNCTION("""COMPUTED_VALUE"""),"Altu_07")</f>
        <v>Altu_07</v>
      </c>
      <c r="D72" s="79" t="str">
        <f>IFERROR(__xludf.DUMMYFUNCTION("""COMPUTED_VALUE"""),"Altuzarra")</f>
        <v>Altuzarra</v>
      </c>
      <c r="E72" s="86" t="str">
        <f t="shared" si="1"/>
        <v>Mar</v>
      </c>
      <c r="F72" s="79" t="str">
        <f>IFERROR(__xludf.DUMMYFUNCTION("""COMPUTED_VALUE"""),"Shaeffer")</f>
        <v>Shaeffer</v>
      </c>
      <c r="J72" s="88"/>
    </row>
    <row r="73">
      <c r="A73" s="85">
        <f>IFERROR(__xludf.DUMMYFUNCTION("""COMPUTED_VALUE"""),45378.0)</f>
        <v>45378</v>
      </c>
      <c r="B73" s="80">
        <f>IFERROR(__xludf.DUMMYFUNCTION("""COMPUTED_VALUE"""),18.64)</f>
        <v>18.64</v>
      </c>
      <c r="C73" s="79" t="str">
        <f>IFERROR(__xludf.DUMMYFUNCTION("""COMPUTED_VALUE"""),"Cash Tips")</f>
        <v>Cash Tips</v>
      </c>
      <c r="D73" s="79" t="str">
        <f>IFERROR(__xludf.DUMMYFUNCTION("""COMPUTED_VALUE"""),"JOE")</f>
        <v>JOE</v>
      </c>
      <c r="E73" s="86" t="str">
        <f t="shared" si="1"/>
        <v>Mar</v>
      </c>
      <c r="F73" s="79" t="str">
        <f>IFERROR(__xludf.DUMMYFUNCTION("""COMPUTED_VALUE"""),"Gil")</f>
        <v>Gil</v>
      </c>
      <c r="J73" s="88"/>
    </row>
    <row r="74">
      <c r="A74" s="85">
        <f>IFERROR(__xludf.DUMMYFUNCTION("""COMPUTED_VALUE"""),45379.0)</f>
        <v>45379</v>
      </c>
      <c r="B74" s="80">
        <f>IFERROR(__xludf.DUMMYFUNCTION("""COMPUTED_VALUE"""),23.57)</f>
        <v>23.57</v>
      </c>
      <c r="C74" s="79" t="str">
        <f>IFERROR(__xludf.DUMMYFUNCTION("""COMPUTED_VALUE"""),"Cash Tips")</f>
        <v>Cash Tips</v>
      </c>
      <c r="D74" s="79" t="str">
        <f>IFERROR(__xludf.DUMMYFUNCTION("""COMPUTED_VALUE"""),"JOE")</f>
        <v>JOE</v>
      </c>
      <c r="E74" s="86" t="str">
        <f t="shared" si="1"/>
        <v>Mar</v>
      </c>
      <c r="F74" s="79" t="str">
        <f>IFERROR(__xludf.DUMMYFUNCTION("""COMPUTED_VALUE"""),"Gil")</f>
        <v>Gil</v>
      </c>
      <c r="J74" s="88"/>
    </row>
    <row r="75">
      <c r="A75" s="85">
        <f>IFERROR(__xludf.DUMMYFUNCTION("""COMPUTED_VALUE"""),45380.0)</f>
        <v>45380</v>
      </c>
      <c r="B75" s="80">
        <f>IFERROR(__xludf.DUMMYFUNCTION("""COMPUTED_VALUE"""),43.0)</f>
        <v>43</v>
      </c>
      <c r="C75" s="79" t="str">
        <f>IFERROR(__xludf.DUMMYFUNCTION("""COMPUTED_VALUE"""),"Robinhood Gold Interest")</f>
        <v>Robinhood Gold Interest</v>
      </c>
      <c r="D75" s="79" t="str">
        <f>IFERROR(__xludf.DUMMYFUNCTION("""COMPUTED_VALUE"""),"Other")</f>
        <v>Other</v>
      </c>
      <c r="E75" s="86" t="str">
        <f t="shared" si="1"/>
        <v>Mar</v>
      </c>
      <c r="F75" s="79" t="str">
        <f>IFERROR(__xludf.DUMMYFUNCTION("""COMPUTED_VALUE"""),"Gil")</f>
        <v>Gil</v>
      </c>
      <c r="J75" s="88"/>
    </row>
    <row r="76">
      <c r="A76" s="85">
        <f>IFERROR(__xludf.DUMMYFUNCTION("""COMPUTED_VALUE"""),45380.0)</f>
        <v>45380</v>
      </c>
      <c r="B76" s="80">
        <f>IFERROR(__xludf.DUMMYFUNCTION("""COMPUTED_VALUE"""),275.58)</f>
        <v>275.58</v>
      </c>
      <c r="C76" s="79" t="str">
        <f>IFERROR(__xludf.DUMMYFUNCTION("""COMPUTED_VALUE"""),"03/29/2024 (#29575)")</f>
        <v>03/29/2024 (#29575)</v>
      </c>
      <c r="D76" s="79" t="str">
        <f>IFERROR(__xludf.DUMMYFUNCTION("""COMPUTED_VALUE"""),"JOE")</f>
        <v>JOE</v>
      </c>
      <c r="E76" s="86" t="str">
        <f t="shared" si="1"/>
        <v>Mar</v>
      </c>
      <c r="F76" s="79" t="str">
        <f>IFERROR(__xludf.DUMMYFUNCTION("""COMPUTED_VALUE"""),"Gil")</f>
        <v>Gil</v>
      </c>
      <c r="J76" s="88"/>
    </row>
    <row r="77">
      <c r="A77" s="85">
        <f>IFERROR(__xludf.DUMMYFUNCTION("""COMPUTED_VALUE"""),45380.0)</f>
        <v>45380</v>
      </c>
      <c r="B77" s="80">
        <f>IFERROR(__xludf.DUMMYFUNCTION("""COMPUTED_VALUE"""),118.35)</f>
        <v>118.35</v>
      </c>
      <c r="C77" s="79" t="str">
        <f>IFERROR(__xludf.DUMMYFUNCTION("""COMPUTED_VALUE"""),"03/29/2024 (#29575) - 401k")</f>
        <v>03/29/2024 (#29575) - 401k</v>
      </c>
      <c r="D77" s="79" t="str">
        <f>IFERROR(__xludf.DUMMYFUNCTION("""COMPUTED_VALUE"""),"JOE")</f>
        <v>JOE</v>
      </c>
      <c r="E77" s="86" t="str">
        <f t="shared" si="1"/>
        <v>Mar</v>
      </c>
      <c r="F77" s="79" t="str">
        <f>IFERROR(__xludf.DUMMYFUNCTION("""COMPUTED_VALUE"""),"Gil")</f>
        <v>Gil</v>
      </c>
      <c r="J77" s="88"/>
    </row>
    <row r="78">
      <c r="A78" s="85">
        <f>IFERROR(__xludf.DUMMYFUNCTION("""COMPUTED_VALUE"""),45381.0)</f>
        <v>45381</v>
      </c>
      <c r="B78" s="80">
        <f>IFERROR(__xludf.DUMMYFUNCTION("""COMPUTED_VALUE"""),20.0)</f>
        <v>20</v>
      </c>
      <c r="C78" s="79" t="str">
        <f>IFERROR(__xludf.DUMMYFUNCTION("""COMPUTED_VALUE"""),"Cash")</f>
        <v>Cash</v>
      </c>
      <c r="D78" s="79" t="str">
        <f>IFERROR(__xludf.DUMMYFUNCTION("""COMPUTED_VALUE"""),"Other")</f>
        <v>Other</v>
      </c>
      <c r="E78" s="86" t="str">
        <f t="shared" si="1"/>
        <v>Mar</v>
      </c>
      <c r="F78" s="79" t="str">
        <f>IFERROR(__xludf.DUMMYFUNCTION("""COMPUTED_VALUE"""),"Gil")</f>
        <v>Gil</v>
      </c>
      <c r="J78" s="88"/>
    </row>
    <row r="79">
      <c r="A79" s="85">
        <f>IFERROR(__xludf.DUMMYFUNCTION("""COMPUTED_VALUE"""),45383.0)</f>
        <v>45383</v>
      </c>
      <c r="B79" s="80">
        <f>IFERROR(__xludf.DUMMYFUNCTION("""COMPUTED_VALUE"""),8000.0)</f>
        <v>8000</v>
      </c>
      <c r="C79" s="79" t="str">
        <f>IFERROR(__xludf.DUMMYFUNCTION("""COMPUTED_VALUE"""),"Altu-09")</f>
        <v>Altu-09</v>
      </c>
      <c r="D79" s="79" t="str">
        <f>IFERROR(__xludf.DUMMYFUNCTION("""COMPUTED_VALUE"""),"Altuzarra")</f>
        <v>Altuzarra</v>
      </c>
      <c r="E79" s="86" t="str">
        <f t="shared" si="1"/>
        <v>Apr</v>
      </c>
      <c r="F79" s="79" t="str">
        <f>IFERROR(__xludf.DUMMYFUNCTION("""COMPUTED_VALUE"""),"Shaeffer")</f>
        <v>Shaeffer</v>
      </c>
      <c r="J79" s="88"/>
    </row>
    <row r="80">
      <c r="A80" s="85">
        <f>IFERROR(__xludf.DUMMYFUNCTION("""COMPUTED_VALUE"""),45381.0)</f>
        <v>45381</v>
      </c>
      <c r="B80" s="80">
        <f>IFERROR(__xludf.DUMMYFUNCTION("""COMPUTED_VALUE"""),300.0)</f>
        <v>300</v>
      </c>
      <c r="C80" s="79" t="str">
        <f>IFERROR(__xludf.DUMMYFUNCTION("""COMPUTED_VALUE"""),"Judy &amp; Peter")</f>
        <v>Judy &amp; Peter</v>
      </c>
      <c r="D80" s="79" t="str">
        <f>IFERROR(__xludf.DUMMYFUNCTION("""COMPUTED_VALUE"""),"STE")</f>
        <v>STE</v>
      </c>
      <c r="E80" s="86" t="str">
        <f t="shared" si="1"/>
        <v>Mar</v>
      </c>
      <c r="F80" s="79" t="str">
        <f>IFERROR(__xludf.DUMMYFUNCTION("""COMPUTED_VALUE"""),"Gil")</f>
        <v>Gil</v>
      </c>
      <c r="J80" s="88"/>
    </row>
    <row r="81">
      <c r="A81" s="85">
        <f>IFERROR(__xludf.DUMMYFUNCTION("""COMPUTED_VALUE"""),45382.0)</f>
        <v>45382</v>
      </c>
      <c r="B81" s="80">
        <f>IFERROR(__xludf.DUMMYFUNCTION("""COMPUTED_VALUE"""),492.89)</f>
        <v>492.89</v>
      </c>
      <c r="C81" s="79" t="str">
        <f>IFERROR(__xludf.DUMMYFUNCTION("""COMPUTED_VALUE"""),"March 25 - March 31")</f>
        <v>March 25 - March 31</v>
      </c>
      <c r="D81" s="79" t="str">
        <f>IFERROR(__xludf.DUMMYFUNCTION("""COMPUTED_VALUE"""),"KAL")</f>
        <v>KAL</v>
      </c>
      <c r="E81" s="86" t="str">
        <f t="shared" si="1"/>
        <v>Mar</v>
      </c>
      <c r="F81" s="79" t="str">
        <f>IFERROR(__xludf.DUMMYFUNCTION("""COMPUTED_VALUE"""),"Gil")</f>
        <v>Gil</v>
      </c>
      <c r="J81" s="88"/>
    </row>
    <row r="82">
      <c r="A82" s="85">
        <f>IFERROR(__xludf.DUMMYFUNCTION("""COMPUTED_VALUE"""),45389.0)</f>
        <v>45389</v>
      </c>
      <c r="B82" s="80">
        <f>IFERROR(__xludf.DUMMYFUNCTION("""COMPUTED_VALUE"""),492.89)</f>
        <v>492.89</v>
      </c>
      <c r="C82" s="79" t="str">
        <f>IFERROR(__xludf.DUMMYFUNCTION("""COMPUTED_VALUE"""),"April 1 - April 7")</f>
        <v>April 1 - April 7</v>
      </c>
      <c r="D82" s="79" t="str">
        <f>IFERROR(__xludf.DUMMYFUNCTION("""COMPUTED_VALUE"""),"KAL")</f>
        <v>KAL</v>
      </c>
      <c r="E82" s="86" t="str">
        <f t="shared" si="1"/>
        <v>Apr</v>
      </c>
      <c r="F82" s="79" t="str">
        <f>IFERROR(__xludf.DUMMYFUNCTION("""COMPUTED_VALUE"""),"Gil")</f>
        <v>Gil</v>
      </c>
      <c r="J82" s="88"/>
    </row>
    <row r="83">
      <c r="A83" s="85">
        <f>IFERROR(__xludf.DUMMYFUNCTION("""COMPUTED_VALUE"""),45387.0)</f>
        <v>45387</v>
      </c>
      <c r="B83" s="80">
        <f>IFERROR(__xludf.DUMMYFUNCTION("""COMPUTED_VALUE"""),130.0)</f>
        <v>130</v>
      </c>
      <c r="C83" s="79" t="str">
        <f>IFERROR(__xludf.DUMMYFUNCTION("""COMPUTED_VALUE"""),"Cash")</f>
        <v>Cash</v>
      </c>
      <c r="D83" s="79" t="str">
        <f>IFERROR(__xludf.DUMMYFUNCTION("""COMPUTED_VALUE"""),"Other")</f>
        <v>Other</v>
      </c>
      <c r="E83" s="86" t="str">
        <f t="shared" si="1"/>
        <v>Apr</v>
      </c>
      <c r="F83" s="79" t="str">
        <f>IFERROR(__xludf.DUMMYFUNCTION("""COMPUTED_VALUE"""),"Gil")</f>
        <v>Gil</v>
      </c>
      <c r="J83" s="88"/>
    </row>
    <row r="84">
      <c r="A84" s="85">
        <f>IFERROR(__xludf.DUMMYFUNCTION("""COMPUTED_VALUE"""),45382.0)</f>
        <v>45382</v>
      </c>
      <c r="B84" s="80">
        <f>IFERROR(__xludf.DUMMYFUNCTION("""COMPUTED_VALUE"""),372.94)</f>
        <v>372.94</v>
      </c>
      <c r="C84" s="79" t="str">
        <f>IFERROR(__xludf.DUMMYFUNCTION("""COMPUTED_VALUE"""),"04/04/2024 (#29787)")</f>
        <v>04/04/2024 (#29787)</v>
      </c>
      <c r="D84" s="79" t="str">
        <f>IFERROR(__xludf.DUMMYFUNCTION("""COMPUTED_VALUE"""),"JOE")</f>
        <v>JOE</v>
      </c>
      <c r="E84" s="86" t="str">
        <f t="shared" si="1"/>
        <v>Mar</v>
      </c>
      <c r="F84" s="79" t="str">
        <f>IFERROR(__xludf.DUMMYFUNCTION("""COMPUTED_VALUE"""),"Gil")</f>
        <v>Gil</v>
      </c>
      <c r="J84" s="88"/>
    </row>
    <row r="85">
      <c r="A85" s="85">
        <f>IFERROR(__xludf.DUMMYFUNCTION("""COMPUTED_VALUE"""),45382.0)</f>
        <v>45382</v>
      </c>
      <c r="B85" s="80">
        <f>IFERROR(__xludf.DUMMYFUNCTION("""COMPUTED_VALUE"""),171.16)</f>
        <v>171.16</v>
      </c>
      <c r="C85" s="79" t="str">
        <f>IFERROR(__xludf.DUMMYFUNCTION("""COMPUTED_VALUE"""),"04/04/2024 (#29787) - 401k")</f>
        <v>04/04/2024 (#29787) - 401k</v>
      </c>
      <c r="D85" s="79" t="str">
        <f>IFERROR(__xludf.DUMMYFUNCTION("""COMPUTED_VALUE"""),"JOE")</f>
        <v>JOE</v>
      </c>
      <c r="E85" s="86" t="str">
        <f t="shared" si="1"/>
        <v>Mar</v>
      </c>
      <c r="F85" s="79" t="str">
        <f>IFERROR(__xludf.DUMMYFUNCTION("""COMPUTED_VALUE"""),"Gil")</f>
        <v>Gil</v>
      </c>
      <c r="J85" s="88"/>
    </row>
    <row r="86">
      <c r="A86" s="85">
        <f>IFERROR(__xludf.DUMMYFUNCTION("""COMPUTED_VALUE"""),45388.0)</f>
        <v>45388</v>
      </c>
      <c r="B86" s="80">
        <f>IFERROR(__xludf.DUMMYFUNCTION("""COMPUTED_VALUE"""),45.0)</f>
        <v>45</v>
      </c>
      <c r="C86" s="79" t="str">
        <f>IFERROR(__xludf.DUMMYFUNCTION("""COMPUTED_VALUE"""),"Cash")</f>
        <v>Cash</v>
      </c>
      <c r="D86" s="79" t="str">
        <f>IFERROR(__xludf.DUMMYFUNCTION("""COMPUTED_VALUE"""),"Other")</f>
        <v>Other</v>
      </c>
      <c r="E86" s="86" t="str">
        <f t="shared" si="1"/>
        <v>Apr</v>
      </c>
      <c r="F86" s="79" t="str">
        <f>IFERROR(__xludf.DUMMYFUNCTION("""COMPUTED_VALUE"""),"Gil")</f>
        <v>Gil</v>
      </c>
      <c r="J86" s="88"/>
    </row>
    <row r="87">
      <c r="A87" s="85">
        <f>IFERROR(__xludf.DUMMYFUNCTION("""COMPUTED_VALUE"""),45387.0)</f>
        <v>45387</v>
      </c>
      <c r="B87" s="80">
        <f>IFERROR(__xludf.DUMMYFUNCTION("""COMPUTED_VALUE"""),300.0)</f>
        <v>300</v>
      </c>
      <c r="C87" s="79" t="str">
        <f>IFERROR(__xludf.DUMMYFUNCTION("""COMPUTED_VALUE"""),"4.5 Megan &amp; Kevin")</f>
        <v>4.5 Megan &amp; Kevin</v>
      </c>
      <c r="D87" s="79" t="str">
        <f>IFERROR(__xludf.DUMMYFUNCTION("""COMPUTED_VALUE"""),"STE")</f>
        <v>STE</v>
      </c>
      <c r="E87" s="86" t="str">
        <f t="shared" si="1"/>
        <v>Apr</v>
      </c>
      <c r="F87" s="79" t="str">
        <f>IFERROR(__xludf.DUMMYFUNCTION("""COMPUTED_VALUE"""),"Gil")</f>
        <v>Gil</v>
      </c>
      <c r="J87" s="88"/>
    </row>
    <row r="88">
      <c r="A88" s="85">
        <f>IFERROR(__xludf.DUMMYFUNCTION("""COMPUTED_VALUE"""),45383.0)</f>
        <v>45383</v>
      </c>
      <c r="B88" s="80">
        <f>IFERROR(__xludf.DUMMYFUNCTION("""COMPUTED_VALUE"""),6000.0)</f>
        <v>6000</v>
      </c>
      <c r="C88" s="79" t="str">
        <f>IFERROR(__xludf.DUMMYFUNCTION("""COMPUTED_VALUE"""),"ALTU_10")</f>
        <v>ALTU_10</v>
      </c>
      <c r="D88" s="79" t="str">
        <f>IFERROR(__xludf.DUMMYFUNCTION("""COMPUTED_VALUE"""),"Altuzarra")</f>
        <v>Altuzarra</v>
      </c>
      <c r="E88" s="86" t="str">
        <f t="shared" si="1"/>
        <v>Apr</v>
      </c>
      <c r="F88" s="79" t="str">
        <f>IFERROR(__xludf.DUMMYFUNCTION("""COMPUTED_VALUE"""),"Shaeffer")</f>
        <v>Shaeffer</v>
      </c>
      <c r="J88" s="88"/>
    </row>
    <row r="89">
      <c r="A89" s="85">
        <f>IFERROR(__xludf.DUMMYFUNCTION("""COMPUTED_VALUE"""),45394.0)</f>
        <v>45394</v>
      </c>
      <c r="B89" s="80">
        <f>IFERROR(__xludf.DUMMYFUNCTION("""COMPUTED_VALUE"""),339.4)</f>
        <v>339.4</v>
      </c>
      <c r="C89" s="79" t="str">
        <f>IFERROR(__xludf.DUMMYFUNCTION("""COMPUTED_VALUE"""),"04/12/2024 (#30040)")</f>
        <v>04/12/2024 (#30040)</v>
      </c>
      <c r="D89" s="79" t="str">
        <f>IFERROR(__xludf.DUMMYFUNCTION("""COMPUTED_VALUE"""),"JOE")</f>
        <v>JOE</v>
      </c>
      <c r="E89" s="86" t="str">
        <f t="shared" si="1"/>
        <v>Apr</v>
      </c>
      <c r="F89" s="79" t="str">
        <f>IFERROR(__xludf.DUMMYFUNCTION("""COMPUTED_VALUE"""),"Gil")</f>
        <v>Gil</v>
      </c>
      <c r="J89" s="88"/>
    </row>
    <row r="90">
      <c r="A90" s="85">
        <f>IFERROR(__xludf.DUMMYFUNCTION("""COMPUTED_VALUE"""),45394.0)</f>
        <v>45394</v>
      </c>
      <c r="B90" s="80">
        <f>IFERROR(__xludf.DUMMYFUNCTION("""COMPUTED_VALUE"""),148.95)</f>
        <v>148.95</v>
      </c>
      <c r="C90" s="79" t="str">
        <f>IFERROR(__xludf.DUMMYFUNCTION("""COMPUTED_VALUE"""),"04/12/2024 (#30040) - 401k")</f>
        <v>04/12/2024 (#30040) - 401k</v>
      </c>
      <c r="D90" s="79" t="str">
        <f>IFERROR(__xludf.DUMMYFUNCTION("""COMPUTED_VALUE"""),"JOE")</f>
        <v>JOE</v>
      </c>
      <c r="E90" s="86" t="str">
        <f t="shared" si="1"/>
        <v>Apr</v>
      </c>
      <c r="F90" s="79" t="str">
        <f>IFERROR(__xludf.DUMMYFUNCTION("""COMPUTED_VALUE"""),"Gil")</f>
        <v>Gil</v>
      </c>
      <c r="J90" s="88"/>
    </row>
    <row r="91">
      <c r="A91" s="85">
        <f>IFERROR(__xludf.DUMMYFUNCTION("""COMPUTED_VALUE"""),45397.0)</f>
        <v>45397</v>
      </c>
      <c r="B91" s="80">
        <f>IFERROR(__xludf.DUMMYFUNCTION("""COMPUTED_VALUE"""),25.0)</f>
        <v>25</v>
      </c>
      <c r="C91" s="79" t="str">
        <f>IFERROR(__xludf.DUMMYFUNCTION("""COMPUTED_VALUE"""),"Cash Tip")</f>
        <v>Cash Tip</v>
      </c>
      <c r="D91" s="79" t="str">
        <f>IFERROR(__xludf.DUMMYFUNCTION("""COMPUTED_VALUE"""),"JOE")</f>
        <v>JOE</v>
      </c>
      <c r="E91" s="86" t="str">
        <f t="shared" si="1"/>
        <v>Apr</v>
      </c>
      <c r="F91" s="79" t="str">
        <f>IFERROR(__xludf.DUMMYFUNCTION("""COMPUTED_VALUE"""),"Gil")</f>
        <v>Gil</v>
      </c>
      <c r="J91" s="88"/>
    </row>
    <row r="92">
      <c r="A92" s="85">
        <f>IFERROR(__xludf.DUMMYFUNCTION("""COMPUTED_VALUE"""),45398.0)</f>
        <v>45398</v>
      </c>
      <c r="B92" s="80">
        <f>IFERROR(__xludf.DUMMYFUNCTION("""COMPUTED_VALUE"""),278.0)</f>
        <v>278</v>
      </c>
      <c r="C92" s="79" t="str">
        <f>IFERROR(__xludf.DUMMYFUNCTION("""COMPUTED_VALUE"""),"Cash")</f>
        <v>Cash</v>
      </c>
      <c r="D92" s="79" t="str">
        <f>IFERROR(__xludf.DUMMYFUNCTION("""COMPUTED_VALUE"""),"Other")</f>
        <v>Other</v>
      </c>
      <c r="E92" s="86" t="str">
        <f t="shared" si="1"/>
        <v>Apr</v>
      </c>
      <c r="F92" s="79" t="str">
        <f>IFERROR(__xludf.DUMMYFUNCTION("""COMPUTED_VALUE"""),"Gil")</f>
        <v>Gil</v>
      </c>
      <c r="J92" s="88"/>
    </row>
    <row r="93">
      <c r="A93" s="85">
        <f>IFERROR(__xludf.DUMMYFUNCTION("""COMPUTED_VALUE"""),45401.0)</f>
        <v>45401</v>
      </c>
      <c r="B93" s="80">
        <f>IFERROR(__xludf.DUMMYFUNCTION("""COMPUTED_VALUE"""),1158.94)</f>
        <v>1158.94</v>
      </c>
      <c r="C93" s="79" t="str">
        <f>IFERROR(__xludf.DUMMYFUNCTION("""COMPUTED_VALUE"""),"04/07/2024 - 04/20/2024")</f>
        <v>04/07/2024 - 04/20/2024</v>
      </c>
      <c r="D93" s="79" t="str">
        <f>IFERROR(__xludf.DUMMYFUNCTION("""COMPUTED_VALUE"""),"KAL")</f>
        <v>KAL</v>
      </c>
      <c r="E93" s="86" t="str">
        <f t="shared" si="1"/>
        <v>Apr</v>
      </c>
      <c r="F93" s="79" t="str">
        <f>IFERROR(__xludf.DUMMYFUNCTION("""COMPUTED_VALUE"""),"Gil")</f>
        <v>Gil</v>
      </c>
      <c r="J93" s="88"/>
    </row>
    <row r="94">
      <c r="A94" s="85">
        <f>IFERROR(__xludf.DUMMYFUNCTION("""COMPUTED_VALUE"""),45399.0)</f>
        <v>45399</v>
      </c>
      <c r="B94" s="80">
        <f>IFERROR(__xludf.DUMMYFUNCTION("""COMPUTED_VALUE"""),1564.22)</f>
        <v>1564.22</v>
      </c>
      <c r="C94" s="79" t="str">
        <f>IFERROR(__xludf.DUMMYFUNCTION("""COMPUTED_VALUE"""),"EquiPay - Contact Lens Settlement")</f>
        <v>EquiPay - Contact Lens Settlement</v>
      </c>
      <c r="D94" s="79" t="str">
        <f>IFERROR(__xludf.DUMMYFUNCTION("""COMPUTED_VALUE"""),"Other")</f>
        <v>Other</v>
      </c>
      <c r="E94" s="86" t="str">
        <f t="shared" si="1"/>
        <v>Apr</v>
      </c>
      <c r="F94" s="79" t="str">
        <f>IFERROR(__xludf.DUMMYFUNCTION("""COMPUTED_VALUE"""),"Gil")</f>
        <v>Gil</v>
      </c>
      <c r="J94" s="88"/>
    </row>
    <row r="95">
      <c r="A95" s="85">
        <f>IFERROR(__xludf.DUMMYFUNCTION("""COMPUTED_VALUE"""),45401.0)</f>
        <v>45401</v>
      </c>
      <c r="B95" s="80">
        <f>IFERROR(__xludf.DUMMYFUNCTION("""COMPUTED_VALUE"""),424.79)</f>
        <v>424.79</v>
      </c>
      <c r="C95" s="79" t="str">
        <f>IFERROR(__xludf.DUMMYFUNCTION("""COMPUTED_VALUE"""),"04/19/2024 (#30268)")</f>
        <v>04/19/2024 (#30268)</v>
      </c>
      <c r="D95" s="79" t="str">
        <f>IFERROR(__xludf.DUMMYFUNCTION("""COMPUTED_VALUE"""),"JOE")</f>
        <v>JOE</v>
      </c>
      <c r="E95" s="86" t="str">
        <f t="shared" si="1"/>
        <v>Apr</v>
      </c>
      <c r="F95" s="79" t="str">
        <f>IFERROR(__xludf.DUMMYFUNCTION("""COMPUTED_VALUE"""),"Gil")</f>
        <v>Gil</v>
      </c>
      <c r="J95" s="88"/>
    </row>
    <row r="96">
      <c r="A96" s="85">
        <f>IFERROR(__xludf.DUMMYFUNCTION("""COMPUTED_VALUE"""),45401.0)</f>
        <v>45401</v>
      </c>
      <c r="B96" s="80">
        <f>IFERROR(__xludf.DUMMYFUNCTION("""COMPUTED_VALUE"""),199.53)</f>
        <v>199.53</v>
      </c>
      <c r="C96" s="79" t="str">
        <f>IFERROR(__xludf.DUMMYFUNCTION("""COMPUTED_VALUE"""),"04/19/2024 (#30268) - 401k")</f>
        <v>04/19/2024 (#30268) - 401k</v>
      </c>
      <c r="D96" s="79" t="str">
        <f>IFERROR(__xludf.DUMMYFUNCTION("""COMPUTED_VALUE"""),"JOE")</f>
        <v>JOE</v>
      </c>
      <c r="E96" s="86" t="str">
        <f t="shared" si="1"/>
        <v>Apr</v>
      </c>
      <c r="F96" s="79" t="str">
        <f>IFERROR(__xludf.DUMMYFUNCTION("""COMPUTED_VALUE"""),"Gil")</f>
        <v>Gil</v>
      </c>
      <c r="J96" s="88"/>
    </row>
    <row r="97">
      <c r="A97" s="85">
        <f>IFERROR(__xludf.DUMMYFUNCTION("""COMPUTED_VALUE"""),45402.0)</f>
        <v>45402</v>
      </c>
      <c r="B97" s="80">
        <f>IFERROR(__xludf.DUMMYFUNCTION("""COMPUTED_VALUE"""),100.0)</f>
        <v>100</v>
      </c>
      <c r="C97" s="79" t="str">
        <f>IFERROR(__xludf.DUMMYFUNCTION("""COMPUTED_VALUE"""),"Cash Tip")</f>
        <v>Cash Tip</v>
      </c>
      <c r="D97" s="79" t="str">
        <f>IFERROR(__xludf.DUMMYFUNCTION("""COMPUTED_VALUE"""),"STE")</f>
        <v>STE</v>
      </c>
      <c r="E97" s="86" t="str">
        <f t="shared" si="1"/>
        <v>Apr</v>
      </c>
      <c r="F97" s="79" t="str">
        <f>IFERROR(__xludf.DUMMYFUNCTION("""COMPUTED_VALUE"""),"Gil")</f>
        <v>Gil</v>
      </c>
      <c r="J97" s="88"/>
    </row>
    <row r="98">
      <c r="A98" s="85">
        <f>IFERROR(__xludf.DUMMYFUNCTION("""COMPUTED_VALUE"""),45406.0)</f>
        <v>45406</v>
      </c>
      <c r="B98" s="80">
        <f>IFERROR(__xludf.DUMMYFUNCTION("""COMPUTED_VALUE"""),600.0)</f>
        <v>600</v>
      </c>
      <c r="C98" s="79" t="str">
        <f>IFERROR(__xludf.DUMMYFUNCTION("""COMPUTED_VALUE"""),"Spencer &amp; Allison 4.13, Liz Valins 4.20.24")</f>
        <v>Spencer &amp; Allison 4.13, Liz Valins 4.20.24</v>
      </c>
      <c r="D98" s="79" t="str">
        <f>IFERROR(__xludf.DUMMYFUNCTION("""COMPUTED_VALUE"""),"STE")</f>
        <v>STE</v>
      </c>
      <c r="E98" s="86" t="str">
        <f t="shared" si="1"/>
        <v>Apr</v>
      </c>
      <c r="F98" s="79" t="str">
        <f>IFERROR(__xludf.DUMMYFUNCTION("""COMPUTED_VALUE"""),"Gil")</f>
        <v>Gil</v>
      </c>
      <c r="J98" s="88"/>
    </row>
    <row r="99">
      <c r="A99" s="85">
        <f>IFERROR(__xludf.DUMMYFUNCTION("""COMPUTED_VALUE"""),45406.0)</f>
        <v>45406</v>
      </c>
      <c r="B99" s="80">
        <f>IFERROR(__xludf.DUMMYFUNCTION("""COMPUTED_VALUE"""),250.0)</f>
        <v>250</v>
      </c>
      <c r="C99" s="79" t="str">
        <f>IFERROR(__xludf.DUMMYFUNCTION("""COMPUTED_VALUE"""),"4.3 501 Union Open House")</f>
        <v>4.3 501 Union Open House</v>
      </c>
      <c r="D99" s="79" t="str">
        <f>IFERROR(__xludf.DUMMYFUNCTION("""COMPUTED_VALUE"""),"STE")</f>
        <v>STE</v>
      </c>
      <c r="E99" s="86" t="str">
        <f t="shared" si="1"/>
        <v>Apr</v>
      </c>
      <c r="F99" s="79" t="str">
        <f>IFERROR(__xludf.DUMMYFUNCTION("""COMPUTED_VALUE"""),"Gil")</f>
        <v>Gil</v>
      </c>
      <c r="J99" s="88"/>
    </row>
    <row r="100">
      <c r="A100" s="85">
        <f>IFERROR(__xludf.DUMMYFUNCTION("""COMPUTED_VALUE"""),45408.0)</f>
        <v>45408</v>
      </c>
      <c r="B100" s="80">
        <f>IFERROR(__xludf.DUMMYFUNCTION("""COMPUTED_VALUE"""),509.57)</f>
        <v>509.57</v>
      </c>
      <c r="C100" s="79" t="str">
        <f>IFERROR(__xludf.DUMMYFUNCTION("""COMPUTED_VALUE"""),"04/26/2024 (#30531)")</f>
        <v>04/26/2024 (#30531)</v>
      </c>
      <c r="D100" s="79" t="str">
        <f>IFERROR(__xludf.DUMMYFUNCTION("""COMPUTED_VALUE"""),"JOE")</f>
        <v>JOE</v>
      </c>
      <c r="E100" s="86" t="str">
        <f t="shared" si="1"/>
        <v>Apr</v>
      </c>
      <c r="F100" s="79" t="str">
        <f>IFERROR(__xludf.DUMMYFUNCTION("""COMPUTED_VALUE"""),"Gil")</f>
        <v>Gil</v>
      </c>
      <c r="J100" s="88"/>
    </row>
    <row r="101">
      <c r="A101" s="85">
        <f>IFERROR(__xludf.DUMMYFUNCTION("""COMPUTED_VALUE"""),45408.0)</f>
        <v>45408</v>
      </c>
      <c r="B101" s="80">
        <f>IFERROR(__xludf.DUMMYFUNCTION("""COMPUTED_VALUE"""),245.9)</f>
        <v>245.9</v>
      </c>
      <c r="C101" s="79" t="str">
        <f>IFERROR(__xludf.DUMMYFUNCTION("""COMPUTED_VALUE"""),"04/26/2024 (#30531) - 401k")</f>
        <v>04/26/2024 (#30531) - 401k</v>
      </c>
      <c r="D101" s="79" t="str">
        <f>IFERROR(__xludf.DUMMYFUNCTION("""COMPUTED_VALUE"""),"JOE")</f>
        <v>JOE</v>
      </c>
      <c r="E101" s="86" t="str">
        <f t="shared" si="1"/>
        <v>Apr</v>
      </c>
      <c r="F101" s="79" t="str">
        <f>IFERROR(__xludf.DUMMYFUNCTION("""COMPUTED_VALUE"""),"Gil")</f>
        <v>Gil</v>
      </c>
      <c r="J101" s="88"/>
    </row>
    <row r="102">
      <c r="A102" s="85">
        <f>IFERROR(__xludf.DUMMYFUNCTION("""COMPUTED_VALUE"""),45412.0)</f>
        <v>45412</v>
      </c>
      <c r="B102" s="80">
        <f>IFERROR(__xludf.DUMMYFUNCTION("""COMPUTED_VALUE"""),340.25)</f>
        <v>340.25</v>
      </c>
      <c r="C102" s="79" t="str">
        <f>IFERROR(__xludf.DUMMYFUNCTION("""COMPUTED_VALUE"""),"Apr 21 - May 04, 2024 - two dates last week of March")</f>
        <v>Apr 21 - May 04, 2024 - two dates last week of March</v>
      </c>
      <c r="D102" s="79" t="str">
        <f>IFERROR(__xludf.DUMMYFUNCTION("""COMPUTED_VALUE"""),"KAL")</f>
        <v>KAL</v>
      </c>
      <c r="E102" s="86" t="str">
        <f t="shared" si="1"/>
        <v>Apr</v>
      </c>
      <c r="F102" s="79" t="str">
        <f>IFERROR(__xludf.DUMMYFUNCTION("""COMPUTED_VALUE"""),"Gil")</f>
        <v>Gil</v>
      </c>
      <c r="J102" s="88"/>
    </row>
    <row r="103">
      <c r="A103" s="85">
        <f>IFERROR(__xludf.DUMMYFUNCTION("""COMPUTED_VALUE"""),45413.0)</f>
        <v>45413</v>
      </c>
      <c r="B103" s="80">
        <f>IFERROR(__xludf.DUMMYFUNCTION("""COMPUTED_VALUE"""),170.12)</f>
        <v>170.12</v>
      </c>
      <c r="C103" s="79" t="str">
        <f>IFERROR(__xludf.DUMMYFUNCTION("""COMPUTED_VALUE"""),"Apr 21 - May 04, 2024")</f>
        <v>Apr 21 - May 04, 2024</v>
      </c>
      <c r="D103" s="79" t="str">
        <f>IFERROR(__xludf.DUMMYFUNCTION("""COMPUTED_VALUE"""),"KAL")</f>
        <v>KAL</v>
      </c>
      <c r="E103" s="86" t="str">
        <f t="shared" si="1"/>
        <v>May</v>
      </c>
      <c r="F103" s="79" t="str">
        <f>IFERROR(__xludf.DUMMYFUNCTION("""COMPUTED_VALUE"""),"Gil")</f>
        <v>Gil</v>
      </c>
      <c r="J103" s="88"/>
    </row>
    <row r="104">
      <c r="A104" s="85">
        <f>IFERROR(__xludf.DUMMYFUNCTION("""COMPUTED_VALUE"""),45412.0)</f>
        <v>45412</v>
      </c>
      <c r="B104" s="80">
        <f>IFERROR(__xludf.DUMMYFUNCTION("""COMPUTED_VALUE"""),229.18)</f>
        <v>229.18</v>
      </c>
      <c r="C104" s="79" t="str">
        <f>IFERROR(__xludf.DUMMYFUNCTION("""COMPUTED_VALUE"""),"05/03/2024 (#30759)")</f>
        <v>05/03/2024 (#30759)</v>
      </c>
      <c r="D104" s="79" t="str">
        <f>IFERROR(__xludf.DUMMYFUNCTION("""COMPUTED_VALUE"""),"JOE")</f>
        <v>JOE</v>
      </c>
      <c r="E104" s="86" t="str">
        <f t="shared" si="1"/>
        <v>Apr</v>
      </c>
      <c r="F104" s="79" t="str">
        <f>IFERROR(__xludf.DUMMYFUNCTION("""COMPUTED_VALUE"""),"Gil")</f>
        <v>Gil</v>
      </c>
      <c r="J104" s="88"/>
    </row>
    <row r="105">
      <c r="A105" s="85">
        <f>IFERROR(__xludf.DUMMYFUNCTION("""COMPUTED_VALUE"""),45412.0)</f>
        <v>45412</v>
      </c>
      <c r="B105" s="80">
        <f>IFERROR(__xludf.DUMMYFUNCTION("""COMPUTED_VALUE"""),94.37)</f>
        <v>94.37</v>
      </c>
      <c r="C105" s="79" t="str">
        <f>IFERROR(__xludf.DUMMYFUNCTION("""COMPUTED_VALUE"""),"05/03/2024 (#30759) - 401k")</f>
        <v>05/03/2024 (#30759) - 401k</v>
      </c>
      <c r="D105" s="79" t="str">
        <f>IFERROR(__xludf.DUMMYFUNCTION("""COMPUTED_VALUE"""),"JOE")</f>
        <v>JOE</v>
      </c>
      <c r="E105" s="86" t="str">
        <f t="shared" si="1"/>
        <v>Apr</v>
      </c>
      <c r="F105" s="79" t="str">
        <f>IFERROR(__xludf.DUMMYFUNCTION("""COMPUTED_VALUE"""),"Gil")</f>
        <v>Gil</v>
      </c>
      <c r="J105" s="88"/>
    </row>
    <row r="106">
      <c r="A106" s="85">
        <f>IFERROR(__xludf.DUMMYFUNCTION("""COMPUTED_VALUE"""),45416.0)</f>
        <v>45416</v>
      </c>
      <c r="B106" s="80">
        <f>IFERROR(__xludf.DUMMYFUNCTION("""COMPUTED_VALUE"""),35.0)</f>
        <v>35</v>
      </c>
      <c r="C106" s="79" t="str">
        <f>IFERROR(__xludf.DUMMYFUNCTION("""COMPUTED_VALUE"""),"Cash")</f>
        <v>Cash</v>
      </c>
      <c r="D106" s="79" t="str">
        <f>IFERROR(__xludf.DUMMYFUNCTION("""COMPUTED_VALUE"""),"Other")</f>
        <v>Other</v>
      </c>
      <c r="E106" s="86" t="str">
        <f t="shared" si="1"/>
        <v>May</v>
      </c>
      <c r="F106" s="79" t="str">
        <f>IFERROR(__xludf.DUMMYFUNCTION("""COMPUTED_VALUE"""),"Gil")</f>
        <v>Gil</v>
      </c>
      <c r="J106" s="88"/>
    </row>
    <row r="107">
      <c r="A107" s="85">
        <f>IFERROR(__xludf.DUMMYFUNCTION("""COMPUTED_VALUE"""),45416.0)</f>
        <v>45416</v>
      </c>
      <c r="B107" s="80">
        <f>IFERROR(__xludf.DUMMYFUNCTION("""COMPUTED_VALUE"""),30.0)</f>
        <v>30</v>
      </c>
      <c r="C107" s="79" t="str">
        <f>IFERROR(__xludf.DUMMYFUNCTION("""COMPUTED_VALUE"""),"Cash")</f>
        <v>Cash</v>
      </c>
      <c r="D107" s="79" t="str">
        <f>IFERROR(__xludf.DUMMYFUNCTION("""COMPUTED_VALUE"""),"Other")</f>
        <v>Other</v>
      </c>
      <c r="E107" s="86" t="str">
        <f t="shared" si="1"/>
        <v>May</v>
      </c>
      <c r="F107" s="79" t="str">
        <f>IFERROR(__xludf.DUMMYFUNCTION("""COMPUTED_VALUE"""),"Gil")</f>
        <v>Gil</v>
      </c>
      <c r="J107" s="88"/>
    </row>
    <row r="108">
      <c r="A108" s="85">
        <f>IFERROR(__xludf.DUMMYFUNCTION("""COMPUTED_VALUE"""),45306.0)</f>
        <v>45306</v>
      </c>
      <c r="B108" s="80">
        <f>IFERROR(__xludf.DUMMYFUNCTION("""COMPUTED_VALUE"""),6000.0)</f>
        <v>6000</v>
      </c>
      <c r="C108" s="79" t="str">
        <f>IFERROR(__xludf.DUMMYFUNCTION("""COMPUTED_VALUE"""),"ALTU_11")</f>
        <v>ALTU_11</v>
      </c>
      <c r="D108" s="79" t="str">
        <f>IFERROR(__xludf.DUMMYFUNCTION("""COMPUTED_VALUE"""),"Altuzarra")</f>
        <v>Altuzarra</v>
      </c>
      <c r="E108" s="86" t="str">
        <f t="shared" si="1"/>
        <v>Jan</v>
      </c>
      <c r="F108" s="79" t="str">
        <f>IFERROR(__xludf.DUMMYFUNCTION("""COMPUTED_VALUE"""),"Shaeffer")</f>
        <v>Shaeffer</v>
      </c>
      <c r="J108" s="88"/>
    </row>
    <row r="109">
      <c r="A109" s="85">
        <f>IFERROR(__xludf.DUMMYFUNCTION("""COMPUTED_VALUE"""),45411.0)</f>
        <v>45411</v>
      </c>
      <c r="B109" s="80">
        <f>IFERROR(__xludf.DUMMYFUNCTION("""COMPUTED_VALUE"""),6000.0)</f>
        <v>6000</v>
      </c>
      <c r="C109" s="79" t="str">
        <f>IFERROR(__xludf.DUMMYFUNCTION("""COMPUTED_VALUE"""),"ALTU_12")</f>
        <v>ALTU_12</v>
      </c>
      <c r="D109" s="79" t="str">
        <f>IFERROR(__xludf.DUMMYFUNCTION("""COMPUTED_VALUE"""),"Altuzarra")</f>
        <v>Altuzarra</v>
      </c>
      <c r="E109" s="86" t="str">
        <f t="shared" si="1"/>
        <v>Apr</v>
      </c>
      <c r="F109" s="79" t="str">
        <f>IFERROR(__xludf.DUMMYFUNCTION("""COMPUTED_VALUE"""),"Shaeffer")</f>
        <v>Shaeffer</v>
      </c>
      <c r="J109" s="88"/>
    </row>
    <row r="110">
      <c r="A110" s="85">
        <f>IFERROR(__xludf.DUMMYFUNCTION("""COMPUTED_VALUE"""),45418.0)</f>
        <v>45418</v>
      </c>
      <c r="B110" s="80">
        <f>IFERROR(__xludf.DUMMYFUNCTION("""COMPUTED_VALUE"""),5400.0)</f>
        <v>5400</v>
      </c>
      <c r="C110" s="79" t="str">
        <f>IFERROR(__xludf.DUMMYFUNCTION("""COMPUTED_VALUE"""),"ALTU_Last INvoice")</f>
        <v>ALTU_Last INvoice</v>
      </c>
      <c r="D110" s="79" t="str">
        <f>IFERROR(__xludf.DUMMYFUNCTION("""COMPUTED_VALUE"""),"Altuzarra")</f>
        <v>Altuzarra</v>
      </c>
      <c r="E110" s="86" t="str">
        <f t="shared" si="1"/>
        <v>May</v>
      </c>
      <c r="F110" s="79" t="str">
        <f>IFERROR(__xludf.DUMMYFUNCTION("""COMPUTED_VALUE"""),"Shaeffer")</f>
        <v>Shaeffer</v>
      </c>
      <c r="J110" s="88"/>
    </row>
    <row r="111">
      <c r="A111" s="85">
        <f>IFERROR(__xludf.DUMMYFUNCTION("""COMPUTED_VALUE"""),45422.0)</f>
        <v>45422</v>
      </c>
      <c r="B111" s="80">
        <f>IFERROR(__xludf.DUMMYFUNCTION("""COMPUTED_VALUE"""),385.13)</f>
        <v>385.13</v>
      </c>
      <c r="C111" s="79" t="str">
        <f>IFERROR(__xludf.DUMMYFUNCTION("""COMPUTED_VALUE"""),"05/10/2024 (#31028)")</f>
        <v>05/10/2024 (#31028)</v>
      </c>
      <c r="D111" s="79" t="str">
        <f>IFERROR(__xludf.DUMMYFUNCTION("""COMPUTED_VALUE"""),"JOE")</f>
        <v>JOE</v>
      </c>
      <c r="E111" s="86" t="str">
        <f t="shared" si="1"/>
        <v>May</v>
      </c>
      <c r="F111" s="79" t="str">
        <f>IFERROR(__xludf.DUMMYFUNCTION("""COMPUTED_VALUE"""),"Gil")</f>
        <v>Gil</v>
      </c>
      <c r="J111" s="88"/>
    </row>
    <row r="112">
      <c r="A112" s="85">
        <f>IFERROR(__xludf.DUMMYFUNCTION("""COMPUTED_VALUE"""),45422.0)</f>
        <v>45422</v>
      </c>
      <c r="B112" s="80">
        <f>IFERROR(__xludf.DUMMYFUNCTION("""COMPUTED_VALUE"""),178.75)</f>
        <v>178.75</v>
      </c>
      <c r="C112" s="79" t="str">
        <f>IFERROR(__xludf.DUMMYFUNCTION("""COMPUTED_VALUE"""),"05/10/2024 (#31028) - 401k")</f>
        <v>05/10/2024 (#31028) - 401k</v>
      </c>
      <c r="D112" s="79" t="str">
        <f>IFERROR(__xludf.DUMMYFUNCTION("""COMPUTED_VALUE"""),"JOE")</f>
        <v>JOE</v>
      </c>
      <c r="E112" s="86" t="str">
        <f t="shared" si="1"/>
        <v>May</v>
      </c>
      <c r="F112" s="79" t="str">
        <f>IFERROR(__xludf.DUMMYFUNCTION("""COMPUTED_VALUE"""),"Gil")</f>
        <v>Gil</v>
      </c>
      <c r="J112" s="88"/>
    </row>
    <row r="113">
      <c r="A113" s="85">
        <f>IFERROR(__xludf.DUMMYFUNCTION("""COMPUTED_VALUE"""),45430.0)</f>
        <v>45430</v>
      </c>
      <c r="B113" s="80">
        <f>IFERROR(__xludf.DUMMYFUNCTION("""COMPUTED_VALUE"""),672.09)</f>
        <v>672.09</v>
      </c>
      <c r="C113" s="79" t="str">
        <f>IFERROR(__xludf.DUMMYFUNCTION("""COMPUTED_VALUE"""),"05/05/2024 - 05/18/2024")</f>
        <v>05/05/2024 - 05/18/2024</v>
      </c>
      <c r="D113" s="79" t="str">
        <f>IFERROR(__xludf.DUMMYFUNCTION("""COMPUTED_VALUE"""),"KAL")</f>
        <v>KAL</v>
      </c>
      <c r="E113" s="86" t="str">
        <f t="shared" si="1"/>
        <v>May</v>
      </c>
      <c r="F113" s="79" t="str">
        <f>IFERROR(__xludf.DUMMYFUNCTION("""COMPUTED_VALUE"""),"Gil")</f>
        <v>Gil</v>
      </c>
      <c r="J113" s="88"/>
    </row>
    <row r="114">
      <c r="A114" s="85">
        <f>IFERROR(__xludf.DUMMYFUNCTION("""COMPUTED_VALUE"""),45428.0)</f>
        <v>45428</v>
      </c>
      <c r="B114" s="80">
        <f>IFERROR(__xludf.DUMMYFUNCTION("""COMPUTED_VALUE"""),12.71)</f>
        <v>12.71</v>
      </c>
      <c r="C114" s="79" t="str">
        <f>IFERROR(__xludf.DUMMYFUNCTION("""COMPUTED_VALUE"""),"Cash Tips")</f>
        <v>Cash Tips</v>
      </c>
      <c r="D114" s="79" t="str">
        <f>IFERROR(__xludf.DUMMYFUNCTION("""COMPUTED_VALUE"""),"JOE")</f>
        <v>JOE</v>
      </c>
      <c r="E114" s="86" t="str">
        <f t="shared" si="1"/>
        <v>May</v>
      </c>
      <c r="F114" s="79" t="str">
        <f>IFERROR(__xludf.DUMMYFUNCTION("""COMPUTED_VALUE"""),"Gil")</f>
        <v>Gil</v>
      </c>
      <c r="J114" s="88"/>
    </row>
    <row r="115">
      <c r="A115" s="85">
        <f>IFERROR(__xludf.DUMMYFUNCTION("""COMPUTED_VALUE"""),45429.0)</f>
        <v>45429</v>
      </c>
      <c r="B115" s="80">
        <f>IFERROR(__xludf.DUMMYFUNCTION("""COMPUTED_VALUE"""),356.17)</f>
        <v>356.17</v>
      </c>
      <c r="C115" s="79" t="str">
        <f>IFERROR(__xludf.DUMMYFUNCTION("""COMPUTED_VALUE"""),"05/17/2024 (#31312)")</f>
        <v>05/17/2024 (#31312)</v>
      </c>
      <c r="D115" s="79" t="str">
        <f>IFERROR(__xludf.DUMMYFUNCTION("""COMPUTED_VALUE"""),"JOE")</f>
        <v>JOE</v>
      </c>
      <c r="E115" s="86" t="str">
        <f t="shared" si="1"/>
        <v>May</v>
      </c>
      <c r="F115" s="79" t="str">
        <f>IFERROR(__xludf.DUMMYFUNCTION("""COMPUTED_VALUE"""),"Gil")</f>
        <v>Gil</v>
      </c>
      <c r="J115" s="88"/>
    </row>
    <row r="116">
      <c r="A116" s="85">
        <f>IFERROR(__xludf.DUMMYFUNCTION("""COMPUTED_VALUE"""),45429.0)</f>
        <v>45429</v>
      </c>
      <c r="B116" s="80">
        <f>IFERROR(__xludf.DUMMYFUNCTION("""COMPUTED_VALUE"""),161.98)</f>
        <v>161.98</v>
      </c>
      <c r="C116" s="79" t="str">
        <f>IFERROR(__xludf.DUMMYFUNCTION("""COMPUTED_VALUE"""),"05/17/2024 (#31312) - 401k")</f>
        <v>05/17/2024 (#31312) - 401k</v>
      </c>
      <c r="D116" s="79" t="str">
        <f>IFERROR(__xludf.DUMMYFUNCTION("""COMPUTED_VALUE"""),"JOE")</f>
        <v>JOE</v>
      </c>
      <c r="E116" s="86" t="str">
        <f t="shared" si="1"/>
        <v>May</v>
      </c>
      <c r="F116" s="79" t="str">
        <f>IFERROR(__xludf.DUMMYFUNCTION("""COMPUTED_VALUE"""),"Gil")</f>
        <v>Gil</v>
      </c>
      <c r="J116" s="88"/>
    </row>
    <row r="117">
      <c r="A117" s="85">
        <f>IFERROR(__xludf.DUMMYFUNCTION("""COMPUTED_VALUE"""),45432.0)</f>
        <v>45432</v>
      </c>
      <c r="B117" s="80">
        <f>IFERROR(__xludf.DUMMYFUNCTION("""COMPUTED_VALUE"""),30.0)</f>
        <v>30</v>
      </c>
      <c r="C117" s="79" t="str">
        <f>IFERROR(__xludf.DUMMYFUNCTION("""COMPUTED_VALUE"""),"Cash")</f>
        <v>Cash</v>
      </c>
      <c r="D117" s="79" t="str">
        <f>IFERROR(__xludf.DUMMYFUNCTION("""COMPUTED_VALUE"""),"Other")</f>
        <v>Other</v>
      </c>
      <c r="E117" s="86" t="str">
        <f t="shared" si="1"/>
        <v>May</v>
      </c>
      <c r="F117" s="79" t="str">
        <f>IFERROR(__xludf.DUMMYFUNCTION("""COMPUTED_VALUE"""),"Gil")</f>
        <v>Gil</v>
      </c>
      <c r="J117" s="88"/>
    </row>
    <row r="118">
      <c r="A118" s="85">
        <f>IFERROR(__xludf.DUMMYFUNCTION("""COMPUTED_VALUE"""),45432.0)</f>
        <v>45432</v>
      </c>
      <c r="B118" s="80">
        <f>IFERROR(__xludf.DUMMYFUNCTION("""COMPUTED_VALUE"""),30.0)</f>
        <v>30</v>
      </c>
      <c r="C118" s="79" t="str">
        <f>IFERROR(__xludf.DUMMYFUNCTION("""COMPUTED_VALUE"""),"Cash")</f>
        <v>Cash</v>
      </c>
      <c r="D118" s="79" t="str">
        <f>IFERROR(__xludf.DUMMYFUNCTION("""COMPUTED_VALUE"""),"Other")</f>
        <v>Other</v>
      </c>
      <c r="E118" s="86" t="str">
        <f t="shared" si="1"/>
        <v>May</v>
      </c>
      <c r="F118" s="79" t="str">
        <f>IFERROR(__xludf.DUMMYFUNCTION("""COMPUTED_VALUE"""),"Gil")</f>
        <v>Gil</v>
      </c>
      <c r="J118" s="88"/>
    </row>
    <row r="119">
      <c r="A119" s="85">
        <f>IFERROR(__xludf.DUMMYFUNCTION("""COMPUTED_VALUE"""),45432.0)</f>
        <v>45432</v>
      </c>
      <c r="B119" s="80">
        <f>IFERROR(__xludf.DUMMYFUNCTION("""COMPUTED_VALUE"""),1308.73)</f>
        <v>1308.73</v>
      </c>
      <c r="C119" s="79" t="str">
        <f>IFERROR(__xludf.DUMMYFUNCTION("""COMPUTED_VALUE"""),"Eater event plus transport")</f>
        <v>Eater event plus transport</v>
      </c>
      <c r="D119" s="79" t="str">
        <f>IFERROR(__xludf.DUMMYFUNCTION("""COMPUTED_VALUE"""),"STE")</f>
        <v>STE</v>
      </c>
      <c r="E119" s="86" t="str">
        <f t="shared" si="1"/>
        <v>May</v>
      </c>
      <c r="F119" s="79" t="str">
        <f>IFERROR(__xludf.DUMMYFUNCTION("""COMPUTED_VALUE"""),"Gil")</f>
        <v>Gil</v>
      </c>
      <c r="J119" s="88"/>
    </row>
    <row r="120">
      <c r="A120" s="85">
        <f>IFERROR(__xludf.DUMMYFUNCTION("""COMPUTED_VALUE"""),45433.0)</f>
        <v>45433</v>
      </c>
      <c r="B120" s="80">
        <f>IFERROR(__xludf.DUMMYFUNCTION("""COMPUTED_VALUE"""),60.0)</f>
        <v>60</v>
      </c>
      <c r="C120" s="79" t="str">
        <f>IFERROR(__xludf.DUMMYFUNCTION("""COMPUTED_VALUE"""),"Cash")</f>
        <v>Cash</v>
      </c>
      <c r="D120" s="79" t="str">
        <f>IFERROR(__xludf.DUMMYFUNCTION("""COMPUTED_VALUE"""),"JOE")</f>
        <v>JOE</v>
      </c>
      <c r="E120" s="86" t="str">
        <f t="shared" si="1"/>
        <v>May</v>
      </c>
      <c r="F120" s="79" t="str">
        <f>IFERROR(__xludf.DUMMYFUNCTION("""COMPUTED_VALUE"""),"Gil")</f>
        <v>Gil</v>
      </c>
      <c r="J120" s="88"/>
    </row>
    <row r="121">
      <c r="A121" s="85">
        <f>IFERROR(__xludf.DUMMYFUNCTION("""COMPUTED_VALUE"""),45435.0)</f>
        <v>45435</v>
      </c>
      <c r="B121" s="80">
        <f>IFERROR(__xludf.DUMMYFUNCTION("""COMPUTED_VALUE"""),14.0)</f>
        <v>14</v>
      </c>
      <c r="C121" s="79" t="str">
        <f>IFERROR(__xludf.DUMMYFUNCTION("""COMPUTED_VALUE"""),"Cash Tips")</f>
        <v>Cash Tips</v>
      </c>
      <c r="D121" s="79" t="str">
        <f>IFERROR(__xludf.DUMMYFUNCTION("""COMPUTED_VALUE"""),"JOE")</f>
        <v>JOE</v>
      </c>
      <c r="E121" s="86" t="str">
        <f t="shared" si="1"/>
        <v>May</v>
      </c>
      <c r="F121" s="79" t="str">
        <f>IFERROR(__xludf.DUMMYFUNCTION("""COMPUTED_VALUE"""),"Gil")</f>
        <v>Gil</v>
      </c>
      <c r="J121" s="88"/>
    </row>
    <row r="122">
      <c r="A122" s="85">
        <f>IFERROR(__xludf.DUMMYFUNCTION("""COMPUTED_VALUE"""),45435.0)</f>
        <v>45435</v>
      </c>
      <c r="B122" s="80">
        <f>IFERROR(__xludf.DUMMYFUNCTION("""COMPUTED_VALUE"""),-3.0)</f>
        <v>-3</v>
      </c>
      <c r="C122" s="79" t="str">
        <f>IFERROR(__xludf.DUMMYFUNCTION("""COMPUTED_VALUE"""),"Cash Tips")</f>
        <v>Cash Tips</v>
      </c>
      <c r="D122" s="79" t="str">
        <f>IFERROR(__xludf.DUMMYFUNCTION("""COMPUTED_VALUE"""),"JOE")</f>
        <v>JOE</v>
      </c>
      <c r="E122" s="86" t="str">
        <f t="shared" si="1"/>
        <v>May</v>
      </c>
      <c r="F122" s="79" t="str">
        <f>IFERROR(__xludf.DUMMYFUNCTION("""COMPUTED_VALUE"""),"Gil")</f>
        <v>Gil</v>
      </c>
      <c r="J122" s="88"/>
    </row>
    <row r="123">
      <c r="A123" s="85">
        <f>IFERROR(__xludf.DUMMYFUNCTION("""COMPUTED_VALUE"""),45436.0)</f>
        <v>45436</v>
      </c>
      <c r="B123" s="80">
        <f>IFERROR(__xludf.DUMMYFUNCTION("""COMPUTED_VALUE"""),430.95)</f>
        <v>430.95</v>
      </c>
      <c r="C123" s="79" t="str">
        <f>IFERROR(__xludf.DUMMYFUNCTION("""COMPUTED_VALUE"""),"05/24/2024 (#31532)")</f>
        <v>05/24/2024 (#31532)</v>
      </c>
      <c r="D123" s="79" t="str">
        <f>IFERROR(__xludf.DUMMYFUNCTION("""COMPUTED_VALUE"""),"JOE")</f>
        <v>JOE</v>
      </c>
      <c r="E123" s="86" t="str">
        <f t="shared" si="1"/>
        <v>May</v>
      </c>
      <c r="F123" s="79" t="str">
        <f>IFERROR(__xludf.DUMMYFUNCTION("""COMPUTED_VALUE"""),"Gil")</f>
        <v>Gil</v>
      </c>
      <c r="J123" s="88"/>
    </row>
    <row r="124">
      <c r="A124" s="85">
        <f>IFERROR(__xludf.DUMMYFUNCTION("""COMPUTED_VALUE"""),45436.0)</f>
        <v>45436</v>
      </c>
      <c r="B124" s="80">
        <f>IFERROR(__xludf.DUMMYFUNCTION("""COMPUTED_VALUE"""),202.89)</f>
        <v>202.89</v>
      </c>
      <c r="C124" s="79" t="str">
        <f>IFERROR(__xludf.DUMMYFUNCTION("""COMPUTED_VALUE"""),"05/24/2024 (#31532) - 401k")</f>
        <v>05/24/2024 (#31532) - 401k</v>
      </c>
      <c r="D124" s="79" t="str">
        <f>IFERROR(__xludf.DUMMYFUNCTION("""COMPUTED_VALUE"""),"JOE")</f>
        <v>JOE</v>
      </c>
      <c r="E124" s="86" t="str">
        <f t="shared" si="1"/>
        <v>May</v>
      </c>
      <c r="F124" s="79" t="str">
        <f>IFERROR(__xludf.DUMMYFUNCTION("""COMPUTED_VALUE"""),"Gil")</f>
        <v>Gil</v>
      </c>
      <c r="J124" s="88"/>
    </row>
    <row r="125">
      <c r="A125" s="85">
        <f>IFERROR(__xludf.DUMMYFUNCTION("""COMPUTED_VALUE"""),45441.0)</f>
        <v>45441</v>
      </c>
      <c r="B125" s="80">
        <f>IFERROR(__xludf.DUMMYFUNCTION("""COMPUTED_VALUE"""),672.07)</f>
        <v>672.07</v>
      </c>
      <c r="C125" s="79" t="str">
        <f>IFERROR(__xludf.DUMMYFUNCTION("""COMPUTED_VALUE"""),"Pay Period: 05/19/2024 - 06/01/2024")</f>
        <v>Pay Period: 05/19/2024 - 06/01/2024</v>
      </c>
      <c r="D125" s="79" t="str">
        <f>IFERROR(__xludf.DUMMYFUNCTION("""COMPUTED_VALUE"""),"KAL")</f>
        <v>KAL</v>
      </c>
      <c r="E125" s="86" t="str">
        <f t="shared" si="1"/>
        <v>May</v>
      </c>
      <c r="F125" s="79" t="str">
        <f>IFERROR(__xludf.DUMMYFUNCTION("""COMPUTED_VALUE"""),"Gil")</f>
        <v>Gil</v>
      </c>
      <c r="J125" s="88"/>
    </row>
    <row r="126">
      <c r="A126" s="85">
        <f>IFERROR(__xludf.DUMMYFUNCTION("""COMPUTED_VALUE"""),45443.0)</f>
        <v>45443</v>
      </c>
      <c r="B126" s="80">
        <f>IFERROR(__xludf.DUMMYFUNCTION("""COMPUTED_VALUE"""),587.77)</f>
        <v>587.77</v>
      </c>
      <c r="C126" s="79" t="str">
        <f>IFERROR(__xludf.DUMMYFUNCTION("""COMPUTED_VALUE"""),"05/31/2024 (#31754)")</f>
        <v>05/31/2024 (#31754)</v>
      </c>
      <c r="D126" s="79" t="str">
        <f>IFERROR(__xludf.DUMMYFUNCTION("""COMPUTED_VALUE"""),"JOE")</f>
        <v>JOE</v>
      </c>
      <c r="E126" s="86" t="str">
        <f t="shared" si="1"/>
        <v>May</v>
      </c>
      <c r="F126" s="79" t="str">
        <f>IFERROR(__xludf.DUMMYFUNCTION("""COMPUTED_VALUE"""),"Gil")</f>
        <v>Gil</v>
      </c>
      <c r="J126" s="88"/>
    </row>
    <row r="127">
      <c r="A127" s="85">
        <f>IFERROR(__xludf.DUMMYFUNCTION("""COMPUTED_VALUE"""),45443.0)</f>
        <v>45443</v>
      </c>
      <c r="B127" s="80">
        <f>IFERROR(__xludf.DUMMYFUNCTION("""COMPUTED_VALUE"""),282.27)</f>
        <v>282.27</v>
      </c>
      <c r="C127" s="79" t="str">
        <f>IFERROR(__xludf.DUMMYFUNCTION("""COMPUTED_VALUE"""),"05/31/2024 (#31754) - 401k")</f>
        <v>05/31/2024 (#31754) - 401k</v>
      </c>
      <c r="D127" s="79" t="str">
        <f>IFERROR(__xludf.DUMMYFUNCTION("""COMPUTED_VALUE"""),"JOE")</f>
        <v>JOE</v>
      </c>
      <c r="E127" s="86" t="str">
        <f t="shared" si="1"/>
        <v>May</v>
      </c>
      <c r="F127" s="79" t="str">
        <f>IFERROR(__xludf.DUMMYFUNCTION("""COMPUTED_VALUE"""),"Gil")</f>
        <v>Gil</v>
      </c>
      <c r="J127" s="88"/>
    </row>
    <row r="128">
      <c r="A128" s="85">
        <f>IFERROR(__xludf.DUMMYFUNCTION("""COMPUTED_VALUE"""),45443.0)</f>
        <v>45443</v>
      </c>
      <c r="B128" s="80">
        <f>IFERROR(__xludf.DUMMYFUNCTION("""COMPUTED_VALUE"""),250.0)</f>
        <v>250</v>
      </c>
      <c r="C128" s="79" t="str">
        <f>IFERROR(__xludf.DUMMYFUNCTION("""COMPUTED_VALUE"""),"Open House 5.29")</f>
        <v>Open House 5.29</v>
      </c>
      <c r="D128" s="79" t="str">
        <f>IFERROR(__xludf.DUMMYFUNCTION("""COMPUTED_VALUE"""),"STE")</f>
        <v>STE</v>
      </c>
      <c r="E128" s="86" t="str">
        <f t="shared" si="1"/>
        <v>May</v>
      </c>
      <c r="F128" s="79" t="str">
        <f>IFERROR(__xludf.DUMMYFUNCTION("""COMPUTED_VALUE"""),"Gil")</f>
        <v>Gil</v>
      </c>
      <c r="J128" s="88"/>
    </row>
    <row r="129">
      <c r="A129" s="85">
        <f>IFERROR(__xludf.DUMMYFUNCTION("""COMPUTED_VALUE"""),45426.0)</f>
        <v>45426</v>
      </c>
      <c r="B129" s="80">
        <f>IFERROR(__xludf.DUMMYFUNCTION("""COMPUTED_VALUE"""),30.0)</f>
        <v>30</v>
      </c>
      <c r="C129" s="79" t="str">
        <f>IFERROR(__xludf.DUMMYFUNCTION("""COMPUTED_VALUE"""),"Pela Case refund")</f>
        <v>Pela Case refund</v>
      </c>
      <c r="D129" s="79" t="str">
        <f>IFERROR(__xludf.DUMMYFUNCTION("""COMPUTED_VALUE"""),"Other")</f>
        <v>Other</v>
      </c>
      <c r="E129" s="86" t="str">
        <f t="shared" si="1"/>
        <v>May</v>
      </c>
      <c r="F129" s="79" t="str">
        <f>IFERROR(__xludf.DUMMYFUNCTION("""COMPUTED_VALUE"""),"Shaeffer")</f>
        <v>Shaeffer</v>
      </c>
      <c r="J129" s="88"/>
    </row>
    <row r="130">
      <c r="A130" s="85">
        <f>IFERROR(__xludf.DUMMYFUNCTION("""COMPUTED_VALUE"""),45418.0)</f>
        <v>45418</v>
      </c>
      <c r="B130" s="80">
        <f>IFERROR(__xludf.DUMMYFUNCTION("""COMPUTED_VALUE"""),5400.0)</f>
        <v>5400</v>
      </c>
      <c r="C130" s="79" t="str">
        <f>IFERROR(__xludf.DUMMYFUNCTION("""COMPUTED_VALUE"""),"ALTU_13")</f>
        <v>ALTU_13</v>
      </c>
      <c r="D130" s="79" t="str">
        <f>IFERROR(__xludf.DUMMYFUNCTION("""COMPUTED_VALUE"""),"Altuzarra")</f>
        <v>Altuzarra</v>
      </c>
      <c r="E130" s="86" t="str">
        <f t="shared" si="1"/>
        <v>May</v>
      </c>
      <c r="F130" s="79" t="str">
        <f>IFERROR(__xludf.DUMMYFUNCTION("""COMPUTED_VALUE"""),"Shaeffer")</f>
        <v>Shaeffer</v>
      </c>
      <c r="J130" s="88"/>
    </row>
    <row r="131">
      <c r="A131" s="85">
        <f>IFERROR(__xludf.DUMMYFUNCTION("""COMPUTED_VALUE"""),45419.0)</f>
        <v>45419</v>
      </c>
      <c r="B131" s="80">
        <f>IFERROR(__xludf.DUMMYFUNCTION("""COMPUTED_VALUE"""),101.0)</f>
        <v>101</v>
      </c>
      <c r="C131" s="79" t="str">
        <f>IFERROR(__xludf.DUMMYFUNCTION("""COMPUTED_VALUE"""),"Blackmarket trade payout")</f>
        <v>Blackmarket trade payout</v>
      </c>
      <c r="D131" s="79" t="str">
        <f>IFERROR(__xludf.DUMMYFUNCTION("""COMPUTED_VALUE"""),"Other")</f>
        <v>Other</v>
      </c>
      <c r="E131" s="86" t="str">
        <f t="shared" si="1"/>
        <v>May</v>
      </c>
      <c r="F131" s="79" t="str">
        <f>IFERROR(__xludf.DUMMYFUNCTION("""COMPUTED_VALUE"""),"Shaeffer")</f>
        <v>Shaeffer</v>
      </c>
      <c r="J131" s="88"/>
    </row>
    <row r="132">
      <c r="A132" s="85">
        <f>IFERROR(__xludf.DUMMYFUNCTION("""COMPUTED_VALUE"""),45442.0)</f>
        <v>45442</v>
      </c>
      <c r="B132" s="80">
        <f>IFERROR(__xludf.DUMMYFUNCTION("""COMPUTED_VALUE"""),1520.0)</f>
        <v>1520</v>
      </c>
      <c r="C132" s="79" t="str">
        <f>IFERROR(__xludf.DUMMYFUNCTION("""COMPUTED_VALUE"""),"VB01")</f>
        <v>VB01</v>
      </c>
      <c r="D132" s="79" t="str">
        <f>IFERROR(__xludf.DUMMYFUNCTION("""COMPUTED_VALUE"""),"Other")</f>
        <v>Other</v>
      </c>
      <c r="E132" s="86" t="str">
        <f t="shared" si="1"/>
        <v>May</v>
      </c>
      <c r="F132" s="79" t="str">
        <f>IFERROR(__xludf.DUMMYFUNCTION("""COMPUTED_VALUE"""),"Shaeffer")</f>
        <v>Shaeffer</v>
      </c>
      <c r="J132" s="88"/>
    </row>
    <row r="133">
      <c r="A133" s="85">
        <f>IFERROR(__xludf.DUMMYFUNCTION("""COMPUTED_VALUE"""),45445.0)</f>
        <v>45445</v>
      </c>
      <c r="B133" s="80">
        <f>IFERROR(__xludf.DUMMYFUNCTION("""COMPUTED_VALUE"""),240.0)</f>
        <v>240</v>
      </c>
      <c r="C133" s="79" t="str">
        <f>IFERROR(__xludf.DUMMYFUNCTION("""COMPUTED_VALUE"""),"Cash Tip")</f>
        <v>Cash Tip</v>
      </c>
      <c r="D133" s="79" t="str">
        <f>IFERROR(__xludf.DUMMYFUNCTION("""COMPUTED_VALUE"""),"STE")</f>
        <v>STE</v>
      </c>
      <c r="E133" s="86" t="str">
        <f t="shared" si="1"/>
        <v>Jun</v>
      </c>
      <c r="F133" s="79" t="str">
        <f>IFERROR(__xludf.DUMMYFUNCTION("""COMPUTED_VALUE"""),"Gil")</f>
        <v>Gil</v>
      </c>
      <c r="J133" s="88"/>
    </row>
    <row r="134">
      <c r="A134" s="85">
        <f>IFERROR(__xludf.DUMMYFUNCTION("""COMPUTED_VALUE"""),45444.0)</f>
        <v>45444</v>
      </c>
      <c r="B134" s="80">
        <f>IFERROR(__xludf.DUMMYFUNCTION("""COMPUTED_VALUE"""),21.0)</f>
        <v>21</v>
      </c>
      <c r="C134" s="79" t="str">
        <f>IFERROR(__xludf.DUMMYFUNCTION("""COMPUTED_VALUE"""),"Cash")</f>
        <v>Cash</v>
      </c>
      <c r="D134" s="79" t="str">
        <f>IFERROR(__xludf.DUMMYFUNCTION("""COMPUTED_VALUE"""),"Other")</f>
        <v>Other</v>
      </c>
      <c r="E134" s="86" t="str">
        <f t="shared" si="1"/>
        <v>Jun</v>
      </c>
      <c r="F134" s="79" t="str">
        <f>IFERROR(__xludf.DUMMYFUNCTION("""COMPUTED_VALUE"""),"Shaeffer")</f>
        <v>Shaeffer</v>
      </c>
      <c r="J134" s="88"/>
    </row>
    <row r="135">
      <c r="A135" s="85">
        <f>IFERROR(__xludf.DUMMYFUNCTION("""COMPUTED_VALUE"""),45447.0)</f>
        <v>45447</v>
      </c>
      <c r="B135" s="80">
        <f>IFERROR(__xludf.DUMMYFUNCTION("""COMPUTED_VALUE"""),100.0)</f>
        <v>100</v>
      </c>
      <c r="C135" s="79" t="str">
        <f>IFERROR(__xludf.DUMMYFUNCTION("""COMPUTED_VALUE"""),"5.30 Tip")</f>
        <v>5.30 Tip</v>
      </c>
      <c r="D135" s="79" t="str">
        <f>IFERROR(__xludf.DUMMYFUNCTION("""COMPUTED_VALUE"""),"STE")</f>
        <v>STE</v>
      </c>
      <c r="E135" s="86" t="str">
        <f t="shared" si="1"/>
        <v>Jun</v>
      </c>
      <c r="F135" s="79" t="str">
        <f>IFERROR(__xludf.DUMMYFUNCTION("""COMPUTED_VALUE"""),"Gil")</f>
        <v>Gil</v>
      </c>
      <c r="J135" s="88"/>
    </row>
    <row r="136">
      <c r="A136" s="85">
        <f>IFERROR(__xludf.DUMMYFUNCTION("""COMPUTED_VALUE"""),45442.0)</f>
        <v>45442</v>
      </c>
      <c r="B136" s="80">
        <f>IFERROR(__xludf.DUMMYFUNCTION("""COMPUTED_VALUE"""),473.27)</f>
        <v>473.27</v>
      </c>
      <c r="C136" s="79" t="str">
        <f>IFERROR(__xludf.DUMMYFUNCTION("""COMPUTED_VALUE"""),"06/07/2024 (#32020)")</f>
        <v>06/07/2024 (#32020)</v>
      </c>
      <c r="D136" s="79" t="str">
        <f>IFERROR(__xludf.DUMMYFUNCTION("""COMPUTED_VALUE"""),"JOE")</f>
        <v>JOE</v>
      </c>
      <c r="E136" s="86" t="str">
        <f t="shared" si="1"/>
        <v>May</v>
      </c>
      <c r="F136" s="79" t="str">
        <f>IFERROR(__xludf.DUMMYFUNCTION("""COMPUTED_VALUE"""),"Gil")</f>
        <v>Gil</v>
      </c>
      <c r="J136" s="88"/>
    </row>
    <row r="137">
      <c r="A137" s="85">
        <f>IFERROR(__xludf.DUMMYFUNCTION("""COMPUTED_VALUE"""),45442.0)</f>
        <v>45442</v>
      </c>
      <c r="B137" s="80">
        <f>IFERROR(__xludf.DUMMYFUNCTION("""COMPUTED_VALUE"""),216.43)</f>
        <v>216.43</v>
      </c>
      <c r="C137" s="79" t="str">
        <f>IFERROR(__xludf.DUMMYFUNCTION("""COMPUTED_VALUE"""),"06/07/2024 (#32020) - 401k")</f>
        <v>06/07/2024 (#32020) - 401k</v>
      </c>
      <c r="D137" s="79" t="str">
        <f>IFERROR(__xludf.DUMMYFUNCTION("""COMPUTED_VALUE"""),"JOE")</f>
        <v>JOE</v>
      </c>
      <c r="E137" s="86" t="str">
        <f t="shared" si="1"/>
        <v>May</v>
      </c>
      <c r="F137" s="79" t="str">
        <f>IFERROR(__xludf.DUMMYFUNCTION("""COMPUTED_VALUE"""),"Gil")</f>
        <v>Gil</v>
      </c>
      <c r="J137" s="88"/>
    </row>
    <row r="138">
      <c r="A138" s="85">
        <f>IFERROR(__xludf.DUMMYFUNCTION("""COMPUTED_VALUE"""),45442.0)</f>
        <v>45442</v>
      </c>
      <c r="B138" s="80">
        <f>IFERROR(__xludf.DUMMYFUNCTION("""COMPUTED_VALUE"""),300.0)</f>
        <v>300</v>
      </c>
      <c r="C138" s="79" t="str">
        <f>IFERROR(__xludf.DUMMYFUNCTION("""COMPUTED_VALUE"""),"5.30 Rachel and Nate")</f>
        <v>5.30 Rachel and Nate</v>
      </c>
      <c r="D138" s="79" t="str">
        <f>IFERROR(__xludf.DUMMYFUNCTION("""COMPUTED_VALUE"""),"STE")</f>
        <v>STE</v>
      </c>
      <c r="E138" s="86" t="str">
        <f t="shared" si="1"/>
        <v>May</v>
      </c>
      <c r="F138" s="79" t="str">
        <f>IFERROR(__xludf.DUMMYFUNCTION("""COMPUTED_VALUE"""),"Gil")</f>
        <v>Gil</v>
      </c>
      <c r="J138" s="88"/>
    </row>
    <row r="139">
      <c r="A139" s="85">
        <f>IFERROR(__xludf.DUMMYFUNCTION("""COMPUTED_VALUE"""),45451.0)</f>
        <v>45451</v>
      </c>
      <c r="B139" s="80">
        <f>IFERROR(__xludf.DUMMYFUNCTION("""COMPUTED_VALUE"""),300.0)</f>
        <v>300</v>
      </c>
      <c r="C139" s="79" t="str">
        <f>IFERROR(__xludf.DUMMYFUNCTION("""COMPUTED_VALUE"""),"6.2 Lily &amp; Clayton")</f>
        <v>6.2 Lily &amp; Clayton</v>
      </c>
      <c r="D139" s="79" t="str">
        <f>IFERROR(__xludf.DUMMYFUNCTION("""COMPUTED_VALUE"""),"STE")</f>
        <v>STE</v>
      </c>
      <c r="E139" s="86" t="str">
        <f t="shared" si="1"/>
        <v>Jun</v>
      </c>
      <c r="F139" s="79" t="str">
        <f>IFERROR(__xludf.DUMMYFUNCTION("""COMPUTED_VALUE"""),"Gil")</f>
        <v>Gil</v>
      </c>
      <c r="J139" s="88"/>
    </row>
    <row r="140">
      <c r="A140" s="85">
        <f>IFERROR(__xludf.DUMMYFUNCTION("""COMPUTED_VALUE"""),45452.0)</f>
        <v>45452</v>
      </c>
      <c r="B140" s="80">
        <f>IFERROR(__xludf.DUMMYFUNCTION("""COMPUTED_VALUE"""),70.0)</f>
        <v>70</v>
      </c>
      <c r="C140" s="79" t="str">
        <f>IFERROR(__xludf.DUMMYFUNCTION("""COMPUTED_VALUE"""),"6.6 Cash Tip")</f>
        <v>6.6 Cash Tip</v>
      </c>
      <c r="D140" s="79" t="str">
        <f>IFERROR(__xludf.DUMMYFUNCTION("""COMPUTED_VALUE"""),"STE")</f>
        <v>STE</v>
      </c>
      <c r="E140" s="86" t="str">
        <f t="shared" si="1"/>
        <v>Jun</v>
      </c>
      <c r="F140" s="79" t="str">
        <f>IFERROR(__xludf.DUMMYFUNCTION("""COMPUTED_VALUE"""),"Gil")</f>
        <v>Gil</v>
      </c>
      <c r="J140" s="88"/>
    </row>
    <row r="141">
      <c r="A141" s="85">
        <f>IFERROR(__xludf.DUMMYFUNCTION("""COMPUTED_VALUE"""),45454.0)</f>
        <v>45454</v>
      </c>
      <c r="B141" s="80">
        <f>IFERROR(__xludf.DUMMYFUNCTION("""COMPUTED_VALUE"""),35.0)</f>
        <v>35</v>
      </c>
      <c r="C141" s="79" t="str">
        <f>IFERROR(__xludf.DUMMYFUNCTION("""COMPUTED_VALUE"""),"Cash")</f>
        <v>Cash</v>
      </c>
      <c r="D141" s="79" t="str">
        <f>IFERROR(__xludf.DUMMYFUNCTION("""COMPUTED_VALUE"""),"KAL")</f>
        <v>KAL</v>
      </c>
      <c r="E141" s="86" t="str">
        <f t="shared" si="1"/>
        <v>Jun</v>
      </c>
      <c r="F141" s="79" t="str">
        <f>IFERROR(__xludf.DUMMYFUNCTION("""COMPUTED_VALUE"""),"Gil")</f>
        <v>Gil</v>
      </c>
      <c r="J141" s="88"/>
    </row>
    <row r="142">
      <c r="A142" s="85">
        <f>IFERROR(__xludf.DUMMYFUNCTION("""COMPUTED_VALUE"""),45453.0)</f>
        <v>45453</v>
      </c>
      <c r="B142" s="80">
        <f>IFERROR(__xludf.DUMMYFUNCTION("""COMPUTED_VALUE"""),2805.0)</f>
        <v>2805</v>
      </c>
      <c r="C142" s="79" t="str">
        <f>IFERROR(__xludf.DUMMYFUNCTION("""COMPUTED_VALUE"""),"JA01")</f>
        <v>JA01</v>
      </c>
      <c r="D142" s="79" t="str">
        <f>IFERROR(__xludf.DUMMYFUNCTION("""COMPUTED_VALUE"""),"Other")</f>
        <v>Other</v>
      </c>
      <c r="E142" s="86" t="str">
        <f t="shared" si="1"/>
        <v>Jun</v>
      </c>
      <c r="F142" s="79" t="str">
        <f>IFERROR(__xludf.DUMMYFUNCTION("""COMPUTED_VALUE"""),"Shaeffer")</f>
        <v>Shaeffer</v>
      </c>
      <c r="J142" s="88"/>
    </row>
    <row r="143">
      <c r="A143" s="85">
        <f>IFERROR(__xludf.DUMMYFUNCTION("""COMPUTED_VALUE"""),45455.0)</f>
        <v>45455</v>
      </c>
      <c r="B143" s="80">
        <f>IFERROR(__xludf.DUMMYFUNCTION("""COMPUTED_VALUE"""),870.21)</f>
        <v>870.21</v>
      </c>
      <c r="C143" s="79" t="str">
        <f>IFERROR(__xludf.DUMMYFUNCTION("""COMPUTED_VALUE""")," 06/02/2024 - 06/15/2024")</f>
        <v> 06/02/2024 - 06/15/2024</v>
      </c>
      <c r="D143" s="79" t="str">
        <f>IFERROR(__xludf.DUMMYFUNCTION("""COMPUTED_VALUE"""),"KAL")</f>
        <v>KAL</v>
      </c>
      <c r="E143" s="86" t="str">
        <f t="shared" si="1"/>
        <v>Jun</v>
      </c>
      <c r="F143" s="79" t="str">
        <f>IFERROR(__xludf.DUMMYFUNCTION("""COMPUTED_VALUE"""),"Gil")</f>
        <v>Gil</v>
      </c>
      <c r="J143" s="88"/>
    </row>
    <row r="144">
      <c r="A144" s="85">
        <f>IFERROR(__xludf.DUMMYFUNCTION("""COMPUTED_VALUE"""),45457.0)</f>
        <v>45457</v>
      </c>
      <c r="B144" s="80">
        <f>IFERROR(__xludf.DUMMYFUNCTION("""COMPUTED_VALUE"""),495.21)</f>
        <v>495.21</v>
      </c>
      <c r="C144" s="79" t="str">
        <f>IFERROR(__xludf.DUMMYFUNCTION("""COMPUTED_VALUE"""),"06/14/2024 (#32280)")</f>
        <v>06/14/2024 (#32280)</v>
      </c>
      <c r="D144" s="79" t="str">
        <f>IFERROR(__xludf.DUMMYFUNCTION("""COMPUTED_VALUE"""),"JOE")</f>
        <v>JOE</v>
      </c>
      <c r="E144" s="86" t="str">
        <f t="shared" si="1"/>
        <v>Jun</v>
      </c>
      <c r="F144" s="79" t="str">
        <f>IFERROR(__xludf.DUMMYFUNCTION("""COMPUTED_VALUE"""),"Gil")</f>
        <v>Gil</v>
      </c>
      <c r="J144" s="88"/>
    </row>
    <row r="145">
      <c r="A145" s="85">
        <f>IFERROR(__xludf.DUMMYFUNCTION("""COMPUTED_VALUE"""),45457.0)</f>
        <v>45457</v>
      </c>
      <c r="B145" s="80">
        <f>IFERROR(__xludf.DUMMYFUNCTION("""COMPUTED_VALUE"""),238.98)</f>
        <v>238.98</v>
      </c>
      <c r="C145" s="79" t="str">
        <f>IFERROR(__xludf.DUMMYFUNCTION("""COMPUTED_VALUE"""),"06/14/2024 (#32280) - 401k")</f>
        <v>06/14/2024 (#32280) - 401k</v>
      </c>
      <c r="D145" s="79" t="str">
        <f>IFERROR(__xludf.DUMMYFUNCTION("""COMPUTED_VALUE"""),"JOE")</f>
        <v>JOE</v>
      </c>
      <c r="E145" s="86" t="str">
        <f t="shared" si="1"/>
        <v>Jun</v>
      </c>
      <c r="F145" s="79" t="str">
        <f>IFERROR(__xludf.DUMMYFUNCTION("""COMPUTED_VALUE"""),"Gil")</f>
        <v>Gil</v>
      </c>
      <c r="J145" s="88"/>
    </row>
    <row r="146">
      <c r="A146" s="85">
        <f>IFERROR(__xludf.DUMMYFUNCTION("""COMPUTED_VALUE"""),45458.0)</f>
        <v>45458</v>
      </c>
      <c r="B146" s="80">
        <f>IFERROR(__xludf.DUMMYFUNCTION("""COMPUTED_VALUE"""),900.0)</f>
        <v>900</v>
      </c>
      <c r="C146" s="79" t="str">
        <f>IFERROR(__xludf.DUMMYFUNCTION("""COMPUTED_VALUE"""),"6.6 Stephani &amp; Patrick, 6.8 Ezgi Karayel")</f>
        <v>6.6 Stephani &amp; Patrick, 6.8 Ezgi Karayel</v>
      </c>
      <c r="D146" s="79" t="str">
        <f>IFERROR(__xludf.DUMMYFUNCTION("""COMPUTED_VALUE"""),"STE")</f>
        <v>STE</v>
      </c>
      <c r="E146" s="86" t="str">
        <f t="shared" si="1"/>
        <v>Jun</v>
      </c>
      <c r="F146" s="79" t="str">
        <f>IFERROR(__xludf.DUMMYFUNCTION("""COMPUTED_VALUE"""),"Gil")</f>
        <v>Gil</v>
      </c>
      <c r="J146" s="88"/>
    </row>
    <row r="147">
      <c r="A147" s="85">
        <f>IFERROR(__xludf.DUMMYFUNCTION("""COMPUTED_VALUE"""),45460.0)</f>
        <v>45460</v>
      </c>
      <c r="B147" s="80">
        <f>IFERROR(__xludf.DUMMYFUNCTION("""COMPUTED_VALUE"""),100.0)</f>
        <v>100</v>
      </c>
      <c r="C147" s="79" t="str">
        <f>IFERROR(__xludf.DUMMYFUNCTION("""COMPUTED_VALUE"""),"Cash")</f>
        <v>Cash</v>
      </c>
      <c r="D147" s="79" t="str">
        <f>IFERROR(__xludf.DUMMYFUNCTION("""COMPUTED_VALUE"""),"Other")</f>
        <v>Other</v>
      </c>
      <c r="E147" s="86" t="str">
        <f t="shared" si="1"/>
        <v>Jun</v>
      </c>
      <c r="F147" s="79" t="str">
        <f>IFERROR(__xludf.DUMMYFUNCTION("""COMPUTED_VALUE"""),"Gil")</f>
        <v>Gil</v>
      </c>
      <c r="J147" s="88"/>
    </row>
    <row r="148">
      <c r="A148" s="85">
        <f>IFERROR(__xludf.DUMMYFUNCTION("""COMPUTED_VALUE"""),45463.0)</f>
        <v>45463</v>
      </c>
      <c r="B148" s="80">
        <f>IFERROR(__xludf.DUMMYFUNCTION("""COMPUTED_VALUE"""),6.14)</f>
        <v>6.14</v>
      </c>
      <c r="C148" s="79" t="str">
        <f>IFERROR(__xludf.DUMMYFUNCTION("""COMPUTED_VALUE"""),"Cash Tips")</f>
        <v>Cash Tips</v>
      </c>
      <c r="D148" s="79" t="str">
        <f>IFERROR(__xludf.DUMMYFUNCTION("""COMPUTED_VALUE"""),"JOE")</f>
        <v>JOE</v>
      </c>
      <c r="E148" s="86" t="str">
        <f t="shared" si="1"/>
        <v>Jun</v>
      </c>
      <c r="F148" s="79" t="str">
        <f>IFERROR(__xludf.DUMMYFUNCTION("""COMPUTED_VALUE"""),"Gil")</f>
        <v>Gil</v>
      </c>
      <c r="J148" s="88"/>
    </row>
    <row r="149">
      <c r="A149" s="85">
        <f>IFERROR(__xludf.DUMMYFUNCTION("""COMPUTED_VALUE"""),45464.0)</f>
        <v>45464</v>
      </c>
      <c r="B149" s="80">
        <f>IFERROR(__xludf.DUMMYFUNCTION("""COMPUTED_VALUE"""),246.64)</f>
        <v>246.64</v>
      </c>
      <c r="C149" s="79" t="str">
        <f>IFERROR(__xludf.DUMMYFUNCTION("""COMPUTED_VALUE"""),"06/21/2024 (#32501)")</f>
        <v>06/21/2024 (#32501)</v>
      </c>
      <c r="D149" s="79" t="str">
        <f>IFERROR(__xludf.DUMMYFUNCTION("""COMPUTED_VALUE"""),"JOE")</f>
        <v>JOE</v>
      </c>
      <c r="E149" s="86" t="str">
        <f t="shared" si="1"/>
        <v>Jun</v>
      </c>
      <c r="F149" s="79" t="str">
        <f>IFERROR(__xludf.DUMMYFUNCTION("""COMPUTED_VALUE"""),"Gil")</f>
        <v>Gil</v>
      </c>
      <c r="J149" s="88"/>
    </row>
    <row r="150">
      <c r="A150" s="85">
        <f>IFERROR(__xludf.DUMMYFUNCTION("""COMPUTED_VALUE"""),45464.0)</f>
        <v>45464</v>
      </c>
      <c r="B150" s="80">
        <f>IFERROR(__xludf.DUMMYFUNCTION("""COMPUTED_VALUE"""),96.76)</f>
        <v>96.76</v>
      </c>
      <c r="C150" s="79" t="str">
        <f>IFERROR(__xludf.DUMMYFUNCTION("""COMPUTED_VALUE"""),"06/21/2024 (#32501) - 401k")</f>
        <v>06/21/2024 (#32501) - 401k</v>
      </c>
      <c r="D150" s="79" t="str">
        <f>IFERROR(__xludf.DUMMYFUNCTION("""COMPUTED_VALUE"""),"JOE")</f>
        <v>JOE</v>
      </c>
      <c r="E150" s="86" t="str">
        <f t="shared" si="1"/>
        <v>Jun</v>
      </c>
      <c r="F150" s="79" t="str">
        <f>IFERROR(__xludf.DUMMYFUNCTION("""COMPUTED_VALUE"""),"Gil")</f>
        <v>Gil</v>
      </c>
      <c r="J150" s="88"/>
    </row>
    <row r="151">
      <c r="A151" s="85">
        <f>IFERROR(__xludf.DUMMYFUNCTION("""COMPUTED_VALUE"""),45465.0)</f>
        <v>45465</v>
      </c>
      <c r="B151" s="80">
        <f>IFERROR(__xludf.DUMMYFUNCTION("""COMPUTED_VALUE"""),120.0)</f>
        <v>120</v>
      </c>
      <c r="C151" s="79" t="str">
        <f>IFERROR(__xludf.DUMMYFUNCTION("""COMPUTED_VALUE"""),"Cash Tip")</f>
        <v>Cash Tip</v>
      </c>
      <c r="D151" s="79" t="str">
        <f>IFERROR(__xludf.DUMMYFUNCTION("""COMPUTED_VALUE"""),"STE")</f>
        <v>STE</v>
      </c>
      <c r="E151" s="86" t="str">
        <f t="shared" si="1"/>
        <v>Jun</v>
      </c>
      <c r="F151" s="79" t="str">
        <f>IFERROR(__xludf.DUMMYFUNCTION("""COMPUTED_VALUE"""),"Gil")</f>
        <v>Gil</v>
      </c>
      <c r="J151" s="88"/>
    </row>
    <row r="152">
      <c r="A152" s="85">
        <f>IFERROR(__xludf.DUMMYFUNCTION("""COMPUTED_VALUE"""),45466.0)</f>
        <v>45466</v>
      </c>
      <c r="B152" s="80">
        <f>IFERROR(__xludf.DUMMYFUNCTION("""COMPUTED_VALUE"""),1250.0)</f>
        <v>1250</v>
      </c>
      <c r="C152" s="79" t="str">
        <f>IFERROR(__xludf.DUMMYFUNCTION("""COMPUTED_VALUE"""),"June 14, 15, 16, 20")</f>
        <v>June 14, 15, 16, 20</v>
      </c>
      <c r="D152" s="79" t="str">
        <f>IFERROR(__xludf.DUMMYFUNCTION("""COMPUTED_VALUE"""),"STE")</f>
        <v>STE</v>
      </c>
      <c r="E152" s="86" t="str">
        <f t="shared" si="1"/>
        <v>Jun</v>
      </c>
      <c r="F152" s="79" t="str">
        <f>IFERROR(__xludf.DUMMYFUNCTION("""COMPUTED_VALUE"""),"Gil")</f>
        <v>Gil</v>
      </c>
      <c r="J152" s="88"/>
    </row>
    <row r="153">
      <c r="A153" s="85">
        <f>IFERROR(__xludf.DUMMYFUNCTION("""COMPUTED_VALUE"""),45467.0)</f>
        <v>45467</v>
      </c>
      <c r="B153" s="80">
        <f>IFERROR(__xludf.DUMMYFUNCTION("""COMPUTED_VALUE"""),46.0)</f>
        <v>46</v>
      </c>
      <c r="C153" s="79" t="str">
        <f>IFERROR(__xludf.DUMMYFUNCTION("""COMPUTED_VALUE"""),"Cash")</f>
        <v>Cash</v>
      </c>
      <c r="D153" s="79" t="str">
        <f>IFERROR(__xludf.DUMMYFUNCTION("""COMPUTED_VALUE"""),"Other")</f>
        <v>Other</v>
      </c>
      <c r="E153" s="86" t="str">
        <f t="shared" si="1"/>
        <v>Jun</v>
      </c>
      <c r="F153" s="79" t="str">
        <f>IFERROR(__xludf.DUMMYFUNCTION("""COMPUTED_VALUE"""),"Gil")</f>
        <v>Gil</v>
      </c>
      <c r="J153" s="88"/>
    </row>
    <row r="154">
      <c r="A154" s="85">
        <f>IFERROR(__xludf.DUMMYFUNCTION("""COMPUTED_VALUE"""),45469.0)</f>
        <v>45469</v>
      </c>
      <c r="B154" s="80">
        <f>IFERROR(__xludf.DUMMYFUNCTION("""COMPUTED_VALUE"""),672.09)</f>
        <v>672.09</v>
      </c>
      <c r="C154" s="79" t="str">
        <f>IFERROR(__xludf.DUMMYFUNCTION("""COMPUTED_VALUE"""),"06/16/2024 - 06/29/2024")</f>
        <v>06/16/2024 - 06/29/2024</v>
      </c>
      <c r="D154" s="79" t="str">
        <f>IFERROR(__xludf.DUMMYFUNCTION("""COMPUTED_VALUE"""),"KAL")</f>
        <v>KAL</v>
      </c>
      <c r="E154" s="86" t="str">
        <f t="shared" si="1"/>
        <v>Jun</v>
      </c>
      <c r="F154" s="79" t="str">
        <f>IFERROR(__xludf.DUMMYFUNCTION("""COMPUTED_VALUE"""),"Gil")</f>
        <v>Gil</v>
      </c>
      <c r="J154" s="88"/>
    </row>
    <row r="155">
      <c r="A155" s="85">
        <f>IFERROR(__xludf.DUMMYFUNCTION("""COMPUTED_VALUE"""),45469.0)</f>
        <v>45469</v>
      </c>
      <c r="B155" s="80">
        <f>IFERROR(__xludf.DUMMYFUNCTION("""COMPUTED_VALUE"""),11.83)</f>
        <v>11.83</v>
      </c>
      <c r="C155" s="79" t="str">
        <f>IFERROR(__xludf.DUMMYFUNCTION("""COMPUTED_VALUE"""),"Cash Tips")</f>
        <v>Cash Tips</v>
      </c>
      <c r="D155" s="79" t="str">
        <f>IFERROR(__xludf.DUMMYFUNCTION("""COMPUTED_VALUE"""),"JOE")</f>
        <v>JOE</v>
      </c>
      <c r="E155" s="86" t="str">
        <f t="shared" si="1"/>
        <v>Jun</v>
      </c>
      <c r="F155" s="79" t="str">
        <f>IFERROR(__xludf.DUMMYFUNCTION("""COMPUTED_VALUE"""),"Gil")</f>
        <v>Gil</v>
      </c>
      <c r="J155" s="88"/>
    </row>
    <row r="156">
      <c r="A156" s="85">
        <f>IFERROR(__xludf.DUMMYFUNCTION("""COMPUTED_VALUE"""),45471.0)</f>
        <v>45471</v>
      </c>
      <c r="B156" s="80">
        <f>IFERROR(__xludf.DUMMYFUNCTION("""COMPUTED_VALUE"""),361.72)</f>
        <v>361.72</v>
      </c>
      <c r="C156" s="79" t="str">
        <f>IFERROR(__xludf.DUMMYFUNCTION("""COMPUTED_VALUE"""),"06/28/2024 (#32731)")</f>
        <v>06/28/2024 (#32731)</v>
      </c>
      <c r="D156" s="79" t="str">
        <f>IFERROR(__xludf.DUMMYFUNCTION("""COMPUTED_VALUE"""),"JOE")</f>
        <v>JOE</v>
      </c>
      <c r="E156" s="86" t="str">
        <f t="shared" si="1"/>
        <v>Jun</v>
      </c>
      <c r="F156" s="79" t="str">
        <f>IFERROR(__xludf.DUMMYFUNCTION("""COMPUTED_VALUE"""),"Gil")</f>
        <v>Gil</v>
      </c>
      <c r="J156" s="88"/>
    </row>
    <row r="157">
      <c r="A157" s="85">
        <f>IFERROR(__xludf.DUMMYFUNCTION("""COMPUTED_VALUE"""),45471.0)</f>
        <v>45471</v>
      </c>
      <c r="B157" s="80">
        <f>IFERROR(__xludf.DUMMYFUNCTION("""COMPUTED_VALUE"""),160.2)</f>
        <v>160.2</v>
      </c>
      <c r="C157" s="79" t="str">
        <f>IFERROR(__xludf.DUMMYFUNCTION("""COMPUTED_VALUE"""),"06/28/2024 (#32731) - 401k")</f>
        <v>06/28/2024 (#32731) - 401k</v>
      </c>
      <c r="D157" s="79" t="str">
        <f>IFERROR(__xludf.DUMMYFUNCTION("""COMPUTED_VALUE"""),"JOE")</f>
        <v>JOE</v>
      </c>
      <c r="E157" s="86" t="str">
        <f t="shared" si="1"/>
        <v>Jun</v>
      </c>
      <c r="F157" s="79" t="str">
        <f>IFERROR(__xludf.DUMMYFUNCTION("""COMPUTED_VALUE"""),"Gil")</f>
        <v>Gil</v>
      </c>
      <c r="J157" s="88"/>
    </row>
    <row r="158">
      <c r="A158" s="85">
        <f>IFERROR(__xludf.DUMMYFUNCTION("""COMPUTED_VALUE"""),45476.0)</f>
        <v>45476</v>
      </c>
      <c r="B158" s="80">
        <f>IFERROR(__xludf.DUMMYFUNCTION("""COMPUTED_VALUE"""),7.0)</f>
        <v>7</v>
      </c>
      <c r="C158" s="79" t="str">
        <f>IFERROR(__xludf.DUMMYFUNCTION("""COMPUTED_VALUE"""),"Cash Tips")</f>
        <v>Cash Tips</v>
      </c>
      <c r="D158" s="79" t="str">
        <f>IFERROR(__xludf.DUMMYFUNCTION("""COMPUTED_VALUE"""),"JOE")</f>
        <v>JOE</v>
      </c>
      <c r="E158" s="86" t="str">
        <f t="shared" si="1"/>
        <v>Jul</v>
      </c>
      <c r="F158" s="79" t="str">
        <f>IFERROR(__xludf.DUMMYFUNCTION("""COMPUTED_VALUE"""),"Gil")</f>
        <v>Gil</v>
      </c>
      <c r="J158" s="88"/>
    </row>
    <row r="159">
      <c r="A159" s="85">
        <f>IFERROR(__xludf.DUMMYFUNCTION("""COMPUTED_VALUE"""),45473.0)</f>
        <v>45473</v>
      </c>
      <c r="B159" s="80">
        <f>IFERROR(__xludf.DUMMYFUNCTION("""COMPUTED_VALUE"""),525.65)</f>
        <v>525.65</v>
      </c>
      <c r="C159" s="79" t="str">
        <f>IFERROR(__xludf.DUMMYFUNCTION("""COMPUTED_VALUE"""),"07/05/2024 (#32993)")</f>
        <v>07/05/2024 (#32993)</v>
      </c>
      <c r="D159" s="79" t="str">
        <f>IFERROR(__xludf.DUMMYFUNCTION("""COMPUTED_VALUE"""),"JOE")</f>
        <v>JOE</v>
      </c>
      <c r="E159" s="86" t="str">
        <f t="shared" si="1"/>
        <v>Jun</v>
      </c>
      <c r="F159" s="79" t="str">
        <f>IFERROR(__xludf.DUMMYFUNCTION("""COMPUTED_VALUE"""),"Gil")</f>
        <v>Gil</v>
      </c>
      <c r="J159" s="88"/>
    </row>
    <row r="160">
      <c r="A160" s="85">
        <f>IFERROR(__xludf.DUMMYFUNCTION("""COMPUTED_VALUE"""),45473.0)</f>
        <v>45473</v>
      </c>
      <c r="B160" s="80">
        <f>IFERROR(__xludf.DUMMYFUNCTION("""COMPUTED_VALUE"""),251.51)</f>
        <v>251.51</v>
      </c>
      <c r="C160" s="79" t="str">
        <f>IFERROR(__xludf.DUMMYFUNCTION("""COMPUTED_VALUE"""),"07/05/2024 (#32993) - 401k")</f>
        <v>07/05/2024 (#32993) - 401k</v>
      </c>
      <c r="D160" s="79" t="str">
        <f>IFERROR(__xludf.DUMMYFUNCTION("""COMPUTED_VALUE"""),"JOE")</f>
        <v>JOE</v>
      </c>
      <c r="E160" s="86" t="str">
        <f t="shared" si="1"/>
        <v>Jun</v>
      </c>
      <c r="F160" s="79" t="str">
        <f>IFERROR(__xludf.DUMMYFUNCTION("""COMPUTED_VALUE"""),"Gil")</f>
        <v>Gil</v>
      </c>
      <c r="J160" s="88"/>
    </row>
    <row r="161">
      <c r="A161" s="85">
        <f>IFERROR(__xludf.DUMMYFUNCTION("""COMPUTED_VALUE"""),45460.0)</f>
        <v>45460</v>
      </c>
      <c r="B161" s="80">
        <f>IFERROR(__xludf.DUMMYFUNCTION("""COMPUTED_VALUE"""),4680.0)</f>
        <v>4680</v>
      </c>
      <c r="C161" s="79" t="str">
        <f>IFERROR(__xludf.DUMMYFUNCTION("""COMPUTED_VALUE"""),"VB_01")</f>
        <v>VB_01</v>
      </c>
      <c r="D161" s="79" t="str">
        <f>IFERROR(__xludf.DUMMYFUNCTION("""COMPUTED_VALUE"""),"Veronica Beard")</f>
        <v>Veronica Beard</v>
      </c>
      <c r="E161" s="86" t="str">
        <f t="shared" si="1"/>
        <v>Jun</v>
      </c>
      <c r="F161" s="79" t="str">
        <f>IFERROR(__xludf.DUMMYFUNCTION("""COMPUTED_VALUE"""),"Shaeffer")</f>
        <v>Shaeffer</v>
      </c>
      <c r="J161" s="88"/>
    </row>
    <row r="162">
      <c r="A162" s="85">
        <f>IFERROR(__xludf.DUMMYFUNCTION("""COMPUTED_VALUE"""),45464.0)</f>
        <v>45464</v>
      </c>
      <c r="B162" s="80">
        <f>IFERROR(__xludf.DUMMYFUNCTION("""COMPUTED_VALUE"""),6525.0)</f>
        <v>6525</v>
      </c>
      <c r="C162" s="79" t="str">
        <f>IFERROR(__xludf.DUMMYFUNCTION("""COMPUTED_VALUE"""),"VB")</f>
        <v>VB</v>
      </c>
      <c r="D162" s="79" t="str">
        <f>IFERROR(__xludf.DUMMYFUNCTION("""COMPUTED_VALUE"""),"Veronica Beard")</f>
        <v>Veronica Beard</v>
      </c>
      <c r="E162" s="86" t="str">
        <f t="shared" si="1"/>
        <v>Jun</v>
      </c>
      <c r="F162" s="79" t="str">
        <f>IFERROR(__xludf.DUMMYFUNCTION("""COMPUTED_VALUE"""),"Shaeffer")</f>
        <v>Shaeffer</v>
      </c>
      <c r="J162" s="88"/>
    </row>
    <row r="163">
      <c r="A163" s="85">
        <f>IFERROR(__xludf.DUMMYFUNCTION("""COMPUTED_VALUE"""),45469.0)</f>
        <v>45469</v>
      </c>
      <c r="B163" s="80">
        <f>IFERROR(__xludf.DUMMYFUNCTION("""COMPUTED_VALUE"""),1440.0)</f>
        <v>1440</v>
      </c>
      <c r="C163" s="79" t="str">
        <f>IFERROR(__xludf.DUMMYFUNCTION("""COMPUTED_VALUE"""),"VB")</f>
        <v>VB</v>
      </c>
      <c r="D163" s="79" t="str">
        <f>IFERROR(__xludf.DUMMYFUNCTION("""COMPUTED_VALUE"""),"Veronica Beard")</f>
        <v>Veronica Beard</v>
      </c>
      <c r="E163" s="86" t="str">
        <f t="shared" si="1"/>
        <v>Jun</v>
      </c>
      <c r="F163" s="79" t="str">
        <f>IFERROR(__xludf.DUMMYFUNCTION("""COMPUTED_VALUE"""),"Shaeffer")</f>
        <v>Shaeffer</v>
      </c>
      <c r="J163" s="88"/>
    </row>
    <row r="164">
      <c r="A164" s="85">
        <f>IFERROR(__xludf.DUMMYFUNCTION("""COMPUTED_VALUE"""),45483.0)</f>
        <v>45483</v>
      </c>
      <c r="B164" s="80">
        <f>IFERROR(__xludf.DUMMYFUNCTION("""COMPUTED_VALUE"""),672.07)</f>
        <v>672.07</v>
      </c>
      <c r="C164" s="79" t="str">
        <f>IFERROR(__xludf.DUMMYFUNCTION("""COMPUTED_VALUE"""),"06/30/2024 - 07/13/2024")</f>
        <v>06/30/2024 - 07/13/2024</v>
      </c>
      <c r="D164" s="79" t="str">
        <f>IFERROR(__xludf.DUMMYFUNCTION("""COMPUTED_VALUE"""),"KAL")</f>
        <v>KAL</v>
      </c>
      <c r="E164" s="86" t="str">
        <f t="shared" si="1"/>
        <v>Jul</v>
      </c>
      <c r="F164" s="79" t="str">
        <f>IFERROR(__xludf.DUMMYFUNCTION("""COMPUTED_VALUE"""),"Gil")</f>
        <v>Gil</v>
      </c>
      <c r="J164" s="88"/>
    </row>
    <row r="165">
      <c r="A165" s="85">
        <f>IFERROR(__xludf.DUMMYFUNCTION("""COMPUTED_VALUE"""),45485.0)</f>
        <v>45485</v>
      </c>
      <c r="B165" s="80">
        <f>IFERROR(__xludf.DUMMYFUNCTION("""COMPUTED_VALUE"""),179.04)</f>
        <v>179.04</v>
      </c>
      <c r="C165" s="79" t="str">
        <f>IFERROR(__xludf.DUMMYFUNCTION("""COMPUTED_VALUE"""),"07/12/2024 (#33259)")</f>
        <v>07/12/2024 (#33259)</v>
      </c>
      <c r="D165" s="79" t="str">
        <f>IFERROR(__xludf.DUMMYFUNCTION("""COMPUTED_VALUE"""),"JOE")</f>
        <v>JOE</v>
      </c>
      <c r="E165" s="86" t="str">
        <f t="shared" si="1"/>
        <v>Jul</v>
      </c>
      <c r="F165" s="79" t="str">
        <f>IFERROR(__xludf.DUMMYFUNCTION("""COMPUTED_VALUE"""),"Gil")</f>
        <v>Gil</v>
      </c>
      <c r="J165" s="88"/>
    </row>
    <row r="166">
      <c r="A166" s="85">
        <f>IFERROR(__xludf.DUMMYFUNCTION("""COMPUTED_VALUE"""),45485.0)</f>
        <v>45485</v>
      </c>
      <c r="B166" s="80">
        <f>IFERROR(__xludf.DUMMYFUNCTION("""COMPUTED_VALUE"""),70.24)</f>
        <v>70.24</v>
      </c>
      <c r="C166" s="79" t="str">
        <f>IFERROR(__xludf.DUMMYFUNCTION("""COMPUTED_VALUE"""),"07/12/2024 (#33259) - 401k")</f>
        <v>07/12/2024 (#33259) - 401k</v>
      </c>
      <c r="D166" s="79" t="str">
        <f>IFERROR(__xludf.DUMMYFUNCTION("""COMPUTED_VALUE"""),"JOE")</f>
        <v>JOE</v>
      </c>
      <c r="E166" s="86" t="str">
        <f t="shared" si="1"/>
        <v>Jul</v>
      </c>
      <c r="F166" s="79" t="str">
        <f>IFERROR(__xludf.DUMMYFUNCTION("""COMPUTED_VALUE"""),"Gil")</f>
        <v>Gil</v>
      </c>
      <c r="J166" s="88"/>
    </row>
    <row r="167">
      <c r="A167" s="85">
        <f>IFERROR(__xludf.DUMMYFUNCTION("""COMPUTED_VALUE"""),45486.0)</f>
        <v>45486</v>
      </c>
      <c r="B167" s="80">
        <f>IFERROR(__xludf.DUMMYFUNCTION("""COMPUTED_VALUE"""),600.0)</f>
        <v>600</v>
      </c>
      <c r="C167" s="79" t="str">
        <f>IFERROR(__xludf.DUMMYFUNCTION("""COMPUTED_VALUE"""),"7.6 Shilpa &amp; Jeremy, 7.10 Open House")</f>
        <v>7.6 Shilpa &amp; Jeremy, 7.10 Open House</v>
      </c>
      <c r="D167" s="79" t="str">
        <f>IFERROR(__xludf.DUMMYFUNCTION("""COMPUTED_VALUE"""),"STE")</f>
        <v>STE</v>
      </c>
      <c r="E167" s="86" t="str">
        <f t="shared" si="1"/>
        <v>Jul</v>
      </c>
      <c r="F167" s="79" t="str">
        <f>IFERROR(__xludf.DUMMYFUNCTION("""COMPUTED_VALUE"""),"Gil")</f>
        <v>Gil</v>
      </c>
      <c r="J167" s="88"/>
    </row>
    <row r="168">
      <c r="A168" s="85">
        <f>IFERROR(__xludf.DUMMYFUNCTION("""COMPUTED_VALUE"""),45489.0)</f>
        <v>45489</v>
      </c>
      <c r="B168" s="80">
        <f>IFERROR(__xludf.DUMMYFUNCTION("""COMPUTED_VALUE"""),28.0)</f>
        <v>28</v>
      </c>
      <c r="C168" s="79" t="str">
        <f>IFERROR(__xludf.DUMMYFUNCTION("""COMPUTED_VALUE"""),"Cash")</f>
        <v>Cash</v>
      </c>
      <c r="D168" s="79" t="str">
        <f>IFERROR(__xludf.DUMMYFUNCTION("""COMPUTED_VALUE"""),"Other")</f>
        <v>Other</v>
      </c>
      <c r="E168" s="86" t="str">
        <f t="shared" si="1"/>
        <v>Jul</v>
      </c>
      <c r="F168" s="79" t="str">
        <f>IFERROR(__xludf.DUMMYFUNCTION("""COMPUTED_VALUE"""),"Gil")</f>
        <v>Gil</v>
      </c>
      <c r="J168" s="88"/>
    </row>
    <row r="169">
      <c r="A169" s="85">
        <f>IFERROR(__xludf.DUMMYFUNCTION("""COMPUTED_VALUE"""),45492.0)</f>
        <v>45492</v>
      </c>
      <c r="B169" s="80">
        <f>IFERROR(__xludf.DUMMYFUNCTION("""COMPUTED_VALUE"""),274.62)</f>
        <v>274.62</v>
      </c>
      <c r="C169" s="79" t="str">
        <f>IFERROR(__xludf.DUMMYFUNCTION("""COMPUTED_VALUE"""),"07/19/2024 (#33478)")</f>
        <v>07/19/2024 (#33478)</v>
      </c>
      <c r="D169" s="79" t="str">
        <f>IFERROR(__xludf.DUMMYFUNCTION("""COMPUTED_VALUE"""),"JOE")</f>
        <v>JOE</v>
      </c>
      <c r="E169" s="86" t="str">
        <f t="shared" si="1"/>
        <v>Jul</v>
      </c>
      <c r="F169" s="79" t="str">
        <f>IFERROR(__xludf.DUMMYFUNCTION("""COMPUTED_VALUE"""),"Gil")</f>
        <v>Gil</v>
      </c>
      <c r="J169" s="88"/>
    </row>
    <row r="170">
      <c r="A170" s="85">
        <f>IFERROR(__xludf.DUMMYFUNCTION("""COMPUTED_VALUE"""),45492.0)</f>
        <v>45492</v>
      </c>
      <c r="B170" s="80">
        <f>IFERROR(__xludf.DUMMYFUNCTION("""COMPUTED_VALUE"""),117.85)</f>
        <v>117.85</v>
      </c>
      <c r="C170" s="79" t="str">
        <f>IFERROR(__xludf.DUMMYFUNCTION("""COMPUTED_VALUE"""),"07/19/2024 (#33478) - 401k")</f>
        <v>07/19/2024 (#33478) - 401k</v>
      </c>
      <c r="D170" s="79" t="str">
        <f>IFERROR(__xludf.DUMMYFUNCTION("""COMPUTED_VALUE"""),"JOE")</f>
        <v>JOE</v>
      </c>
      <c r="E170" s="86" t="str">
        <f t="shared" si="1"/>
        <v>Jul</v>
      </c>
      <c r="F170" s="79" t="str">
        <f>IFERROR(__xludf.DUMMYFUNCTION("""COMPUTED_VALUE"""),"Gil")</f>
        <v>Gil</v>
      </c>
      <c r="J170" s="88"/>
    </row>
    <row r="171">
      <c r="A171" s="85">
        <f>IFERROR(__xludf.DUMMYFUNCTION("""COMPUTED_VALUE"""),45497.0)</f>
        <v>45497</v>
      </c>
      <c r="B171" s="80">
        <f>IFERROR(__xludf.DUMMYFUNCTION("""COMPUTED_VALUE"""),1072.41)</f>
        <v>1072.41</v>
      </c>
      <c r="C171" s="79" t="str">
        <f>IFERROR(__xludf.DUMMYFUNCTION("""COMPUTED_VALUE"""),"07/14/2024 - 07/27/2024")</f>
        <v>07/14/2024 - 07/27/2024</v>
      </c>
      <c r="D171" s="79" t="str">
        <f>IFERROR(__xludf.DUMMYFUNCTION("""COMPUTED_VALUE"""),"KAL")</f>
        <v>KAL</v>
      </c>
      <c r="E171" s="86" t="str">
        <f t="shared" si="1"/>
        <v>Jul</v>
      </c>
      <c r="F171" s="79" t="str">
        <f>IFERROR(__xludf.DUMMYFUNCTION("""COMPUTED_VALUE"""),"Gil")</f>
        <v>Gil</v>
      </c>
      <c r="J171" s="88"/>
    </row>
    <row r="172">
      <c r="A172" s="85">
        <f>IFERROR(__xludf.DUMMYFUNCTION("""COMPUTED_VALUE"""),45499.0)</f>
        <v>45499</v>
      </c>
      <c r="B172" s="80">
        <f>IFERROR(__xludf.DUMMYFUNCTION("""COMPUTED_VALUE"""),417.81)</f>
        <v>417.81</v>
      </c>
      <c r="C172" s="79" t="str">
        <f>IFERROR(__xludf.DUMMYFUNCTION("""COMPUTED_VALUE"""),"07/26/2024 (#33742)")</f>
        <v>07/26/2024 (#33742)</v>
      </c>
      <c r="D172" s="79" t="str">
        <f>IFERROR(__xludf.DUMMYFUNCTION("""COMPUTED_VALUE"""),"JOE")</f>
        <v>JOE</v>
      </c>
      <c r="E172" s="86" t="str">
        <f t="shared" si="1"/>
        <v>Jul</v>
      </c>
      <c r="F172" s="79" t="str">
        <f>IFERROR(__xludf.DUMMYFUNCTION("""COMPUTED_VALUE"""),"Gil")</f>
        <v>Gil</v>
      </c>
      <c r="J172" s="88"/>
    </row>
    <row r="173">
      <c r="A173" s="85">
        <f>IFERROR(__xludf.DUMMYFUNCTION("""COMPUTED_VALUE"""),45499.0)</f>
        <v>45499</v>
      </c>
      <c r="B173" s="80">
        <f>IFERROR(__xludf.DUMMYFUNCTION("""COMPUTED_VALUE"""),191.38)</f>
        <v>191.38</v>
      </c>
      <c r="C173" s="79" t="str">
        <f>IFERROR(__xludf.DUMMYFUNCTION("""COMPUTED_VALUE"""),"07/26/2024 (#33742) - 401k")</f>
        <v>07/26/2024 (#33742) - 401k</v>
      </c>
      <c r="D173" s="79" t="str">
        <f>IFERROR(__xludf.DUMMYFUNCTION("""COMPUTED_VALUE"""),"JOE")</f>
        <v>JOE</v>
      </c>
      <c r="E173" s="86" t="str">
        <f t="shared" si="1"/>
        <v>Jul</v>
      </c>
      <c r="F173" s="79" t="str">
        <f>IFERROR(__xludf.DUMMYFUNCTION("""COMPUTED_VALUE"""),"Gil")</f>
        <v>Gil</v>
      </c>
      <c r="J173" s="88"/>
    </row>
    <row r="174">
      <c r="A174" s="85">
        <f>IFERROR(__xludf.DUMMYFUNCTION("""COMPUTED_VALUE"""),45500.0)</f>
        <v>45500</v>
      </c>
      <c r="B174" s="80">
        <f>IFERROR(__xludf.DUMMYFUNCTION("""COMPUTED_VALUE"""),58.0)</f>
        <v>58</v>
      </c>
      <c r="C174" s="79" t="str">
        <f>IFERROR(__xludf.DUMMYFUNCTION("""COMPUTED_VALUE"""),"Cash")</f>
        <v>Cash</v>
      </c>
      <c r="D174" s="79" t="str">
        <f>IFERROR(__xludf.DUMMYFUNCTION("""COMPUTED_VALUE"""),"Other")</f>
        <v>Other</v>
      </c>
      <c r="E174" s="86" t="str">
        <f t="shared" si="1"/>
        <v>Jul</v>
      </c>
      <c r="F174" s="79" t="str">
        <f>IFERROR(__xludf.DUMMYFUNCTION("""COMPUTED_VALUE"""),"Gil")</f>
        <v>Gil</v>
      </c>
      <c r="J174" s="88"/>
    </row>
    <row r="175">
      <c r="A175" s="85">
        <f>IFERROR(__xludf.DUMMYFUNCTION("""COMPUTED_VALUE"""),45504.0)</f>
        <v>45504</v>
      </c>
      <c r="B175" s="80">
        <f>IFERROR(__xludf.DUMMYFUNCTION("""COMPUTED_VALUE"""),9.28)</f>
        <v>9.28</v>
      </c>
      <c r="C175" s="79" t="str">
        <f>IFERROR(__xludf.DUMMYFUNCTION("""COMPUTED_VALUE"""),"Cash Tips")</f>
        <v>Cash Tips</v>
      </c>
      <c r="D175" s="79" t="str">
        <f>IFERROR(__xludf.DUMMYFUNCTION("""COMPUTED_VALUE"""),"JOE")</f>
        <v>JOE</v>
      </c>
      <c r="E175" s="86" t="str">
        <f t="shared" si="1"/>
        <v>Jul</v>
      </c>
      <c r="F175" s="79" t="str">
        <f>IFERROR(__xludf.DUMMYFUNCTION("""COMPUTED_VALUE"""),"Gil")</f>
        <v>Gil</v>
      </c>
      <c r="J175" s="88"/>
    </row>
    <row r="176">
      <c r="A176" s="85">
        <f>IFERROR(__xludf.DUMMYFUNCTION("""COMPUTED_VALUE"""),45505.0)</f>
        <v>45505</v>
      </c>
      <c r="B176" s="80">
        <f>IFERROR(__xludf.DUMMYFUNCTION("""COMPUTED_VALUE"""),11.71)</f>
        <v>11.71</v>
      </c>
      <c r="C176" s="79" t="str">
        <f>IFERROR(__xludf.DUMMYFUNCTION("""COMPUTED_VALUE"""),"Cash Tips")</f>
        <v>Cash Tips</v>
      </c>
      <c r="D176" s="79" t="str">
        <f>IFERROR(__xludf.DUMMYFUNCTION("""COMPUTED_VALUE"""),"JOE")</f>
        <v>JOE</v>
      </c>
      <c r="E176" s="86" t="str">
        <f t="shared" si="1"/>
        <v>Aug</v>
      </c>
      <c r="F176" s="79" t="str">
        <f>IFERROR(__xludf.DUMMYFUNCTION("""COMPUTED_VALUE"""),"Gil")</f>
        <v>Gil</v>
      </c>
      <c r="J176" s="88"/>
    </row>
    <row r="177">
      <c r="A177" s="85">
        <f>IFERROR(__xludf.DUMMYFUNCTION("""COMPUTED_VALUE"""),45506.0)</f>
        <v>45506</v>
      </c>
      <c r="B177" s="80">
        <f>IFERROR(__xludf.DUMMYFUNCTION("""COMPUTED_VALUE"""),75.0)</f>
        <v>75</v>
      </c>
      <c r="C177" s="79" t="str">
        <f>IFERROR(__xludf.DUMMYFUNCTION("""COMPUTED_VALUE"""),"Cash")</f>
        <v>Cash</v>
      </c>
      <c r="D177" s="79" t="str">
        <f>IFERROR(__xludf.DUMMYFUNCTION("""COMPUTED_VALUE"""),"Other")</f>
        <v>Other</v>
      </c>
      <c r="E177" s="86" t="str">
        <f t="shared" si="1"/>
        <v>Aug</v>
      </c>
      <c r="F177" s="79" t="str">
        <f>IFERROR(__xludf.DUMMYFUNCTION("""COMPUTED_VALUE"""),"Gil")</f>
        <v>Gil</v>
      </c>
      <c r="J177" s="88"/>
    </row>
    <row r="178">
      <c r="A178" s="85">
        <f>IFERROR(__xludf.DUMMYFUNCTION("""COMPUTED_VALUE"""),45504.0)</f>
        <v>45504</v>
      </c>
      <c r="B178" s="80">
        <f>IFERROR(__xludf.DUMMYFUNCTION("""COMPUTED_VALUE"""),469.03)</f>
        <v>469.03</v>
      </c>
      <c r="C178" s="79" t="str">
        <f>IFERROR(__xludf.DUMMYFUNCTION("""COMPUTED_VALUE"""),"08/02/2024 (#33971)")</f>
        <v>08/02/2024 (#33971)</v>
      </c>
      <c r="D178" s="79" t="str">
        <f>IFERROR(__xludf.DUMMYFUNCTION("""COMPUTED_VALUE"""),"JOE")</f>
        <v>JOE</v>
      </c>
      <c r="E178" s="86" t="str">
        <f t="shared" si="1"/>
        <v>Jul</v>
      </c>
      <c r="F178" s="79" t="str">
        <f>IFERROR(__xludf.DUMMYFUNCTION("""COMPUTED_VALUE"""),"Gil")</f>
        <v>Gil</v>
      </c>
      <c r="J178" s="88"/>
    </row>
    <row r="179">
      <c r="A179" s="85">
        <f>IFERROR(__xludf.DUMMYFUNCTION("""COMPUTED_VALUE"""),45504.0)</f>
        <v>45504</v>
      </c>
      <c r="B179" s="80">
        <f>IFERROR(__xludf.DUMMYFUNCTION("""COMPUTED_VALUE"""),220.51)</f>
        <v>220.51</v>
      </c>
      <c r="C179" s="79" t="str">
        <f>IFERROR(__xludf.DUMMYFUNCTION("""COMPUTED_VALUE"""),"08/02/2024 (#33971) - 401k")</f>
        <v>08/02/2024 (#33971) - 401k</v>
      </c>
      <c r="D179" s="79" t="str">
        <f>IFERROR(__xludf.DUMMYFUNCTION("""COMPUTED_VALUE"""),"JOE")</f>
        <v>JOE</v>
      </c>
      <c r="E179" s="86" t="str">
        <f t="shared" si="1"/>
        <v>Jul</v>
      </c>
      <c r="F179" s="79" t="str">
        <f>IFERROR(__xludf.DUMMYFUNCTION("""COMPUTED_VALUE"""),"Gil")</f>
        <v>Gil</v>
      </c>
      <c r="J179" s="88"/>
    </row>
    <row r="180">
      <c r="A180" s="85">
        <f>IFERROR(__xludf.DUMMYFUNCTION("""COMPUTED_VALUE"""),45472.0)</f>
        <v>45472</v>
      </c>
      <c r="B180" s="80">
        <f>IFERROR(__xludf.DUMMYFUNCTION("""COMPUTED_VALUE"""),56.0)</f>
        <v>56</v>
      </c>
      <c r="C180" s="79" t="str">
        <f>IFERROR(__xludf.DUMMYFUNCTION("""COMPUTED_VALUE"""),"Belize flight refund")</f>
        <v>Belize flight refund</v>
      </c>
      <c r="D180" s="79" t="str">
        <f>IFERROR(__xludf.DUMMYFUNCTION("""COMPUTED_VALUE"""),"Other")</f>
        <v>Other</v>
      </c>
      <c r="E180" s="86" t="str">
        <f t="shared" si="1"/>
        <v>Jun</v>
      </c>
      <c r="F180" s="79" t="str">
        <f>IFERROR(__xludf.DUMMYFUNCTION("""COMPUTED_VALUE"""),"Shaeffer")</f>
        <v>Shaeffer</v>
      </c>
      <c r="J180" s="88"/>
    </row>
    <row r="181">
      <c r="A181" s="85">
        <f>IFERROR(__xludf.DUMMYFUNCTION("""COMPUTED_VALUE"""),45504.0)</f>
        <v>45504</v>
      </c>
      <c r="B181" s="80">
        <f>IFERROR(__xludf.DUMMYFUNCTION("""COMPUTED_VALUE"""),4337.46)</f>
        <v>4337.46</v>
      </c>
      <c r="C181" s="79" t="str">
        <f>IFERROR(__xludf.DUMMYFUNCTION("""COMPUTED_VALUE"""),"salary")</f>
        <v>salary</v>
      </c>
      <c r="D181" s="79" t="str">
        <f>IFERROR(__xludf.DUMMYFUNCTION("""COMPUTED_VALUE"""),"Altuzarra")</f>
        <v>Altuzarra</v>
      </c>
      <c r="E181" s="86" t="str">
        <f t="shared" si="1"/>
        <v>Jul</v>
      </c>
      <c r="F181" s="79" t="str">
        <f>IFERROR(__xludf.DUMMYFUNCTION("""COMPUTED_VALUE"""),"Shaeffer")</f>
        <v>Shaeffer</v>
      </c>
      <c r="J181" s="88"/>
    </row>
    <row r="182">
      <c r="A182" s="85">
        <f>IFERROR(__xludf.DUMMYFUNCTION("""COMPUTED_VALUE"""),45510.0)</f>
        <v>45510</v>
      </c>
      <c r="B182" s="80">
        <f>IFERROR(__xludf.DUMMYFUNCTION("""COMPUTED_VALUE"""),8.71)</f>
        <v>8.71</v>
      </c>
      <c r="C182" s="79" t="str">
        <f>IFERROR(__xludf.DUMMYFUNCTION("""COMPUTED_VALUE"""),"Cash Tips")</f>
        <v>Cash Tips</v>
      </c>
      <c r="D182" s="79" t="str">
        <f>IFERROR(__xludf.DUMMYFUNCTION("""COMPUTED_VALUE"""),"JOE")</f>
        <v>JOE</v>
      </c>
      <c r="E182" s="86" t="str">
        <f t="shared" si="1"/>
        <v>Aug</v>
      </c>
      <c r="F182" s="79" t="str">
        <f>IFERROR(__xludf.DUMMYFUNCTION("""COMPUTED_VALUE"""),"Gil")</f>
        <v>Gil</v>
      </c>
      <c r="J182" s="88"/>
    </row>
    <row r="183">
      <c r="A183" s="85">
        <f>IFERROR(__xludf.DUMMYFUNCTION("""COMPUTED_VALUE"""),45511.0)</f>
        <v>45511</v>
      </c>
      <c r="B183" s="80">
        <f>IFERROR(__xludf.DUMMYFUNCTION("""COMPUTED_VALUE"""),11.92)</f>
        <v>11.92</v>
      </c>
      <c r="C183" s="79" t="str">
        <f>IFERROR(__xludf.DUMMYFUNCTION("""COMPUTED_VALUE"""),"Cash Tips")</f>
        <v>Cash Tips</v>
      </c>
      <c r="D183" s="79" t="str">
        <f>IFERROR(__xludf.DUMMYFUNCTION("""COMPUTED_VALUE"""),"JOE")</f>
        <v>JOE</v>
      </c>
      <c r="E183" s="86" t="str">
        <f t="shared" si="1"/>
        <v>Aug</v>
      </c>
      <c r="F183" s="79" t="str">
        <f>IFERROR(__xludf.DUMMYFUNCTION("""COMPUTED_VALUE"""),"Gil")</f>
        <v>Gil</v>
      </c>
      <c r="J183" s="88"/>
    </row>
    <row r="184">
      <c r="A184" s="85">
        <f>IFERROR(__xludf.DUMMYFUNCTION("""COMPUTED_VALUE"""),45504.0)</f>
        <v>45504</v>
      </c>
      <c r="B184" s="80">
        <f>IFERROR(__xludf.DUMMYFUNCTION("""COMPUTED_VALUE"""),328.58)</f>
        <v>328.58</v>
      </c>
      <c r="C184" s="79" t="str">
        <f>IFERROR(__xludf.DUMMYFUNCTION("""COMPUTED_VALUE"""),"07/28/2024 - 08/10/2024")</f>
        <v>07/28/2024 - 08/10/2024</v>
      </c>
      <c r="D184" s="79" t="str">
        <f>IFERROR(__xludf.DUMMYFUNCTION("""COMPUTED_VALUE"""),"KAL")</f>
        <v>KAL</v>
      </c>
      <c r="E184" s="86" t="str">
        <f t="shared" si="1"/>
        <v>Jul</v>
      </c>
      <c r="F184" s="79" t="str">
        <f>IFERROR(__xludf.DUMMYFUNCTION("""COMPUTED_VALUE"""),"Gil")</f>
        <v>Gil</v>
      </c>
      <c r="J184" s="88"/>
    </row>
    <row r="185">
      <c r="A185" s="85">
        <f>IFERROR(__xludf.DUMMYFUNCTION("""COMPUTED_VALUE"""),45511.0)</f>
        <v>45511</v>
      </c>
      <c r="B185" s="80">
        <f>IFERROR(__xludf.DUMMYFUNCTION("""COMPUTED_VALUE"""),657.17)</f>
        <v>657.17</v>
      </c>
      <c r="C185" s="79" t="str">
        <f>IFERROR(__xludf.DUMMYFUNCTION("""COMPUTED_VALUE"""),"07/28/2024 - 08/10/2024")</f>
        <v>07/28/2024 - 08/10/2024</v>
      </c>
      <c r="D185" s="79" t="str">
        <f>IFERROR(__xludf.DUMMYFUNCTION("""COMPUTED_VALUE"""),"KAL")</f>
        <v>KAL</v>
      </c>
      <c r="E185" s="86" t="str">
        <f t="shared" si="1"/>
        <v>Aug</v>
      </c>
      <c r="F185" s="79" t="str">
        <f>IFERROR(__xludf.DUMMYFUNCTION("""COMPUTED_VALUE"""),"Gil")</f>
        <v>Gil</v>
      </c>
      <c r="J185" s="88"/>
    </row>
    <row r="186">
      <c r="A186" s="85">
        <f>IFERROR(__xludf.DUMMYFUNCTION("""COMPUTED_VALUE"""),45513.0)</f>
        <v>45513</v>
      </c>
      <c r="B186" s="80">
        <f>IFERROR(__xludf.DUMMYFUNCTION("""COMPUTED_VALUE"""),442.59)</f>
        <v>442.59</v>
      </c>
      <c r="C186" s="79" t="str">
        <f>IFERROR(__xludf.DUMMYFUNCTION("""COMPUTED_VALUE"""),"08/09/2024 (#34190)")</f>
        <v>08/09/2024 (#34190)</v>
      </c>
      <c r="D186" s="79" t="str">
        <f>IFERROR(__xludf.DUMMYFUNCTION("""COMPUTED_VALUE"""),"JOE")</f>
        <v>JOE</v>
      </c>
      <c r="E186" s="86" t="str">
        <f t="shared" si="1"/>
        <v>Aug</v>
      </c>
      <c r="F186" s="79" t="str">
        <f>IFERROR(__xludf.DUMMYFUNCTION("""COMPUTED_VALUE"""),"Gil")</f>
        <v>Gil</v>
      </c>
      <c r="J186" s="88"/>
    </row>
    <row r="187">
      <c r="A187" s="85">
        <f>IFERROR(__xludf.DUMMYFUNCTION("""COMPUTED_VALUE"""),45513.0)</f>
        <v>45513</v>
      </c>
      <c r="B187" s="80">
        <f>IFERROR(__xludf.DUMMYFUNCTION("""COMPUTED_VALUE"""),210.19)</f>
        <v>210.19</v>
      </c>
      <c r="C187" s="79" t="str">
        <f>IFERROR(__xludf.DUMMYFUNCTION("""COMPUTED_VALUE"""),"08/09/2024 (#34190) - 401k")</f>
        <v>08/09/2024 (#34190) - 401k</v>
      </c>
      <c r="D187" s="79" t="str">
        <f>IFERROR(__xludf.DUMMYFUNCTION("""COMPUTED_VALUE"""),"JOE")</f>
        <v>JOE</v>
      </c>
      <c r="E187" s="86" t="str">
        <f t="shared" si="1"/>
        <v>Aug</v>
      </c>
      <c r="F187" s="79" t="str">
        <f>IFERROR(__xludf.DUMMYFUNCTION("""COMPUTED_VALUE"""),"Gil")</f>
        <v>Gil</v>
      </c>
      <c r="J187" s="88"/>
    </row>
    <row r="188">
      <c r="A188" s="85">
        <f>IFERROR(__xludf.DUMMYFUNCTION("""COMPUTED_VALUE"""),45514.0)</f>
        <v>45514</v>
      </c>
      <c r="B188" s="80">
        <f>IFERROR(__xludf.DUMMYFUNCTION("""COMPUTED_VALUE"""),6.0)</f>
        <v>6</v>
      </c>
      <c r="C188" s="79" t="str">
        <f>IFERROR(__xludf.DUMMYFUNCTION("""COMPUTED_VALUE"""),"Cash")</f>
        <v>Cash</v>
      </c>
      <c r="D188" s="79" t="str">
        <f>IFERROR(__xludf.DUMMYFUNCTION("""COMPUTED_VALUE"""),"Other")</f>
        <v>Other</v>
      </c>
      <c r="E188" s="86" t="str">
        <f t="shared" si="1"/>
        <v>Aug</v>
      </c>
      <c r="F188" s="79" t="str">
        <f>IFERROR(__xludf.DUMMYFUNCTION("""COMPUTED_VALUE"""),"Gil")</f>
        <v>Gil</v>
      </c>
      <c r="J188" s="88"/>
    </row>
    <row r="189">
      <c r="A189" s="85">
        <f>IFERROR(__xludf.DUMMYFUNCTION("""COMPUTED_VALUE"""),45514.0)</f>
        <v>45514</v>
      </c>
      <c r="B189" s="80">
        <f>IFERROR(__xludf.DUMMYFUNCTION("""COMPUTED_VALUE"""),38.0)</f>
        <v>38</v>
      </c>
      <c r="C189" s="79" t="str">
        <f>IFERROR(__xludf.DUMMYFUNCTION("""COMPUTED_VALUE"""),"Cash")</f>
        <v>Cash</v>
      </c>
      <c r="D189" s="79" t="str">
        <f>IFERROR(__xludf.DUMMYFUNCTION("""COMPUTED_VALUE"""),"Other")</f>
        <v>Other</v>
      </c>
      <c r="E189" s="86" t="str">
        <f t="shared" si="1"/>
        <v>Aug</v>
      </c>
      <c r="F189" s="79" t="str">
        <f>IFERROR(__xludf.DUMMYFUNCTION("""COMPUTED_VALUE"""),"Gil")</f>
        <v>Gil</v>
      </c>
      <c r="J189" s="88"/>
    </row>
    <row r="190">
      <c r="A190" s="85">
        <f>IFERROR(__xludf.DUMMYFUNCTION("""COMPUTED_VALUE"""),45520.0)</f>
        <v>45520</v>
      </c>
      <c r="B190" s="80">
        <f>IFERROR(__xludf.DUMMYFUNCTION("""COMPUTED_VALUE"""),389.66)</f>
        <v>389.66</v>
      </c>
      <c r="C190" s="79" t="str">
        <f>IFERROR(__xludf.DUMMYFUNCTION("""COMPUTED_VALUE"""),"08/16/2024 (#34465)")</f>
        <v>08/16/2024 (#34465)</v>
      </c>
      <c r="D190" s="79" t="str">
        <f>IFERROR(__xludf.DUMMYFUNCTION("""COMPUTED_VALUE"""),"JOE")</f>
        <v>JOE</v>
      </c>
      <c r="E190" s="86" t="str">
        <f t="shared" si="1"/>
        <v>Aug</v>
      </c>
      <c r="F190" s="79" t="str">
        <f>IFERROR(__xludf.DUMMYFUNCTION("""COMPUTED_VALUE"""),"Gil")</f>
        <v>Gil</v>
      </c>
      <c r="J190" s="88"/>
    </row>
    <row r="191">
      <c r="A191" s="85">
        <f>IFERROR(__xludf.DUMMYFUNCTION("""COMPUTED_VALUE"""),45520.0)</f>
        <v>45520</v>
      </c>
      <c r="B191" s="80">
        <f>IFERROR(__xludf.DUMMYFUNCTION("""COMPUTED_VALUE"""),180.3)</f>
        <v>180.3</v>
      </c>
      <c r="C191" s="79" t="str">
        <f>IFERROR(__xludf.DUMMYFUNCTION("""COMPUTED_VALUE"""),"08/16/2024 (#34465) - 401k")</f>
        <v>08/16/2024 (#34465) - 401k</v>
      </c>
      <c r="D191" s="79" t="str">
        <f>IFERROR(__xludf.DUMMYFUNCTION("""COMPUTED_VALUE"""),"JOE")</f>
        <v>JOE</v>
      </c>
      <c r="E191" s="86" t="str">
        <f t="shared" si="1"/>
        <v>Aug</v>
      </c>
      <c r="F191" s="79" t="str">
        <f>IFERROR(__xludf.DUMMYFUNCTION("""COMPUTED_VALUE"""),"Gil")</f>
        <v>Gil</v>
      </c>
      <c r="J191" s="88"/>
    </row>
    <row r="192">
      <c r="A192" s="85">
        <f>IFERROR(__xludf.DUMMYFUNCTION("""COMPUTED_VALUE"""),45525.0)</f>
        <v>45525</v>
      </c>
      <c r="B192" s="80">
        <f>IFERROR(__xludf.DUMMYFUNCTION("""COMPUTED_VALUE"""),175.64)</f>
        <v>175.64</v>
      </c>
      <c r="C192" s="79" t="str">
        <f>IFERROR(__xludf.DUMMYFUNCTION("""COMPUTED_VALUE"""),"08/11/2024 - 08/24/2024")</f>
        <v>08/11/2024 - 08/24/2024</v>
      </c>
      <c r="D192" s="79" t="str">
        <f>IFERROR(__xludf.DUMMYFUNCTION("""COMPUTED_VALUE"""),"KAL")</f>
        <v>KAL</v>
      </c>
      <c r="E192" s="86" t="str">
        <f t="shared" si="1"/>
        <v>Aug</v>
      </c>
      <c r="F192" s="79" t="str">
        <f>IFERROR(__xludf.DUMMYFUNCTION("""COMPUTED_VALUE"""),"Gil")</f>
        <v>Gil</v>
      </c>
      <c r="J192" s="88"/>
    </row>
    <row r="193">
      <c r="A193" s="85">
        <f>IFERROR(__xludf.DUMMYFUNCTION("""COMPUTED_VALUE"""),45519.0)</f>
        <v>45519</v>
      </c>
      <c r="B193" s="80">
        <f>IFERROR(__xludf.DUMMYFUNCTION("""COMPUTED_VALUE"""),4337.46)</f>
        <v>4337.46</v>
      </c>
      <c r="C193" s="79" t="str">
        <f>IFERROR(__xludf.DUMMYFUNCTION("""COMPUTED_VALUE"""),"Salary")</f>
        <v>Salary</v>
      </c>
      <c r="D193" s="79" t="str">
        <f>IFERROR(__xludf.DUMMYFUNCTION("""COMPUTED_VALUE"""),"Altuzarra")</f>
        <v>Altuzarra</v>
      </c>
      <c r="E193" s="86" t="str">
        <f t="shared" si="1"/>
        <v>Aug</v>
      </c>
      <c r="F193" s="79" t="str">
        <f>IFERROR(__xludf.DUMMYFUNCTION("""COMPUTED_VALUE"""),"Shaeffer")</f>
        <v>Shaeffer</v>
      </c>
      <c r="J193" s="88"/>
    </row>
    <row r="194">
      <c r="A194" s="85">
        <f>IFERROR(__xludf.DUMMYFUNCTION("""COMPUTED_VALUE"""),45527.0)</f>
        <v>45527</v>
      </c>
      <c r="B194" s="80">
        <f>IFERROR(__xludf.DUMMYFUNCTION("""COMPUTED_VALUE"""),440.49)</f>
        <v>440.49</v>
      </c>
      <c r="C194" s="79" t="str">
        <f>IFERROR(__xludf.DUMMYFUNCTION("""COMPUTED_VALUE"""),"08/23/2024 (#34676)")</f>
        <v>08/23/2024 (#34676)</v>
      </c>
      <c r="D194" s="79" t="str">
        <f>IFERROR(__xludf.DUMMYFUNCTION("""COMPUTED_VALUE"""),"JOE")</f>
        <v>JOE</v>
      </c>
      <c r="E194" s="86" t="str">
        <f t="shared" si="1"/>
        <v>Aug</v>
      </c>
      <c r="F194" s="79" t="str">
        <f>IFERROR(__xludf.DUMMYFUNCTION("""COMPUTED_VALUE"""),"Gil")</f>
        <v>Gil</v>
      </c>
      <c r="J194" s="88"/>
    </row>
    <row r="195">
      <c r="A195" s="85">
        <f>IFERROR(__xludf.DUMMYFUNCTION("""COMPUTED_VALUE"""),45527.0)</f>
        <v>45527</v>
      </c>
      <c r="B195" s="80">
        <f>IFERROR(__xludf.DUMMYFUNCTION("""COMPUTED_VALUE"""),208.13)</f>
        <v>208.13</v>
      </c>
      <c r="C195" s="79" t="str">
        <f>IFERROR(__xludf.DUMMYFUNCTION("""COMPUTED_VALUE"""),"08/23/2024 (#34676) - 401k")</f>
        <v>08/23/2024 (#34676) - 401k</v>
      </c>
      <c r="D195" s="79" t="str">
        <f>IFERROR(__xludf.DUMMYFUNCTION("""COMPUTED_VALUE"""),"JOE")</f>
        <v>JOE</v>
      </c>
      <c r="E195" s="86" t="str">
        <f t="shared" si="1"/>
        <v>Aug</v>
      </c>
      <c r="F195" s="79" t="str">
        <f>IFERROR(__xludf.DUMMYFUNCTION("""COMPUTED_VALUE"""),"Gil")</f>
        <v>Gil</v>
      </c>
      <c r="J195" s="88"/>
    </row>
    <row r="196">
      <c r="A196" s="85">
        <f>IFERROR(__xludf.DUMMYFUNCTION("""COMPUTED_VALUE"""),45528.0)</f>
        <v>45528</v>
      </c>
      <c r="B196" s="80">
        <f>IFERROR(__xludf.DUMMYFUNCTION("""COMPUTED_VALUE"""),105.0)</f>
        <v>105</v>
      </c>
      <c r="C196" s="79" t="str">
        <f>IFERROR(__xludf.DUMMYFUNCTION("""COMPUTED_VALUE"""),"8.24 AJ &amp; Sharv")</f>
        <v>8.24 AJ &amp; Sharv</v>
      </c>
      <c r="D196" s="79" t="str">
        <f>IFERROR(__xludf.DUMMYFUNCTION("""COMPUTED_VALUE"""),"STE")</f>
        <v>STE</v>
      </c>
      <c r="E196" s="86" t="str">
        <f t="shared" si="1"/>
        <v>Aug</v>
      </c>
      <c r="F196" s="79" t="str">
        <f>IFERROR(__xludf.DUMMYFUNCTION("""COMPUTED_VALUE"""),"Gil")</f>
        <v>Gil</v>
      </c>
      <c r="J196" s="88"/>
    </row>
    <row r="197">
      <c r="A197" s="85">
        <f>IFERROR(__xludf.DUMMYFUNCTION("""COMPUTED_VALUE"""),45532.0)</f>
        <v>45532</v>
      </c>
      <c r="B197" s="80">
        <f>IFERROR(__xludf.DUMMYFUNCTION("""COMPUTED_VALUE"""),5.14)</f>
        <v>5.14</v>
      </c>
      <c r="C197" s="79" t="str">
        <f>IFERROR(__xludf.DUMMYFUNCTION("""COMPUTED_VALUE"""),"Cash Tips")</f>
        <v>Cash Tips</v>
      </c>
      <c r="D197" s="79" t="str">
        <f>IFERROR(__xludf.DUMMYFUNCTION("""COMPUTED_VALUE"""),"JOE")</f>
        <v>JOE</v>
      </c>
      <c r="E197" s="86" t="str">
        <f t="shared" si="1"/>
        <v>Aug</v>
      </c>
      <c r="F197" s="79" t="str">
        <f>IFERROR(__xludf.DUMMYFUNCTION("""COMPUTED_VALUE"""),"Gil")</f>
        <v>Gil</v>
      </c>
      <c r="J197" s="88"/>
    </row>
    <row r="198">
      <c r="A198" s="85">
        <f>IFERROR(__xludf.DUMMYFUNCTION("""COMPUTED_VALUE"""),45532.0)</f>
        <v>45532</v>
      </c>
      <c r="B198" s="80">
        <f>IFERROR(__xludf.DUMMYFUNCTION("""COMPUTED_VALUE"""),300.0)</f>
        <v>300</v>
      </c>
      <c r="C198" s="79" t="str">
        <f>IFERROR(__xludf.DUMMYFUNCTION("""COMPUTED_VALUE"""),"AJ &amp; Sharv 8.24")</f>
        <v>AJ &amp; Sharv 8.24</v>
      </c>
      <c r="D198" s="79" t="str">
        <f>IFERROR(__xludf.DUMMYFUNCTION("""COMPUTED_VALUE"""),"STE")</f>
        <v>STE</v>
      </c>
      <c r="E198" s="86" t="str">
        <f t="shared" si="1"/>
        <v>Aug</v>
      </c>
      <c r="F198" s="79" t="str">
        <f>IFERROR(__xludf.DUMMYFUNCTION("""COMPUTED_VALUE"""),"Gil")</f>
        <v>Gil</v>
      </c>
      <c r="J198" s="88"/>
    </row>
    <row r="199">
      <c r="A199" s="85">
        <f>IFERROR(__xludf.DUMMYFUNCTION("""COMPUTED_VALUE"""),45533.0)</f>
        <v>45533</v>
      </c>
      <c r="B199" s="80">
        <f>IFERROR(__xludf.DUMMYFUNCTION("""COMPUTED_VALUE"""),2.14)</f>
        <v>2.14</v>
      </c>
      <c r="C199" s="79" t="str">
        <f>IFERROR(__xludf.DUMMYFUNCTION("""COMPUTED_VALUE"""),"Cash Tips")</f>
        <v>Cash Tips</v>
      </c>
      <c r="D199" s="79" t="str">
        <f>IFERROR(__xludf.DUMMYFUNCTION("""COMPUTED_VALUE"""),"JOE")</f>
        <v>JOE</v>
      </c>
      <c r="E199" s="86" t="str">
        <f t="shared" si="1"/>
        <v>Aug</v>
      </c>
      <c r="F199" s="79" t="str">
        <f>IFERROR(__xludf.DUMMYFUNCTION("""COMPUTED_VALUE"""),"Gil")</f>
        <v>Gil</v>
      </c>
      <c r="J199" s="88"/>
    </row>
    <row r="200">
      <c r="A200" s="85">
        <f>IFERROR(__xludf.DUMMYFUNCTION("""COMPUTED_VALUE"""),45535.0)</f>
        <v>45535</v>
      </c>
      <c r="B200" s="80">
        <f>IFERROR(__xludf.DUMMYFUNCTION("""COMPUTED_VALUE"""),300.0)</f>
        <v>300</v>
      </c>
      <c r="C200" s="79" t="str">
        <f>IFERROR(__xludf.DUMMYFUNCTION("""COMPUTED_VALUE"""),"Lauren &amp; Tae 8/31/24")</f>
        <v>Lauren &amp; Tae 8/31/24</v>
      </c>
      <c r="D200" s="79" t="str">
        <f>IFERROR(__xludf.DUMMYFUNCTION("""COMPUTED_VALUE"""),"STE")</f>
        <v>STE</v>
      </c>
      <c r="E200" s="86" t="str">
        <f t="shared" si="1"/>
        <v>Aug</v>
      </c>
      <c r="F200" s="79" t="str">
        <f>IFERROR(__xludf.DUMMYFUNCTION("""COMPUTED_VALUE"""),"Gil")</f>
        <v>Gil</v>
      </c>
      <c r="J200" s="88"/>
    </row>
    <row r="201">
      <c r="A201" s="85">
        <f>IFERROR(__xludf.DUMMYFUNCTION("""COMPUTED_VALUE"""),45536.0)</f>
        <v>45536</v>
      </c>
      <c r="B201" s="80">
        <f>IFERROR(__xludf.DUMMYFUNCTION("""COMPUTED_VALUE"""),450.0)</f>
        <v>450</v>
      </c>
      <c r="C201" s="79" t="str">
        <f>IFERROR(__xludf.DUMMYFUNCTION("""COMPUTED_VALUE"""),"Andrew &amp; Ali 9/1/24 plus am")</f>
        <v>Andrew &amp; Ali 9/1/24 plus am</v>
      </c>
      <c r="D201" s="79" t="str">
        <f>IFERROR(__xludf.DUMMYFUNCTION("""COMPUTED_VALUE"""),"STE")</f>
        <v>STE</v>
      </c>
      <c r="E201" s="86" t="str">
        <f t="shared" si="1"/>
        <v>Sep</v>
      </c>
      <c r="F201" s="79" t="str">
        <f>IFERROR(__xludf.DUMMYFUNCTION("""COMPUTED_VALUE"""),"Gil")</f>
        <v>Gil</v>
      </c>
      <c r="J201" s="88"/>
    </row>
    <row r="202">
      <c r="A202" s="85">
        <f>IFERROR(__xludf.DUMMYFUNCTION("""COMPUTED_VALUE"""),45535.0)</f>
        <v>45535</v>
      </c>
      <c r="B202" s="80">
        <f>IFERROR(__xludf.DUMMYFUNCTION("""COMPUTED_VALUE"""),336.07)</f>
        <v>336.07</v>
      </c>
      <c r="C202" s="79" t="str">
        <f>IFERROR(__xludf.DUMMYFUNCTION("""COMPUTED_VALUE"""),"Pay Period Aug 25 - Sep 07, 2024")</f>
        <v>Pay Period Aug 25 - Sep 07, 2024</v>
      </c>
      <c r="D202" s="79" t="str">
        <f>IFERROR(__xludf.DUMMYFUNCTION("""COMPUTED_VALUE"""),"KAL")</f>
        <v>KAL</v>
      </c>
      <c r="E202" s="86" t="str">
        <f t="shared" si="1"/>
        <v>Aug</v>
      </c>
      <c r="F202" s="79" t="str">
        <f>IFERROR(__xludf.DUMMYFUNCTION("""COMPUTED_VALUE"""),"Gil")</f>
        <v>Gil</v>
      </c>
      <c r="J202" s="88"/>
    </row>
    <row r="203">
      <c r="A203" s="85">
        <f>IFERROR(__xludf.DUMMYFUNCTION("""COMPUTED_VALUE"""),45540.0)</f>
        <v>45540</v>
      </c>
      <c r="B203" s="80">
        <f>IFERROR(__xludf.DUMMYFUNCTION("""COMPUTED_VALUE"""),336.0)</f>
        <v>336</v>
      </c>
      <c r="C203" s="79" t="str">
        <f>IFERROR(__xludf.DUMMYFUNCTION("""COMPUTED_VALUE"""),"Pay Period Aug 25 - Sep 07, 2024")</f>
        <v>Pay Period Aug 25 - Sep 07, 2024</v>
      </c>
      <c r="D203" s="79" t="str">
        <f>IFERROR(__xludf.DUMMYFUNCTION("""COMPUTED_VALUE"""),"KAL")</f>
        <v>KAL</v>
      </c>
      <c r="E203" s="86" t="str">
        <f t="shared" si="1"/>
        <v>Sep</v>
      </c>
      <c r="F203" s="79" t="str">
        <f>IFERROR(__xludf.DUMMYFUNCTION("""COMPUTED_VALUE"""),"Gil")</f>
        <v>Gil</v>
      </c>
      <c r="J203" s="88"/>
    </row>
    <row r="204">
      <c r="A204" s="85">
        <f>IFERROR(__xludf.DUMMYFUNCTION("""COMPUTED_VALUE"""),45535.0)</f>
        <v>45535</v>
      </c>
      <c r="B204" s="80">
        <f>IFERROR(__xludf.DUMMYFUNCTION("""COMPUTED_VALUE"""),296.12)</f>
        <v>296.12</v>
      </c>
      <c r="C204" s="79" t="str">
        <f>IFERROR(__xludf.DUMMYFUNCTION("""COMPUTED_VALUE"""),"09/06/2024 (#35174)")</f>
        <v>09/06/2024 (#35174)</v>
      </c>
      <c r="D204" s="79" t="str">
        <f>IFERROR(__xludf.DUMMYFUNCTION("""COMPUTED_VALUE"""),"JOE")</f>
        <v>JOE</v>
      </c>
      <c r="E204" s="86" t="str">
        <f t="shared" si="1"/>
        <v>Aug</v>
      </c>
      <c r="F204" s="79" t="str">
        <f>IFERROR(__xludf.DUMMYFUNCTION("""COMPUTED_VALUE"""),"Gil")</f>
        <v>Gil</v>
      </c>
      <c r="J204" s="88"/>
    </row>
    <row r="205">
      <c r="A205" s="85">
        <f>IFERROR(__xludf.DUMMYFUNCTION("""COMPUTED_VALUE"""),45541.0)</f>
        <v>45541</v>
      </c>
      <c r="B205" s="80">
        <f>IFERROR(__xludf.DUMMYFUNCTION("""COMPUTED_VALUE"""),129.21)</f>
        <v>129.21</v>
      </c>
      <c r="C205" s="79" t="str">
        <f>IFERROR(__xludf.DUMMYFUNCTION("""COMPUTED_VALUE"""),"09/06/2024 (#35174) - 401k")</f>
        <v>09/06/2024 (#35174) - 401k</v>
      </c>
      <c r="D205" s="79" t="str">
        <f>IFERROR(__xludf.DUMMYFUNCTION("""COMPUTED_VALUE"""),"JOE")</f>
        <v>JOE</v>
      </c>
      <c r="E205" s="86" t="str">
        <f t="shared" si="1"/>
        <v>Sep</v>
      </c>
      <c r="F205" s="79" t="str">
        <f>IFERROR(__xludf.DUMMYFUNCTION("""COMPUTED_VALUE"""),"Gil")</f>
        <v>Gil</v>
      </c>
      <c r="J205" s="88"/>
    </row>
    <row r="206">
      <c r="A206" s="85">
        <f>IFERROR(__xludf.DUMMYFUNCTION("""COMPUTED_VALUE"""),45544.0)</f>
        <v>45544</v>
      </c>
      <c r="B206" s="80">
        <f>IFERROR(__xludf.DUMMYFUNCTION("""COMPUTED_VALUE"""),350.0)</f>
        <v>350</v>
      </c>
      <c r="C206" s="79" t="str">
        <f>IFERROR(__xludf.DUMMYFUNCTION("""COMPUTED_VALUE"""),"9.7 Thomas &amp; Cammie")</f>
        <v>9.7 Thomas &amp; Cammie</v>
      </c>
      <c r="D206" s="79" t="str">
        <f>IFERROR(__xludf.DUMMYFUNCTION("""COMPUTED_VALUE"""),"STE")</f>
        <v>STE</v>
      </c>
      <c r="E206" s="86" t="str">
        <f t="shared" si="1"/>
        <v>Sep</v>
      </c>
      <c r="F206" s="79" t="str">
        <f>IFERROR(__xludf.DUMMYFUNCTION("""COMPUTED_VALUE"""),"Gil")</f>
        <v>Gil</v>
      </c>
      <c r="J206" s="88"/>
    </row>
    <row r="207">
      <c r="A207" s="85">
        <f>IFERROR(__xludf.DUMMYFUNCTION("""COMPUTED_VALUE"""),45534.0)</f>
        <v>45534</v>
      </c>
      <c r="B207" s="80">
        <f>IFERROR(__xludf.DUMMYFUNCTION("""COMPUTED_VALUE"""),4336.26)</f>
        <v>4336.26</v>
      </c>
      <c r="C207" s="79" t="str">
        <f>IFERROR(__xludf.DUMMYFUNCTION("""COMPUTED_VALUE"""),"paycheck")</f>
        <v>paycheck</v>
      </c>
      <c r="D207" s="79" t="str">
        <f>IFERROR(__xludf.DUMMYFUNCTION("""COMPUTED_VALUE"""),"Altuzarra")</f>
        <v>Altuzarra</v>
      </c>
      <c r="E207" s="86" t="str">
        <f t="shared" si="1"/>
        <v>Aug</v>
      </c>
      <c r="F207" s="79" t="str">
        <f>IFERROR(__xludf.DUMMYFUNCTION("""COMPUTED_VALUE"""),"Shaeffer")</f>
        <v>Shaeffer</v>
      </c>
      <c r="J207" s="88"/>
    </row>
    <row r="208">
      <c r="A208" s="85">
        <f>IFERROR(__xludf.DUMMYFUNCTION("""COMPUTED_VALUE"""),45542.0)</f>
        <v>45542</v>
      </c>
      <c r="B208" s="80">
        <f>IFERROR(__xludf.DUMMYFUNCTION("""COMPUTED_VALUE"""),57.0)</f>
        <v>57</v>
      </c>
      <c r="C208" s="79" t="str">
        <f>IFERROR(__xludf.DUMMYFUNCTION("""COMPUTED_VALUE"""),"Cash Tips")</f>
        <v>Cash Tips</v>
      </c>
      <c r="D208" s="79" t="str">
        <f>IFERROR(__xludf.DUMMYFUNCTION("""COMPUTED_VALUE"""),"STE")</f>
        <v>STE</v>
      </c>
      <c r="E208" s="86" t="str">
        <f t="shared" si="1"/>
        <v>Sep</v>
      </c>
      <c r="F208" s="79" t="str">
        <f>IFERROR(__xludf.DUMMYFUNCTION("""COMPUTED_VALUE"""),"Gil")</f>
        <v>Gil</v>
      </c>
      <c r="J208" s="88"/>
    </row>
    <row r="209">
      <c r="A209" s="85">
        <f>IFERROR(__xludf.DUMMYFUNCTION("""COMPUTED_VALUE"""),45548.0)</f>
        <v>45548</v>
      </c>
      <c r="B209" s="80">
        <f>IFERROR(__xludf.DUMMYFUNCTION("""COMPUTED_VALUE"""),450.66)</f>
        <v>450.66</v>
      </c>
      <c r="C209" s="79" t="str">
        <f>IFERROR(__xludf.DUMMYFUNCTION("""COMPUTED_VALUE"""),"09/13/2024 (#35380)")</f>
        <v>09/13/2024 (#35380)</v>
      </c>
      <c r="D209" s="79" t="str">
        <f>IFERROR(__xludf.DUMMYFUNCTION("""COMPUTED_VALUE"""),"JOE")</f>
        <v>JOE</v>
      </c>
      <c r="E209" s="86" t="str">
        <f t="shared" si="1"/>
        <v>Sep</v>
      </c>
      <c r="F209" s="79" t="str">
        <f>IFERROR(__xludf.DUMMYFUNCTION("""COMPUTED_VALUE"""),"Gil")</f>
        <v>Gil</v>
      </c>
      <c r="J209" s="88"/>
    </row>
    <row r="210">
      <c r="A210" s="85">
        <f>IFERROR(__xludf.DUMMYFUNCTION("""COMPUTED_VALUE"""),45548.0)</f>
        <v>45548</v>
      </c>
      <c r="B210" s="80">
        <f>IFERROR(__xludf.DUMMYFUNCTION("""COMPUTED_VALUE"""),214.6)</f>
        <v>214.6</v>
      </c>
      <c r="C210" s="79" t="str">
        <f>IFERROR(__xludf.DUMMYFUNCTION("""COMPUTED_VALUE"""),"09/13/2024 (#35380) - 401k")</f>
        <v>09/13/2024 (#35380) - 401k</v>
      </c>
      <c r="D210" s="79" t="str">
        <f>IFERROR(__xludf.DUMMYFUNCTION("""COMPUTED_VALUE"""),"JOE")</f>
        <v>JOE</v>
      </c>
      <c r="E210" s="86" t="str">
        <f t="shared" si="1"/>
        <v>Sep</v>
      </c>
      <c r="F210" s="79" t="str">
        <f>IFERROR(__xludf.DUMMYFUNCTION("""COMPUTED_VALUE"""),"Gil")</f>
        <v>Gil</v>
      </c>
      <c r="J210" s="88"/>
    </row>
    <row r="211">
      <c r="A211" s="85">
        <f>IFERROR(__xludf.DUMMYFUNCTION("""COMPUTED_VALUE"""),45548.0)</f>
        <v>45548</v>
      </c>
      <c r="B211" s="80">
        <f>IFERROR(__xludf.DUMMYFUNCTION("""COMPUTED_VALUE"""),1955.0)</f>
        <v>1955</v>
      </c>
      <c r="C211" s="79" t="str">
        <f>IFERROR(__xludf.DUMMYFUNCTION("""COMPUTED_VALUE"""),"Julia Amory invoice #2")</f>
        <v>Julia Amory invoice #2</v>
      </c>
      <c r="D211" s="79" t="str">
        <f>IFERROR(__xludf.DUMMYFUNCTION("""COMPUTED_VALUE"""),"Julia Amory")</f>
        <v>Julia Amory</v>
      </c>
      <c r="E211" s="86" t="str">
        <f t="shared" si="1"/>
        <v>Sep</v>
      </c>
      <c r="F211" s="79" t="str">
        <f>IFERROR(__xludf.DUMMYFUNCTION("""COMPUTED_VALUE"""),"Shaeffer")</f>
        <v>Shaeffer</v>
      </c>
      <c r="J211" s="88"/>
    </row>
    <row r="212">
      <c r="A212" s="85">
        <f>IFERROR(__xludf.DUMMYFUNCTION("""COMPUTED_VALUE"""),45548.0)</f>
        <v>45548</v>
      </c>
      <c r="B212" s="80">
        <f>IFERROR(__xludf.DUMMYFUNCTION("""COMPUTED_VALUE"""),4337.46)</f>
        <v>4337.46</v>
      </c>
      <c r="C212" s="79" t="str">
        <f>IFERROR(__xludf.DUMMYFUNCTION("""COMPUTED_VALUE"""),"Altu")</f>
        <v>Altu</v>
      </c>
      <c r="D212" s="79" t="str">
        <f>IFERROR(__xludf.DUMMYFUNCTION("""COMPUTED_VALUE"""),"Altuzarra")</f>
        <v>Altuzarra</v>
      </c>
      <c r="E212" s="86" t="str">
        <f t="shared" si="1"/>
        <v>Sep</v>
      </c>
      <c r="F212" s="79" t="str">
        <f>IFERROR(__xludf.DUMMYFUNCTION("""COMPUTED_VALUE"""),"Shaeffer")</f>
        <v>Shaeffer</v>
      </c>
      <c r="J212" s="88"/>
    </row>
    <row r="213">
      <c r="A213" s="85">
        <f>IFERROR(__xludf.DUMMYFUNCTION("""COMPUTED_VALUE"""),45550.0)</f>
        <v>45550</v>
      </c>
      <c r="B213" s="80">
        <f>IFERROR(__xludf.DUMMYFUNCTION("""COMPUTED_VALUE"""),120.0)</f>
        <v>120</v>
      </c>
      <c r="C213" s="79" t="str">
        <f>IFERROR(__xludf.DUMMYFUNCTION("""COMPUTED_VALUE"""),"9.15 Danna &amp; Herschi - Cash Tips")</f>
        <v>9.15 Danna &amp; Herschi - Cash Tips</v>
      </c>
      <c r="D213" s="79" t="str">
        <f>IFERROR(__xludf.DUMMYFUNCTION("""COMPUTED_VALUE"""),"STE")</f>
        <v>STE</v>
      </c>
      <c r="E213" s="86" t="str">
        <f t="shared" si="1"/>
        <v>Sep</v>
      </c>
      <c r="F213" s="79" t="str">
        <f>IFERROR(__xludf.DUMMYFUNCTION("""COMPUTED_VALUE"""),"Gil")</f>
        <v>Gil</v>
      </c>
      <c r="J213" s="88"/>
    </row>
    <row r="214">
      <c r="A214" s="85">
        <f>IFERROR(__xludf.DUMMYFUNCTION("""COMPUTED_VALUE"""),45553.0)</f>
        <v>45553</v>
      </c>
      <c r="B214" s="80">
        <f>IFERROR(__xludf.DUMMYFUNCTION("""COMPUTED_VALUE"""),672.09)</f>
        <v>672.09</v>
      </c>
      <c r="C214" s="79" t="str">
        <f>IFERROR(__xludf.DUMMYFUNCTION("""COMPUTED_VALUE"""),"09/08/2024 - 09/21/2024")</f>
        <v>09/08/2024 - 09/21/2024</v>
      </c>
      <c r="D214" s="79" t="str">
        <f>IFERROR(__xludf.DUMMYFUNCTION("""COMPUTED_VALUE"""),"KAL")</f>
        <v>KAL</v>
      </c>
      <c r="E214" s="86" t="str">
        <f t="shared" si="1"/>
        <v>Sep</v>
      </c>
      <c r="F214" s="79" t="str">
        <f>IFERROR(__xludf.DUMMYFUNCTION("""COMPUTED_VALUE"""),"Gil")</f>
        <v>Gil</v>
      </c>
      <c r="J214" s="88"/>
    </row>
    <row r="215">
      <c r="A215" s="85">
        <f>IFERROR(__xludf.DUMMYFUNCTION("""COMPUTED_VALUE"""),45536.0)</f>
        <v>45536</v>
      </c>
      <c r="B215" s="80">
        <f>IFERROR(__xludf.DUMMYFUNCTION("""COMPUTED_VALUE"""),125.0)</f>
        <v>125</v>
      </c>
      <c r="C215" s="79" t="str">
        <f>IFERROR(__xludf.DUMMYFUNCTION("""COMPUTED_VALUE"""),"9.1 Andrew &amp; Ali")</f>
        <v>9.1 Andrew &amp; Ali</v>
      </c>
      <c r="D215" s="79" t="str">
        <f>IFERROR(__xludf.DUMMYFUNCTION("""COMPUTED_VALUE"""),"STE")</f>
        <v>STE</v>
      </c>
      <c r="E215" s="86" t="str">
        <f t="shared" si="1"/>
        <v>Sep</v>
      </c>
      <c r="F215" s="79" t="str">
        <f>IFERROR(__xludf.DUMMYFUNCTION("""COMPUTED_VALUE"""),"Gil")</f>
        <v>Gil</v>
      </c>
      <c r="J215" s="88"/>
    </row>
    <row r="216">
      <c r="A216" s="85">
        <f>IFERROR(__xludf.DUMMYFUNCTION("""COMPUTED_VALUE"""),45554.0)</f>
        <v>45554</v>
      </c>
      <c r="B216" s="80">
        <f>IFERROR(__xludf.DUMMYFUNCTION("""COMPUTED_VALUE"""),1200.0)</f>
        <v>1200</v>
      </c>
      <c r="C216" s="79" t="str">
        <f>IFERROR(__xludf.DUMMYFUNCTION("""COMPUTED_VALUE"""),"9.14,15,16")</f>
        <v>9.14,15,16</v>
      </c>
      <c r="D216" s="79" t="str">
        <f>IFERROR(__xludf.DUMMYFUNCTION("""COMPUTED_VALUE"""),"STE")</f>
        <v>STE</v>
      </c>
      <c r="E216" s="86" t="str">
        <f t="shared" si="1"/>
        <v>Sep</v>
      </c>
      <c r="F216" s="79" t="str">
        <f>IFERROR(__xludf.DUMMYFUNCTION("""COMPUTED_VALUE"""),"Gil")</f>
        <v>Gil</v>
      </c>
      <c r="J216" s="88"/>
    </row>
    <row r="217">
      <c r="A217" s="85">
        <f>IFERROR(__xludf.DUMMYFUNCTION("""COMPUTED_VALUE"""),45555.0)</f>
        <v>45555</v>
      </c>
      <c r="B217" s="80">
        <f>IFERROR(__xludf.DUMMYFUNCTION("""COMPUTED_VALUE"""),321.36)</f>
        <v>321.36</v>
      </c>
      <c r="C217" s="79" t="str">
        <f>IFERROR(__xludf.DUMMYFUNCTION("""COMPUTED_VALUE"""),"09/20/2024 (#35632)")</f>
        <v>09/20/2024 (#35632)</v>
      </c>
      <c r="D217" s="79" t="str">
        <f>IFERROR(__xludf.DUMMYFUNCTION("""COMPUTED_VALUE"""),"JOE")</f>
        <v>JOE</v>
      </c>
      <c r="E217" s="86" t="str">
        <f t="shared" si="1"/>
        <v>Sep</v>
      </c>
      <c r="F217" s="79" t="str">
        <f>IFERROR(__xludf.DUMMYFUNCTION("""COMPUTED_VALUE"""),"Gil")</f>
        <v>Gil</v>
      </c>
      <c r="J217" s="88"/>
    </row>
    <row r="218">
      <c r="A218" s="85">
        <f>IFERROR(__xludf.DUMMYFUNCTION("""COMPUTED_VALUE"""),45555.0)</f>
        <v>45555</v>
      </c>
      <c r="B218" s="80">
        <f>IFERROR(__xludf.DUMMYFUNCTION("""COMPUTED_VALUE"""),139.0)</f>
        <v>139</v>
      </c>
      <c r="C218" s="79" t="str">
        <f>IFERROR(__xludf.DUMMYFUNCTION("""COMPUTED_VALUE"""),"09/20/2024 (#35632) - 401k")</f>
        <v>09/20/2024 (#35632) - 401k</v>
      </c>
      <c r="D218" s="79" t="str">
        <f>IFERROR(__xludf.DUMMYFUNCTION("""COMPUTED_VALUE"""),"JOE")</f>
        <v>JOE</v>
      </c>
      <c r="E218" s="86" t="str">
        <f t="shared" si="1"/>
        <v>Sep</v>
      </c>
      <c r="F218" s="79" t="str">
        <f>IFERROR(__xludf.DUMMYFUNCTION("""COMPUTED_VALUE"""),"Gil")</f>
        <v>Gil</v>
      </c>
      <c r="J218" s="88"/>
    </row>
    <row r="219">
      <c r="A219" s="85">
        <f>IFERROR(__xludf.DUMMYFUNCTION("""COMPUTED_VALUE"""),45562.0)</f>
        <v>45562</v>
      </c>
      <c r="B219" s="80">
        <f>IFERROR(__xludf.DUMMYFUNCTION("""COMPUTED_VALUE"""),463.44)</f>
        <v>463.44</v>
      </c>
      <c r="C219" s="79" t="str">
        <f>IFERROR(__xludf.DUMMYFUNCTION("""COMPUTED_VALUE"""),"09/27/2024 (#35864)")</f>
        <v>09/27/2024 (#35864)</v>
      </c>
      <c r="D219" s="79" t="str">
        <f>IFERROR(__xludf.DUMMYFUNCTION("""COMPUTED_VALUE"""),"JOE")</f>
        <v>JOE</v>
      </c>
      <c r="E219" s="86" t="str">
        <f t="shared" si="1"/>
        <v>Sep</v>
      </c>
      <c r="F219" s="79" t="str">
        <f>IFERROR(__xludf.DUMMYFUNCTION("""COMPUTED_VALUE"""),"Gil")</f>
        <v>Gil</v>
      </c>
      <c r="J219" s="88"/>
    </row>
    <row r="220">
      <c r="A220" s="85">
        <f>IFERROR(__xludf.DUMMYFUNCTION("""COMPUTED_VALUE"""),45562.0)</f>
        <v>45562</v>
      </c>
      <c r="B220" s="80">
        <f>IFERROR(__xludf.DUMMYFUNCTION("""COMPUTED_VALUE"""),202.23)</f>
        <v>202.23</v>
      </c>
      <c r="C220" s="79" t="str">
        <f>IFERROR(__xludf.DUMMYFUNCTION("""COMPUTED_VALUE"""),"09/27/2024 (#35864) - 401k")</f>
        <v>09/27/2024 (#35864) - 401k</v>
      </c>
      <c r="D220" s="79" t="str">
        <f>IFERROR(__xludf.DUMMYFUNCTION("""COMPUTED_VALUE"""),"JOE")</f>
        <v>JOE</v>
      </c>
      <c r="E220" s="86" t="str">
        <f t="shared" si="1"/>
        <v>Sep</v>
      </c>
      <c r="F220" s="79" t="str">
        <f>IFERROR(__xludf.DUMMYFUNCTION("""COMPUTED_VALUE"""),"Gil")</f>
        <v>Gil</v>
      </c>
      <c r="J220" s="88"/>
    </row>
    <row r="221">
      <c r="A221" s="85">
        <f>IFERROR(__xludf.DUMMYFUNCTION("""COMPUTED_VALUE"""),45563.0)</f>
        <v>45563</v>
      </c>
      <c r="B221" s="80">
        <f>IFERROR(__xludf.DUMMYFUNCTION("""COMPUTED_VALUE"""),1100.0)</f>
        <v>1100</v>
      </c>
      <c r="C221" s="79" t="str">
        <f>IFERROR(__xludf.DUMMYFUNCTION("""COMPUTED_VALUE"""),"9.20 Vanessa &amp; Andrew; 9.21, Antoinette")</f>
        <v>9.20 Vanessa &amp; Andrew; 9.21, Antoinette</v>
      </c>
      <c r="D221" s="79" t="str">
        <f>IFERROR(__xludf.DUMMYFUNCTION("""COMPUTED_VALUE"""),"STE")</f>
        <v>STE</v>
      </c>
      <c r="E221" s="86" t="str">
        <f t="shared" si="1"/>
        <v>Sep</v>
      </c>
      <c r="F221" s="79" t="str">
        <f>IFERROR(__xludf.DUMMYFUNCTION("""COMPUTED_VALUE"""),"Gil")</f>
        <v>Gil</v>
      </c>
      <c r="J221" s="88"/>
    </row>
    <row r="222">
      <c r="A222" s="85">
        <f>IFERROR(__xludf.DUMMYFUNCTION("""COMPUTED_VALUE"""),45563.0)</f>
        <v>45563</v>
      </c>
      <c r="B222" s="80">
        <f>IFERROR(__xludf.DUMMYFUNCTION("""COMPUTED_VALUE"""),35.0)</f>
        <v>35</v>
      </c>
      <c r="C222" s="79" t="str">
        <f>IFERROR(__xludf.DUMMYFUNCTION("""COMPUTED_VALUE"""),"Cash")</f>
        <v>Cash</v>
      </c>
      <c r="D222" s="79" t="str">
        <f>IFERROR(__xludf.DUMMYFUNCTION("""COMPUTED_VALUE"""),"Other")</f>
        <v>Other</v>
      </c>
      <c r="E222" s="86" t="str">
        <f t="shared" si="1"/>
        <v>Sep</v>
      </c>
      <c r="F222" s="79" t="str">
        <f>IFERROR(__xludf.DUMMYFUNCTION("""COMPUTED_VALUE"""),"Gil")</f>
        <v>Gil</v>
      </c>
      <c r="J222" s="88"/>
    </row>
    <row r="223">
      <c r="A223" s="85">
        <f>IFERROR(__xludf.DUMMYFUNCTION("""COMPUTED_VALUE"""),45556.0)</f>
        <v>45556</v>
      </c>
      <c r="B223" s="80">
        <f>IFERROR(__xludf.DUMMYFUNCTION("""COMPUTED_VALUE"""),31.25)</f>
        <v>31.25</v>
      </c>
      <c r="C223" s="79" t="str">
        <f>IFERROR(__xludf.DUMMYFUNCTION("""COMPUTED_VALUE"""),"Cash Tips ")</f>
        <v>Cash Tips </v>
      </c>
      <c r="D223" s="79" t="str">
        <f>IFERROR(__xludf.DUMMYFUNCTION("""COMPUTED_VALUE"""),"STE")</f>
        <v>STE</v>
      </c>
      <c r="E223" s="86" t="str">
        <f t="shared" si="1"/>
        <v>Sep</v>
      </c>
      <c r="F223" s="79" t="str">
        <f>IFERROR(__xludf.DUMMYFUNCTION("""COMPUTED_VALUE"""),"Gil")</f>
        <v>Gil</v>
      </c>
      <c r="J223" s="88"/>
    </row>
    <row r="224">
      <c r="A224" s="85">
        <f>IFERROR(__xludf.DUMMYFUNCTION("""COMPUTED_VALUE"""),45562.0)</f>
        <v>45562</v>
      </c>
      <c r="B224" s="80">
        <f>IFERROR(__xludf.DUMMYFUNCTION("""COMPUTED_VALUE"""),62.5)</f>
        <v>62.5</v>
      </c>
      <c r="C224" s="79" t="str">
        <f>IFERROR(__xludf.DUMMYFUNCTION("""COMPUTED_VALUE"""),"Cash Tips")</f>
        <v>Cash Tips</v>
      </c>
      <c r="D224" s="79" t="str">
        <f>IFERROR(__xludf.DUMMYFUNCTION("""COMPUTED_VALUE"""),"STE")</f>
        <v>STE</v>
      </c>
      <c r="E224" s="86" t="str">
        <f t="shared" si="1"/>
        <v>Sep</v>
      </c>
      <c r="F224" s="79" t="str">
        <f>IFERROR(__xludf.DUMMYFUNCTION("""COMPUTED_VALUE"""),"Gil")</f>
        <v>Gil</v>
      </c>
      <c r="J224" s="88"/>
    </row>
    <row r="225">
      <c r="A225" s="85">
        <f>IFERROR(__xludf.DUMMYFUNCTION("""COMPUTED_VALUE"""),45564.0)</f>
        <v>45564</v>
      </c>
      <c r="B225" s="80">
        <f>IFERROR(__xludf.DUMMYFUNCTION("""COMPUTED_VALUE"""),240.0)</f>
        <v>240</v>
      </c>
      <c r="C225" s="79" t="str">
        <f>IFERROR(__xludf.DUMMYFUNCTION("""COMPUTED_VALUE"""),"Cash Tips")</f>
        <v>Cash Tips</v>
      </c>
      <c r="D225" s="79" t="str">
        <f>IFERROR(__xludf.DUMMYFUNCTION("""COMPUTED_VALUE"""),"STE")</f>
        <v>STE</v>
      </c>
      <c r="E225" s="86" t="str">
        <f t="shared" si="1"/>
        <v>Sep</v>
      </c>
      <c r="F225" s="79" t="str">
        <f>IFERROR(__xludf.DUMMYFUNCTION("""COMPUTED_VALUE"""),"Gil")</f>
        <v>Gil</v>
      </c>
      <c r="J225" s="88"/>
    </row>
    <row r="226">
      <c r="A226" s="85">
        <f>IFERROR(__xludf.DUMMYFUNCTION("""COMPUTED_VALUE"""),45562.0)</f>
        <v>45562</v>
      </c>
      <c r="B226" s="80">
        <f>IFERROR(__xludf.DUMMYFUNCTION("""COMPUTED_VALUE"""),4336.26)</f>
        <v>4336.26</v>
      </c>
      <c r="C226" s="79" t="str">
        <f>IFERROR(__xludf.DUMMYFUNCTION("""COMPUTED_VALUE"""),"altu")</f>
        <v>altu</v>
      </c>
      <c r="D226" s="79" t="str">
        <f>IFERROR(__xludf.DUMMYFUNCTION("""COMPUTED_VALUE"""),"Altuzarra")</f>
        <v>Altuzarra</v>
      </c>
      <c r="E226" s="86" t="str">
        <f t="shared" si="1"/>
        <v>Sep</v>
      </c>
      <c r="F226" s="79" t="str">
        <f>IFERROR(__xludf.DUMMYFUNCTION("""COMPUTED_VALUE"""),"Shaeffer")</f>
        <v>Shaeffer</v>
      </c>
      <c r="J226" s="88"/>
    </row>
    <row r="227">
      <c r="A227" s="85">
        <f>IFERROR(__xludf.DUMMYFUNCTION("""COMPUTED_VALUE"""),45555.0)</f>
        <v>45555</v>
      </c>
      <c r="B227" s="80">
        <f>IFERROR(__xludf.DUMMYFUNCTION("""COMPUTED_VALUE"""),357.0)</f>
        <v>357</v>
      </c>
      <c r="C227" s="79" t="str">
        <f>IFERROR(__xludf.DUMMYFUNCTION("""COMPUTED_VALUE"""),"Cash Tip")</f>
        <v>Cash Tip</v>
      </c>
      <c r="D227" s="79" t="str">
        <f>IFERROR(__xludf.DUMMYFUNCTION("""COMPUTED_VALUE"""),"STE")</f>
        <v>STE</v>
      </c>
      <c r="E227" s="86" t="str">
        <f t="shared" si="1"/>
        <v>Sep</v>
      </c>
      <c r="F227" s="79" t="str">
        <f>IFERROR(__xludf.DUMMYFUNCTION("""COMPUTED_VALUE"""),"Gil")</f>
        <v>Gil</v>
      </c>
      <c r="J227" s="88"/>
    </row>
    <row r="228">
      <c r="A228" s="85">
        <f>IFERROR(__xludf.DUMMYFUNCTION("""COMPUTED_VALUE"""),45565.0)</f>
        <v>45565</v>
      </c>
      <c r="B228" s="80">
        <f>IFERROR(__xludf.DUMMYFUNCTION("""COMPUTED_VALUE"""),516.0)</f>
        <v>516</v>
      </c>
      <c r="C228" s="79" t="str">
        <f>IFERROR(__xludf.DUMMYFUNCTION("""COMPUTED_VALUE"""),"Sep 22 - Oct 05, 2024")</f>
        <v>Sep 22 - Oct 05, 2024</v>
      </c>
      <c r="D228" s="79" t="str">
        <f>IFERROR(__xludf.DUMMYFUNCTION("""COMPUTED_VALUE"""),"KAL")</f>
        <v>KAL</v>
      </c>
      <c r="E228" s="86" t="str">
        <f t="shared" si="1"/>
        <v>Sep</v>
      </c>
      <c r="F228" s="79" t="str">
        <f>IFERROR(__xludf.DUMMYFUNCTION("""COMPUTED_VALUE"""),"Gil")</f>
        <v>Gil</v>
      </c>
      <c r="J228" s="88"/>
    </row>
    <row r="229">
      <c r="A229" s="85">
        <f>IFERROR(__xludf.DUMMYFUNCTION("""COMPUTED_VALUE"""),45567.0)</f>
        <v>45567</v>
      </c>
      <c r="B229" s="80">
        <f>IFERROR(__xludf.DUMMYFUNCTION("""COMPUTED_VALUE"""),314.7)</f>
        <v>314.7</v>
      </c>
      <c r="C229" s="79" t="str">
        <f>IFERROR(__xludf.DUMMYFUNCTION("""COMPUTED_VALUE"""),"Sep 22 - Oct 05, 2024")</f>
        <v>Sep 22 - Oct 05, 2024</v>
      </c>
      <c r="D229" s="79" t="str">
        <f>IFERROR(__xludf.DUMMYFUNCTION("""COMPUTED_VALUE"""),"KAL")</f>
        <v>KAL</v>
      </c>
      <c r="E229" s="86" t="str">
        <f t="shared" si="1"/>
        <v>Oct</v>
      </c>
      <c r="F229" s="79" t="str">
        <f>IFERROR(__xludf.DUMMYFUNCTION("""COMPUTED_VALUE"""),"Gil")</f>
        <v>Gil</v>
      </c>
      <c r="J229" s="88"/>
    </row>
    <row r="230">
      <c r="A230" s="85">
        <f>IFERROR(__xludf.DUMMYFUNCTION("""COMPUTED_VALUE"""),45565.0)</f>
        <v>45565</v>
      </c>
      <c r="B230" s="80">
        <f>IFERROR(__xludf.DUMMYFUNCTION("""COMPUTED_VALUE"""),403.78)</f>
        <v>403.78</v>
      </c>
      <c r="C230" s="79" t="str">
        <f>IFERROR(__xludf.DUMMYFUNCTION("""COMPUTED_VALUE"""),"10/04/2024 (#36124)")</f>
        <v>10/04/2024 (#36124)</v>
      </c>
      <c r="D230" s="79" t="str">
        <f>IFERROR(__xludf.DUMMYFUNCTION("""COMPUTED_VALUE"""),"JOE")</f>
        <v>JOE</v>
      </c>
      <c r="E230" s="86" t="str">
        <f t="shared" si="1"/>
        <v>Sep</v>
      </c>
      <c r="F230" s="79" t="str">
        <f>IFERROR(__xludf.DUMMYFUNCTION("""COMPUTED_VALUE"""),"Gil")</f>
        <v>Gil</v>
      </c>
      <c r="J230" s="88"/>
    </row>
    <row r="231">
      <c r="A231" s="85">
        <f>IFERROR(__xludf.DUMMYFUNCTION("""COMPUTED_VALUE"""),45565.0)</f>
        <v>45565</v>
      </c>
      <c r="B231" s="80">
        <f>IFERROR(__xludf.DUMMYFUNCTION("""COMPUTED_VALUE"""),175.2)</f>
        <v>175.2</v>
      </c>
      <c r="C231" s="79" t="str">
        <f>IFERROR(__xludf.DUMMYFUNCTION("""COMPUTED_VALUE"""),"10/04/2024 (#36124) - 401k")</f>
        <v>10/04/2024 (#36124) - 401k</v>
      </c>
      <c r="D231" s="79" t="str">
        <f>IFERROR(__xludf.DUMMYFUNCTION("""COMPUTED_VALUE"""),"JOE")</f>
        <v>JOE</v>
      </c>
      <c r="E231" s="86" t="str">
        <f t="shared" si="1"/>
        <v>Sep</v>
      </c>
      <c r="F231" s="79" t="str">
        <f>IFERROR(__xludf.DUMMYFUNCTION("""COMPUTED_VALUE"""),"Gil")</f>
        <v>Gil</v>
      </c>
      <c r="J231" s="88"/>
    </row>
    <row r="232">
      <c r="A232" s="85">
        <f>IFERROR(__xludf.DUMMYFUNCTION("""COMPUTED_VALUE"""),45569.0)</f>
        <v>45569</v>
      </c>
      <c r="B232" s="80">
        <f>IFERROR(__xludf.DUMMYFUNCTION("""COMPUTED_VALUE"""),40.0)</f>
        <v>40</v>
      </c>
      <c r="C232" s="79" t="str">
        <f>IFERROR(__xludf.DUMMYFUNCTION("""COMPUTED_VALUE"""),"Cash Tips")</f>
        <v>Cash Tips</v>
      </c>
      <c r="D232" s="79" t="str">
        <f>IFERROR(__xludf.DUMMYFUNCTION("""COMPUTED_VALUE"""),"STE")</f>
        <v>STE</v>
      </c>
      <c r="E232" s="86" t="str">
        <f t="shared" si="1"/>
        <v>Oct</v>
      </c>
      <c r="F232" s="79" t="str">
        <f>IFERROR(__xludf.DUMMYFUNCTION("""COMPUTED_VALUE"""),"Gil")</f>
        <v>Gil</v>
      </c>
      <c r="J232" s="88"/>
    </row>
    <row r="233">
      <c r="A233" s="85">
        <f>IFERROR(__xludf.DUMMYFUNCTION("""COMPUTED_VALUE"""),45570.0)</f>
        <v>45570</v>
      </c>
      <c r="B233" s="80">
        <f>IFERROR(__xludf.DUMMYFUNCTION("""COMPUTED_VALUE"""),170.0)</f>
        <v>170</v>
      </c>
      <c r="C233" s="79" t="str">
        <f>IFERROR(__xludf.DUMMYFUNCTION("""COMPUTED_VALUE"""),"Cash Tips")</f>
        <v>Cash Tips</v>
      </c>
      <c r="D233" s="79" t="str">
        <f>IFERROR(__xludf.DUMMYFUNCTION("""COMPUTED_VALUE"""),"STE")</f>
        <v>STE</v>
      </c>
      <c r="E233" s="86" t="str">
        <f t="shared" si="1"/>
        <v>Oct</v>
      </c>
      <c r="F233" s="79" t="str">
        <f>IFERROR(__xludf.DUMMYFUNCTION("""COMPUTED_VALUE"""),"Gil")</f>
        <v>Gil</v>
      </c>
      <c r="J233" s="88"/>
    </row>
    <row r="234">
      <c r="A234" s="85">
        <f>IFERROR(__xludf.DUMMYFUNCTION("""COMPUTED_VALUE"""),45562.0)</f>
        <v>45562</v>
      </c>
      <c r="B234" s="80">
        <f>IFERROR(__xludf.DUMMYFUNCTION("""COMPUTED_VALUE"""),350.0)</f>
        <v>350</v>
      </c>
      <c r="C234" s="79" t="str">
        <f>IFERROR(__xludf.DUMMYFUNCTION("""COMPUTED_VALUE"""),"9.27 Paul Hinton ")</f>
        <v>9.27 Paul Hinton </v>
      </c>
      <c r="D234" s="79" t="str">
        <f>IFERROR(__xludf.DUMMYFUNCTION("""COMPUTED_VALUE"""),"STE")</f>
        <v>STE</v>
      </c>
      <c r="E234" s="86" t="str">
        <f t="shared" si="1"/>
        <v>Sep</v>
      </c>
      <c r="F234" s="79" t="str">
        <f>IFERROR(__xludf.DUMMYFUNCTION("""COMPUTED_VALUE"""),"Gil")</f>
        <v>Gil</v>
      </c>
      <c r="J234" s="88"/>
    </row>
    <row r="235">
      <c r="A235" s="85">
        <f>IFERROR(__xludf.DUMMYFUNCTION("""COMPUTED_VALUE"""),45575.0)</f>
        <v>45575</v>
      </c>
      <c r="B235" s="80">
        <f>IFERROR(__xludf.DUMMYFUNCTION("""COMPUTED_VALUE"""),40.0)</f>
        <v>40</v>
      </c>
      <c r="C235" s="79" t="str">
        <f>IFERROR(__xludf.DUMMYFUNCTION("""COMPUTED_VALUE"""),"Cash Tip")</f>
        <v>Cash Tip</v>
      </c>
      <c r="D235" s="79" t="str">
        <f>IFERROR(__xludf.DUMMYFUNCTION("""COMPUTED_VALUE"""),"JOE")</f>
        <v>JOE</v>
      </c>
      <c r="E235" s="86" t="str">
        <f t="shared" si="1"/>
        <v>Oct</v>
      </c>
      <c r="F235" s="79" t="str">
        <f>IFERROR(__xludf.DUMMYFUNCTION("""COMPUTED_VALUE"""),"Gil")</f>
        <v>Gil</v>
      </c>
      <c r="J235" s="88"/>
    </row>
    <row r="236">
      <c r="A236" s="85">
        <f>IFERROR(__xludf.DUMMYFUNCTION("""COMPUTED_VALUE"""),45576.0)</f>
        <v>45576</v>
      </c>
      <c r="B236" s="80">
        <f>IFERROR(__xludf.DUMMYFUNCTION("""COMPUTED_VALUE"""),423.38)</f>
        <v>423.38</v>
      </c>
      <c r="C236" s="79" t="str">
        <f>IFERROR(__xludf.DUMMYFUNCTION("""COMPUTED_VALUE"""),"10/11/2024 (#36361)")</f>
        <v>10/11/2024 (#36361)</v>
      </c>
      <c r="D236" s="79" t="str">
        <f>IFERROR(__xludf.DUMMYFUNCTION("""COMPUTED_VALUE"""),"JOE")</f>
        <v>JOE</v>
      </c>
      <c r="E236" s="86" t="str">
        <f t="shared" si="1"/>
        <v>Oct</v>
      </c>
      <c r="F236" s="79" t="str">
        <f>IFERROR(__xludf.DUMMYFUNCTION("""COMPUTED_VALUE"""),"Gil")</f>
        <v>Gil</v>
      </c>
      <c r="J236" s="88"/>
    </row>
    <row r="237">
      <c r="A237" s="85">
        <f>IFERROR(__xludf.DUMMYFUNCTION("""COMPUTED_VALUE"""),45576.0)</f>
        <v>45576</v>
      </c>
      <c r="B237" s="80">
        <f>IFERROR(__xludf.DUMMYFUNCTION("""COMPUTED_VALUE"""),194.93)</f>
        <v>194.93</v>
      </c>
      <c r="C237" s="79" t="str">
        <f>IFERROR(__xludf.DUMMYFUNCTION("""COMPUTED_VALUE"""),"10/11/2024 (#36361) - 401k")</f>
        <v>10/11/2024 (#36361) - 401k</v>
      </c>
      <c r="D237" s="79" t="str">
        <f>IFERROR(__xludf.DUMMYFUNCTION("""COMPUTED_VALUE"""),"JOE")</f>
        <v>JOE</v>
      </c>
      <c r="E237" s="86" t="str">
        <f t="shared" si="1"/>
        <v>Oct</v>
      </c>
      <c r="F237" s="79" t="str">
        <f>IFERROR(__xludf.DUMMYFUNCTION("""COMPUTED_VALUE"""),"Gil")</f>
        <v>Gil</v>
      </c>
      <c r="J237" s="88"/>
    </row>
    <row r="238">
      <c r="A238" s="85">
        <f>IFERROR(__xludf.DUMMYFUNCTION("""COMPUTED_VALUE"""),45577.0)</f>
        <v>45577</v>
      </c>
      <c r="B238" s="80">
        <f>IFERROR(__xludf.DUMMYFUNCTION("""COMPUTED_VALUE"""),48.0)</f>
        <v>48</v>
      </c>
      <c r="C238" s="79" t="str">
        <f>IFERROR(__xludf.DUMMYFUNCTION("""COMPUTED_VALUE"""),"Cash")</f>
        <v>Cash</v>
      </c>
      <c r="D238" s="79" t="str">
        <f>IFERROR(__xludf.DUMMYFUNCTION("""COMPUTED_VALUE"""),"Other")</f>
        <v>Other</v>
      </c>
      <c r="E238" s="86" t="str">
        <f t="shared" si="1"/>
        <v>Oct</v>
      </c>
      <c r="F238" s="79" t="str">
        <f>IFERROR(__xludf.DUMMYFUNCTION("""COMPUTED_VALUE"""),"Gil")</f>
        <v>Gil</v>
      </c>
      <c r="J238" s="88"/>
    </row>
    <row r="239">
      <c r="A239" s="85">
        <f>IFERROR(__xludf.DUMMYFUNCTION("""COMPUTED_VALUE"""),45562.0)</f>
        <v>45562</v>
      </c>
      <c r="B239" s="80">
        <f>IFERROR(__xludf.DUMMYFUNCTION("""COMPUTED_VALUE"""),175.0)</f>
        <v>175</v>
      </c>
      <c r="C239" s="79" t="str">
        <f>IFERROR(__xludf.DUMMYFUNCTION("""COMPUTED_VALUE"""),"Cash Tip")</f>
        <v>Cash Tip</v>
      </c>
      <c r="D239" s="79" t="str">
        <f>IFERROR(__xludf.DUMMYFUNCTION("""COMPUTED_VALUE"""),"STE")</f>
        <v>STE</v>
      </c>
      <c r="E239" s="86" t="str">
        <f t="shared" si="1"/>
        <v>Sep</v>
      </c>
      <c r="F239" s="79" t="str">
        <f>IFERROR(__xludf.DUMMYFUNCTION("""COMPUTED_VALUE"""),"Gil")</f>
        <v>Gil</v>
      </c>
      <c r="J239" s="88"/>
    </row>
    <row r="240">
      <c r="A240" s="85">
        <f>IFERROR(__xludf.DUMMYFUNCTION("""COMPUTED_VALUE"""),45579.0)</f>
        <v>45579</v>
      </c>
      <c r="B240" s="80">
        <f>IFERROR(__xludf.DUMMYFUNCTION("""COMPUTED_VALUE"""),1050.0)</f>
        <v>1050</v>
      </c>
      <c r="C240" s="79" t="str">
        <f>IFERROR(__xludf.DUMMYFUNCTION("""COMPUTED_VALUE"""),"Lily 9.29, 10.4, 10.5")</f>
        <v>Lily 9.29, 10.4, 10.5</v>
      </c>
      <c r="D240" s="79" t="str">
        <f>IFERROR(__xludf.DUMMYFUNCTION("""COMPUTED_VALUE"""),"STE")</f>
        <v>STE</v>
      </c>
      <c r="E240" s="86" t="str">
        <f t="shared" si="1"/>
        <v>Oct</v>
      </c>
      <c r="F240" s="79" t="str">
        <f>IFERROR(__xludf.DUMMYFUNCTION("""COMPUTED_VALUE"""),"Gil")</f>
        <v>Gil</v>
      </c>
      <c r="J240" s="88"/>
    </row>
    <row r="241">
      <c r="A241" s="85">
        <f>IFERROR(__xludf.DUMMYFUNCTION("""COMPUTED_VALUE"""),45581.0)</f>
        <v>45581</v>
      </c>
      <c r="B241" s="80">
        <f>IFERROR(__xludf.DUMMYFUNCTION("""COMPUTED_VALUE"""),985.75)</f>
        <v>985.75</v>
      </c>
      <c r="C241" s="79" t="str">
        <f>IFERROR(__xludf.DUMMYFUNCTION("""COMPUTED_VALUE"""),"10/06/2024 - 10/19/2024")</f>
        <v>10/06/2024 - 10/19/2024</v>
      </c>
      <c r="D241" s="79" t="str">
        <f>IFERROR(__xludf.DUMMYFUNCTION("""COMPUTED_VALUE"""),"KAL")</f>
        <v>KAL</v>
      </c>
      <c r="E241" s="86" t="str">
        <f t="shared" si="1"/>
        <v>Oct</v>
      </c>
      <c r="F241" s="79" t="str">
        <f>IFERROR(__xludf.DUMMYFUNCTION("""COMPUTED_VALUE"""),"Gil")</f>
        <v>Gil</v>
      </c>
      <c r="J241" s="88"/>
    </row>
    <row r="242">
      <c r="A242" s="85">
        <f>IFERROR(__xludf.DUMMYFUNCTION("""COMPUTED_VALUE"""),45583.0)</f>
        <v>45583</v>
      </c>
      <c r="B242" s="80">
        <f>IFERROR(__xludf.DUMMYFUNCTION("""COMPUTED_VALUE"""),448.92)</f>
        <v>448.92</v>
      </c>
      <c r="C242" s="79" t="str">
        <f>IFERROR(__xludf.DUMMYFUNCTION("""COMPUTED_VALUE"""),"10/18/2024 (#36628)")</f>
        <v>10/18/2024 (#36628)</v>
      </c>
      <c r="D242" s="79" t="str">
        <f>IFERROR(__xludf.DUMMYFUNCTION("""COMPUTED_VALUE"""),"JOE")</f>
        <v>JOE</v>
      </c>
      <c r="E242" s="86" t="str">
        <f t="shared" si="1"/>
        <v>Oct</v>
      </c>
      <c r="F242" s="79" t="str">
        <f>IFERROR(__xludf.DUMMYFUNCTION("""COMPUTED_VALUE"""),"Gil")</f>
        <v>Gil</v>
      </c>
      <c r="J242" s="88"/>
    </row>
    <row r="243">
      <c r="A243" s="85">
        <f>IFERROR(__xludf.DUMMYFUNCTION("""COMPUTED_VALUE"""),45583.0)</f>
        <v>45583</v>
      </c>
      <c r="B243" s="80">
        <f>IFERROR(__xludf.DUMMYFUNCTION("""COMPUTED_VALUE"""),212.73)</f>
        <v>212.73</v>
      </c>
      <c r="C243" s="79" t="str">
        <f>IFERROR(__xludf.DUMMYFUNCTION("""COMPUTED_VALUE"""),"10/18/2024 (#36628) - 401k")</f>
        <v>10/18/2024 (#36628) - 401k</v>
      </c>
      <c r="D243" s="79" t="str">
        <f>IFERROR(__xludf.DUMMYFUNCTION("""COMPUTED_VALUE"""),"JOE")</f>
        <v>JOE</v>
      </c>
      <c r="E243" s="86" t="str">
        <f t="shared" si="1"/>
        <v>Oct</v>
      </c>
      <c r="F243" s="79" t="str">
        <f>IFERROR(__xludf.DUMMYFUNCTION("""COMPUTED_VALUE"""),"Gil")</f>
        <v>Gil</v>
      </c>
      <c r="J243" s="88"/>
    </row>
    <row r="244">
      <c r="A244" s="85">
        <f>IFERROR(__xludf.DUMMYFUNCTION("""COMPUTED_VALUE"""),45583.0)</f>
        <v>45583</v>
      </c>
      <c r="B244" s="80">
        <f>IFERROR(__xludf.DUMMYFUNCTION("""COMPUTED_VALUE"""),24.0)</f>
        <v>24</v>
      </c>
      <c r="C244" s="79" t="str">
        <f>IFERROR(__xludf.DUMMYFUNCTION("""COMPUTED_VALUE"""),"Cash")</f>
        <v>Cash</v>
      </c>
      <c r="D244" s="79" t="str">
        <f>IFERROR(__xludf.DUMMYFUNCTION("""COMPUTED_VALUE"""),"KAL")</f>
        <v>KAL</v>
      </c>
      <c r="E244" s="86" t="str">
        <f t="shared" si="1"/>
        <v>Oct</v>
      </c>
      <c r="F244" s="79" t="str">
        <f>IFERROR(__xludf.DUMMYFUNCTION("""COMPUTED_VALUE"""),"Gil")</f>
        <v>Gil</v>
      </c>
      <c r="J244" s="88"/>
    </row>
    <row r="245">
      <c r="A245" s="85">
        <f>IFERROR(__xludf.DUMMYFUNCTION("""COMPUTED_VALUE"""),45587.0)</f>
        <v>45587</v>
      </c>
      <c r="B245" s="80">
        <f>IFERROR(__xludf.DUMMYFUNCTION("""COMPUTED_VALUE"""),325.0)</f>
        <v>325</v>
      </c>
      <c r="C245" s="79" t="str">
        <f>IFERROR(__xludf.DUMMYFUNCTION("""COMPUTED_VALUE"""),"Isi's Bat Mitzvah")</f>
        <v>Isi's Bat Mitzvah</v>
      </c>
      <c r="D245" s="79" t="str">
        <f>IFERROR(__xludf.DUMMYFUNCTION("""COMPUTED_VALUE"""),"JOE")</f>
        <v>JOE</v>
      </c>
      <c r="E245" s="86" t="str">
        <f t="shared" si="1"/>
        <v>Oct</v>
      </c>
      <c r="F245" s="79" t="str">
        <f>IFERROR(__xludf.DUMMYFUNCTION("""COMPUTED_VALUE"""),"Gil")</f>
        <v>Gil</v>
      </c>
      <c r="J245" s="88"/>
    </row>
    <row r="246">
      <c r="A246" s="85">
        <f>IFERROR(__xludf.DUMMYFUNCTION("""COMPUTED_VALUE"""),45587.0)</f>
        <v>45587</v>
      </c>
      <c r="B246" s="80">
        <f>IFERROR(__xludf.DUMMYFUNCTION("""COMPUTED_VALUE"""),100.0)</f>
        <v>100</v>
      </c>
      <c r="C246" s="79" t="str">
        <f>IFERROR(__xludf.DUMMYFUNCTION("""COMPUTED_VALUE"""),"OPC")</f>
        <v>OPC</v>
      </c>
      <c r="D246" s="79" t="str">
        <f>IFERROR(__xludf.DUMMYFUNCTION("""COMPUTED_VALUE"""),"Other")</f>
        <v>Other</v>
      </c>
      <c r="E246" s="86" t="str">
        <f t="shared" si="1"/>
        <v>Oct</v>
      </c>
      <c r="F246" s="79" t="str">
        <f>IFERROR(__xludf.DUMMYFUNCTION("""COMPUTED_VALUE"""),"Gil")</f>
        <v>Gil</v>
      </c>
      <c r="J246" s="88"/>
    </row>
    <row r="247">
      <c r="A247" s="85">
        <f>IFERROR(__xludf.DUMMYFUNCTION("""COMPUTED_VALUE"""),45585.0)</f>
        <v>45585</v>
      </c>
      <c r="B247" s="80">
        <f>IFERROR(__xludf.DUMMYFUNCTION("""COMPUTED_VALUE"""),20.0)</f>
        <v>20</v>
      </c>
      <c r="C247" s="79" t="str">
        <f>IFERROR(__xludf.DUMMYFUNCTION("""COMPUTED_VALUE"""),"Cash Tips")</f>
        <v>Cash Tips</v>
      </c>
      <c r="D247" s="79" t="str">
        <f>IFERROR(__xludf.DUMMYFUNCTION("""COMPUTED_VALUE"""),"JOE")</f>
        <v>JOE</v>
      </c>
      <c r="E247" s="86" t="str">
        <f t="shared" si="1"/>
        <v>Oct</v>
      </c>
      <c r="F247" s="79" t="str">
        <f>IFERROR(__xludf.DUMMYFUNCTION("""COMPUTED_VALUE"""),"Gil")</f>
        <v>Gil</v>
      </c>
      <c r="J247" s="88"/>
    </row>
    <row r="248">
      <c r="A248" s="85">
        <f>IFERROR(__xludf.DUMMYFUNCTION("""COMPUTED_VALUE"""),45584.0)</f>
        <v>45584</v>
      </c>
      <c r="B248" s="80">
        <f>IFERROR(__xludf.DUMMYFUNCTION("""COMPUTED_VALUE"""),271.5)</f>
        <v>271.5</v>
      </c>
      <c r="C248" s="79" t="str">
        <f>IFERROR(__xludf.DUMMYFUNCTION("""COMPUTED_VALUE"""),"Graceland Payment - clothes")</f>
        <v>Graceland Payment - clothes</v>
      </c>
      <c r="D248" s="79" t="str">
        <f>IFERROR(__xludf.DUMMYFUNCTION("""COMPUTED_VALUE"""),"Other")</f>
        <v>Other</v>
      </c>
      <c r="E248" s="86" t="str">
        <f t="shared" si="1"/>
        <v>Oct</v>
      </c>
      <c r="F248" s="79" t="str">
        <f>IFERROR(__xludf.DUMMYFUNCTION("""COMPUTED_VALUE"""),"Shaeffer")</f>
        <v>Shaeffer</v>
      </c>
      <c r="J248" s="88"/>
    </row>
    <row r="249">
      <c r="A249" s="85">
        <f>IFERROR(__xludf.DUMMYFUNCTION("""COMPUTED_VALUE"""),45583.0)</f>
        <v>45583</v>
      </c>
      <c r="B249" s="80">
        <f>IFERROR(__xludf.DUMMYFUNCTION("""COMPUTED_VALUE"""),232.75)</f>
        <v>232.75</v>
      </c>
      <c r="C249" s="79" t="str">
        <f>IFERROR(__xludf.DUMMYFUNCTION("""COMPUTED_VALUE"""),"Nobl refund")</f>
        <v>Nobl refund</v>
      </c>
      <c r="D249" s="79" t="str">
        <f>IFERROR(__xludf.DUMMYFUNCTION("""COMPUTED_VALUE"""),"Other")</f>
        <v>Other</v>
      </c>
      <c r="E249" s="86" t="str">
        <f t="shared" si="1"/>
        <v>Oct</v>
      </c>
      <c r="F249" s="79" t="str">
        <f>IFERROR(__xludf.DUMMYFUNCTION("""COMPUTED_VALUE"""),"Shaeffer")</f>
        <v>Shaeffer</v>
      </c>
      <c r="J249" s="88"/>
    </row>
    <row r="250">
      <c r="A250" s="85">
        <f>IFERROR(__xludf.DUMMYFUNCTION("""COMPUTED_VALUE"""),45572.0)</f>
        <v>45572</v>
      </c>
      <c r="B250" s="80">
        <f>IFERROR(__xludf.DUMMYFUNCTION("""COMPUTED_VALUE"""),103.0)</f>
        <v>103</v>
      </c>
      <c r="C250" s="79" t="str">
        <f>IFERROR(__xludf.DUMMYFUNCTION("""COMPUTED_VALUE"""),"karaoke from Marina")</f>
        <v>karaoke from Marina</v>
      </c>
      <c r="D250" s="79" t="str">
        <f>IFERROR(__xludf.DUMMYFUNCTION("""COMPUTED_VALUE"""),"Other")</f>
        <v>Other</v>
      </c>
      <c r="E250" s="86" t="str">
        <f t="shared" si="1"/>
        <v>Oct</v>
      </c>
      <c r="F250" s="79" t="str">
        <f>IFERROR(__xludf.DUMMYFUNCTION("""COMPUTED_VALUE"""),"Shaeffer")</f>
        <v>Shaeffer</v>
      </c>
      <c r="J250" s="88"/>
    </row>
    <row r="251">
      <c r="A251" s="85">
        <f>IFERROR(__xludf.DUMMYFUNCTION("""COMPUTED_VALUE"""),45580.0)</f>
        <v>45580</v>
      </c>
      <c r="B251" s="80">
        <f>IFERROR(__xludf.DUMMYFUNCTION("""COMPUTED_VALUE"""),4337.46)</f>
        <v>4337.46</v>
      </c>
      <c r="C251" s="79" t="str">
        <f>IFERROR(__xludf.DUMMYFUNCTION("""COMPUTED_VALUE"""),"Altu direct deposit")</f>
        <v>Altu direct deposit</v>
      </c>
      <c r="D251" s="79" t="str">
        <f>IFERROR(__xludf.DUMMYFUNCTION("""COMPUTED_VALUE"""),"Altuzarra")</f>
        <v>Altuzarra</v>
      </c>
      <c r="E251" s="86" t="str">
        <f t="shared" si="1"/>
        <v>Oct</v>
      </c>
      <c r="F251" s="79" t="str">
        <f>IFERROR(__xludf.DUMMYFUNCTION("""COMPUTED_VALUE"""),"Shaeffer")</f>
        <v>Shaeffer</v>
      </c>
      <c r="J251" s="88"/>
    </row>
    <row r="252">
      <c r="A252" s="85">
        <f>IFERROR(__xludf.DUMMYFUNCTION("""COMPUTED_VALUE"""),45585.0)</f>
        <v>45585</v>
      </c>
      <c r="B252" s="80">
        <f>IFERROR(__xludf.DUMMYFUNCTION("""COMPUTED_VALUE"""),180.0)</f>
        <v>180</v>
      </c>
      <c r="C252" s="79" t="str">
        <f>IFERROR(__xludf.DUMMYFUNCTION("""COMPUTED_VALUE"""),"Cash from OPC")</f>
        <v>Cash from OPC</v>
      </c>
      <c r="D252" s="79" t="str">
        <f>IFERROR(__xludf.DUMMYFUNCTION("""COMPUTED_VALUE"""),"Other")</f>
        <v>Other</v>
      </c>
      <c r="E252" s="86" t="str">
        <f t="shared" si="1"/>
        <v>Oct</v>
      </c>
      <c r="F252" s="79" t="str">
        <f>IFERROR(__xludf.DUMMYFUNCTION("""COMPUTED_VALUE"""),"Shaeffer")</f>
        <v>Shaeffer</v>
      </c>
      <c r="J252" s="88"/>
    </row>
    <row r="253">
      <c r="A253" s="85">
        <f>IFERROR(__xludf.DUMMYFUNCTION("""COMPUTED_VALUE"""),45590.0)</f>
        <v>45590</v>
      </c>
      <c r="B253" s="80">
        <f>IFERROR(__xludf.DUMMYFUNCTION("""COMPUTED_VALUE"""),757.48)</f>
        <v>757.48</v>
      </c>
      <c r="C253" s="79" t="str">
        <f>IFERROR(__xludf.DUMMYFUNCTION("""COMPUTED_VALUE"""),"10/25/2024 (#36864)")</f>
        <v>10/25/2024 (#36864)</v>
      </c>
      <c r="D253" s="79" t="str">
        <f>IFERROR(__xludf.DUMMYFUNCTION("""COMPUTED_VALUE"""),"JOE")</f>
        <v>JOE</v>
      </c>
      <c r="E253" s="86" t="str">
        <f t="shared" si="1"/>
        <v>Oct</v>
      </c>
      <c r="F253" s="79" t="str">
        <f>IFERROR(__xludf.DUMMYFUNCTION("""COMPUTED_VALUE"""),"Gil")</f>
        <v>Gil</v>
      </c>
      <c r="J253" s="88"/>
    </row>
    <row r="254">
      <c r="A254" s="85">
        <f>IFERROR(__xludf.DUMMYFUNCTION("""COMPUTED_VALUE"""),45590.0)</f>
        <v>45590</v>
      </c>
      <c r="B254" s="80">
        <f>IFERROR(__xludf.DUMMYFUNCTION("""COMPUTED_VALUE"""),365.94)</f>
        <v>365.94</v>
      </c>
      <c r="C254" s="79" t="str">
        <f>IFERROR(__xludf.DUMMYFUNCTION("""COMPUTED_VALUE"""),"10/25/2024 (#36864) - 401k")</f>
        <v>10/25/2024 (#36864) - 401k</v>
      </c>
      <c r="D254" s="79" t="str">
        <f>IFERROR(__xludf.DUMMYFUNCTION("""COMPUTED_VALUE"""),"JOE")</f>
        <v>JOE</v>
      </c>
      <c r="E254" s="86" t="str">
        <f t="shared" si="1"/>
        <v>Oct</v>
      </c>
      <c r="F254" s="79" t="str">
        <f>IFERROR(__xludf.DUMMYFUNCTION("""COMPUTED_VALUE"""),"Gil")</f>
        <v>Gil</v>
      </c>
      <c r="J254" s="88"/>
    </row>
    <row r="255">
      <c r="A255" s="85">
        <f>IFERROR(__xludf.DUMMYFUNCTION("""COMPUTED_VALUE"""),45596.0)</f>
        <v>45596</v>
      </c>
      <c r="B255" s="80">
        <f>IFERROR(__xludf.DUMMYFUNCTION("""COMPUTED_VALUE"""),4336.26)</f>
        <v>4336.26</v>
      </c>
      <c r="C255" s="79" t="str">
        <f>IFERROR(__xludf.DUMMYFUNCTION("""COMPUTED_VALUE"""),"Altu ")</f>
        <v>Altu </v>
      </c>
      <c r="D255" s="79" t="str">
        <f>IFERROR(__xludf.DUMMYFUNCTION("""COMPUTED_VALUE"""),"Altuzarra")</f>
        <v>Altuzarra</v>
      </c>
      <c r="E255" s="86" t="str">
        <f t="shared" si="1"/>
        <v>Oct</v>
      </c>
      <c r="F255" s="79" t="str">
        <f>IFERROR(__xludf.DUMMYFUNCTION("""COMPUTED_VALUE"""),"Shaeffer")</f>
        <v>Shaeffer</v>
      </c>
      <c r="J255" s="88"/>
    </row>
    <row r="256">
      <c r="A256" s="85">
        <f>IFERROR(__xludf.DUMMYFUNCTION("""COMPUTED_VALUE"""),45596.0)</f>
        <v>45596</v>
      </c>
      <c r="B256" s="80">
        <f>IFERROR(__xludf.DUMMYFUNCTION("""COMPUTED_VALUE"""),830.7)</f>
        <v>830.7</v>
      </c>
      <c r="C256" s="79" t="str">
        <f>IFERROR(__xludf.DUMMYFUNCTION("""COMPUTED_VALUE"""),"Oct 20 - Nov 02, 2024")</f>
        <v>Oct 20 - Nov 02, 2024</v>
      </c>
      <c r="D256" s="79" t="str">
        <f>IFERROR(__xludf.DUMMYFUNCTION("""COMPUTED_VALUE"""),"KAL")</f>
        <v>KAL</v>
      </c>
      <c r="E256" s="86" t="str">
        <f t="shared" si="1"/>
        <v>Oct</v>
      </c>
      <c r="F256" s="79" t="str">
        <f>IFERROR(__xludf.DUMMYFUNCTION("""COMPUTED_VALUE"""),"Gil")</f>
        <v>Gil</v>
      </c>
      <c r="J256" s="88"/>
    </row>
    <row r="257">
      <c r="A257" s="85">
        <f>IFERROR(__xludf.DUMMYFUNCTION("""COMPUTED_VALUE"""),45591.0)</f>
        <v>45591</v>
      </c>
      <c r="B257" s="80">
        <f>IFERROR(__xludf.DUMMYFUNCTION("""COMPUTED_VALUE"""),300.0)</f>
        <v>300</v>
      </c>
      <c r="C257" s="79" t="str">
        <f>IFERROR(__xludf.DUMMYFUNCTION("""COMPUTED_VALUE"""),"9.26 Shira &amp; Michael ")</f>
        <v>9.26 Shira &amp; Michael </v>
      </c>
      <c r="D257" s="79" t="str">
        <f>IFERROR(__xludf.DUMMYFUNCTION("""COMPUTED_VALUE"""),"STE")</f>
        <v>STE</v>
      </c>
      <c r="E257" s="86" t="str">
        <f t="shared" si="1"/>
        <v>Oct</v>
      </c>
      <c r="F257" s="79" t="str">
        <f>IFERROR(__xludf.DUMMYFUNCTION("""COMPUTED_VALUE"""),"Gil")</f>
        <v>Gil</v>
      </c>
      <c r="J257" s="88"/>
    </row>
    <row r="258">
      <c r="A258" s="85">
        <f>IFERROR(__xludf.DUMMYFUNCTION("""COMPUTED_VALUE"""),45596.0)</f>
        <v>45596</v>
      </c>
      <c r="B258" s="80">
        <f>IFERROR(__xludf.DUMMYFUNCTION("""COMPUTED_VALUE"""),13.67)</f>
        <v>13.67</v>
      </c>
      <c r="C258" s="79" t="str">
        <f>IFERROR(__xludf.DUMMYFUNCTION("""COMPUTED_VALUE"""),"Cash Tips")</f>
        <v>Cash Tips</v>
      </c>
      <c r="D258" s="79" t="str">
        <f>IFERROR(__xludf.DUMMYFUNCTION("""COMPUTED_VALUE"""),"JOE")</f>
        <v>JOE</v>
      </c>
      <c r="E258" s="86" t="str">
        <f t="shared" si="1"/>
        <v>Oct</v>
      </c>
      <c r="F258" s="79" t="str">
        <f>IFERROR(__xludf.DUMMYFUNCTION("""COMPUTED_VALUE"""),"Gil")</f>
        <v>Gil</v>
      </c>
      <c r="J258" s="88"/>
    </row>
    <row r="259">
      <c r="A259" s="85">
        <f>IFERROR(__xludf.DUMMYFUNCTION("""COMPUTED_VALUE"""),45596.0)</f>
        <v>45596</v>
      </c>
      <c r="B259" s="80">
        <f>IFERROR(__xludf.DUMMYFUNCTION("""COMPUTED_VALUE"""),563.24)</f>
        <v>563.24</v>
      </c>
      <c r="C259" s="79" t="str">
        <f>IFERROR(__xludf.DUMMYFUNCTION("""COMPUTED_VALUE"""),"11/01/2024 (#37106)")</f>
        <v>11/01/2024 (#37106)</v>
      </c>
      <c r="D259" s="79" t="str">
        <f>IFERROR(__xludf.DUMMYFUNCTION("""COMPUTED_VALUE"""),"JOE")</f>
        <v>JOE</v>
      </c>
      <c r="E259" s="86" t="str">
        <f t="shared" si="1"/>
        <v>Oct</v>
      </c>
      <c r="F259" s="79" t="str">
        <f>IFERROR(__xludf.DUMMYFUNCTION("""COMPUTED_VALUE"""),"Gil")</f>
        <v>Gil</v>
      </c>
      <c r="J259" s="88"/>
    </row>
    <row r="260">
      <c r="A260" s="85">
        <f>IFERROR(__xludf.DUMMYFUNCTION("""COMPUTED_VALUE"""),45596.0)</f>
        <v>45596</v>
      </c>
      <c r="B260" s="80">
        <f>IFERROR(__xludf.DUMMYFUNCTION("""COMPUTED_VALUE"""),272.05)</f>
        <v>272.05</v>
      </c>
      <c r="C260" s="79" t="str">
        <f>IFERROR(__xludf.DUMMYFUNCTION("""COMPUTED_VALUE"""),"11/01/2024 (#37106) - 401k")</f>
        <v>11/01/2024 (#37106) - 401k</v>
      </c>
      <c r="D260" s="79" t="str">
        <f>IFERROR(__xludf.DUMMYFUNCTION("""COMPUTED_VALUE"""),"JOE")</f>
        <v>JOE</v>
      </c>
      <c r="E260" s="86" t="str">
        <f t="shared" si="1"/>
        <v>Oct</v>
      </c>
      <c r="F260" s="79" t="str">
        <f>IFERROR(__xludf.DUMMYFUNCTION("""COMPUTED_VALUE"""),"Gil")</f>
        <v>Gil</v>
      </c>
      <c r="J260" s="88"/>
    </row>
    <row r="261">
      <c r="A261" s="85">
        <f>IFERROR(__xludf.DUMMYFUNCTION("""COMPUTED_VALUE"""),45600.0)</f>
        <v>45600</v>
      </c>
      <c r="B261" s="80">
        <f>IFERROR(__xludf.DUMMYFUNCTION("""COMPUTED_VALUE"""),55.0)</f>
        <v>55</v>
      </c>
      <c r="C261" s="79" t="str">
        <f>IFERROR(__xludf.DUMMYFUNCTION("""COMPUTED_VALUE"""),"Cash")</f>
        <v>Cash</v>
      </c>
      <c r="D261" s="79" t="str">
        <f>IFERROR(__xludf.DUMMYFUNCTION("""COMPUTED_VALUE"""),"Other")</f>
        <v>Other</v>
      </c>
      <c r="E261" s="86" t="str">
        <f t="shared" si="1"/>
        <v>Nov</v>
      </c>
      <c r="F261" s="79" t="str">
        <f>IFERROR(__xludf.DUMMYFUNCTION("""COMPUTED_VALUE"""),"Gil")</f>
        <v>Gil</v>
      </c>
      <c r="J261" s="88"/>
    </row>
    <row r="262">
      <c r="A262" s="85">
        <f>IFERROR(__xludf.DUMMYFUNCTION("""COMPUTED_VALUE"""),45596.0)</f>
        <v>45596</v>
      </c>
      <c r="B262" s="80">
        <f>IFERROR(__xludf.DUMMYFUNCTION("""COMPUTED_VALUE"""),512.4)</f>
        <v>512.4</v>
      </c>
      <c r="C262" s="79" t="str">
        <f>IFERROR(__xludf.DUMMYFUNCTION("""COMPUTED_VALUE"""),"11/08/2024 (#37383)")</f>
        <v>11/08/2024 (#37383)</v>
      </c>
      <c r="D262" s="79" t="str">
        <f>IFERROR(__xludf.DUMMYFUNCTION("""COMPUTED_VALUE"""),"JOE")</f>
        <v>JOE</v>
      </c>
      <c r="E262" s="86" t="str">
        <f t="shared" si="1"/>
        <v>Oct</v>
      </c>
      <c r="F262" s="79" t="str">
        <f>IFERROR(__xludf.DUMMYFUNCTION("""COMPUTED_VALUE"""),"Gil")</f>
        <v>Gil</v>
      </c>
      <c r="J262" s="88"/>
    </row>
    <row r="263">
      <c r="A263" s="85">
        <f>IFERROR(__xludf.DUMMYFUNCTION("""COMPUTED_VALUE"""),45596.0)</f>
        <v>45596</v>
      </c>
      <c r="B263" s="80">
        <f>IFERROR(__xludf.DUMMYFUNCTION("""COMPUTED_VALUE"""),248.38)</f>
        <v>248.38</v>
      </c>
      <c r="C263" s="79" t="str">
        <f>IFERROR(__xludf.DUMMYFUNCTION("""COMPUTED_VALUE"""),"11/08/2024 (#37383) - 401k")</f>
        <v>11/08/2024 (#37383) - 401k</v>
      </c>
      <c r="D263" s="79" t="str">
        <f>IFERROR(__xludf.DUMMYFUNCTION("""COMPUTED_VALUE"""),"JOE")</f>
        <v>JOE</v>
      </c>
      <c r="E263" s="86" t="str">
        <f t="shared" si="1"/>
        <v>Oct</v>
      </c>
      <c r="F263" s="79" t="str">
        <f>IFERROR(__xludf.DUMMYFUNCTION("""COMPUTED_VALUE"""),"Gil")</f>
        <v>Gil</v>
      </c>
      <c r="J263" s="88"/>
    </row>
    <row r="264">
      <c r="A264" s="85">
        <f>IFERROR(__xludf.DUMMYFUNCTION("""COMPUTED_VALUE"""),45609.0)</f>
        <v>45609</v>
      </c>
      <c r="B264" s="80">
        <f>IFERROR(__xludf.DUMMYFUNCTION("""COMPUTED_VALUE"""),1037.99)</f>
        <v>1037.99</v>
      </c>
      <c r="C264" s="79" t="str">
        <f>IFERROR(__xludf.DUMMYFUNCTION("""COMPUTED_VALUE"""),"11/03/2024 - 11/16/2024")</f>
        <v>11/03/2024 - 11/16/2024</v>
      </c>
      <c r="D264" s="79" t="str">
        <f>IFERROR(__xludf.DUMMYFUNCTION("""COMPUTED_VALUE"""),"KAL")</f>
        <v>KAL</v>
      </c>
      <c r="E264" s="86" t="str">
        <f t="shared" si="1"/>
        <v>Nov</v>
      </c>
      <c r="F264" s="79" t="str">
        <f>IFERROR(__xludf.DUMMYFUNCTION("""COMPUTED_VALUE"""),"Gil")</f>
        <v>Gil</v>
      </c>
      <c r="J264" s="88"/>
    </row>
    <row r="265">
      <c r="A265" s="85">
        <f>IFERROR(__xludf.DUMMYFUNCTION("""COMPUTED_VALUE"""),45608.0)</f>
        <v>45608</v>
      </c>
      <c r="B265" s="80">
        <f>IFERROR(__xludf.DUMMYFUNCTION("""COMPUTED_VALUE"""),10.0)</f>
        <v>10</v>
      </c>
      <c r="C265" s="79" t="str">
        <f>IFERROR(__xludf.DUMMYFUNCTION("""COMPUTED_VALUE"""),"Cash")</f>
        <v>Cash</v>
      </c>
      <c r="D265" s="79" t="str">
        <f>IFERROR(__xludf.DUMMYFUNCTION("""COMPUTED_VALUE"""),"Other")</f>
        <v>Other</v>
      </c>
      <c r="E265" s="86" t="str">
        <f t="shared" si="1"/>
        <v>Nov</v>
      </c>
      <c r="F265" s="79" t="str">
        <f>IFERROR(__xludf.DUMMYFUNCTION("""COMPUTED_VALUE"""),"Gil")</f>
        <v>Gil</v>
      </c>
      <c r="J265" s="88"/>
    </row>
    <row r="266">
      <c r="A266" s="85">
        <f>IFERROR(__xludf.DUMMYFUNCTION("""COMPUTED_VALUE"""),45611.0)</f>
        <v>45611</v>
      </c>
      <c r="B266" s="80">
        <f>IFERROR(__xludf.DUMMYFUNCTION("""COMPUTED_VALUE"""),541.42)</f>
        <v>541.42</v>
      </c>
      <c r="C266" s="79" t="str">
        <f>IFERROR(__xludf.DUMMYFUNCTION("""COMPUTED_VALUE"""),"11/15/2024 (#37675)")</f>
        <v>11/15/2024 (#37675)</v>
      </c>
      <c r="D266" s="79" t="str">
        <f>IFERROR(__xludf.DUMMYFUNCTION("""COMPUTED_VALUE"""),"JOE")</f>
        <v>JOE</v>
      </c>
      <c r="E266" s="86" t="str">
        <f t="shared" si="1"/>
        <v>Nov</v>
      </c>
      <c r="F266" s="79" t="str">
        <f>IFERROR(__xludf.DUMMYFUNCTION("""COMPUTED_VALUE"""),"Gil")</f>
        <v>Gil</v>
      </c>
      <c r="J266" s="88"/>
    </row>
    <row r="267">
      <c r="A267" s="85">
        <f>IFERROR(__xludf.DUMMYFUNCTION("""COMPUTED_VALUE"""),45611.0)</f>
        <v>45611</v>
      </c>
      <c r="B267" s="80">
        <f>IFERROR(__xludf.DUMMYFUNCTION("""COMPUTED_VALUE"""),235.82)</f>
        <v>235.82</v>
      </c>
      <c r="C267" s="79" t="str">
        <f>IFERROR(__xludf.DUMMYFUNCTION("""COMPUTED_VALUE"""),"11/15/2024 (#37675) - 401k")</f>
        <v>11/15/2024 (#37675) - 401k</v>
      </c>
      <c r="D267" s="79" t="str">
        <f>IFERROR(__xludf.DUMMYFUNCTION("""COMPUTED_VALUE"""),"JOE")</f>
        <v>JOE</v>
      </c>
      <c r="E267" s="86" t="str">
        <f t="shared" si="1"/>
        <v>Nov</v>
      </c>
      <c r="F267" s="79" t="str">
        <f>IFERROR(__xludf.DUMMYFUNCTION("""COMPUTED_VALUE"""),"Gil")</f>
        <v>Gil</v>
      </c>
      <c r="J267" s="88"/>
    </row>
    <row r="268">
      <c r="A268" s="85">
        <f>IFERROR(__xludf.DUMMYFUNCTION("""COMPUTED_VALUE"""),45611.0)</f>
        <v>45611</v>
      </c>
      <c r="B268" s="80">
        <f>IFERROR(__xludf.DUMMYFUNCTION("""COMPUTED_VALUE"""),283.0)</f>
        <v>283</v>
      </c>
      <c r="C268" s="79" t="str">
        <f>IFERROR(__xludf.DUMMYFUNCTION("""COMPUTED_VALUE"""),"Cash Tip")</f>
        <v>Cash Tip</v>
      </c>
      <c r="D268" s="79" t="str">
        <f>IFERROR(__xludf.DUMMYFUNCTION("""COMPUTED_VALUE"""),"STE")</f>
        <v>STE</v>
      </c>
      <c r="E268" s="86" t="str">
        <f t="shared" si="1"/>
        <v>Nov</v>
      </c>
      <c r="F268" s="79" t="str">
        <f>IFERROR(__xludf.DUMMYFUNCTION("""COMPUTED_VALUE"""),"Gil")</f>
        <v>Gil</v>
      </c>
      <c r="J268" s="88"/>
    </row>
    <row r="269">
      <c r="A269" s="85">
        <f>IFERROR(__xludf.DUMMYFUNCTION("""COMPUTED_VALUE"""),45612.0)</f>
        <v>45612</v>
      </c>
      <c r="B269" s="80">
        <f>IFERROR(__xludf.DUMMYFUNCTION("""COMPUTED_VALUE"""),40.0)</f>
        <v>40</v>
      </c>
      <c r="C269" s="79" t="str">
        <f>IFERROR(__xludf.DUMMYFUNCTION("""COMPUTED_VALUE"""),"Cash")</f>
        <v>Cash</v>
      </c>
      <c r="D269" s="79" t="str">
        <f>IFERROR(__xludf.DUMMYFUNCTION("""COMPUTED_VALUE"""),"Other")</f>
        <v>Other</v>
      </c>
      <c r="E269" s="86" t="str">
        <f t="shared" si="1"/>
        <v>Nov</v>
      </c>
      <c r="F269" s="79" t="str">
        <f>IFERROR(__xludf.DUMMYFUNCTION("""COMPUTED_VALUE"""),"Gil")</f>
        <v>Gil</v>
      </c>
      <c r="J269" s="88"/>
    </row>
    <row r="270">
      <c r="A270" s="85">
        <f>IFERROR(__xludf.DUMMYFUNCTION("""COMPUTED_VALUE"""),45614.0)</f>
        <v>45614</v>
      </c>
      <c r="B270" s="80">
        <f>IFERROR(__xludf.DUMMYFUNCTION("""COMPUTED_VALUE"""),163.0)</f>
        <v>163</v>
      </c>
      <c r="C270" s="79" t="str">
        <f>IFERROR(__xludf.DUMMYFUNCTION("""COMPUTED_VALUE"""),"Cash")</f>
        <v>Cash</v>
      </c>
      <c r="D270" s="79" t="str">
        <f>IFERROR(__xludf.DUMMYFUNCTION("""COMPUTED_VALUE"""),"Other")</f>
        <v>Other</v>
      </c>
      <c r="E270" s="86" t="str">
        <f t="shared" si="1"/>
        <v>Nov</v>
      </c>
      <c r="F270" s="79" t="str">
        <f>IFERROR(__xludf.DUMMYFUNCTION("""COMPUTED_VALUE"""),"Gil")</f>
        <v>Gil</v>
      </c>
      <c r="J270" s="88"/>
    </row>
    <row r="271">
      <c r="A271" s="85">
        <f>IFERROR(__xludf.DUMMYFUNCTION("""COMPUTED_VALUE"""),45618.0)</f>
        <v>45618</v>
      </c>
      <c r="B271" s="80">
        <f>IFERROR(__xludf.DUMMYFUNCTION("""COMPUTED_VALUE"""),421.03)</f>
        <v>421.03</v>
      </c>
      <c r="C271" s="79" t="str">
        <f>IFERROR(__xludf.DUMMYFUNCTION("""COMPUTED_VALUE"""),"11/22/2024 (#37910)")</f>
        <v>11/22/2024 (#37910)</v>
      </c>
      <c r="D271" s="79" t="str">
        <f>IFERROR(__xludf.DUMMYFUNCTION("""COMPUTED_VALUE"""),"JOE")</f>
        <v>JOE</v>
      </c>
      <c r="E271" s="86" t="str">
        <f t="shared" si="1"/>
        <v>Nov</v>
      </c>
      <c r="F271" s="79" t="str">
        <f>IFERROR(__xludf.DUMMYFUNCTION("""COMPUTED_VALUE"""),"Gil")</f>
        <v>Gil</v>
      </c>
      <c r="J271" s="88"/>
    </row>
    <row r="272">
      <c r="A272" s="85">
        <f>IFERROR(__xludf.DUMMYFUNCTION("""COMPUTED_VALUE"""),45618.0)</f>
        <v>45618</v>
      </c>
      <c r="B272" s="80">
        <f>IFERROR(__xludf.DUMMYFUNCTION("""COMPUTED_VALUE"""),187.05)</f>
        <v>187.05</v>
      </c>
      <c r="C272" s="79" t="str">
        <f>IFERROR(__xludf.DUMMYFUNCTION("""COMPUTED_VALUE"""),"11/22/2024 (#37910) - 401k")</f>
        <v>11/22/2024 (#37910) - 401k</v>
      </c>
      <c r="D272" s="79" t="str">
        <f>IFERROR(__xludf.DUMMYFUNCTION("""COMPUTED_VALUE"""),"JOE")</f>
        <v>JOE</v>
      </c>
      <c r="E272" s="86" t="str">
        <f t="shared" si="1"/>
        <v>Nov</v>
      </c>
      <c r="F272" s="79" t="str">
        <f>IFERROR(__xludf.DUMMYFUNCTION("""COMPUTED_VALUE"""),"Gil")</f>
        <v>Gil</v>
      </c>
      <c r="J272" s="88"/>
    </row>
    <row r="273">
      <c r="A273" s="85">
        <f>IFERROR(__xludf.DUMMYFUNCTION("""COMPUTED_VALUE"""),45618.0)</f>
        <v>45618</v>
      </c>
      <c r="B273" s="80">
        <f>IFERROR(__xludf.DUMMYFUNCTION("""COMPUTED_VALUE"""),38.0)</f>
        <v>38</v>
      </c>
      <c r="C273" s="79" t="str">
        <f>IFERROR(__xludf.DUMMYFUNCTION("""COMPUTED_VALUE"""),"Cash")</f>
        <v>Cash</v>
      </c>
      <c r="D273" s="79" t="str">
        <f>IFERROR(__xludf.DUMMYFUNCTION("""COMPUTED_VALUE"""),"Other")</f>
        <v>Other</v>
      </c>
      <c r="E273" s="86" t="str">
        <f t="shared" si="1"/>
        <v>Nov</v>
      </c>
      <c r="F273" s="79" t="str">
        <f>IFERROR(__xludf.DUMMYFUNCTION("""COMPUTED_VALUE"""),"Gil")</f>
        <v>Gil</v>
      </c>
      <c r="J273" s="88"/>
    </row>
    <row r="274">
      <c r="A274" s="85">
        <f>IFERROR(__xludf.DUMMYFUNCTION("""COMPUTED_VALUE"""),45623.0)</f>
        <v>45623</v>
      </c>
      <c r="B274" s="80">
        <f>IFERROR(__xludf.DUMMYFUNCTION("""COMPUTED_VALUE"""),830.7)</f>
        <v>830.7</v>
      </c>
      <c r="C274" s="79" t="str">
        <f>IFERROR(__xludf.DUMMYFUNCTION("""COMPUTED_VALUE""")," 11/17/2024 - 11/30/2024")</f>
        <v> 11/17/2024 - 11/30/2024</v>
      </c>
      <c r="D274" s="79" t="str">
        <f>IFERROR(__xludf.DUMMYFUNCTION("""COMPUTED_VALUE"""),"KAL")</f>
        <v>KAL</v>
      </c>
      <c r="E274" s="86" t="str">
        <f t="shared" si="1"/>
        <v>Nov</v>
      </c>
      <c r="F274" s="79" t="str">
        <f>IFERROR(__xludf.DUMMYFUNCTION("""COMPUTED_VALUE"""),"Gil")</f>
        <v>Gil</v>
      </c>
      <c r="J274" s="88"/>
    </row>
    <row r="275">
      <c r="A275" s="85">
        <f>IFERROR(__xludf.DUMMYFUNCTION("""COMPUTED_VALUE"""),45623.0)</f>
        <v>45623</v>
      </c>
      <c r="B275" s="80">
        <f>IFERROR(__xludf.DUMMYFUNCTION("""COMPUTED_VALUE"""),300.0)</f>
        <v>300</v>
      </c>
      <c r="C275" s="79" t="str">
        <f>IFERROR(__xludf.DUMMYFUNCTION("""COMPUTED_VALUE"""),"11.15 Meg &amp; John")</f>
        <v>11.15 Meg &amp; John</v>
      </c>
      <c r="D275" s="79" t="str">
        <f>IFERROR(__xludf.DUMMYFUNCTION("""COMPUTED_VALUE"""),"STE")</f>
        <v>STE</v>
      </c>
      <c r="E275" s="86" t="str">
        <f t="shared" si="1"/>
        <v>Nov</v>
      </c>
      <c r="F275" s="79" t="str">
        <f>IFERROR(__xludf.DUMMYFUNCTION("""COMPUTED_VALUE"""),"Gil")</f>
        <v>Gil</v>
      </c>
      <c r="J275" s="88"/>
    </row>
    <row r="276">
      <c r="A276" s="85">
        <f>IFERROR(__xludf.DUMMYFUNCTION("""COMPUTED_VALUE"""),45625.0)</f>
        <v>45625</v>
      </c>
      <c r="B276" s="80">
        <f>IFERROR(__xludf.DUMMYFUNCTION("""COMPUTED_VALUE"""),554.32)</f>
        <v>554.32</v>
      </c>
      <c r="C276" s="79" t="str">
        <f>IFERROR(__xludf.DUMMYFUNCTION("""COMPUTED_VALUE"""),"554.32")</f>
        <v>554.32</v>
      </c>
      <c r="D276" s="79" t="str">
        <f>IFERROR(__xludf.DUMMYFUNCTION("""COMPUTED_VALUE"""),"JOE")</f>
        <v>JOE</v>
      </c>
      <c r="E276" s="86" t="str">
        <f t="shared" si="1"/>
        <v>Nov</v>
      </c>
      <c r="F276" s="79" t="str">
        <f>IFERROR(__xludf.DUMMYFUNCTION("""COMPUTED_VALUE"""),"Gil")</f>
        <v>Gil</v>
      </c>
      <c r="J276" s="88"/>
    </row>
    <row r="277">
      <c r="A277" s="85">
        <f>IFERROR(__xludf.DUMMYFUNCTION("""COMPUTED_VALUE"""),45625.0)</f>
        <v>45625</v>
      </c>
      <c r="B277" s="80">
        <f>IFERROR(__xludf.DUMMYFUNCTION("""COMPUTED_VALUE"""),267.18)</f>
        <v>267.18</v>
      </c>
      <c r="C277" s="79" t="str">
        <f>IFERROR(__xludf.DUMMYFUNCTION("""COMPUTED_VALUE"""),"11/29/2024 (#38154) - 401k")</f>
        <v>11/29/2024 (#38154) - 401k</v>
      </c>
      <c r="D277" s="79" t="str">
        <f>IFERROR(__xludf.DUMMYFUNCTION("""COMPUTED_VALUE"""),"JOE")</f>
        <v>JOE</v>
      </c>
      <c r="E277" s="86" t="str">
        <f t="shared" si="1"/>
        <v>Nov</v>
      </c>
      <c r="F277" s="79" t="str">
        <f>IFERROR(__xludf.DUMMYFUNCTION("""COMPUTED_VALUE"""),"Gil")</f>
        <v>Gil</v>
      </c>
      <c r="J277" s="88"/>
    </row>
    <row r="278">
      <c r="A278" s="85">
        <f>IFERROR(__xludf.DUMMYFUNCTION("""COMPUTED_VALUE"""),45627.0)</f>
        <v>45627</v>
      </c>
      <c r="B278" s="80">
        <f>IFERROR(__xludf.DUMMYFUNCTION("""COMPUTED_VALUE"""),45.0)</f>
        <v>45</v>
      </c>
      <c r="C278" s="79" t="str">
        <f>IFERROR(__xludf.DUMMYFUNCTION("""COMPUTED_VALUE"""),"Cash")</f>
        <v>Cash</v>
      </c>
      <c r="D278" s="79" t="str">
        <f>IFERROR(__xludf.DUMMYFUNCTION("""COMPUTED_VALUE"""),"Other")</f>
        <v>Other</v>
      </c>
      <c r="E278" s="86" t="str">
        <f t="shared" si="1"/>
        <v>Dec</v>
      </c>
      <c r="F278" s="79" t="str">
        <f>IFERROR(__xludf.DUMMYFUNCTION("""COMPUTED_VALUE"""),"Gil")</f>
        <v>Gil</v>
      </c>
      <c r="J278" s="88"/>
    </row>
    <row r="279">
      <c r="A279" s="85">
        <f>IFERROR(__xludf.DUMMYFUNCTION("""COMPUTED_VALUE"""),45633.0)</f>
        <v>45633</v>
      </c>
      <c r="B279" s="80">
        <f>IFERROR(__xludf.DUMMYFUNCTION("""COMPUTED_VALUE"""),20.0)</f>
        <v>20</v>
      </c>
      <c r="C279" s="79" t="str">
        <f>IFERROR(__xludf.DUMMYFUNCTION("""COMPUTED_VALUE"""),"Cash")</f>
        <v>Cash</v>
      </c>
      <c r="D279" s="79" t="str">
        <f>IFERROR(__xludf.DUMMYFUNCTION("""COMPUTED_VALUE"""),"KAL")</f>
        <v>KAL</v>
      </c>
      <c r="E279" s="86" t="str">
        <f t="shared" si="1"/>
        <v>Dec</v>
      </c>
      <c r="F279" s="79" t="str">
        <f>IFERROR(__xludf.DUMMYFUNCTION("""COMPUTED_VALUE"""),"Gil")</f>
        <v>Gil</v>
      </c>
      <c r="J279" s="88"/>
    </row>
    <row r="280">
      <c r="A280" s="85">
        <f>IFERROR(__xludf.DUMMYFUNCTION("""COMPUTED_VALUE"""),45633.0)</f>
        <v>45633</v>
      </c>
      <c r="B280" s="80">
        <f>IFERROR(__xludf.DUMMYFUNCTION("""COMPUTED_VALUE"""),60.0)</f>
        <v>60</v>
      </c>
      <c r="C280" s="79" t="str">
        <f>IFERROR(__xludf.DUMMYFUNCTION("""COMPUTED_VALUE"""),"Cash")</f>
        <v>Cash</v>
      </c>
      <c r="D280" s="79" t="str">
        <f>IFERROR(__xludf.DUMMYFUNCTION("""COMPUTED_VALUE"""),"Other")</f>
        <v>Other</v>
      </c>
      <c r="E280" s="86" t="str">
        <f t="shared" si="1"/>
        <v>Dec</v>
      </c>
      <c r="F280" s="79" t="str">
        <f>IFERROR(__xludf.DUMMYFUNCTION("""COMPUTED_VALUE"""),"Gil")</f>
        <v>Gil</v>
      </c>
      <c r="J280" s="88"/>
    </row>
    <row r="281">
      <c r="A281" s="85">
        <f>IFERROR(__xludf.DUMMYFUNCTION("""COMPUTED_VALUE"""),45633.0)</f>
        <v>45633</v>
      </c>
      <c r="B281" s="80">
        <f>IFERROR(__xludf.DUMMYFUNCTION("""COMPUTED_VALUE"""),20.0)</f>
        <v>20</v>
      </c>
      <c r="C281" s="79" t="str">
        <f>IFERROR(__xludf.DUMMYFUNCTION("""COMPUTED_VALUE"""),"Cash")</f>
        <v>Cash</v>
      </c>
      <c r="D281" s="79" t="str">
        <f>IFERROR(__xludf.DUMMYFUNCTION("""COMPUTED_VALUE"""),"Other")</f>
        <v>Other</v>
      </c>
      <c r="E281" s="86" t="str">
        <f t="shared" si="1"/>
        <v>Dec</v>
      </c>
      <c r="F281" s="79" t="str">
        <f>IFERROR(__xludf.DUMMYFUNCTION("""COMPUTED_VALUE"""),"Gil")</f>
        <v>Gil</v>
      </c>
      <c r="J281" s="88"/>
    </row>
    <row r="282">
      <c r="A282" s="85">
        <f>IFERROR(__xludf.DUMMYFUNCTION("""COMPUTED_VALUE"""),45634.0)</f>
        <v>45634</v>
      </c>
      <c r="B282" s="80">
        <f>IFERROR(__xludf.DUMMYFUNCTION("""COMPUTED_VALUE"""),3.0)</f>
        <v>3</v>
      </c>
      <c r="C282" s="79" t="str">
        <f>IFERROR(__xludf.DUMMYFUNCTION("""COMPUTED_VALUE"""),"Cash")</f>
        <v>Cash</v>
      </c>
      <c r="D282" s="79" t="str">
        <f>IFERROR(__xludf.DUMMYFUNCTION("""COMPUTED_VALUE"""),"Other")</f>
        <v>Other</v>
      </c>
      <c r="E282" s="86" t="str">
        <f t="shared" si="1"/>
        <v>Dec</v>
      </c>
      <c r="F282" s="79" t="str">
        <f>IFERROR(__xludf.DUMMYFUNCTION("""COMPUTED_VALUE"""),"Gil")</f>
        <v>Gil</v>
      </c>
      <c r="J282" s="88"/>
    </row>
    <row r="283">
      <c r="A283" s="85">
        <f>IFERROR(__xludf.DUMMYFUNCTION("""COMPUTED_VALUE"""),45635.0)</f>
        <v>45635</v>
      </c>
      <c r="B283" s="80">
        <f>IFERROR(__xludf.DUMMYFUNCTION("""COMPUTED_VALUE"""),40.0)</f>
        <v>40</v>
      </c>
      <c r="C283" s="79" t="str">
        <f>IFERROR(__xludf.DUMMYFUNCTION("""COMPUTED_VALUE"""),"Cash")</f>
        <v>Cash</v>
      </c>
      <c r="D283" s="79" t="str">
        <f>IFERROR(__xludf.DUMMYFUNCTION("""COMPUTED_VALUE"""),"Other")</f>
        <v>Other</v>
      </c>
      <c r="E283" s="86" t="str">
        <f t="shared" si="1"/>
        <v>Dec</v>
      </c>
      <c r="F283" s="79" t="str">
        <f>IFERROR(__xludf.DUMMYFUNCTION("""COMPUTED_VALUE"""),"Gil")</f>
        <v>Gil</v>
      </c>
      <c r="J283" s="88"/>
    </row>
    <row r="284">
      <c r="A284" s="85">
        <f>IFERROR(__xludf.DUMMYFUNCTION("""COMPUTED_VALUE"""),45635.0)</f>
        <v>45635</v>
      </c>
      <c r="B284" s="80">
        <f>IFERROR(__xludf.DUMMYFUNCTION("""COMPUTED_VALUE"""),20.0)</f>
        <v>20</v>
      </c>
      <c r="C284" s="79" t="str">
        <f>IFERROR(__xludf.DUMMYFUNCTION("""COMPUTED_VALUE"""),"Cash")</f>
        <v>Cash</v>
      </c>
      <c r="D284" s="79" t="str">
        <f>IFERROR(__xludf.DUMMYFUNCTION("""COMPUTED_VALUE"""),"Other")</f>
        <v>Other</v>
      </c>
      <c r="E284" s="86" t="str">
        <f t="shared" si="1"/>
        <v>Dec</v>
      </c>
      <c r="F284" s="79" t="str">
        <f>IFERROR(__xludf.DUMMYFUNCTION("""COMPUTED_VALUE"""),"Gil")</f>
        <v>Gil</v>
      </c>
      <c r="J284" s="88"/>
    </row>
    <row r="285">
      <c r="A285" s="85">
        <f>IFERROR(__xludf.DUMMYFUNCTION("""COMPUTED_VALUE"""),45636.0)</f>
        <v>45636</v>
      </c>
      <c r="B285" s="80">
        <f>IFERROR(__xludf.DUMMYFUNCTION("""COMPUTED_VALUE"""),19.75)</f>
        <v>19.75</v>
      </c>
      <c r="C285" s="79" t="str">
        <f>IFERROR(__xludf.DUMMYFUNCTION("""COMPUTED_VALUE"""),"Cash Tips")</f>
        <v>Cash Tips</v>
      </c>
      <c r="D285" s="79" t="str">
        <f>IFERROR(__xludf.DUMMYFUNCTION("""COMPUTED_VALUE"""),"JOE")</f>
        <v>JOE</v>
      </c>
      <c r="E285" s="86" t="str">
        <f t="shared" si="1"/>
        <v>Dec</v>
      </c>
      <c r="F285" s="79" t="str">
        <f>IFERROR(__xludf.DUMMYFUNCTION("""COMPUTED_VALUE"""),"Gil")</f>
        <v>Gil</v>
      </c>
      <c r="J285" s="88"/>
    </row>
    <row r="286">
      <c r="A286" s="85">
        <f>IFERROR(__xludf.DUMMYFUNCTION("""COMPUTED_VALUE"""),45638.0)</f>
        <v>45638</v>
      </c>
      <c r="B286" s="80">
        <f>IFERROR(__xludf.DUMMYFUNCTION("""COMPUTED_VALUE"""),949.25)</f>
        <v>949.25</v>
      </c>
      <c r="C286" s="79" t="str">
        <f>IFERROR(__xludf.DUMMYFUNCTION("""COMPUTED_VALUE"""),"12/01/2024 - 12/14/2024")</f>
        <v>12/01/2024 - 12/14/2024</v>
      </c>
      <c r="D286" s="79" t="str">
        <f>IFERROR(__xludf.DUMMYFUNCTION("""COMPUTED_VALUE"""),"KAL")</f>
        <v>KAL</v>
      </c>
      <c r="E286" s="86" t="str">
        <f t="shared" si="1"/>
        <v>Dec</v>
      </c>
      <c r="F286" s="79" t="str">
        <f>IFERROR(__xludf.DUMMYFUNCTION("""COMPUTED_VALUE"""),"Gil")</f>
        <v>Gil</v>
      </c>
      <c r="J286" s="88"/>
    </row>
    <row r="287">
      <c r="A287" s="85">
        <f>IFERROR(__xludf.DUMMYFUNCTION("""COMPUTED_VALUE"""),45639.0)</f>
        <v>45639</v>
      </c>
      <c r="B287" s="80">
        <f>IFERROR(__xludf.DUMMYFUNCTION("""COMPUTED_VALUE"""),607.26)</f>
        <v>607.26</v>
      </c>
      <c r="C287" s="79" t="str">
        <f>IFERROR(__xludf.DUMMYFUNCTION("""COMPUTED_VALUE"""),"12/13/2024 (#38682)")</f>
        <v>12/13/2024 (#38682)</v>
      </c>
      <c r="D287" s="79" t="str">
        <f>IFERROR(__xludf.DUMMYFUNCTION("""COMPUTED_VALUE"""),"JOE")</f>
        <v>JOE</v>
      </c>
      <c r="E287" s="86" t="str">
        <f t="shared" si="1"/>
        <v>Dec</v>
      </c>
      <c r="F287" s="79" t="str">
        <f>IFERROR(__xludf.DUMMYFUNCTION("""COMPUTED_VALUE"""),"Gil")</f>
        <v>Gil</v>
      </c>
      <c r="J287" s="88"/>
    </row>
    <row r="288">
      <c r="A288" s="85">
        <f>IFERROR(__xludf.DUMMYFUNCTION("""COMPUTED_VALUE"""),45639.0)</f>
        <v>45639</v>
      </c>
      <c r="B288" s="80">
        <f>IFERROR(__xludf.DUMMYFUNCTION("""COMPUTED_VALUE"""),301.05)</f>
        <v>301.05</v>
      </c>
      <c r="C288" s="79" t="str">
        <f>IFERROR(__xludf.DUMMYFUNCTION("""COMPUTED_VALUE"""),"12/13/2024 (#38682) - 401k")</f>
        <v>12/13/2024 (#38682) - 401k</v>
      </c>
      <c r="D288" s="79" t="str">
        <f>IFERROR(__xludf.DUMMYFUNCTION("""COMPUTED_VALUE"""),"JOE")</f>
        <v>JOE</v>
      </c>
      <c r="E288" s="86" t="str">
        <f t="shared" si="1"/>
        <v>Dec</v>
      </c>
      <c r="F288" s="79" t="str">
        <f>IFERROR(__xludf.DUMMYFUNCTION("""COMPUTED_VALUE"""),"Gil")</f>
        <v>Gil</v>
      </c>
      <c r="J288" s="88"/>
    </row>
    <row r="289">
      <c r="A289" s="85">
        <f>IFERROR(__xludf.DUMMYFUNCTION("""COMPUTED_VALUE"""),45639.0)</f>
        <v>45639</v>
      </c>
      <c r="B289" s="80">
        <f>IFERROR(__xludf.DUMMYFUNCTION("""COMPUTED_VALUE"""),68.0)</f>
        <v>68</v>
      </c>
      <c r="C289" s="79" t="str">
        <f>IFERROR(__xludf.DUMMYFUNCTION("""COMPUTED_VALUE"""),"OPC")</f>
        <v>OPC</v>
      </c>
      <c r="D289" s="79" t="str">
        <f>IFERROR(__xludf.DUMMYFUNCTION("""COMPUTED_VALUE"""),"Other")</f>
        <v>Other</v>
      </c>
      <c r="E289" s="86" t="str">
        <f t="shared" si="1"/>
        <v>Dec</v>
      </c>
      <c r="F289" s="79" t="str">
        <f>IFERROR(__xludf.DUMMYFUNCTION("""COMPUTED_VALUE"""),"Gil")</f>
        <v>Gil</v>
      </c>
      <c r="J289" s="88"/>
    </row>
    <row r="290">
      <c r="A290" s="85">
        <f>IFERROR(__xludf.DUMMYFUNCTION("""COMPUTED_VALUE"""),45641.0)</f>
        <v>45641</v>
      </c>
      <c r="B290" s="80">
        <f>IFERROR(__xludf.DUMMYFUNCTION("""COMPUTED_VALUE"""),35.0)</f>
        <v>35</v>
      </c>
      <c r="C290" s="79" t="str">
        <f>IFERROR(__xludf.DUMMYFUNCTION("""COMPUTED_VALUE"""),"Cash")</f>
        <v>Cash</v>
      </c>
      <c r="D290" s="79" t="str">
        <f>IFERROR(__xludf.DUMMYFUNCTION("""COMPUTED_VALUE"""),"Other")</f>
        <v>Other</v>
      </c>
      <c r="E290" s="86" t="str">
        <f t="shared" si="1"/>
        <v>Dec</v>
      </c>
      <c r="F290" s="79" t="str">
        <f>IFERROR(__xludf.DUMMYFUNCTION("""COMPUTED_VALUE"""),"Gil")</f>
        <v>Gil</v>
      </c>
      <c r="J290" s="88"/>
    </row>
    <row r="291">
      <c r="A291" s="85">
        <f>IFERROR(__xludf.DUMMYFUNCTION("""COMPUTED_VALUE"""),45645.0)</f>
        <v>45645</v>
      </c>
      <c r="B291" s="80">
        <f>IFERROR(__xludf.DUMMYFUNCTION("""COMPUTED_VALUE"""),1500.0)</f>
        <v>1500</v>
      </c>
      <c r="C291" s="79" t="str">
        <f>IFERROR(__xludf.DUMMYFUNCTION("""COMPUTED_VALUE"""),"Bonus")</f>
        <v>Bonus</v>
      </c>
      <c r="D291" s="79" t="str">
        <f>IFERROR(__xludf.DUMMYFUNCTION("""COMPUTED_VALUE"""),"KAL")</f>
        <v>KAL</v>
      </c>
      <c r="E291" s="86" t="str">
        <f t="shared" si="1"/>
        <v>Dec</v>
      </c>
      <c r="F291" s="79" t="str">
        <f>IFERROR(__xludf.DUMMYFUNCTION("""COMPUTED_VALUE"""),"Gil")</f>
        <v>Gil</v>
      </c>
      <c r="J291" s="88"/>
    </row>
    <row r="292">
      <c r="A292" s="85">
        <f>IFERROR(__xludf.DUMMYFUNCTION("""COMPUTED_VALUE"""),45645.0)</f>
        <v>45645</v>
      </c>
      <c r="B292" s="80">
        <f>IFERROR(__xludf.DUMMYFUNCTION("""COMPUTED_VALUE"""),125.0)</f>
        <v>125</v>
      </c>
      <c r="C292" s="79" t="str">
        <f>IFERROR(__xludf.DUMMYFUNCTION("""COMPUTED_VALUE"""),"Cash")</f>
        <v>Cash</v>
      </c>
      <c r="D292" s="79" t="str">
        <f>IFERROR(__xludf.DUMMYFUNCTION("""COMPUTED_VALUE"""),"Other")</f>
        <v>Other</v>
      </c>
      <c r="E292" s="86" t="str">
        <f t="shared" si="1"/>
        <v>Dec</v>
      </c>
      <c r="F292" s="79" t="str">
        <f>IFERROR(__xludf.DUMMYFUNCTION("""COMPUTED_VALUE"""),"Gil")</f>
        <v>Gil</v>
      </c>
      <c r="J292" s="88"/>
    </row>
    <row r="293">
      <c r="A293" s="85">
        <f>IFERROR(__xludf.DUMMYFUNCTION("""COMPUTED_VALUE"""),45601.0)</f>
        <v>45601</v>
      </c>
      <c r="B293" s="80">
        <f>IFERROR(__xludf.DUMMYFUNCTION("""COMPUTED_VALUE"""),95.25)</f>
        <v>95.25</v>
      </c>
      <c r="C293" s="79" t="str">
        <f>IFERROR(__xludf.DUMMYFUNCTION("""COMPUTED_VALUE"""),"Blissy refund")</f>
        <v>Blissy refund</v>
      </c>
      <c r="D293" s="79" t="str">
        <f>IFERROR(__xludf.DUMMYFUNCTION("""COMPUTED_VALUE"""),"Other")</f>
        <v>Other</v>
      </c>
      <c r="E293" s="86" t="str">
        <f t="shared" si="1"/>
        <v>Nov</v>
      </c>
      <c r="F293" s="79" t="str">
        <f>IFERROR(__xludf.DUMMYFUNCTION("""COMPUTED_VALUE"""),"Shaeffer")</f>
        <v>Shaeffer</v>
      </c>
      <c r="J293" s="88"/>
    </row>
    <row r="294">
      <c r="A294" s="85">
        <f>IFERROR(__xludf.DUMMYFUNCTION("""COMPUTED_VALUE"""),45646.0)</f>
        <v>45646</v>
      </c>
      <c r="B294" s="80">
        <f>IFERROR(__xludf.DUMMYFUNCTION("""COMPUTED_VALUE"""),587.53)</f>
        <v>587.53</v>
      </c>
      <c r="C294" s="79" t="str">
        <f>IFERROR(__xludf.DUMMYFUNCTION("""COMPUTED_VALUE"""),"12/20/2024 (#38926)")</f>
        <v>12/20/2024 (#38926)</v>
      </c>
      <c r="D294" s="79" t="str">
        <f>IFERROR(__xludf.DUMMYFUNCTION("""COMPUTED_VALUE"""),"JOE")</f>
        <v>JOE</v>
      </c>
      <c r="E294" s="86" t="str">
        <f t="shared" si="1"/>
        <v>Dec</v>
      </c>
      <c r="F294" s="79" t="str">
        <f>IFERROR(__xludf.DUMMYFUNCTION("""COMPUTED_VALUE"""),"Gil")</f>
        <v>Gil</v>
      </c>
      <c r="J294" s="88"/>
    </row>
    <row r="295">
      <c r="A295" s="85">
        <f>IFERROR(__xludf.DUMMYFUNCTION("""COMPUTED_VALUE"""),45646.0)</f>
        <v>45646</v>
      </c>
      <c r="B295" s="80">
        <f>IFERROR(__xludf.DUMMYFUNCTION("""COMPUTED_VALUE"""),264.5)</f>
        <v>264.5</v>
      </c>
      <c r="C295" s="79" t="str">
        <f>IFERROR(__xludf.DUMMYFUNCTION("""COMPUTED_VALUE"""),"12/20/2024 (#38926) - 401k")</f>
        <v>12/20/2024 (#38926) - 401k</v>
      </c>
      <c r="D295" s="79" t="str">
        <f>IFERROR(__xludf.DUMMYFUNCTION("""COMPUTED_VALUE"""),"JOE")</f>
        <v>JOE</v>
      </c>
      <c r="E295" s="86" t="str">
        <f t="shared" si="1"/>
        <v>Dec</v>
      </c>
      <c r="F295" s="79" t="str">
        <f>IFERROR(__xludf.DUMMYFUNCTION("""COMPUTED_VALUE"""),"Gil")</f>
        <v>Gil</v>
      </c>
      <c r="J295" s="88"/>
    </row>
    <row r="296">
      <c r="A296" s="85">
        <f>IFERROR(__xludf.DUMMYFUNCTION("""COMPUTED_VALUE"""),45647.0)</f>
        <v>45647</v>
      </c>
      <c r="B296" s="80">
        <f>IFERROR(__xludf.DUMMYFUNCTION("""COMPUTED_VALUE"""),260.0)</f>
        <v>260</v>
      </c>
      <c r="C296" s="79" t="str">
        <f>IFERROR(__xludf.DUMMYFUNCTION("""COMPUTED_VALUE"""),"Cash")</f>
        <v>Cash</v>
      </c>
      <c r="D296" s="79" t="str">
        <f>IFERROR(__xludf.DUMMYFUNCTION("""COMPUTED_VALUE"""),"Other")</f>
        <v>Other</v>
      </c>
      <c r="E296" s="86" t="str">
        <f t="shared" si="1"/>
        <v>Dec</v>
      </c>
      <c r="F296" s="79" t="str">
        <f>IFERROR(__xludf.DUMMYFUNCTION("""COMPUTED_VALUE"""),"Gil")</f>
        <v>Gil</v>
      </c>
      <c r="J296" s="88"/>
    </row>
    <row r="297">
      <c r="A297" s="85">
        <f>IFERROR(__xludf.DUMMYFUNCTION("""COMPUTED_VALUE"""),45647.0)</f>
        <v>45647</v>
      </c>
      <c r="B297" s="80">
        <f>IFERROR(__xludf.DUMMYFUNCTION("""COMPUTED_VALUE"""),247.0)</f>
        <v>247</v>
      </c>
      <c r="C297" s="79" t="str">
        <f>IFERROR(__xludf.DUMMYFUNCTION("""COMPUTED_VALUE"""),"Cash")</f>
        <v>Cash</v>
      </c>
      <c r="D297" s="79" t="str">
        <f>IFERROR(__xludf.DUMMYFUNCTION("""COMPUTED_VALUE"""),"Other")</f>
        <v>Other</v>
      </c>
      <c r="E297" s="86" t="str">
        <f t="shared" si="1"/>
        <v>Dec</v>
      </c>
      <c r="F297" s="79" t="str">
        <f>IFERROR(__xludf.DUMMYFUNCTION("""COMPUTED_VALUE"""),"Gil")</f>
        <v>Gil</v>
      </c>
      <c r="J297" s="88"/>
    </row>
    <row r="298">
      <c r="A298" s="85">
        <f>IFERROR(__xludf.DUMMYFUNCTION("""COMPUTED_VALUE"""),45647.0)</f>
        <v>45647</v>
      </c>
      <c r="B298" s="80">
        <f>IFERROR(__xludf.DUMMYFUNCTION("""COMPUTED_VALUE"""),50.0)</f>
        <v>50</v>
      </c>
      <c r="C298" s="79" t="str">
        <f>IFERROR(__xludf.DUMMYFUNCTION("""COMPUTED_VALUE"""),"Cash ")</f>
        <v>Cash </v>
      </c>
      <c r="D298" s="79" t="str">
        <f>IFERROR(__xludf.DUMMYFUNCTION("""COMPUTED_VALUE"""),"Other")</f>
        <v>Other</v>
      </c>
      <c r="E298" s="86" t="str">
        <f t="shared" si="1"/>
        <v>Dec</v>
      </c>
      <c r="F298" s="79" t="str">
        <f>IFERROR(__xludf.DUMMYFUNCTION("""COMPUTED_VALUE"""),"Gil")</f>
        <v>Gil</v>
      </c>
      <c r="J298" s="88"/>
    </row>
    <row r="299">
      <c r="A299" s="85">
        <f>IFERROR(__xludf.DUMMYFUNCTION("""COMPUTED_VALUE"""),45648.0)</f>
        <v>45648</v>
      </c>
      <c r="B299" s="80">
        <f>IFERROR(__xludf.DUMMYFUNCTION("""COMPUTED_VALUE"""),8.0)</f>
        <v>8</v>
      </c>
      <c r="C299" s="79" t="str">
        <f>IFERROR(__xludf.DUMMYFUNCTION("""COMPUTED_VALUE"""),"Cash")</f>
        <v>Cash</v>
      </c>
      <c r="D299" s="79" t="str">
        <f>IFERROR(__xludf.DUMMYFUNCTION("""COMPUTED_VALUE"""),"Other")</f>
        <v>Other</v>
      </c>
      <c r="E299" s="86" t="str">
        <f t="shared" si="1"/>
        <v>Dec</v>
      </c>
      <c r="F299" s="79" t="str">
        <f>IFERROR(__xludf.DUMMYFUNCTION("""COMPUTED_VALUE"""),"Gil")</f>
        <v>Gil</v>
      </c>
      <c r="J299" s="88"/>
    </row>
    <row r="300">
      <c r="A300" s="85">
        <f>IFERROR(__xludf.DUMMYFUNCTION("""COMPUTED_VALUE"""),45649.0)</f>
        <v>45649</v>
      </c>
      <c r="B300" s="80">
        <f>IFERROR(__xludf.DUMMYFUNCTION("""COMPUTED_VALUE"""),87.0)</f>
        <v>87</v>
      </c>
      <c r="C300" s="79" t="str">
        <f>IFERROR(__xludf.DUMMYFUNCTION("""COMPUTED_VALUE"""),"Cash")</f>
        <v>Cash</v>
      </c>
      <c r="D300" s="79" t="str">
        <f>IFERROR(__xludf.DUMMYFUNCTION("""COMPUTED_VALUE"""),"Other")</f>
        <v>Other</v>
      </c>
      <c r="E300" s="86" t="str">
        <f t="shared" si="1"/>
        <v>Dec</v>
      </c>
      <c r="F300" s="79" t="str">
        <f>IFERROR(__xludf.DUMMYFUNCTION("""COMPUTED_VALUE"""),"Gil")</f>
        <v>Gil</v>
      </c>
      <c r="J300" s="88"/>
    </row>
    <row r="301">
      <c r="A301" s="85">
        <f>IFERROR(__xludf.DUMMYFUNCTION("""COMPUTED_VALUE"""),45650.0)</f>
        <v>45650</v>
      </c>
      <c r="B301" s="80">
        <f>IFERROR(__xludf.DUMMYFUNCTION("""COMPUTED_VALUE"""),115.0)</f>
        <v>115</v>
      </c>
      <c r="C301" s="79" t="str">
        <f>IFERROR(__xludf.DUMMYFUNCTION("""COMPUTED_VALUE"""),"Cash")</f>
        <v>Cash</v>
      </c>
      <c r="D301" s="79" t="str">
        <f>IFERROR(__xludf.DUMMYFUNCTION("""COMPUTED_VALUE"""),"Other")</f>
        <v>Other</v>
      </c>
      <c r="E301" s="86" t="str">
        <f t="shared" si="1"/>
        <v>Dec</v>
      </c>
      <c r="F301" s="79" t="str">
        <f>IFERROR(__xludf.DUMMYFUNCTION("""COMPUTED_VALUE"""),"Gil")</f>
        <v>Gil</v>
      </c>
      <c r="J301" s="88"/>
    </row>
    <row r="302">
      <c r="A302" s="85">
        <f>IFERROR(__xludf.DUMMYFUNCTION("""COMPUTED_VALUE"""),45653.0)</f>
        <v>45653</v>
      </c>
      <c r="B302" s="80">
        <f>IFERROR(__xludf.DUMMYFUNCTION("""COMPUTED_VALUE"""),577.15)</f>
        <v>577.15</v>
      </c>
      <c r="C302" s="79" t="str">
        <f>IFERROR(__xludf.DUMMYFUNCTION("""COMPUTED_VALUE"""),"12/27/2024 (#39163)")</f>
        <v>12/27/2024 (#39163)</v>
      </c>
      <c r="D302" s="79" t="str">
        <f>IFERROR(__xludf.DUMMYFUNCTION("""COMPUTED_VALUE"""),"JOE")</f>
        <v>JOE</v>
      </c>
      <c r="E302" s="86" t="str">
        <f t="shared" si="1"/>
        <v>Dec</v>
      </c>
      <c r="F302" s="79" t="str">
        <f>IFERROR(__xludf.DUMMYFUNCTION("""COMPUTED_VALUE"""),"Gil")</f>
        <v>Gil</v>
      </c>
      <c r="J302" s="88"/>
    </row>
    <row r="303">
      <c r="A303" s="85">
        <f>IFERROR(__xludf.DUMMYFUNCTION("""COMPUTED_VALUE"""),45653.0)</f>
        <v>45653</v>
      </c>
      <c r="B303" s="80">
        <f>IFERROR(__xludf.DUMMYFUNCTION("""COMPUTED_VALUE"""),282.88)</f>
        <v>282.88</v>
      </c>
      <c r="C303" s="79" t="str">
        <f>IFERROR(__xludf.DUMMYFUNCTION("""COMPUTED_VALUE"""),"12/27/2024 (#39163) - 401k")</f>
        <v>12/27/2024 (#39163) - 401k</v>
      </c>
      <c r="D303" s="79" t="str">
        <f>IFERROR(__xludf.DUMMYFUNCTION("""COMPUTED_VALUE"""),"JOE")</f>
        <v>JOE</v>
      </c>
      <c r="E303" s="86" t="str">
        <f t="shared" si="1"/>
        <v>Dec</v>
      </c>
      <c r="F303" s="79" t="str">
        <f>IFERROR(__xludf.DUMMYFUNCTION("""COMPUTED_VALUE"""),"Gil")</f>
        <v>Gil</v>
      </c>
      <c r="J303" s="88"/>
    </row>
    <row r="304">
      <c r="A304" s="85">
        <f>IFERROR(__xludf.DUMMYFUNCTION("""COMPUTED_VALUE"""),45656.0)</f>
        <v>45656</v>
      </c>
      <c r="B304" s="80">
        <f>IFERROR(__xludf.DUMMYFUNCTION("""COMPUTED_VALUE"""),910.7)</f>
        <v>910.7</v>
      </c>
      <c r="C304" s="79" t="str">
        <f>IFERROR(__xludf.DUMMYFUNCTION("""COMPUTED_VALUE"""),"Dec 15 - Dec 28, 2024")</f>
        <v>Dec 15 - Dec 28, 2024</v>
      </c>
      <c r="D304" s="79" t="str">
        <f>IFERROR(__xludf.DUMMYFUNCTION("""COMPUTED_VALUE"""),"KAL")</f>
        <v>KAL</v>
      </c>
      <c r="E304" s="86" t="str">
        <f t="shared" si="1"/>
        <v>Dec</v>
      </c>
      <c r="F304" s="79" t="str">
        <f>IFERROR(__xludf.DUMMYFUNCTION("""COMPUTED_VALUE"""),"Gil")</f>
        <v>Gil</v>
      </c>
      <c r="J304" s="88"/>
    </row>
    <row r="305">
      <c r="A305" s="85">
        <f>IFERROR(__xludf.DUMMYFUNCTION("""COMPUTED_VALUE"""),45611.0)</f>
        <v>45611</v>
      </c>
      <c r="B305" s="80">
        <f>IFERROR(__xludf.DUMMYFUNCTION("""COMPUTED_VALUE"""),4051.57)</f>
        <v>4051.57</v>
      </c>
      <c r="C305" s="79" t="str">
        <f>IFERROR(__xludf.DUMMYFUNCTION("""COMPUTED_VALUE"""),"Altu")</f>
        <v>Altu</v>
      </c>
      <c r="D305" s="79" t="str">
        <f>IFERROR(__xludf.DUMMYFUNCTION("""COMPUTED_VALUE"""),"Altuzarra")</f>
        <v>Altuzarra</v>
      </c>
      <c r="E305" s="86" t="str">
        <f t="shared" si="1"/>
        <v>Nov</v>
      </c>
      <c r="F305" s="79" t="str">
        <f>IFERROR(__xludf.DUMMYFUNCTION("""COMPUTED_VALUE"""),"Shaeffer")</f>
        <v>Shaeffer</v>
      </c>
      <c r="J305" s="88"/>
    </row>
    <row r="306">
      <c r="A306" s="85">
        <f>IFERROR(__xludf.DUMMYFUNCTION("""COMPUTED_VALUE"""),45625.0)</f>
        <v>45625</v>
      </c>
      <c r="B306" s="80">
        <f>IFERROR(__xludf.DUMMYFUNCTION("""COMPUTED_VALUE"""),4050.36)</f>
        <v>4050.36</v>
      </c>
      <c r="C306" s="79" t="str">
        <f>IFERROR(__xludf.DUMMYFUNCTION("""COMPUTED_VALUE"""),"Altu")</f>
        <v>Altu</v>
      </c>
      <c r="D306" s="79" t="str">
        <f>IFERROR(__xludf.DUMMYFUNCTION("""COMPUTED_VALUE"""),"Altuzarra")</f>
        <v>Altuzarra</v>
      </c>
      <c r="E306" s="86" t="str">
        <f t="shared" si="1"/>
        <v>Nov</v>
      </c>
      <c r="F306" s="79" t="str">
        <f>IFERROR(__xludf.DUMMYFUNCTION("""COMPUTED_VALUE"""),"Shaeffer")</f>
        <v>Shaeffer</v>
      </c>
      <c r="J306" s="88"/>
    </row>
    <row r="307">
      <c r="A307" s="85">
        <f>IFERROR(__xludf.DUMMYFUNCTION("""COMPUTED_VALUE"""),45639.0)</f>
        <v>45639</v>
      </c>
      <c r="B307" s="80">
        <f>IFERROR(__xludf.DUMMYFUNCTION("""COMPUTED_VALUE"""),4051.57)</f>
        <v>4051.57</v>
      </c>
      <c r="C307" s="79" t="str">
        <f>IFERROR(__xludf.DUMMYFUNCTION("""COMPUTED_VALUE"""),"Altu")</f>
        <v>Altu</v>
      </c>
      <c r="D307" s="79" t="str">
        <f>IFERROR(__xludf.DUMMYFUNCTION("""COMPUTED_VALUE"""),"Altuzarra")</f>
        <v>Altuzarra</v>
      </c>
      <c r="E307" s="86" t="str">
        <f t="shared" si="1"/>
        <v>Dec</v>
      </c>
      <c r="F307" s="79" t="str">
        <f>IFERROR(__xludf.DUMMYFUNCTION("""COMPUTED_VALUE"""),"Shaeffer")</f>
        <v>Shaeffer</v>
      </c>
      <c r="J307" s="88"/>
    </row>
    <row r="308">
      <c r="A308" s="85">
        <f>IFERROR(__xludf.DUMMYFUNCTION("""COMPUTED_VALUE"""),45657.0)</f>
        <v>45657</v>
      </c>
      <c r="B308" s="80">
        <f>IFERROR(__xludf.DUMMYFUNCTION("""COMPUTED_VALUE"""),4050.36)</f>
        <v>4050.36</v>
      </c>
      <c r="C308" s="79" t="str">
        <f>IFERROR(__xludf.DUMMYFUNCTION("""COMPUTED_VALUE"""),"Altu")</f>
        <v>Altu</v>
      </c>
      <c r="D308" s="79" t="str">
        <f>IFERROR(__xludf.DUMMYFUNCTION("""COMPUTED_VALUE"""),"Altuzarra")</f>
        <v>Altuzarra</v>
      </c>
      <c r="E308" s="86" t="str">
        <f t="shared" si="1"/>
        <v>Dec</v>
      </c>
      <c r="F308" s="79" t="str">
        <f>IFERROR(__xludf.DUMMYFUNCTION("""COMPUTED_VALUE"""),"Shaeffer")</f>
        <v>Shaeffer</v>
      </c>
      <c r="J308" s="88"/>
    </row>
    <row r="309">
      <c r="A309" s="85">
        <f>IFERROR(__xludf.DUMMYFUNCTION("""COMPUTED_VALUE"""),45633.0)</f>
        <v>45633</v>
      </c>
      <c r="B309" s="80">
        <f>IFERROR(__xludf.DUMMYFUNCTION("""COMPUTED_VALUE"""),83.61)</f>
        <v>83.61</v>
      </c>
      <c r="C309" s="79" t="str">
        <f>IFERROR(__xludf.DUMMYFUNCTION("""COMPUTED_VALUE"""),"Miko - 323 utilies")</f>
        <v>Miko - 323 utilies</v>
      </c>
      <c r="D309" s="79" t="str">
        <f>IFERROR(__xludf.DUMMYFUNCTION("""COMPUTED_VALUE"""),"Other")</f>
        <v>Other</v>
      </c>
      <c r="E309" s="86" t="str">
        <f t="shared" si="1"/>
        <v>Dec</v>
      </c>
      <c r="F309" s="79" t="str">
        <f>IFERROR(__xludf.DUMMYFUNCTION("""COMPUTED_VALUE"""),"Shaeffer")</f>
        <v>Shaeffer</v>
      </c>
      <c r="J309" s="88"/>
    </row>
    <row r="310">
      <c r="A310" s="85">
        <f>IFERROR(__xludf.DUMMYFUNCTION("""COMPUTED_VALUE"""),45632.0)</f>
        <v>45632</v>
      </c>
      <c r="B310" s="80">
        <f>IFERROR(__xludf.DUMMYFUNCTION("""COMPUTED_VALUE"""),583.6)</f>
        <v>583.6</v>
      </c>
      <c r="C310" s="79" t="str">
        <f>IFERROR(__xludf.DUMMYFUNCTION("""COMPUTED_VALUE"""),"Amelia - 323 Dec rent &amp; utilites")</f>
        <v>Amelia - 323 Dec rent &amp; utilites</v>
      </c>
      <c r="D310" s="79" t="str">
        <f>IFERROR(__xludf.DUMMYFUNCTION("""COMPUTED_VALUE"""),"Other")</f>
        <v>Other</v>
      </c>
      <c r="E310" s="86" t="str">
        <f t="shared" si="1"/>
        <v>Dec</v>
      </c>
      <c r="F310" s="79" t="str">
        <f>IFERROR(__xludf.DUMMYFUNCTION("""COMPUTED_VALUE"""),"Shaeffer")</f>
        <v>Shaeffer</v>
      </c>
      <c r="J310" s="88"/>
    </row>
    <row r="311">
      <c r="A311" s="85">
        <f>IFERROR(__xludf.DUMMYFUNCTION("""COMPUTED_VALUE"""),45665.0)</f>
        <v>45665</v>
      </c>
      <c r="B311" s="80">
        <f>IFERROR(__xludf.DUMMYFUNCTION("""COMPUTED_VALUE"""),387.19)</f>
        <v>387.19</v>
      </c>
      <c r="C311" s="79" t="str">
        <f>IFERROR(__xludf.DUMMYFUNCTION("""COMPUTED_VALUE"""),"12/29/2024 - 01/11/2025")</f>
        <v>12/29/2024 - 01/11/2025</v>
      </c>
      <c r="D311" s="79" t="str">
        <f>IFERROR(__xludf.DUMMYFUNCTION("""COMPUTED_VALUE"""),"KAL")</f>
        <v>KAL</v>
      </c>
      <c r="E311" s="86" t="str">
        <f t="shared" si="1"/>
        <v>Jan</v>
      </c>
      <c r="F311" s="79" t="str">
        <f>IFERROR(__xludf.DUMMYFUNCTION("""COMPUTED_VALUE"""),"Gil")</f>
        <v>Gil</v>
      </c>
      <c r="J311" s="88"/>
    </row>
    <row r="312">
      <c r="A312" s="85">
        <f>IFERROR(__xludf.DUMMYFUNCTION("""COMPUTED_VALUE"""),45668.0)</f>
        <v>45668</v>
      </c>
      <c r="B312" s="80">
        <f>IFERROR(__xludf.DUMMYFUNCTION("""COMPUTED_VALUE"""),22.0)</f>
        <v>22</v>
      </c>
      <c r="C312" s="79" t="str">
        <f>IFERROR(__xludf.DUMMYFUNCTION("""COMPUTED_VALUE"""),"Cash")</f>
        <v>Cash</v>
      </c>
      <c r="D312" s="79" t="str">
        <f>IFERROR(__xludf.DUMMYFUNCTION("""COMPUTED_VALUE"""),"Other")</f>
        <v>Other</v>
      </c>
      <c r="E312" s="86" t="str">
        <f t="shared" si="1"/>
        <v>Jan</v>
      </c>
      <c r="F312" s="79" t="str">
        <f>IFERROR(__xludf.DUMMYFUNCTION("""COMPUTED_VALUE"""),"Gil")</f>
        <v>Gil</v>
      </c>
      <c r="J312" s="88"/>
    </row>
    <row r="313">
      <c r="A313" s="85">
        <f>IFERROR(__xludf.DUMMYFUNCTION("""COMPUTED_VALUE"""),45671.0)</f>
        <v>45671</v>
      </c>
      <c r="B313" s="80">
        <f>IFERROR(__xludf.DUMMYFUNCTION("""COMPUTED_VALUE"""),20.0)</f>
        <v>20</v>
      </c>
      <c r="C313" s="79" t="str">
        <f>IFERROR(__xludf.DUMMYFUNCTION("""COMPUTED_VALUE"""),"Cash")</f>
        <v>Cash</v>
      </c>
      <c r="D313" s="79" t="str">
        <f>IFERROR(__xludf.DUMMYFUNCTION("""COMPUTED_VALUE"""),"Other")</f>
        <v>Other</v>
      </c>
      <c r="E313" s="86" t="str">
        <f t="shared" si="1"/>
        <v>Jan</v>
      </c>
      <c r="F313" s="79" t="str">
        <f>IFERROR(__xludf.DUMMYFUNCTION("""COMPUTED_VALUE"""),"Gil")</f>
        <v>Gil</v>
      </c>
      <c r="J313" s="88"/>
    </row>
    <row r="314">
      <c r="A314" s="85">
        <f>IFERROR(__xludf.DUMMYFUNCTION("""COMPUTED_VALUE"""),45673.0)</f>
        <v>45673</v>
      </c>
      <c r="B314" s="80">
        <f>IFERROR(__xludf.DUMMYFUNCTION("""COMPUTED_VALUE"""),7.12)</f>
        <v>7.12</v>
      </c>
      <c r="C314" s="79" t="str">
        <f>IFERROR(__xludf.DUMMYFUNCTION("""COMPUTED_VALUE"""),"Cash Tips ")</f>
        <v>Cash Tips </v>
      </c>
      <c r="D314" s="79" t="str">
        <f>IFERROR(__xludf.DUMMYFUNCTION("""COMPUTED_VALUE"""),"JOE")</f>
        <v>JOE</v>
      </c>
      <c r="E314" s="86" t="str">
        <f t="shared" si="1"/>
        <v>Jan</v>
      </c>
      <c r="F314" s="79" t="str">
        <f>IFERROR(__xludf.DUMMYFUNCTION("""COMPUTED_VALUE"""),"Gil")</f>
        <v>Gil</v>
      </c>
      <c r="J314" s="88"/>
    </row>
    <row r="315">
      <c r="A315" s="85">
        <f>IFERROR(__xludf.DUMMYFUNCTION("""COMPUTED_VALUE"""),45674.0)</f>
        <v>45674</v>
      </c>
      <c r="B315" s="80">
        <f>IFERROR(__xludf.DUMMYFUNCTION("""COMPUTED_VALUE"""),586.6)</f>
        <v>586.6</v>
      </c>
      <c r="C315" s="79" t="str">
        <f>IFERROR(__xludf.DUMMYFUNCTION("""COMPUTED_VALUE"""),"01/17/2025 (#39799)")</f>
        <v>01/17/2025 (#39799)</v>
      </c>
      <c r="D315" s="79" t="str">
        <f>IFERROR(__xludf.DUMMYFUNCTION("""COMPUTED_VALUE"""),"JOE")</f>
        <v>JOE</v>
      </c>
      <c r="E315" s="86" t="str">
        <f t="shared" si="1"/>
        <v>Jan</v>
      </c>
      <c r="F315" s="79" t="str">
        <f>IFERROR(__xludf.DUMMYFUNCTION("""COMPUTED_VALUE"""),"Gil")</f>
        <v>Gil</v>
      </c>
      <c r="J315" s="88"/>
    </row>
    <row r="316">
      <c r="A316" s="85">
        <f>IFERROR(__xludf.DUMMYFUNCTION("""COMPUTED_VALUE"""),45674.0)</f>
        <v>45674</v>
      </c>
      <c r="B316" s="80">
        <f>IFERROR(__xludf.DUMMYFUNCTION("""COMPUTED_VALUE"""),287.46)</f>
        <v>287.46</v>
      </c>
      <c r="C316" s="79" t="str">
        <f>IFERROR(__xludf.DUMMYFUNCTION("""COMPUTED_VALUE"""),"01/17/2025 (#39799) - 401k")</f>
        <v>01/17/2025 (#39799) - 401k</v>
      </c>
      <c r="D316" s="79" t="str">
        <f>IFERROR(__xludf.DUMMYFUNCTION("""COMPUTED_VALUE"""),"JOE")</f>
        <v>JOE</v>
      </c>
      <c r="E316" s="86" t="str">
        <f t="shared" si="1"/>
        <v>Jan</v>
      </c>
      <c r="F316" s="79" t="str">
        <f>IFERROR(__xludf.DUMMYFUNCTION("""COMPUTED_VALUE"""),"Gil")</f>
        <v>Gil</v>
      </c>
      <c r="J316" s="88"/>
    </row>
    <row r="317">
      <c r="A317" s="85">
        <f>IFERROR(__xludf.DUMMYFUNCTION("""COMPUTED_VALUE"""),45679.0)</f>
        <v>45679</v>
      </c>
      <c r="B317" s="80">
        <f>IFERROR(__xludf.DUMMYFUNCTION("""COMPUTED_VALUE"""),1092.9)</f>
        <v>1092.9</v>
      </c>
      <c r="C317" s="79" t="str">
        <f>IFERROR(__xludf.DUMMYFUNCTION("""COMPUTED_VALUE"""),"01/12/2025 - 01/25/2025")</f>
        <v>01/12/2025 - 01/25/2025</v>
      </c>
      <c r="D317" s="79" t="str">
        <f>IFERROR(__xludf.DUMMYFUNCTION("""COMPUTED_VALUE"""),"KAL")</f>
        <v>KAL</v>
      </c>
      <c r="E317" s="86" t="str">
        <f t="shared" si="1"/>
        <v>Jan</v>
      </c>
      <c r="F317" s="79" t="str">
        <f>IFERROR(__xludf.DUMMYFUNCTION("""COMPUTED_VALUE"""),"Gil")</f>
        <v>Gil</v>
      </c>
      <c r="J317" s="88"/>
    </row>
    <row r="318">
      <c r="A318" s="85">
        <f>IFERROR(__xludf.DUMMYFUNCTION("""COMPUTED_VALUE"""),45680.0)</f>
        <v>45680</v>
      </c>
      <c r="B318" s="80">
        <f>IFERROR(__xludf.DUMMYFUNCTION("""COMPUTED_VALUE"""),13.0)</f>
        <v>13</v>
      </c>
      <c r="C318" s="79" t="str">
        <f>IFERROR(__xludf.DUMMYFUNCTION("""COMPUTED_VALUE"""),"Cash Tips")</f>
        <v>Cash Tips</v>
      </c>
      <c r="D318" s="79" t="str">
        <f>IFERROR(__xludf.DUMMYFUNCTION("""COMPUTED_VALUE"""),"JOE")</f>
        <v>JOE</v>
      </c>
      <c r="E318" s="86" t="str">
        <f t="shared" si="1"/>
        <v>Jan</v>
      </c>
      <c r="F318" s="79" t="str">
        <f>IFERROR(__xludf.DUMMYFUNCTION("""COMPUTED_VALUE"""),"Gil")</f>
        <v>Gil</v>
      </c>
      <c r="J318" s="88"/>
    </row>
    <row r="319">
      <c r="A319" s="85">
        <f>IFERROR(__xludf.DUMMYFUNCTION("""COMPUTED_VALUE"""),45680.0)</f>
        <v>45680</v>
      </c>
      <c r="B319" s="80">
        <f>IFERROR(__xludf.DUMMYFUNCTION("""COMPUTED_VALUE"""),6.0)</f>
        <v>6</v>
      </c>
      <c r="C319" s="79" t="str">
        <f>IFERROR(__xludf.DUMMYFUNCTION("""COMPUTED_VALUE"""),"Cash Tips")</f>
        <v>Cash Tips</v>
      </c>
      <c r="D319" s="79" t="str">
        <f>IFERROR(__xludf.DUMMYFUNCTION("""COMPUTED_VALUE"""),"JOE")</f>
        <v>JOE</v>
      </c>
      <c r="E319" s="86" t="str">
        <f t="shared" si="1"/>
        <v>Jan</v>
      </c>
      <c r="F319" s="79" t="str">
        <f>IFERROR(__xludf.DUMMYFUNCTION("""COMPUTED_VALUE"""),"Gil")</f>
        <v>Gil</v>
      </c>
      <c r="J319" s="88"/>
    </row>
    <row r="320">
      <c r="A320" s="85">
        <f>IFERROR(__xludf.DUMMYFUNCTION("""COMPUTED_VALUE"""),45681.0)</f>
        <v>45681</v>
      </c>
      <c r="B320" s="80">
        <f>IFERROR(__xludf.DUMMYFUNCTION("""COMPUTED_VALUE"""),323.37)</f>
        <v>323.37</v>
      </c>
      <c r="C320" s="79" t="str">
        <f>IFERROR(__xludf.DUMMYFUNCTION("""COMPUTED_VALUE"""),"01/24/2025 (#40015)")</f>
        <v>01/24/2025 (#40015)</v>
      </c>
      <c r="D320" s="79" t="str">
        <f>IFERROR(__xludf.DUMMYFUNCTION("""COMPUTED_VALUE"""),"JOE")</f>
        <v>JOE</v>
      </c>
      <c r="E320" s="86" t="str">
        <f t="shared" si="1"/>
        <v>Jan</v>
      </c>
      <c r="F320" s="79" t="str">
        <f>IFERROR(__xludf.DUMMYFUNCTION("""COMPUTED_VALUE"""),"Gil")</f>
        <v>Gil</v>
      </c>
      <c r="J320" s="88"/>
    </row>
    <row r="321">
      <c r="A321" s="85">
        <f>IFERROR(__xludf.DUMMYFUNCTION("""COMPUTED_VALUE"""),45681.0)</f>
        <v>45681</v>
      </c>
      <c r="B321" s="80">
        <f>IFERROR(__xludf.DUMMYFUNCTION("""COMPUTED_VALUE"""),143.48)</f>
        <v>143.48</v>
      </c>
      <c r="C321" s="79" t="str">
        <f>IFERROR(__xludf.DUMMYFUNCTION("""COMPUTED_VALUE"""),"01/24/2025 (#40015) - 401k")</f>
        <v>01/24/2025 (#40015) - 401k</v>
      </c>
      <c r="D321" s="79" t="str">
        <f>IFERROR(__xludf.DUMMYFUNCTION("""COMPUTED_VALUE"""),"JOE")</f>
        <v>JOE</v>
      </c>
      <c r="E321" s="86" t="str">
        <f t="shared" si="1"/>
        <v>Jan</v>
      </c>
      <c r="F321" s="79" t="str">
        <f>IFERROR(__xludf.DUMMYFUNCTION("""COMPUTED_VALUE"""),"Gil")</f>
        <v>Gil</v>
      </c>
      <c r="J321" s="88"/>
    </row>
    <row r="322">
      <c r="A322" s="85">
        <f>IFERROR(__xludf.DUMMYFUNCTION("""COMPUTED_VALUE"""),45685.0)</f>
        <v>45685</v>
      </c>
      <c r="B322" s="80">
        <f>IFERROR(__xludf.DUMMYFUNCTION("""COMPUTED_VALUE"""),12.0)</f>
        <v>12</v>
      </c>
      <c r="C322" s="79" t="str">
        <f>IFERROR(__xludf.DUMMYFUNCTION("""COMPUTED_VALUE"""),"Cash Tips")</f>
        <v>Cash Tips</v>
      </c>
      <c r="D322" s="79" t="str">
        <f>IFERROR(__xludf.DUMMYFUNCTION("""COMPUTED_VALUE"""),"JOE")</f>
        <v>JOE</v>
      </c>
      <c r="E322" s="86" t="str">
        <f t="shared" si="1"/>
        <v>Jan</v>
      </c>
      <c r="F322" s="79" t="str">
        <f>IFERROR(__xludf.DUMMYFUNCTION("""COMPUTED_VALUE"""),"Gil")</f>
        <v>Gil</v>
      </c>
      <c r="J322" s="88"/>
    </row>
    <row r="323">
      <c r="A323" s="85">
        <f>IFERROR(__xludf.DUMMYFUNCTION("""COMPUTED_VALUE"""),45686.0)</f>
        <v>45686</v>
      </c>
      <c r="B323" s="80">
        <f>IFERROR(__xludf.DUMMYFUNCTION("""COMPUTED_VALUE"""),100.0)</f>
        <v>100</v>
      </c>
      <c r="C323" s="79" t="str">
        <f>IFERROR(__xludf.DUMMYFUNCTION("""COMPUTED_VALUE"""),"Cash Tips")</f>
        <v>Cash Tips</v>
      </c>
      <c r="D323" s="79" t="str">
        <f>IFERROR(__xludf.DUMMYFUNCTION("""COMPUTED_VALUE"""),"JOE")</f>
        <v>JOE</v>
      </c>
      <c r="E323" s="86" t="str">
        <f t="shared" si="1"/>
        <v>Jan</v>
      </c>
      <c r="F323" s="79" t="str">
        <f>IFERROR(__xludf.DUMMYFUNCTION("""COMPUTED_VALUE"""),"Gil")</f>
        <v>Gil</v>
      </c>
      <c r="J323" s="88"/>
    </row>
    <row r="324">
      <c r="A324" s="85">
        <f>IFERROR(__xludf.DUMMYFUNCTION("""COMPUTED_VALUE"""),45689.0)</f>
        <v>45689</v>
      </c>
      <c r="B324" s="80">
        <f>IFERROR(__xludf.DUMMYFUNCTION("""COMPUTED_VALUE"""),60.0)</f>
        <v>60</v>
      </c>
      <c r="C324" s="79" t="str">
        <f>IFERROR(__xludf.DUMMYFUNCTION("""COMPUTED_VALUE"""),"Cash Tips")</f>
        <v>Cash Tips</v>
      </c>
      <c r="D324" s="79" t="str">
        <f>IFERROR(__xludf.DUMMYFUNCTION("""COMPUTED_VALUE"""),"Other")</f>
        <v>Other</v>
      </c>
      <c r="E324" s="86" t="str">
        <f t="shared" si="1"/>
        <v>Feb</v>
      </c>
      <c r="F324" s="79" t="str">
        <f>IFERROR(__xludf.DUMMYFUNCTION("""COMPUTED_VALUE"""),"Gil")</f>
        <v>Gil</v>
      </c>
      <c r="J324" s="88"/>
    </row>
    <row r="325">
      <c r="A325" s="85">
        <f>IFERROR(__xludf.DUMMYFUNCTION("""COMPUTED_VALUE"""),45688.0)</f>
        <v>45688</v>
      </c>
      <c r="B325" s="80">
        <f>IFERROR(__xludf.DUMMYFUNCTION("""COMPUTED_VALUE"""),557.6)</f>
        <v>557.6</v>
      </c>
      <c r="C325" s="79" t="str">
        <f>IFERROR(__xludf.DUMMYFUNCTION("""COMPUTED_VALUE"""),"01/26/2025 - 02/08/2025")</f>
        <v>01/26/2025 - 02/08/2025</v>
      </c>
      <c r="D325" s="79" t="str">
        <f>IFERROR(__xludf.DUMMYFUNCTION("""COMPUTED_VALUE"""),"KAL")</f>
        <v>KAL</v>
      </c>
      <c r="E325" s="86" t="str">
        <f t="shared" si="1"/>
        <v>Jan</v>
      </c>
      <c r="F325" s="79" t="str">
        <f>IFERROR(__xludf.DUMMYFUNCTION("""COMPUTED_VALUE"""),"Gil")</f>
        <v>Gil</v>
      </c>
      <c r="J325" s="88"/>
    </row>
    <row r="326">
      <c r="A326" s="85">
        <f>IFERROR(__xludf.DUMMYFUNCTION("""COMPUTED_VALUE"""),45694.0)</f>
        <v>45694</v>
      </c>
      <c r="B326" s="80">
        <f>IFERROR(__xludf.DUMMYFUNCTION("""COMPUTED_VALUE"""),371.73)</f>
        <v>371.73</v>
      </c>
      <c r="C326" s="79" t="str">
        <f>IFERROR(__xludf.DUMMYFUNCTION("""COMPUTED_VALUE"""),"01/26/2025 - 02/08/2025")</f>
        <v>01/26/2025 - 02/08/2025</v>
      </c>
      <c r="D326" s="79" t="str">
        <f>IFERROR(__xludf.DUMMYFUNCTION("""COMPUTED_VALUE"""),"KAL")</f>
        <v>KAL</v>
      </c>
      <c r="E326" s="86" t="str">
        <f t="shared" si="1"/>
        <v>Feb</v>
      </c>
      <c r="F326" s="79" t="str">
        <f>IFERROR(__xludf.DUMMYFUNCTION("""COMPUTED_VALUE"""),"Gil")</f>
        <v>Gil</v>
      </c>
      <c r="J326" s="88"/>
    </row>
    <row r="327">
      <c r="A327" s="85">
        <f>IFERROR(__xludf.DUMMYFUNCTION("""COMPUTED_VALUE"""),45688.0)</f>
        <v>45688</v>
      </c>
      <c r="B327" s="80">
        <f>IFERROR(__xludf.DUMMYFUNCTION("""COMPUTED_VALUE"""),543.87)</f>
        <v>543.87</v>
      </c>
      <c r="C327" s="79" t="str">
        <f>IFERROR(__xludf.DUMMYFUNCTION("""COMPUTED_VALUE"""),"02/07/2025 (#40490)")</f>
        <v>02/07/2025 (#40490)</v>
      </c>
      <c r="D327" s="79" t="str">
        <f>IFERROR(__xludf.DUMMYFUNCTION("""COMPUTED_VALUE"""),"JOE")</f>
        <v>JOE</v>
      </c>
      <c r="E327" s="86" t="str">
        <f t="shared" si="1"/>
        <v>Jan</v>
      </c>
      <c r="F327" s="79" t="str">
        <f>IFERROR(__xludf.DUMMYFUNCTION("""COMPUTED_VALUE"""),"Gil")</f>
        <v>Gil</v>
      </c>
      <c r="J327" s="88"/>
    </row>
    <row r="328">
      <c r="A328" s="85">
        <f>IFERROR(__xludf.DUMMYFUNCTION("""COMPUTED_VALUE"""),45688.0)</f>
        <v>45688</v>
      </c>
      <c r="B328" s="80">
        <f>IFERROR(__xludf.DUMMYFUNCTION("""COMPUTED_VALUE"""),355.85)</f>
        <v>355.85</v>
      </c>
      <c r="C328" s="79" t="str">
        <f>IFERROR(__xludf.DUMMYFUNCTION("""COMPUTED_VALUE"""),"02/07/2025 (#40490) - 401k")</f>
        <v>02/07/2025 (#40490) - 401k</v>
      </c>
      <c r="D328" s="79" t="str">
        <f>IFERROR(__xludf.DUMMYFUNCTION("""COMPUTED_VALUE"""),"JOE")</f>
        <v>JOE</v>
      </c>
      <c r="E328" s="86" t="str">
        <f t="shared" si="1"/>
        <v>Jan</v>
      </c>
      <c r="F328" s="79" t="str">
        <f>IFERROR(__xludf.DUMMYFUNCTION("""COMPUTED_VALUE"""),"Gil")</f>
        <v>Gil</v>
      </c>
      <c r="J328" s="88"/>
    </row>
    <row r="329">
      <c r="A329" s="85">
        <f>IFERROR(__xludf.DUMMYFUNCTION("""COMPUTED_VALUE"""),45696.0)</f>
        <v>45696</v>
      </c>
      <c r="B329" s="80">
        <f>IFERROR(__xludf.DUMMYFUNCTION("""COMPUTED_VALUE"""),40.0)</f>
        <v>40</v>
      </c>
      <c r="C329" s="79" t="str">
        <f>IFERROR(__xludf.DUMMYFUNCTION("""COMPUTED_VALUE"""),"Cash")</f>
        <v>Cash</v>
      </c>
      <c r="D329" s="79" t="str">
        <f>IFERROR(__xludf.DUMMYFUNCTION("""COMPUTED_VALUE"""),"Other")</f>
        <v>Other</v>
      </c>
      <c r="E329" s="86" t="str">
        <f t="shared" si="1"/>
        <v>Feb</v>
      </c>
      <c r="F329" s="79" t="str">
        <f>IFERROR(__xludf.DUMMYFUNCTION("""COMPUTED_VALUE"""),"Gil")</f>
        <v>Gil</v>
      </c>
      <c r="J329" s="88"/>
    </row>
    <row r="330">
      <c r="A330" s="85">
        <f>IFERROR(__xludf.DUMMYFUNCTION("""COMPUTED_VALUE"""),45696.0)</f>
        <v>45696</v>
      </c>
      <c r="B330" s="80">
        <f>IFERROR(__xludf.DUMMYFUNCTION("""COMPUTED_VALUE"""),40.0)</f>
        <v>40</v>
      </c>
      <c r="C330" s="79" t="str">
        <f>IFERROR(__xludf.DUMMYFUNCTION("""COMPUTED_VALUE"""),"Cash")</f>
        <v>Cash</v>
      </c>
      <c r="D330" s="79" t="str">
        <f>IFERROR(__xludf.DUMMYFUNCTION("""COMPUTED_VALUE"""),"Other")</f>
        <v>Other</v>
      </c>
      <c r="E330" s="86" t="str">
        <f t="shared" si="1"/>
        <v>Feb</v>
      </c>
      <c r="F330" s="79" t="str">
        <f>IFERROR(__xludf.DUMMYFUNCTION("""COMPUTED_VALUE"""),"Gil")</f>
        <v>Gil</v>
      </c>
      <c r="J330" s="88"/>
    </row>
    <row r="331">
      <c r="A331" s="85">
        <f>IFERROR(__xludf.DUMMYFUNCTION("""COMPUTED_VALUE"""),45688.0)</f>
        <v>45688</v>
      </c>
      <c r="B331" s="80">
        <f>IFERROR(__xludf.DUMMYFUNCTION("""COMPUTED_VALUE"""),3632.39)</f>
        <v>3632.39</v>
      </c>
      <c r="C331" s="79" t="str">
        <f>IFERROR(__xludf.DUMMYFUNCTION("""COMPUTED_VALUE"""),"Altu")</f>
        <v>Altu</v>
      </c>
      <c r="D331" s="79" t="str">
        <f>IFERROR(__xludf.DUMMYFUNCTION("""COMPUTED_VALUE"""),"Altuzarra")</f>
        <v>Altuzarra</v>
      </c>
      <c r="E331" s="86" t="str">
        <f t="shared" si="1"/>
        <v>Jan</v>
      </c>
      <c r="F331" s="79" t="str">
        <f>IFERROR(__xludf.DUMMYFUNCTION("""COMPUTED_VALUE"""),"Shaeffer")</f>
        <v>Shaeffer</v>
      </c>
      <c r="J331" s="88"/>
    </row>
    <row r="332">
      <c r="A332" s="85">
        <f>IFERROR(__xludf.DUMMYFUNCTION("""COMPUTED_VALUE"""),45672.0)</f>
        <v>45672</v>
      </c>
      <c r="B332" s="80">
        <f>IFERROR(__xludf.DUMMYFUNCTION("""COMPUTED_VALUE"""),3633.62)</f>
        <v>3633.62</v>
      </c>
      <c r="C332" s="79" t="str">
        <f>IFERROR(__xludf.DUMMYFUNCTION("""COMPUTED_VALUE"""),"Altu")</f>
        <v>Altu</v>
      </c>
      <c r="D332" s="79" t="str">
        <f>IFERROR(__xludf.DUMMYFUNCTION("""COMPUTED_VALUE"""),"Altuzarra")</f>
        <v>Altuzarra</v>
      </c>
      <c r="E332" s="86" t="str">
        <f t="shared" si="1"/>
        <v>Jan</v>
      </c>
      <c r="F332" s="79" t="str">
        <f>IFERROR(__xludf.DUMMYFUNCTION("""COMPUTED_VALUE"""),"Shaeffer")</f>
        <v>Shaeffer</v>
      </c>
      <c r="J332" s="88"/>
    </row>
    <row r="333">
      <c r="A333" s="85">
        <f>IFERROR(__xludf.DUMMYFUNCTION("""COMPUTED_VALUE"""),45671.0)</f>
        <v>45671</v>
      </c>
      <c r="B333" s="80">
        <f>IFERROR(__xludf.DUMMYFUNCTION("""COMPUTED_VALUE"""),1955.0)</f>
        <v>1955</v>
      </c>
      <c r="C333" s="79" t="str">
        <f>IFERROR(__xludf.DUMMYFUNCTION("""COMPUTED_VALUE"""),"Julia Amory")</f>
        <v>Julia Amory</v>
      </c>
      <c r="D333" s="79" t="str">
        <f>IFERROR(__xludf.DUMMYFUNCTION("""COMPUTED_VALUE"""),"Julia Amory")</f>
        <v>Julia Amory</v>
      </c>
      <c r="E333" s="86" t="str">
        <f t="shared" si="1"/>
        <v>Jan</v>
      </c>
      <c r="F333" s="79" t="str">
        <f>IFERROR(__xludf.DUMMYFUNCTION("""COMPUTED_VALUE"""),"Shaeffer")</f>
        <v>Shaeffer</v>
      </c>
      <c r="J333" s="88"/>
    </row>
    <row r="334">
      <c r="A334" s="85">
        <f>IFERROR(__xludf.DUMMYFUNCTION("""COMPUTED_VALUE"""),45702.0)</f>
        <v>45702</v>
      </c>
      <c r="B334" s="80">
        <f>IFERROR(__xludf.DUMMYFUNCTION("""COMPUTED_VALUE"""),419.73)</f>
        <v>419.73</v>
      </c>
      <c r="C334" s="79" t="str">
        <f>IFERROR(__xludf.DUMMYFUNCTION("""COMPUTED_VALUE"""),"02/14/2025 (#40753)")</f>
        <v>02/14/2025 (#40753)</v>
      </c>
      <c r="D334" s="79" t="str">
        <f>IFERROR(__xludf.DUMMYFUNCTION("""COMPUTED_VALUE"""),"JOE")</f>
        <v>JOE</v>
      </c>
      <c r="E334" s="86" t="str">
        <f t="shared" si="1"/>
        <v>Feb</v>
      </c>
      <c r="F334" s="79" t="str">
        <f>IFERROR(__xludf.DUMMYFUNCTION("""COMPUTED_VALUE"""),"Gil")</f>
        <v>Gil</v>
      </c>
      <c r="J334" s="88"/>
    </row>
    <row r="335">
      <c r="A335" s="85">
        <f>IFERROR(__xludf.DUMMYFUNCTION("""COMPUTED_VALUE"""),45702.0)</f>
        <v>45702</v>
      </c>
      <c r="B335" s="80">
        <f>IFERROR(__xludf.DUMMYFUNCTION("""COMPUTED_VALUE"""),447.63)</f>
        <v>447.63</v>
      </c>
      <c r="C335" s="79" t="str">
        <f>IFERROR(__xludf.DUMMYFUNCTION("""COMPUTED_VALUE"""),"02/14/2025 (#40753) - 401k")</f>
        <v>02/14/2025 (#40753) - 401k</v>
      </c>
      <c r="D335" s="79" t="str">
        <f>IFERROR(__xludf.DUMMYFUNCTION("""COMPUTED_VALUE"""),"JOE")</f>
        <v>JOE</v>
      </c>
      <c r="E335" s="86" t="str">
        <f t="shared" si="1"/>
        <v>Feb</v>
      </c>
      <c r="F335" s="79" t="str">
        <f>IFERROR(__xludf.DUMMYFUNCTION("""COMPUTED_VALUE"""),"Gil")</f>
        <v>Gil</v>
      </c>
      <c r="J335" s="88"/>
    </row>
    <row r="336">
      <c r="A336" s="85">
        <f>IFERROR(__xludf.DUMMYFUNCTION("""COMPUTED_VALUE"""),45702.0)</f>
        <v>45702</v>
      </c>
      <c r="B336" s="80">
        <f>IFERROR(__xludf.DUMMYFUNCTION("""COMPUTED_VALUE"""),120.0)</f>
        <v>120</v>
      </c>
      <c r="C336" s="79" t="str">
        <f>IFERROR(__xludf.DUMMYFUNCTION("""COMPUTED_VALUE"""),"Cash")</f>
        <v>Cash</v>
      </c>
      <c r="D336" s="79" t="str">
        <f>IFERROR(__xludf.DUMMYFUNCTION("""COMPUTED_VALUE"""),"Other")</f>
        <v>Other</v>
      </c>
      <c r="E336" s="86" t="str">
        <f t="shared" si="1"/>
        <v>Feb</v>
      </c>
      <c r="F336" s="79" t="str">
        <f>IFERROR(__xludf.DUMMYFUNCTION("""COMPUTED_VALUE"""),"Gil")</f>
        <v>Gil</v>
      </c>
      <c r="J336" s="88"/>
    </row>
    <row r="337">
      <c r="A337" s="85">
        <f>IFERROR(__xludf.DUMMYFUNCTION("""COMPUTED_VALUE"""),45707.0)</f>
        <v>45707</v>
      </c>
      <c r="B337" s="80">
        <f>IFERROR(__xludf.DUMMYFUNCTION("""COMPUTED_VALUE"""),1112.1)</f>
        <v>1112.1</v>
      </c>
      <c r="C337" s="79" t="str">
        <f>IFERROR(__xludf.DUMMYFUNCTION("""COMPUTED_VALUE"""),"02/09/2025 - 02/22/2025")</f>
        <v>02/09/2025 - 02/22/2025</v>
      </c>
      <c r="D337" s="79" t="str">
        <f>IFERROR(__xludf.DUMMYFUNCTION("""COMPUTED_VALUE"""),"KAL")</f>
        <v>KAL</v>
      </c>
      <c r="E337" s="86" t="str">
        <f t="shared" si="1"/>
        <v>Feb</v>
      </c>
      <c r="F337" s="79" t="str">
        <f>IFERROR(__xludf.DUMMYFUNCTION("""COMPUTED_VALUE"""),"Gil")</f>
        <v>Gil</v>
      </c>
      <c r="J337" s="88"/>
    </row>
    <row r="338">
      <c r="A338" s="85">
        <f>IFERROR(__xludf.DUMMYFUNCTION("""COMPUTED_VALUE"""),45709.0)</f>
        <v>45709</v>
      </c>
      <c r="B338" s="80">
        <f>IFERROR(__xludf.DUMMYFUNCTION("""COMPUTED_VALUE"""),388.28)</f>
        <v>388.28</v>
      </c>
      <c r="C338" s="79" t="str">
        <f>IFERROR(__xludf.DUMMYFUNCTION("""COMPUTED_VALUE"""),"02/21/2025 (#40982)")</f>
        <v>02/21/2025 (#40982)</v>
      </c>
      <c r="D338" s="79" t="str">
        <f>IFERROR(__xludf.DUMMYFUNCTION("""COMPUTED_VALUE"""),"JOE")</f>
        <v>JOE</v>
      </c>
      <c r="E338" s="86" t="str">
        <f t="shared" si="1"/>
        <v>Feb</v>
      </c>
      <c r="F338" s="79" t="str">
        <f>IFERROR(__xludf.DUMMYFUNCTION("""COMPUTED_VALUE"""),"Gil")</f>
        <v>Gil</v>
      </c>
      <c r="J338" s="88"/>
    </row>
    <row r="339">
      <c r="A339" s="85">
        <f>IFERROR(__xludf.DUMMYFUNCTION("""COMPUTED_VALUE"""),45709.0)</f>
        <v>45709</v>
      </c>
      <c r="B339" s="80">
        <f>IFERROR(__xludf.DUMMYFUNCTION("""COMPUTED_VALUE"""),426.24)</f>
        <v>426.24</v>
      </c>
      <c r="C339" s="79" t="str">
        <f>IFERROR(__xludf.DUMMYFUNCTION("""COMPUTED_VALUE"""),"02/21/2025 (#40982) - 401k")</f>
        <v>02/21/2025 (#40982) - 401k</v>
      </c>
      <c r="D339" s="79" t="str">
        <f>IFERROR(__xludf.DUMMYFUNCTION("""COMPUTED_VALUE"""),"JOE")</f>
        <v>JOE</v>
      </c>
      <c r="E339" s="86" t="str">
        <f t="shared" si="1"/>
        <v>Feb</v>
      </c>
      <c r="F339" s="79" t="str">
        <f>IFERROR(__xludf.DUMMYFUNCTION("""COMPUTED_VALUE"""),"Gil")</f>
        <v>Gil</v>
      </c>
      <c r="J339" s="88"/>
    </row>
    <row r="340">
      <c r="A340" s="85">
        <f>IFERROR(__xludf.DUMMYFUNCTION("""COMPUTED_VALUE"""),45716.0)</f>
        <v>45716</v>
      </c>
      <c r="B340" s="80">
        <f>IFERROR(__xludf.DUMMYFUNCTION("""COMPUTED_VALUE"""),436.84)</f>
        <v>436.84</v>
      </c>
      <c r="C340" s="79" t="str">
        <f>IFERROR(__xludf.DUMMYFUNCTION("""COMPUTED_VALUE"""),"02/28/2025 (#41265)")</f>
        <v>02/28/2025 (#41265)</v>
      </c>
      <c r="D340" s="79" t="str">
        <f>IFERROR(__xludf.DUMMYFUNCTION("""COMPUTED_VALUE"""),"JOE")</f>
        <v>JOE</v>
      </c>
      <c r="E340" s="86" t="str">
        <f t="shared" si="1"/>
        <v>Feb</v>
      </c>
      <c r="F340" s="79" t="str">
        <f>IFERROR(__xludf.DUMMYFUNCTION("""COMPUTED_VALUE"""),"Gil")</f>
        <v>Gil</v>
      </c>
      <c r="J340" s="88"/>
    </row>
    <row r="341">
      <c r="A341" s="85">
        <f>IFERROR(__xludf.DUMMYFUNCTION("""COMPUTED_VALUE"""),45716.0)</f>
        <v>45716</v>
      </c>
      <c r="B341" s="80">
        <f>IFERROR(__xludf.DUMMYFUNCTION("""COMPUTED_VALUE"""),464.72)</f>
        <v>464.72</v>
      </c>
      <c r="C341" s="79" t="str">
        <f>IFERROR(__xludf.DUMMYFUNCTION("""COMPUTED_VALUE"""),"02/28/2025 (#41265) - 401k")</f>
        <v>02/28/2025 (#41265) - 401k</v>
      </c>
      <c r="D341" s="79" t="str">
        <f>IFERROR(__xludf.DUMMYFUNCTION("""COMPUTED_VALUE"""),"JOE")</f>
        <v>JOE</v>
      </c>
      <c r="E341" s="86" t="str">
        <f t="shared" si="1"/>
        <v>Feb</v>
      </c>
      <c r="F341" s="79" t="str">
        <f>IFERROR(__xludf.DUMMYFUNCTION("""COMPUTED_VALUE"""),"Gil")</f>
        <v>Gil</v>
      </c>
      <c r="J341" s="88"/>
    </row>
    <row r="342">
      <c r="A342" s="85">
        <f>IFERROR(__xludf.DUMMYFUNCTION("""COMPUTED_VALUE"""),45721.0)</f>
        <v>45721</v>
      </c>
      <c r="B342" s="80">
        <f>IFERROR(__xludf.DUMMYFUNCTION("""COMPUTED_VALUE"""),1092.92)</f>
        <v>1092.92</v>
      </c>
      <c r="C342" s="79" t="str">
        <f>IFERROR(__xludf.DUMMYFUNCTION("""COMPUTED_VALUE"""),"02/23/2025 - 03/08/2025")</f>
        <v>02/23/2025 - 03/08/2025</v>
      </c>
      <c r="D342" s="79" t="str">
        <f>IFERROR(__xludf.DUMMYFUNCTION("""COMPUTED_VALUE"""),"KAL")</f>
        <v>KAL</v>
      </c>
      <c r="E342" s="86" t="str">
        <f t="shared" si="1"/>
        <v>Mar</v>
      </c>
      <c r="F342" s="79" t="str">
        <f>IFERROR(__xludf.DUMMYFUNCTION("""COMPUTED_VALUE"""),"Gil")</f>
        <v>Gil</v>
      </c>
      <c r="J342" s="88"/>
    </row>
    <row r="343">
      <c r="A343" s="85">
        <f>IFERROR(__xludf.DUMMYFUNCTION("""COMPUTED_VALUE"""),45723.0)</f>
        <v>45723</v>
      </c>
      <c r="B343" s="80">
        <f>IFERROR(__xludf.DUMMYFUNCTION("""COMPUTED_VALUE"""),405.62)</f>
        <v>405.62</v>
      </c>
      <c r="C343" s="79" t="str">
        <f>IFERROR(__xludf.DUMMYFUNCTION("""COMPUTED_VALUE"""),"03/07/2025 (#41485)")</f>
        <v>03/07/2025 (#41485)</v>
      </c>
      <c r="D343" s="79" t="str">
        <f>IFERROR(__xludf.DUMMYFUNCTION("""COMPUTED_VALUE"""),"JOE")</f>
        <v>JOE</v>
      </c>
      <c r="E343" s="86" t="str">
        <f t="shared" si="1"/>
        <v>Mar</v>
      </c>
      <c r="F343" s="79" t="str">
        <f>IFERROR(__xludf.DUMMYFUNCTION("""COMPUTED_VALUE"""),"Gil")</f>
        <v>Gil</v>
      </c>
      <c r="J343" s="88"/>
    </row>
    <row r="344">
      <c r="A344" s="85">
        <f>IFERROR(__xludf.DUMMYFUNCTION("""COMPUTED_VALUE"""),45723.0)</f>
        <v>45723</v>
      </c>
      <c r="B344" s="80">
        <f>IFERROR(__xludf.DUMMYFUNCTION("""COMPUTED_VALUE"""),448.87)</f>
        <v>448.87</v>
      </c>
      <c r="C344" s="79" t="str">
        <f>IFERROR(__xludf.DUMMYFUNCTION("""COMPUTED_VALUE"""),"03/07/2025 (#41485) - 401k")</f>
        <v>03/07/2025 (#41485) - 401k</v>
      </c>
      <c r="D344" s="79" t="str">
        <f>IFERROR(__xludf.DUMMYFUNCTION("""COMPUTED_VALUE"""),"JOE")</f>
        <v>JOE</v>
      </c>
      <c r="E344" s="86" t="str">
        <f t="shared" si="1"/>
        <v>Mar</v>
      </c>
      <c r="F344" s="79" t="str">
        <f>IFERROR(__xludf.DUMMYFUNCTION("""COMPUTED_VALUE"""),"Gil")</f>
        <v>Gil</v>
      </c>
      <c r="J344" s="88"/>
    </row>
    <row r="345">
      <c r="A345" s="85">
        <f>IFERROR(__xludf.DUMMYFUNCTION("""COMPUTED_VALUE"""),45730.0)</f>
        <v>45730</v>
      </c>
      <c r="B345" s="80">
        <f>IFERROR(__xludf.DUMMYFUNCTION("""COMPUTED_VALUE"""),450.53)</f>
        <v>450.53</v>
      </c>
      <c r="C345" s="79" t="str">
        <f>IFERROR(__xludf.DUMMYFUNCTION("""COMPUTED_VALUE"""),"03/14/2025 (#41740)")</f>
        <v>03/14/2025 (#41740)</v>
      </c>
      <c r="D345" s="79" t="str">
        <f>IFERROR(__xludf.DUMMYFUNCTION("""COMPUTED_VALUE"""),"JOE")</f>
        <v>JOE</v>
      </c>
      <c r="E345" s="86" t="str">
        <f t="shared" si="1"/>
        <v>Mar</v>
      </c>
      <c r="F345" s="79" t="str">
        <f>IFERROR(__xludf.DUMMYFUNCTION("""COMPUTED_VALUE"""),"Gil")</f>
        <v>Gil</v>
      </c>
      <c r="J345" s="88"/>
    </row>
    <row r="346">
      <c r="A346" s="85">
        <f>IFERROR(__xludf.DUMMYFUNCTION("""COMPUTED_VALUE"""),45730.0)</f>
        <v>45730</v>
      </c>
      <c r="B346" s="80">
        <f>IFERROR(__xludf.DUMMYFUNCTION("""COMPUTED_VALUE"""),518.46)</f>
        <v>518.46</v>
      </c>
      <c r="C346" s="79" t="str">
        <f>IFERROR(__xludf.DUMMYFUNCTION("""COMPUTED_VALUE"""),"03/14/2025 (#41740) - 401k")</f>
        <v>03/14/2025 (#41740) - 401k</v>
      </c>
      <c r="D346" s="79" t="str">
        <f>IFERROR(__xludf.DUMMYFUNCTION("""COMPUTED_VALUE"""),"JOE")</f>
        <v>JOE</v>
      </c>
      <c r="E346" s="86" t="str">
        <f t="shared" si="1"/>
        <v>Mar</v>
      </c>
      <c r="F346" s="79" t="str">
        <f>IFERROR(__xludf.DUMMYFUNCTION("""COMPUTED_VALUE"""),"Gil")</f>
        <v>Gil</v>
      </c>
      <c r="J346" s="88"/>
    </row>
    <row r="347">
      <c r="A347" s="85">
        <f>IFERROR(__xludf.DUMMYFUNCTION("""COMPUTED_VALUE"""),45731.0)</f>
        <v>45731</v>
      </c>
      <c r="B347" s="80">
        <f>IFERROR(__xludf.DUMMYFUNCTION("""COMPUTED_VALUE"""),130.0)</f>
        <v>130</v>
      </c>
      <c r="C347" s="79" t="str">
        <f>IFERROR(__xludf.DUMMYFUNCTION("""COMPUTED_VALUE"""),"Cash")</f>
        <v>Cash</v>
      </c>
      <c r="D347" s="79" t="str">
        <f>IFERROR(__xludf.DUMMYFUNCTION("""COMPUTED_VALUE"""),"Other")</f>
        <v>Other</v>
      </c>
      <c r="E347" s="86" t="str">
        <f t="shared" si="1"/>
        <v>Mar</v>
      </c>
      <c r="F347" s="79" t="str">
        <f>IFERROR(__xludf.DUMMYFUNCTION("""COMPUTED_VALUE"""),"Gil")</f>
        <v>Gil</v>
      </c>
      <c r="J347" s="88"/>
    </row>
    <row r="348">
      <c r="A348" s="85">
        <f>IFERROR(__xludf.DUMMYFUNCTION("""COMPUTED_VALUE"""),45735.0)</f>
        <v>45735</v>
      </c>
      <c r="B348" s="80">
        <f>IFERROR(__xludf.DUMMYFUNCTION("""COMPUTED_VALUE"""),751.54)</f>
        <v>751.54</v>
      </c>
      <c r="C348" s="79" t="str">
        <f>IFERROR(__xludf.DUMMYFUNCTION("""COMPUTED_VALUE"""),"03/09/2025 - 03/22/2025")</f>
        <v>03/09/2025 - 03/22/2025</v>
      </c>
      <c r="D348" s="79" t="str">
        <f>IFERROR(__xludf.DUMMYFUNCTION("""COMPUTED_VALUE"""),"KAL")</f>
        <v>KAL</v>
      </c>
      <c r="E348" s="86" t="str">
        <f t="shared" si="1"/>
        <v>Mar</v>
      </c>
      <c r="F348" s="79" t="str">
        <f>IFERROR(__xludf.DUMMYFUNCTION("""COMPUTED_VALUE"""),"Gil")</f>
        <v>Gil</v>
      </c>
      <c r="J348" s="88"/>
    </row>
    <row r="349">
      <c r="A349" s="85">
        <f>IFERROR(__xludf.DUMMYFUNCTION("""COMPUTED_VALUE"""),45737.0)</f>
        <v>45737</v>
      </c>
      <c r="B349" s="80">
        <f>IFERROR(__xludf.DUMMYFUNCTION("""COMPUTED_VALUE"""),417.57)</f>
        <v>417.57</v>
      </c>
      <c r="C349" s="79" t="str">
        <f>IFERROR(__xludf.DUMMYFUNCTION("""COMPUTED_VALUE"""),"03/21/2025 (#41967)")</f>
        <v>03/21/2025 (#41967)</v>
      </c>
      <c r="D349" s="79" t="str">
        <f>IFERROR(__xludf.DUMMYFUNCTION("""COMPUTED_VALUE"""),"JOE")</f>
        <v>JOE</v>
      </c>
      <c r="E349" s="86" t="str">
        <f t="shared" si="1"/>
        <v>Mar</v>
      </c>
      <c r="F349" s="79" t="str">
        <f>IFERROR(__xludf.DUMMYFUNCTION("""COMPUTED_VALUE"""),"Gil")</f>
        <v>Gil</v>
      </c>
      <c r="J349" s="88"/>
    </row>
    <row r="350">
      <c r="A350" s="85">
        <f>IFERROR(__xludf.DUMMYFUNCTION("""COMPUTED_VALUE"""),45737.0)</f>
        <v>45737</v>
      </c>
      <c r="B350" s="80">
        <f>IFERROR(__xludf.DUMMYFUNCTION("""COMPUTED_VALUE"""),458.32)</f>
        <v>458.32</v>
      </c>
      <c r="C350" s="79" t="str">
        <f>IFERROR(__xludf.DUMMYFUNCTION("""COMPUTED_VALUE"""),"03/21/2025 (#41967) - 401k")</f>
        <v>03/21/2025 (#41967) - 401k</v>
      </c>
      <c r="D350" s="79" t="str">
        <f>IFERROR(__xludf.DUMMYFUNCTION("""COMPUTED_VALUE"""),"JOE")</f>
        <v>JOE</v>
      </c>
      <c r="E350" s="86" t="str">
        <f t="shared" si="1"/>
        <v>Mar</v>
      </c>
      <c r="F350" s="79" t="str">
        <f>IFERROR(__xludf.DUMMYFUNCTION("""COMPUTED_VALUE"""),"Gil")</f>
        <v>Gil</v>
      </c>
      <c r="J350" s="88"/>
    </row>
    <row r="351">
      <c r="A351" s="85">
        <f>IFERROR(__xludf.DUMMYFUNCTION("""COMPUTED_VALUE"""),45738.0)</f>
        <v>45738</v>
      </c>
      <c r="B351" s="80">
        <f>IFERROR(__xludf.DUMMYFUNCTION("""COMPUTED_VALUE"""),100.0)</f>
        <v>100</v>
      </c>
      <c r="C351" s="79" t="str">
        <f>IFERROR(__xludf.DUMMYFUNCTION("""COMPUTED_VALUE"""),"Cash")</f>
        <v>Cash</v>
      </c>
      <c r="D351" s="79" t="str">
        <f>IFERROR(__xludf.DUMMYFUNCTION("""COMPUTED_VALUE"""),"Other")</f>
        <v>Other</v>
      </c>
      <c r="E351" s="86" t="str">
        <f t="shared" si="1"/>
        <v>Mar</v>
      </c>
      <c r="F351" s="79" t="str">
        <f>IFERROR(__xludf.DUMMYFUNCTION("""COMPUTED_VALUE"""),"Gil")</f>
        <v>Gil</v>
      </c>
      <c r="J351" s="88"/>
    </row>
    <row r="352">
      <c r="A352" s="85">
        <f>IFERROR(__xludf.DUMMYFUNCTION("""COMPUTED_VALUE"""),45738.0)</f>
        <v>45738</v>
      </c>
      <c r="B352" s="80">
        <f>IFERROR(__xludf.DUMMYFUNCTION("""COMPUTED_VALUE"""),135.0)</f>
        <v>135</v>
      </c>
      <c r="C352" s="79" t="str">
        <f>IFERROR(__xludf.DUMMYFUNCTION("""COMPUTED_VALUE"""),"Cash")</f>
        <v>Cash</v>
      </c>
      <c r="D352" s="79" t="str">
        <f>IFERROR(__xludf.DUMMYFUNCTION("""COMPUTED_VALUE"""),"Other")</f>
        <v>Other</v>
      </c>
      <c r="E352" s="86" t="str">
        <f t="shared" si="1"/>
        <v>Mar</v>
      </c>
      <c r="F352" s="79" t="str">
        <f>IFERROR(__xludf.DUMMYFUNCTION("""COMPUTED_VALUE"""),"Gil")</f>
        <v>Gil</v>
      </c>
      <c r="J352" s="88"/>
    </row>
    <row r="353">
      <c r="A353" s="85">
        <f>IFERROR(__xludf.DUMMYFUNCTION("""COMPUTED_VALUE"""),45744.0)</f>
        <v>45744</v>
      </c>
      <c r="B353" s="80">
        <f>IFERROR(__xludf.DUMMYFUNCTION("""COMPUTED_VALUE"""),397.1)</f>
        <v>397.1</v>
      </c>
      <c r="C353" s="79" t="str">
        <f>IFERROR(__xludf.DUMMYFUNCTION("""COMPUTED_VALUE"""),"03/28/2025 (#42228)")</f>
        <v>03/28/2025 (#42228)</v>
      </c>
      <c r="D353" s="79" t="str">
        <f>IFERROR(__xludf.DUMMYFUNCTION("""COMPUTED_VALUE"""),"JOE")</f>
        <v>JOE</v>
      </c>
      <c r="E353" s="86" t="str">
        <f t="shared" si="1"/>
        <v>Mar</v>
      </c>
      <c r="F353" s="79" t="str">
        <f>IFERROR(__xludf.DUMMYFUNCTION("""COMPUTED_VALUE"""),"Gil")</f>
        <v>Gil</v>
      </c>
      <c r="J353" s="88"/>
    </row>
    <row r="354">
      <c r="A354" s="85">
        <f>IFERROR(__xludf.DUMMYFUNCTION("""COMPUTED_VALUE"""),45744.0)</f>
        <v>45744</v>
      </c>
      <c r="B354" s="80">
        <f>IFERROR(__xludf.DUMMYFUNCTION("""COMPUTED_VALUE"""),437.76)</f>
        <v>437.76</v>
      </c>
      <c r="C354" s="79" t="str">
        <f>IFERROR(__xludf.DUMMYFUNCTION("""COMPUTED_VALUE"""),"03/28/2025 (#42228) 401k")</f>
        <v>03/28/2025 (#42228) 401k</v>
      </c>
      <c r="D354" s="79" t="str">
        <f>IFERROR(__xludf.DUMMYFUNCTION("""COMPUTED_VALUE"""),"JOE")</f>
        <v>JOE</v>
      </c>
      <c r="E354" s="86" t="str">
        <f t="shared" si="1"/>
        <v>Mar</v>
      </c>
      <c r="F354" s="79" t="str">
        <f>IFERROR(__xludf.DUMMYFUNCTION("""COMPUTED_VALUE"""),"Gil")</f>
        <v>Gil</v>
      </c>
      <c r="J354" s="88"/>
    </row>
    <row r="355">
      <c r="A355" s="85">
        <f>IFERROR(__xludf.DUMMYFUNCTION("""COMPUTED_VALUE"""),45745.0)</f>
        <v>45745</v>
      </c>
      <c r="B355" s="80">
        <f>IFERROR(__xludf.DUMMYFUNCTION("""COMPUTED_VALUE"""),540.0)</f>
        <v>540</v>
      </c>
      <c r="C355" s="79" t="str">
        <f>IFERROR(__xludf.DUMMYFUNCTION("""COMPUTED_VALUE"""),"Cash")</f>
        <v>Cash</v>
      </c>
      <c r="D355" s="79" t="str">
        <f>IFERROR(__xludf.DUMMYFUNCTION("""COMPUTED_VALUE"""),"Other")</f>
        <v>Other</v>
      </c>
      <c r="E355" s="86" t="str">
        <f t="shared" si="1"/>
        <v>Mar</v>
      </c>
      <c r="F355" s="79" t="str">
        <f>IFERROR(__xludf.DUMMYFUNCTION("""COMPUTED_VALUE"""),"Gil")</f>
        <v>Gil</v>
      </c>
      <c r="J355" s="88"/>
    </row>
    <row r="356">
      <c r="A356" s="85">
        <f>IFERROR(__xludf.DUMMYFUNCTION("""COMPUTED_VALUE"""),45749.0)</f>
        <v>45749</v>
      </c>
      <c r="B356" s="80">
        <f>IFERROR(__xludf.DUMMYFUNCTION("""COMPUTED_VALUE"""),1248.47)</f>
        <v>1248.47</v>
      </c>
      <c r="C356" s="79" t="str">
        <f>IFERROR(__xludf.DUMMYFUNCTION("""COMPUTED_VALUE"""),"03/23/2025 - 04/05/2025")</f>
        <v>03/23/2025 - 04/05/2025</v>
      </c>
      <c r="D356" s="79" t="str">
        <f>IFERROR(__xludf.DUMMYFUNCTION("""COMPUTED_VALUE"""),"KAL")</f>
        <v>KAL</v>
      </c>
      <c r="E356" s="86" t="str">
        <f t="shared" si="1"/>
        <v>Apr</v>
      </c>
      <c r="F356" s="79" t="str">
        <f>IFERROR(__xludf.DUMMYFUNCTION("""COMPUTED_VALUE"""),"Gil")</f>
        <v>Gil</v>
      </c>
      <c r="J356" s="88"/>
    </row>
    <row r="357">
      <c r="A357" s="85">
        <f>IFERROR(__xludf.DUMMYFUNCTION("""COMPUTED_VALUE"""),45751.0)</f>
        <v>45751</v>
      </c>
      <c r="B357" s="80">
        <f>IFERROR(__xludf.DUMMYFUNCTION("""COMPUTED_VALUE"""),304.55)</f>
        <v>304.55</v>
      </c>
      <c r="C357" s="79" t="str">
        <f>IFERROR(__xludf.DUMMYFUNCTION("""COMPUTED_VALUE"""),"04/04/2025 (#42449)")</f>
        <v>04/04/2025 (#42449)</v>
      </c>
      <c r="D357" s="79" t="str">
        <f>IFERROR(__xludf.DUMMYFUNCTION("""COMPUTED_VALUE"""),"JOE")</f>
        <v>JOE</v>
      </c>
      <c r="E357" s="86" t="str">
        <f t="shared" si="1"/>
        <v>Apr</v>
      </c>
      <c r="F357" s="79" t="str">
        <f>IFERROR(__xludf.DUMMYFUNCTION("""COMPUTED_VALUE"""),"Gil")</f>
        <v>Gil</v>
      </c>
      <c r="J357" s="88"/>
    </row>
    <row r="358">
      <c r="A358" s="85">
        <f>IFERROR(__xludf.DUMMYFUNCTION("""COMPUTED_VALUE"""),45751.0)</f>
        <v>45751</v>
      </c>
      <c r="B358" s="80">
        <f>IFERROR(__xludf.DUMMYFUNCTION("""COMPUTED_VALUE"""),309.92)</f>
        <v>309.92</v>
      </c>
      <c r="C358" s="79" t="str">
        <f>IFERROR(__xludf.DUMMYFUNCTION("""COMPUTED_VALUE"""),"04/04/2025 (#42449) - 401k")</f>
        <v>04/04/2025 (#42449) - 401k</v>
      </c>
      <c r="D358" s="79" t="str">
        <f>IFERROR(__xludf.DUMMYFUNCTION("""COMPUTED_VALUE"""),"JOE")</f>
        <v>JOE</v>
      </c>
      <c r="E358" s="86" t="str">
        <f t="shared" si="1"/>
        <v>Apr</v>
      </c>
      <c r="F358" s="79" t="str">
        <f>IFERROR(__xludf.DUMMYFUNCTION("""COMPUTED_VALUE"""),"Gil")</f>
        <v>Gil</v>
      </c>
      <c r="J358" s="88"/>
    </row>
    <row r="359">
      <c r="A359" s="85">
        <f>IFERROR(__xludf.DUMMYFUNCTION("""COMPUTED_VALUE"""),45752.0)</f>
        <v>45752</v>
      </c>
      <c r="B359" s="80">
        <f>IFERROR(__xludf.DUMMYFUNCTION("""COMPUTED_VALUE"""),75.0)</f>
        <v>75</v>
      </c>
      <c r="C359" s="79" t="str">
        <f>IFERROR(__xludf.DUMMYFUNCTION("""COMPUTED_VALUE"""),"Cash ")</f>
        <v>Cash </v>
      </c>
      <c r="D359" s="79" t="str">
        <f>IFERROR(__xludf.DUMMYFUNCTION("""COMPUTED_VALUE"""),"Other")</f>
        <v>Other</v>
      </c>
      <c r="E359" s="86" t="str">
        <f t="shared" si="1"/>
        <v>Apr</v>
      </c>
      <c r="F359" s="79" t="str">
        <f>IFERROR(__xludf.DUMMYFUNCTION("""COMPUTED_VALUE"""),"Gil")</f>
        <v>Gil</v>
      </c>
      <c r="J359" s="88"/>
    </row>
    <row r="360">
      <c r="A360" s="85">
        <f>IFERROR(__xludf.DUMMYFUNCTION("""COMPUTED_VALUE"""),45295.0)</f>
        <v>45295</v>
      </c>
      <c r="B360" s="80">
        <f>IFERROR(__xludf.DUMMYFUNCTION("""COMPUTED_VALUE"""),18.66)</f>
        <v>18.66</v>
      </c>
      <c r="C360" s="79" t="str">
        <f>IFERROR(__xludf.DUMMYFUNCTION("""COMPUTED_VALUE"""),"Cash Tips")</f>
        <v>Cash Tips</v>
      </c>
      <c r="D360" s="79" t="str">
        <f>IFERROR(__xludf.DUMMYFUNCTION("""COMPUTED_VALUE"""),"JOE")</f>
        <v>JOE</v>
      </c>
      <c r="E360" s="86" t="str">
        <f t="shared" si="1"/>
        <v>Jan</v>
      </c>
      <c r="F360" s="79" t="str">
        <f>IFERROR(__xludf.DUMMYFUNCTION("""COMPUTED_VALUE"""),"Gil")</f>
        <v>Gil</v>
      </c>
      <c r="J360" s="88"/>
    </row>
    <row r="361">
      <c r="A361" s="85">
        <f>IFERROR(__xludf.DUMMYFUNCTION("""COMPUTED_VALUE"""),45296.0)</f>
        <v>45296</v>
      </c>
      <c r="B361" s="80">
        <f>IFERROR(__xludf.DUMMYFUNCTION("""COMPUTED_VALUE"""),5.0)</f>
        <v>5</v>
      </c>
      <c r="C361" s="79" t="str">
        <f>IFERROR(__xludf.DUMMYFUNCTION("""COMPUTED_VALUE"""),"Cash Tip")</f>
        <v>Cash Tip</v>
      </c>
      <c r="D361" s="79" t="str">
        <f>IFERROR(__xludf.DUMMYFUNCTION("""COMPUTED_VALUE"""),"JOE")</f>
        <v>JOE</v>
      </c>
      <c r="E361" s="86" t="str">
        <f t="shared" si="1"/>
        <v>Jan</v>
      </c>
      <c r="F361" s="79" t="str">
        <f>IFERROR(__xludf.DUMMYFUNCTION("""COMPUTED_VALUE"""),"Gil")</f>
        <v>Gil</v>
      </c>
      <c r="J361" s="88"/>
    </row>
    <row r="362">
      <c r="A362" s="85">
        <f>IFERROR(__xludf.DUMMYFUNCTION("""COMPUTED_VALUE"""),45302.0)</f>
        <v>45302</v>
      </c>
      <c r="B362" s="80">
        <f>IFERROR(__xludf.DUMMYFUNCTION("""COMPUTED_VALUE"""),17.67)</f>
        <v>17.67</v>
      </c>
      <c r="C362" s="79" t="str">
        <f>IFERROR(__xludf.DUMMYFUNCTION("""COMPUTED_VALUE"""),"Cash Tips")</f>
        <v>Cash Tips</v>
      </c>
      <c r="D362" s="79" t="str">
        <f>IFERROR(__xludf.DUMMYFUNCTION("""COMPUTED_VALUE"""),"JOE")</f>
        <v>JOE</v>
      </c>
      <c r="E362" s="86" t="str">
        <f t="shared" si="1"/>
        <v>Jan</v>
      </c>
      <c r="F362" s="79" t="str">
        <f>IFERROR(__xludf.DUMMYFUNCTION("""COMPUTED_VALUE"""),"Gil")</f>
        <v>Gil</v>
      </c>
      <c r="J362" s="88"/>
    </row>
    <row r="363">
      <c r="A363" s="85">
        <f>IFERROR(__xludf.DUMMYFUNCTION("""COMPUTED_VALUE"""),45306.0)</f>
        <v>45306</v>
      </c>
      <c r="B363" s="80">
        <f>IFERROR(__xludf.DUMMYFUNCTION("""COMPUTED_VALUE"""),985.75)</f>
        <v>985.75</v>
      </c>
      <c r="C363" s="79" t="str">
        <f>IFERROR(__xludf.DUMMYFUNCTION("""COMPUTED_VALUE"""),"Jan 1 - Jan 13")</f>
        <v>Jan 1 - Jan 13</v>
      </c>
      <c r="D363" s="79" t="str">
        <f>IFERROR(__xludf.DUMMYFUNCTION("""COMPUTED_VALUE"""),"KAL")</f>
        <v>KAL</v>
      </c>
      <c r="E363" s="86" t="str">
        <f t="shared" si="1"/>
        <v>Jan</v>
      </c>
      <c r="F363" s="79" t="str">
        <f>IFERROR(__xludf.DUMMYFUNCTION("""COMPUTED_VALUE"""),"Gil")</f>
        <v>Gil</v>
      </c>
      <c r="J363" s="88"/>
    </row>
    <row r="364">
      <c r="A364" s="85">
        <f>IFERROR(__xludf.DUMMYFUNCTION("""COMPUTED_VALUE"""),45303.0)</f>
        <v>45303</v>
      </c>
      <c r="B364" s="80">
        <f>IFERROR(__xludf.DUMMYFUNCTION("""COMPUTED_VALUE"""),599.53)</f>
        <v>599.53</v>
      </c>
      <c r="C364" s="79" t="str">
        <f>IFERROR(__xludf.DUMMYFUNCTION("""COMPUTED_VALUE"""),"01/12/2024 (#27069)")</f>
        <v>01/12/2024 (#27069)</v>
      </c>
      <c r="D364" s="79" t="str">
        <f>IFERROR(__xludf.DUMMYFUNCTION("""COMPUTED_VALUE"""),"JOE")</f>
        <v>JOE</v>
      </c>
      <c r="E364" s="86" t="str">
        <f t="shared" si="1"/>
        <v>Jan</v>
      </c>
      <c r="F364" s="79" t="str">
        <f>IFERROR(__xludf.DUMMYFUNCTION("""COMPUTED_VALUE"""),"Gil")</f>
        <v>Gil</v>
      </c>
      <c r="J364" s="88"/>
    </row>
    <row r="365">
      <c r="A365" s="85">
        <f>IFERROR(__xludf.DUMMYFUNCTION("""COMPUTED_VALUE"""),45303.0)</f>
        <v>45303</v>
      </c>
      <c r="B365" s="80">
        <f>IFERROR(__xludf.DUMMYFUNCTION("""COMPUTED_VALUE"""),146.04)</f>
        <v>146.04</v>
      </c>
      <c r="C365" s="79" t="str">
        <f>IFERROR(__xludf.DUMMYFUNCTION("""COMPUTED_VALUE"""),"01/12/2024 (#27069) - 401(k)")</f>
        <v>01/12/2024 (#27069) - 401(k)</v>
      </c>
      <c r="D365" s="79" t="str">
        <f>IFERROR(__xludf.DUMMYFUNCTION("""COMPUTED_VALUE"""),"JOE")</f>
        <v>JOE</v>
      </c>
      <c r="E365" s="86" t="str">
        <f t="shared" si="1"/>
        <v>Jan</v>
      </c>
      <c r="F365" s="79" t="str">
        <f>IFERROR(__xludf.DUMMYFUNCTION("""COMPUTED_VALUE"""),"Gil")</f>
        <v>Gil</v>
      </c>
      <c r="J365" s="88"/>
    </row>
    <row r="366">
      <c r="A366" s="85">
        <f>IFERROR(__xludf.DUMMYFUNCTION("""COMPUTED_VALUE"""),45303.0)</f>
        <v>45303</v>
      </c>
      <c r="B366" s="80">
        <f>IFERROR(__xludf.DUMMYFUNCTION("""COMPUTED_VALUE"""),6000.0)</f>
        <v>6000</v>
      </c>
      <c r="C366" s="79" t="str">
        <f>IFERROR(__xludf.DUMMYFUNCTION("""COMPUTED_VALUE"""),"Altu 04")</f>
        <v>Altu 04</v>
      </c>
      <c r="D366" s="79" t="str">
        <f>IFERROR(__xludf.DUMMYFUNCTION("""COMPUTED_VALUE"""),"Altuzarra")</f>
        <v>Altuzarra</v>
      </c>
      <c r="E366" s="86" t="str">
        <f t="shared" si="1"/>
        <v>Jan</v>
      </c>
      <c r="F366" s="79" t="str">
        <f>IFERROR(__xludf.DUMMYFUNCTION("""COMPUTED_VALUE"""),"Shaeffer")</f>
        <v>Shaeffer</v>
      </c>
      <c r="J366" s="88"/>
    </row>
    <row r="367">
      <c r="B367" s="80"/>
      <c r="E367" s="86" t="str">
        <f t="shared" si="1"/>
        <v>#VALUE!</v>
      </c>
      <c r="J367" s="88"/>
    </row>
    <row r="368">
      <c r="B368" s="80"/>
      <c r="E368" s="86" t="str">
        <f t="shared" si="1"/>
        <v>#VALUE!</v>
      </c>
      <c r="J368" s="88"/>
    </row>
    <row r="369">
      <c r="B369" s="80"/>
      <c r="E369" s="86" t="str">
        <f t="shared" si="1"/>
        <v>#VALUE!</v>
      </c>
      <c r="J369" s="88"/>
    </row>
    <row r="370">
      <c r="B370" s="80"/>
      <c r="E370" s="86" t="str">
        <f t="shared" si="1"/>
        <v>#VALUE!</v>
      </c>
      <c r="J370" s="88"/>
    </row>
    <row r="371">
      <c r="B371" s="80"/>
      <c r="E371" s="86" t="str">
        <f t="shared" si="1"/>
        <v>#VALUE!</v>
      </c>
      <c r="J371" s="88"/>
    </row>
    <row r="372">
      <c r="B372" s="80"/>
      <c r="E372" s="86" t="str">
        <f t="shared" si="1"/>
        <v>#VALUE!</v>
      </c>
      <c r="J372" s="88"/>
    </row>
    <row r="373">
      <c r="B373" s="80"/>
      <c r="E373" s="86" t="str">
        <f t="shared" si="1"/>
        <v>#VALUE!</v>
      </c>
      <c r="J373" s="88"/>
    </row>
    <row r="374">
      <c r="B374" s="80"/>
      <c r="E374" s="86" t="str">
        <f t="shared" si="1"/>
        <v>#VALUE!</v>
      </c>
      <c r="J374" s="88"/>
    </row>
    <row r="375">
      <c r="B375" s="80"/>
      <c r="E375" s="86" t="str">
        <f t="shared" si="1"/>
        <v>#VALUE!</v>
      </c>
      <c r="J375" s="88"/>
    </row>
    <row r="376">
      <c r="B376" s="80"/>
      <c r="E376" s="86" t="str">
        <f t="shared" si="1"/>
        <v>#VALUE!</v>
      </c>
      <c r="J376" s="88"/>
    </row>
    <row r="377">
      <c r="B377" s="80"/>
      <c r="E377" s="86" t="str">
        <f t="shared" si="1"/>
        <v>#VALUE!</v>
      </c>
      <c r="J377" s="88"/>
    </row>
    <row r="378">
      <c r="B378" s="80"/>
      <c r="E378" s="86" t="str">
        <f t="shared" si="1"/>
        <v>#VALUE!</v>
      </c>
      <c r="J378" s="88"/>
    </row>
    <row r="379">
      <c r="B379" s="80"/>
      <c r="E379" s="86" t="str">
        <f t="shared" si="1"/>
        <v>#VALUE!</v>
      </c>
      <c r="J379" s="88"/>
    </row>
    <row r="380">
      <c r="B380" s="80"/>
      <c r="E380" s="86" t="str">
        <f t="shared" si="1"/>
        <v>#VALUE!</v>
      </c>
      <c r="J380" s="88"/>
    </row>
    <row r="381">
      <c r="B381" s="80"/>
      <c r="E381" s="86" t="str">
        <f t="shared" si="1"/>
        <v>#VALUE!</v>
      </c>
      <c r="J381" s="88"/>
    </row>
    <row r="382">
      <c r="B382" s="80"/>
      <c r="E382" s="86" t="str">
        <f t="shared" si="1"/>
        <v>#VALUE!</v>
      </c>
      <c r="J382" s="88"/>
    </row>
    <row r="383">
      <c r="B383" s="80"/>
      <c r="E383" s="86" t="str">
        <f t="shared" si="1"/>
        <v>#VALUE!</v>
      </c>
      <c r="J383" s="88"/>
    </row>
    <row r="384">
      <c r="B384" s="80"/>
      <c r="E384" s="86" t="str">
        <f t="shared" si="1"/>
        <v>#VALUE!</v>
      </c>
      <c r="J384" s="88"/>
    </row>
    <row r="385">
      <c r="B385" s="80"/>
      <c r="E385" s="86" t="str">
        <f t="shared" si="1"/>
        <v>#VALUE!</v>
      </c>
      <c r="J385" s="88"/>
    </row>
    <row r="386">
      <c r="B386" s="80"/>
      <c r="E386" s="86" t="str">
        <f t="shared" si="1"/>
        <v>#VALUE!</v>
      </c>
      <c r="J386" s="88"/>
    </row>
    <row r="387">
      <c r="B387" s="80"/>
      <c r="E387" s="86" t="str">
        <f t="shared" si="1"/>
        <v>#VALUE!</v>
      </c>
      <c r="J387" s="88"/>
    </row>
    <row r="388">
      <c r="B388" s="80"/>
      <c r="E388" s="86" t="str">
        <f t="shared" si="1"/>
        <v>#VALUE!</v>
      </c>
      <c r="J388" s="88"/>
    </row>
    <row r="389">
      <c r="B389" s="80"/>
      <c r="E389" s="86" t="str">
        <f t="shared" si="1"/>
        <v>#VALUE!</v>
      </c>
      <c r="J389" s="88"/>
    </row>
    <row r="390">
      <c r="B390" s="80"/>
      <c r="E390" s="86" t="str">
        <f t="shared" si="1"/>
        <v>#VALUE!</v>
      </c>
      <c r="J390" s="88"/>
    </row>
    <row r="391">
      <c r="B391" s="80"/>
      <c r="E391" s="86" t="str">
        <f t="shared" si="1"/>
        <v>#VALUE!</v>
      </c>
      <c r="J391" s="88"/>
    </row>
    <row r="392">
      <c r="B392" s="80"/>
      <c r="E392" s="86" t="str">
        <f t="shared" si="1"/>
        <v>#VALUE!</v>
      </c>
      <c r="J392" s="88"/>
    </row>
    <row r="393">
      <c r="B393" s="80"/>
      <c r="E393" s="86" t="str">
        <f t="shared" si="1"/>
        <v>#VALUE!</v>
      </c>
      <c r="J393" s="88"/>
    </row>
    <row r="394">
      <c r="B394" s="80"/>
      <c r="E394" s="86" t="str">
        <f t="shared" si="1"/>
        <v>#VALUE!</v>
      </c>
      <c r="J394" s="88"/>
    </row>
    <row r="395">
      <c r="B395" s="80"/>
      <c r="E395" s="86" t="str">
        <f t="shared" si="1"/>
        <v>#VALUE!</v>
      </c>
      <c r="J395" s="88"/>
    </row>
    <row r="396">
      <c r="B396" s="80"/>
      <c r="E396" s="86" t="str">
        <f t="shared" si="1"/>
        <v>#VALUE!</v>
      </c>
      <c r="J396" s="88"/>
    </row>
    <row r="397">
      <c r="B397" s="80"/>
      <c r="E397" s="86" t="str">
        <f t="shared" si="1"/>
        <v>#VALUE!</v>
      </c>
      <c r="J397" s="88"/>
    </row>
    <row r="398">
      <c r="B398" s="80"/>
      <c r="E398" s="86" t="str">
        <f t="shared" si="1"/>
        <v>#VALUE!</v>
      </c>
      <c r="J398" s="88"/>
    </row>
    <row r="399">
      <c r="B399" s="80"/>
      <c r="E399" s="86" t="str">
        <f t="shared" si="1"/>
        <v>#VALUE!</v>
      </c>
      <c r="J399" s="88"/>
    </row>
    <row r="400">
      <c r="B400" s="80"/>
      <c r="E400" s="86" t="str">
        <f t="shared" si="1"/>
        <v>#VALUE!</v>
      </c>
      <c r="J400" s="88"/>
    </row>
    <row r="401">
      <c r="B401" s="80"/>
      <c r="E401" s="86" t="str">
        <f t="shared" si="1"/>
        <v>#VALUE!</v>
      </c>
      <c r="J401" s="88"/>
    </row>
    <row r="402">
      <c r="B402" s="80"/>
      <c r="E402" s="86" t="str">
        <f t="shared" si="1"/>
        <v>#VALUE!</v>
      </c>
      <c r="J402" s="88"/>
    </row>
    <row r="403">
      <c r="B403" s="80"/>
      <c r="E403" s="86" t="str">
        <f t="shared" si="1"/>
        <v>#VALUE!</v>
      </c>
      <c r="J403" s="88"/>
    </row>
    <row r="404">
      <c r="B404" s="80"/>
      <c r="E404" s="86" t="str">
        <f t="shared" si="1"/>
        <v>#VALUE!</v>
      </c>
      <c r="J404" s="88"/>
    </row>
    <row r="405">
      <c r="B405" s="80"/>
      <c r="E405" s="86" t="str">
        <f t="shared" si="1"/>
        <v>#VALUE!</v>
      </c>
      <c r="J405" s="88"/>
    </row>
    <row r="406">
      <c r="B406" s="80"/>
      <c r="E406" s="86" t="str">
        <f t="shared" si="1"/>
        <v>#VALUE!</v>
      </c>
      <c r="J406" s="88"/>
    </row>
    <row r="407">
      <c r="B407" s="80"/>
      <c r="E407" s="86" t="str">
        <f t="shared" si="1"/>
        <v>#VALUE!</v>
      </c>
      <c r="J407" s="88"/>
    </row>
    <row r="408">
      <c r="B408" s="80"/>
      <c r="E408" s="86" t="str">
        <f t="shared" si="1"/>
        <v>#VALUE!</v>
      </c>
      <c r="J408" s="88"/>
    </row>
    <row r="409">
      <c r="B409" s="80"/>
      <c r="E409" s="86" t="str">
        <f t="shared" si="1"/>
        <v>#VALUE!</v>
      </c>
      <c r="J409" s="88"/>
    </row>
    <row r="410">
      <c r="B410" s="80"/>
      <c r="E410" s="86" t="str">
        <f t="shared" si="1"/>
        <v>#VALUE!</v>
      </c>
      <c r="J410" s="88"/>
    </row>
    <row r="411">
      <c r="B411" s="80"/>
      <c r="E411" s="86" t="str">
        <f t="shared" si="1"/>
        <v>#VALUE!</v>
      </c>
      <c r="J411" s="88"/>
    </row>
    <row r="412">
      <c r="B412" s="80"/>
      <c r="E412" s="86" t="str">
        <f t="shared" si="1"/>
        <v>#VALUE!</v>
      </c>
      <c r="J412" s="88"/>
    </row>
    <row r="413">
      <c r="B413" s="80"/>
      <c r="E413" s="86" t="str">
        <f t="shared" si="1"/>
        <v>#VALUE!</v>
      </c>
      <c r="J413" s="88"/>
    </row>
    <row r="414">
      <c r="B414" s="80"/>
      <c r="E414" s="86" t="str">
        <f t="shared" si="1"/>
        <v>#VALUE!</v>
      </c>
      <c r="J414" s="88"/>
    </row>
    <row r="415">
      <c r="B415" s="80"/>
      <c r="E415" s="86" t="str">
        <f t="shared" si="1"/>
        <v>#VALUE!</v>
      </c>
      <c r="J415" s="88"/>
    </row>
    <row r="416">
      <c r="B416" s="80"/>
      <c r="E416" s="86" t="str">
        <f t="shared" si="1"/>
        <v>#VALUE!</v>
      </c>
      <c r="J416" s="88"/>
    </row>
    <row r="417">
      <c r="B417" s="80"/>
      <c r="E417" s="86" t="str">
        <f t="shared" si="1"/>
        <v>#VALUE!</v>
      </c>
      <c r="J417" s="88"/>
    </row>
    <row r="418">
      <c r="B418" s="80"/>
      <c r="E418" s="86" t="str">
        <f t="shared" si="1"/>
        <v>#VALUE!</v>
      </c>
      <c r="J418" s="88"/>
    </row>
    <row r="419">
      <c r="B419" s="80"/>
      <c r="E419" s="86" t="str">
        <f t="shared" si="1"/>
        <v>#VALUE!</v>
      </c>
      <c r="J419" s="88"/>
    </row>
    <row r="420">
      <c r="B420" s="80"/>
      <c r="E420" s="86" t="str">
        <f t="shared" si="1"/>
        <v>#VALUE!</v>
      </c>
      <c r="J420" s="88"/>
    </row>
    <row r="421">
      <c r="B421" s="80"/>
      <c r="E421" s="86" t="str">
        <f t="shared" si="1"/>
        <v>#VALUE!</v>
      </c>
      <c r="J421" s="88"/>
    </row>
    <row r="422">
      <c r="B422" s="80"/>
      <c r="E422" s="86" t="str">
        <f t="shared" si="1"/>
        <v>#VALUE!</v>
      </c>
      <c r="J422" s="88"/>
    </row>
    <row r="423">
      <c r="B423" s="80"/>
      <c r="E423" s="86" t="str">
        <f t="shared" si="1"/>
        <v>#VALUE!</v>
      </c>
      <c r="J423" s="88"/>
    </row>
    <row r="424">
      <c r="B424" s="80"/>
      <c r="E424" s="86" t="str">
        <f t="shared" si="1"/>
        <v>#VALUE!</v>
      </c>
      <c r="J424" s="88"/>
    </row>
    <row r="425">
      <c r="B425" s="80"/>
      <c r="E425" s="86" t="str">
        <f t="shared" si="1"/>
        <v>#VALUE!</v>
      </c>
      <c r="J425" s="88"/>
    </row>
    <row r="426">
      <c r="B426" s="80"/>
      <c r="E426" s="86" t="str">
        <f t="shared" si="1"/>
        <v>#VALUE!</v>
      </c>
      <c r="J426" s="88"/>
    </row>
    <row r="427">
      <c r="B427" s="80"/>
      <c r="E427" s="86" t="str">
        <f t="shared" si="1"/>
        <v>#VALUE!</v>
      </c>
      <c r="J427" s="88"/>
    </row>
    <row r="428">
      <c r="B428" s="80"/>
      <c r="E428" s="86" t="str">
        <f t="shared" si="1"/>
        <v>#VALUE!</v>
      </c>
      <c r="J428" s="88"/>
    </row>
    <row r="429">
      <c r="B429" s="80"/>
      <c r="E429" s="86" t="str">
        <f t="shared" si="1"/>
        <v>#VALUE!</v>
      </c>
      <c r="J429" s="88"/>
    </row>
    <row r="430">
      <c r="B430" s="80"/>
      <c r="E430" s="86" t="str">
        <f t="shared" si="1"/>
        <v>#VALUE!</v>
      </c>
      <c r="J430" s="88"/>
    </row>
    <row r="431">
      <c r="B431" s="80"/>
      <c r="E431" s="86" t="str">
        <f t="shared" si="1"/>
        <v>#VALUE!</v>
      </c>
      <c r="J431" s="88"/>
    </row>
    <row r="432">
      <c r="B432" s="80"/>
      <c r="E432" s="86" t="str">
        <f t="shared" si="1"/>
        <v>#VALUE!</v>
      </c>
      <c r="J432" s="88"/>
    </row>
    <row r="433">
      <c r="B433" s="80"/>
      <c r="E433" s="86" t="str">
        <f t="shared" si="1"/>
        <v>#VALUE!</v>
      </c>
      <c r="J433" s="88"/>
    </row>
    <row r="434">
      <c r="B434" s="80"/>
      <c r="E434" s="86" t="str">
        <f t="shared" si="1"/>
        <v>#VALUE!</v>
      </c>
      <c r="J434" s="88"/>
    </row>
    <row r="435">
      <c r="B435" s="80"/>
      <c r="E435" s="86" t="str">
        <f t="shared" si="1"/>
        <v>#VALUE!</v>
      </c>
      <c r="J435" s="88"/>
    </row>
    <row r="436">
      <c r="B436" s="80"/>
      <c r="E436" s="86" t="str">
        <f t="shared" si="1"/>
        <v>#VALUE!</v>
      </c>
      <c r="J436" s="88"/>
    </row>
    <row r="437">
      <c r="B437" s="80"/>
      <c r="E437" s="86" t="str">
        <f t="shared" si="1"/>
        <v>#VALUE!</v>
      </c>
      <c r="J437" s="88"/>
    </row>
    <row r="438">
      <c r="B438" s="80"/>
      <c r="E438" s="86" t="str">
        <f t="shared" si="1"/>
        <v>#VALUE!</v>
      </c>
      <c r="J438" s="88"/>
    </row>
    <row r="439">
      <c r="B439" s="80"/>
      <c r="E439" s="86" t="str">
        <f t="shared" si="1"/>
        <v>#VALUE!</v>
      </c>
      <c r="J439" s="88"/>
    </row>
    <row r="440">
      <c r="B440" s="80"/>
      <c r="E440" s="86" t="str">
        <f t="shared" si="1"/>
        <v>#VALUE!</v>
      </c>
      <c r="J440" s="88"/>
    </row>
    <row r="441">
      <c r="B441" s="80"/>
      <c r="E441" s="86" t="str">
        <f t="shared" si="1"/>
        <v>#VALUE!</v>
      </c>
      <c r="J441" s="88"/>
    </row>
    <row r="442">
      <c r="B442" s="80"/>
      <c r="E442" s="86" t="str">
        <f t="shared" si="1"/>
        <v>#VALUE!</v>
      </c>
      <c r="J442" s="88"/>
    </row>
    <row r="443">
      <c r="B443" s="80"/>
      <c r="E443" s="86" t="str">
        <f t="shared" si="1"/>
        <v>#VALUE!</v>
      </c>
      <c r="J443" s="88"/>
    </row>
    <row r="444">
      <c r="B444" s="80"/>
      <c r="E444" s="86" t="str">
        <f t="shared" si="1"/>
        <v>#VALUE!</v>
      </c>
      <c r="J444" s="88"/>
    </row>
    <row r="445">
      <c r="B445" s="80"/>
      <c r="E445" s="86" t="str">
        <f t="shared" si="1"/>
        <v>#VALUE!</v>
      </c>
      <c r="J445" s="88"/>
    </row>
    <row r="446">
      <c r="B446" s="80"/>
      <c r="E446" s="86" t="str">
        <f t="shared" si="1"/>
        <v>#VALUE!</v>
      </c>
      <c r="J446" s="88"/>
    </row>
    <row r="447">
      <c r="B447" s="80"/>
      <c r="E447" s="86" t="str">
        <f t="shared" si="1"/>
        <v>#VALUE!</v>
      </c>
      <c r="J447" s="88"/>
    </row>
    <row r="448">
      <c r="B448" s="80"/>
      <c r="E448" s="86" t="str">
        <f t="shared" si="1"/>
        <v>#VALUE!</v>
      </c>
      <c r="J448" s="88"/>
    </row>
    <row r="449">
      <c r="B449" s="80"/>
      <c r="E449" s="86" t="str">
        <f t="shared" si="1"/>
        <v>#VALUE!</v>
      </c>
      <c r="J449" s="88"/>
    </row>
    <row r="450">
      <c r="B450" s="80"/>
      <c r="E450" s="86" t="str">
        <f t="shared" si="1"/>
        <v>#VALUE!</v>
      </c>
      <c r="J450" s="88"/>
    </row>
    <row r="451">
      <c r="B451" s="80"/>
      <c r="E451" s="86" t="str">
        <f t="shared" si="1"/>
        <v>#VALUE!</v>
      </c>
      <c r="J451" s="88"/>
    </row>
    <row r="452">
      <c r="B452" s="80"/>
      <c r="E452" s="86" t="str">
        <f t="shared" si="1"/>
        <v>#VALUE!</v>
      </c>
      <c r="J452" s="88"/>
    </row>
    <row r="453">
      <c r="B453" s="80"/>
      <c r="E453" s="86" t="str">
        <f t="shared" si="1"/>
        <v>#VALUE!</v>
      </c>
      <c r="J453" s="88"/>
    </row>
    <row r="454">
      <c r="B454" s="80"/>
      <c r="E454" s="86" t="str">
        <f t="shared" si="1"/>
        <v>#VALUE!</v>
      </c>
      <c r="J454" s="88"/>
    </row>
    <row r="455">
      <c r="B455" s="80"/>
      <c r="E455" s="86" t="str">
        <f t="shared" si="1"/>
        <v>#VALUE!</v>
      </c>
      <c r="J455" s="88"/>
    </row>
    <row r="456">
      <c r="B456" s="80"/>
      <c r="E456" s="86" t="str">
        <f t="shared" si="1"/>
        <v>#VALUE!</v>
      </c>
      <c r="J456" s="88"/>
    </row>
    <row r="457">
      <c r="B457" s="80"/>
      <c r="E457" s="86" t="str">
        <f t="shared" si="1"/>
        <v>#VALUE!</v>
      </c>
      <c r="J457" s="88"/>
    </row>
    <row r="458">
      <c r="B458" s="80"/>
      <c r="E458" s="86" t="str">
        <f t="shared" si="1"/>
        <v>#VALUE!</v>
      </c>
      <c r="J458" s="88"/>
    </row>
    <row r="459">
      <c r="B459" s="80"/>
      <c r="E459" s="86" t="str">
        <f t="shared" si="1"/>
        <v>#VALUE!</v>
      </c>
      <c r="J459" s="88"/>
    </row>
    <row r="460">
      <c r="B460" s="80"/>
      <c r="E460" s="86" t="str">
        <f t="shared" si="1"/>
        <v>#VALUE!</v>
      </c>
      <c r="J460" s="88"/>
    </row>
    <row r="461">
      <c r="B461" s="80"/>
      <c r="E461" s="86" t="str">
        <f t="shared" si="1"/>
        <v>#VALUE!</v>
      </c>
      <c r="J461" s="88"/>
    </row>
    <row r="462">
      <c r="B462" s="80"/>
      <c r="E462" s="86" t="str">
        <f t="shared" si="1"/>
        <v>#VALUE!</v>
      </c>
      <c r="J462" s="88"/>
    </row>
    <row r="463">
      <c r="B463" s="80"/>
      <c r="E463" s="86" t="str">
        <f t="shared" si="1"/>
        <v>#VALUE!</v>
      </c>
      <c r="J463" s="88"/>
    </row>
    <row r="464">
      <c r="B464" s="80"/>
      <c r="E464" s="86" t="str">
        <f t="shared" si="1"/>
        <v>#VALUE!</v>
      </c>
      <c r="J464" s="88"/>
    </row>
    <row r="465">
      <c r="B465" s="80"/>
      <c r="E465" s="86" t="str">
        <f t="shared" si="1"/>
        <v>#VALUE!</v>
      </c>
      <c r="J465" s="88"/>
    </row>
    <row r="466">
      <c r="B466" s="80"/>
      <c r="E466" s="86" t="str">
        <f t="shared" si="1"/>
        <v>#VALUE!</v>
      </c>
      <c r="J466" s="88"/>
    </row>
    <row r="467">
      <c r="B467" s="80"/>
      <c r="E467" s="86" t="str">
        <f t="shared" si="1"/>
        <v>#VALUE!</v>
      </c>
      <c r="J467" s="88"/>
    </row>
    <row r="468">
      <c r="B468" s="80"/>
      <c r="E468" s="86" t="str">
        <f t="shared" si="1"/>
        <v>#VALUE!</v>
      </c>
      <c r="J468" s="88"/>
    </row>
    <row r="469">
      <c r="B469" s="80"/>
      <c r="E469" s="86" t="str">
        <f t="shared" si="1"/>
        <v>#VALUE!</v>
      </c>
      <c r="J469" s="88"/>
    </row>
    <row r="470">
      <c r="B470" s="80"/>
      <c r="E470" s="86" t="str">
        <f t="shared" si="1"/>
        <v>#VALUE!</v>
      </c>
      <c r="J470" s="88"/>
    </row>
    <row r="471">
      <c r="B471" s="80"/>
      <c r="E471" s="86" t="str">
        <f t="shared" si="1"/>
        <v>#VALUE!</v>
      </c>
      <c r="J471" s="88"/>
    </row>
    <row r="472">
      <c r="B472" s="80"/>
      <c r="E472" s="86" t="str">
        <f t="shared" si="1"/>
        <v>#VALUE!</v>
      </c>
      <c r="J472" s="88"/>
    </row>
    <row r="473">
      <c r="B473" s="80"/>
      <c r="E473" s="86" t="str">
        <f t="shared" si="1"/>
        <v>#VALUE!</v>
      </c>
      <c r="J473" s="88"/>
    </row>
    <row r="474">
      <c r="B474" s="80"/>
      <c r="E474" s="86" t="str">
        <f t="shared" si="1"/>
        <v>#VALUE!</v>
      </c>
      <c r="J474" s="88"/>
    </row>
    <row r="475">
      <c r="B475" s="80"/>
      <c r="E475" s="86" t="str">
        <f t="shared" si="1"/>
        <v>#VALUE!</v>
      </c>
      <c r="J475" s="88"/>
    </row>
    <row r="476">
      <c r="B476" s="80"/>
      <c r="E476" s="86" t="str">
        <f t="shared" si="1"/>
        <v>#VALUE!</v>
      </c>
      <c r="J476" s="88"/>
    </row>
    <row r="477">
      <c r="B477" s="80"/>
      <c r="E477" s="86" t="str">
        <f t="shared" si="1"/>
        <v>#VALUE!</v>
      </c>
      <c r="J477" s="88"/>
    </row>
    <row r="478">
      <c r="B478" s="80"/>
      <c r="E478" s="86" t="str">
        <f t="shared" si="1"/>
        <v>#VALUE!</v>
      </c>
      <c r="J478" s="88"/>
    </row>
    <row r="479">
      <c r="B479" s="80"/>
      <c r="E479" s="86" t="str">
        <f t="shared" si="1"/>
        <v>#VALUE!</v>
      </c>
      <c r="J479" s="88"/>
    </row>
    <row r="480">
      <c r="B480" s="80"/>
      <c r="E480" s="86" t="str">
        <f t="shared" si="1"/>
        <v>#VALUE!</v>
      </c>
      <c r="J480" s="88"/>
    </row>
    <row r="481">
      <c r="B481" s="80"/>
      <c r="E481" s="86" t="str">
        <f t="shared" si="1"/>
        <v>#VALUE!</v>
      </c>
      <c r="J481" s="88"/>
    </row>
    <row r="482">
      <c r="B482" s="80"/>
      <c r="E482" s="86" t="str">
        <f t="shared" si="1"/>
        <v>#VALUE!</v>
      </c>
      <c r="J482" s="88"/>
    </row>
    <row r="483">
      <c r="B483" s="80"/>
      <c r="E483" s="86" t="str">
        <f t="shared" si="1"/>
        <v>#VALUE!</v>
      </c>
      <c r="J483" s="88"/>
    </row>
    <row r="484">
      <c r="B484" s="80"/>
      <c r="E484" s="86" t="str">
        <f t="shared" si="1"/>
        <v>#VALUE!</v>
      </c>
      <c r="J484" s="88"/>
    </row>
    <row r="485">
      <c r="B485" s="80"/>
      <c r="E485" s="86" t="str">
        <f t="shared" si="1"/>
        <v>#VALUE!</v>
      </c>
      <c r="J485" s="88"/>
    </row>
    <row r="486">
      <c r="B486" s="80"/>
      <c r="E486" s="86" t="str">
        <f t="shared" si="1"/>
        <v>#VALUE!</v>
      </c>
      <c r="J486" s="88"/>
    </row>
    <row r="487">
      <c r="B487" s="80"/>
      <c r="E487" s="86" t="str">
        <f t="shared" si="1"/>
        <v>#VALUE!</v>
      </c>
      <c r="J487" s="88"/>
    </row>
    <row r="488">
      <c r="B488" s="80"/>
      <c r="E488" s="86" t="str">
        <f t="shared" si="1"/>
        <v>#VALUE!</v>
      </c>
      <c r="J488" s="88"/>
    </row>
    <row r="489">
      <c r="B489" s="80"/>
      <c r="E489" s="86" t="str">
        <f t="shared" si="1"/>
        <v>#VALUE!</v>
      </c>
      <c r="J489" s="88"/>
    </row>
    <row r="490">
      <c r="B490" s="80"/>
      <c r="E490" s="86" t="str">
        <f t="shared" si="1"/>
        <v>#VALUE!</v>
      </c>
      <c r="J490" s="88"/>
    </row>
    <row r="491">
      <c r="B491" s="80"/>
      <c r="E491" s="86" t="str">
        <f t="shared" si="1"/>
        <v>#VALUE!</v>
      </c>
      <c r="J491" s="88"/>
    </row>
    <row r="492">
      <c r="B492" s="80"/>
      <c r="E492" s="86" t="str">
        <f t="shared" si="1"/>
        <v>#VALUE!</v>
      </c>
      <c r="J492" s="88"/>
    </row>
    <row r="493">
      <c r="B493" s="80"/>
      <c r="E493" s="86" t="str">
        <f t="shared" si="1"/>
        <v>#VALUE!</v>
      </c>
      <c r="J493" s="88"/>
    </row>
    <row r="494">
      <c r="B494" s="80"/>
      <c r="E494" s="86" t="str">
        <f t="shared" si="1"/>
        <v>#VALUE!</v>
      </c>
      <c r="J494" s="88"/>
    </row>
    <row r="495">
      <c r="B495" s="80"/>
      <c r="E495" s="86" t="str">
        <f t="shared" si="1"/>
        <v>#VALUE!</v>
      </c>
      <c r="J495" s="88"/>
    </row>
    <row r="496">
      <c r="B496" s="80"/>
      <c r="E496" s="86" t="str">
        <f t="shared" si="1"/>
        <v>#VALUE!</v>
      </c>
      <c r="J496" s="88"/>
    </row>
    <row r="497">
      <c r="B497" s="80"/>
      <c r="E497" s="86" t="str">
        <f t="shared" si="1"/>
        <v>#VALUE!</v>
      </c>
      <c r="J497" s="88"/>
    </row>
    <row r="498">
      <c r="B498" s="80"/>
      <c r="E498" s="86" t="str">
        <f t="shared" si="1"/>
        <v>#VALUE!</v>
      </c>
      <c r="J498" s="88"/>
    </row>
    <row r="499">
      <c r="B499" s="80"/>
      <c r="E499" s="86" t="str">
        <f t="shared" si="1"/>
        <v>#VALUE!</v>
      </c>
      <c r="J499" s="88"/>
    </row>
    <row r="500">
      <c r="B500" s="80"/>
      <c r="E500" s="86" t="str">
        <f t="shared" si="1"/>
        <v>#VALUE!</v>
      </c>
      <c r="J500" s="88"/>
    </row>
    <row r="501">
      <c r="B501" s="80"/>
      <c r="E501" s="86" t="str">
        <f t="shared" si="1"/>
        <v>#VALUE!</v>
      </c>
      <c r="J501" s="88"/>
    </row>
    <row r="502">
      <c r="B502" s="80"/>
      <c r="E502" s="86" t="str">
        <f t="shared" si="1"/>
        <v>#VALUE!</v>
      </c>
      <c r="J502" s="88"/>
    </row>
    <row r="503">
      <c r="B503" s="80"/>
      <c r="E503" s="86" t="str">
        <f t="shared" si="1"/>
        <v>#VALUE!</v>
      </c>
      <c r="J503" s="88"/>
    </row>
    <row r="504">
      <c r="B504" s="80"/>
      <c r="E504" s="86" t="str">
        <f t="shared" si="1"/>
        <v>#VALUE!</v>
      </c>
      <c r="J504" s="88"/>
    </row>
    <row r="505">
      <c r="B505" s="80"/>
      <c r="E505" s="86" t="str">
        <f t="shared" si="1"/>
        <v>#VALUE!</v>
      </c>
      <c r="J505" s="88"/>
    </row>
    <row r="506">
      <c r="B506" s="80"/>
      <c r="E506" s="86" t="str">
        <f t="shared" si="1"/>
        <v>#VALUE!</v>
      </c>
      <c r="J506" s="88"/>
    </row>
    <row r="507">
      <c r="B507" s="80"/>
      <c r="E507" s="86" t="str">
        <f t="shared" si="1"/>
        <v>#VALUE!</v>
      </c>
      <c r="J507" s="88"/>
    </row>
    <row r="508">
      <c r="B508" s="80"/>
      <c r="E508" s="86" t="str">
        <f t="shared" si="1"/>
        <v>#VALUE!</v>
      </c>
      <c r="J508" s="88"/>
    </row>
    <row r="509">
      <c r="B509" s="80"/>
      <c r="E509" s="86" t="str">
        <f t="shared" si="1"/>
        <v>#VALUE!</v>
      </c>
      <c r="J509" s="88"/>
    </row>
    <row r="510">
      <c r="B510" s="80"/>
      <c r="E510" s="86" t="str">
        <f t="shared" si="1"/>
        <v>#VALUE!</v>
      </c>
      <c r="J510" s="88"/>
    </row>
    <row r="511">
      <c r="B511" s="80"/>
      <c r="E511" s="86" t="str">
        <f t="shared" si="1"/>
        <v>#VALUE!</v>
      </c>
      <c r="J511" s="88"/>
    </row>
    <row r="512">
      <c r="B512" s="80"/>
      <c r="E512" s="86" t="str">
        <f t="shared" si="1"/>
        <v>#VALUE!</v>
      </c>
      <c r="J512" s="88"/>
    </row>
    <row r="513">
      <c r="B513" s="80"/>
      <c r="E513" s="86" t="str">
        <f t="shared" si="1"/>
        <v>#VALUE!</v>
      </c>
      <c r="J513" s="88"/>
    </row>
    <row r="514">
      <c r="B514" s="80"/>
      <c r="E514" s="86" t="str">
        <f t="shared" si="1"/>
        <v>#VALUE!</v>
      </c>
      <c r="J514" s="88"/>
    </row>
    <row r="515">
      <c r="B515" s="80"/>
      <c r="E515" s="86" t="str">
        <f t="shared" si="1"/>
        <v>#VALUE!</v>
      </c>
      <c r="J515" s="88"/>
    </row>
    <row r="516">
      <c r="B516" s="80"/>
      <c r="E516" s="86" t="str">
        <f t="shared" si="1"/>
        <v>#VALUE!</v>
      </c>
      <c r="J516" s="88"/>
    </row>
    <row r="517">
      <c r="B517" s="80"/>
      <c r="E517" s="86" t="str">
        <f t="shared" si="1"/>
        <v>#VALUE!</v>
      </c>
      <c r="J517" s="88"/>
    </row>
    <row r="518">
      <c r="B518" s="80"/>
      <c r="E518" s="86" t="str">
        <f t="shared" si="1"/>
        <v>#VALUE!</v>
      </c>
      <c r="J518" s="88"/>
    </row>
    <row r="519">
      <c r="B519" s="80"/>
      <c r="E519" s="86" t="str">
        <f t="shared" si="1"/>
        <v>#VALUE!</v>
      </c>
      <c r="J519" s="88"/>
    </row>
    <row r="520">
      <c r="B520" s="80"/>
      <c r="E520" s="86" t="str">
        <f t="shared" si="1"/>
        <v>#VALUE!</v>
      </c>
      <c r="J520" s="88"/>
    </row>
    <row r="521">
      <c r="B521" s="80"/>
      <c r="E521" s="86" t="str">
        <f t="shared" si="1"/>
        <v>#VALUE!</v>
      </c>
      <c r="J521" s="88"/>
    </row>
    <row r="522">
      <c r="B522" s="80"/>
      <c r="E522" s="86" t="str">
        <f t="shared" si="1"/>
        <v>#VALUE!</v>
      </c>
      <c r="J522" s="88"/>
    </row>
    <row r="523">
      <c r="B523" s="80"/>
      <c r="E523" s="86" t="str">
        <f t="shared" si="1"/>
        <v>#VALUE!</v>
      </c>
      <c r="J523" s="88"/>
    </row>
    <row r="524">
      <c r="B524" s="80"/>
      <c r="E524" s="86" t="str">
        <f t="shared" si="1"/>
        <v>#VALUE!</v>
      </c>
      <c r="J524" s="88"/>
    </row>
    <row r="525">
      <c r="B525" s="80"/>
      <c r="E525" s="86" t="str">
        <f t="shared" si="1"/>
        <v>#VALUE!</v>
      </c>
      <c r="J525" s="88"/>
    </row>
    <row r="526">
      <c r="B526" s="80"/>
      <c r="E526" s="86" t="str">
        <f t="shared" si="1"/>
        <v>#VALUE!</v>
      </c>
      <c r="J526" s="88"/>
    </row>
    <row r="527">
      <c r="B527" s="80"/>
      <c r="E527" s="86" t="str">
        <f t="shared" si="1"/>
        <v>#VALUE!</v>
      </c>
      <c r="J527" s="88"/>
    </row>
    <row r="528">
      <c r="B528" s="80"/>
      <c r="E528" s="86" t="str">
        <f t="shared" si="1"/>
        <v>#VALUE!</v>
      </c>
      <c r="J528" s="88"/>
    </row>
    <row r="529">
      <c r="B529" s="80"/>
      <c r="E529" s="86" t="str">
        <f t="shared" si="1"/>
        <v>#VALUE!</v>
      </c>
      <c r="J529" s="88"/>
    </row>
    <row r="530">
      <c r="B530" s="80"/>
      <c r="E530" s="86" t="str">
        <f t="shared" si="1"/>
        <v>#VALUE!</v>
      </c>
      <c r="J530" s="88"/>
    </row>
    <row r="531">
      <c r="B531" s="80"/>
      <c r="E531" s="86" t="str">
        <f t="shared" si="1"/>
        <v>#VALUE!</v>
      </c>
      <c r="J531" s="88"/>
    </row>
    <row r="532">
      <c r="B532" s="80"/>
      <c r="E532" s="86" t="str">
        <f t="shared" si="1"/>
        <v>#VALUE!</v>
      </c>
      <c r="J532" s="88"/>
    </row>
    <row r="533">
      <c r="B533" s="80"/>
      <c r="E533" s="86" t="str">
        <f t="shared" si="1"/>
        <v>#VALUE!</v>
      </c>
      <c r="J533" s="88"/>
    </row>
    <row r="534">
      <c r="B534" s="80"/>
      <c r="E534" s="86" t="str">
        <f t="shared" si="1"/>
        <v>#VALUE!</v>
      </c>
      <c r="J534" s="88"/>
    </row>
    <row r="535">
      <c r="B535" s="80"/>
      <c r="E535" s="86" t="str">
        <f t="shared" si="1"/>
        <v>#VALUE!</v>
      </c>
      <c r="J535" s="88"/>
    </row>
    <row r="536">
      <c r="B536" s="80"/>
      <c r="E536" s="86" t="str">
        <f t="shared" si="1"/>
        <v>#VALUE!</v>
      </c>
      <c r="J536" s="88"/>
    </row>
    <row r="537">
      <c r="B537" s="80"/>
      <c r="E537" s="86" t="str">
        <f t="shared" si="1"/>
        <v>#VALUE!</v>
      </c>
      <c r="J537" s="88"/>
    </row>
    <row r="538">
      <c r="B538" s="80"/>
      <c r="E538" s="86" t="str">
        <f t="shared" si="1"/>
        <v>#VALUE!</v>
      </c>
      <c r="J538" s="88"/>
    </row>
    <row r="539">
      <c r="B539" s="80"/>
      <c r="E539" s="86" t="str">
        <f t="shared" si="1"/>
        <v>#VALUE!</v>
      </c>
      <c r="J539" s="88"/>
    </row>
    <row r="540">
      <c r="B540" s="80"/>
      <c r="E540" s="86" t="str">
        <f t="shared" si="1"/>
        <v>#VALUE!</v>
      </c>
      <c r="J540" s="88"/>
    </row>
    <row r="541">
      <c r="B541" s="80"/>
      <c r="E541" s="86" t="str">
        <f t="shared" si="1"/>
        <v>#VALUE!</v>
      </c>
      <c r="J541" s="88"/>
    </row>
    <row r="542">
      <c r="B542" s="80"/>
      <c r="E542" s="86" t="str">
        <f t="shared" si="1"/>
        <v>#VALUE!</v>
      </c>
      <c r="J542" s="88"/>
    </row>
    <row r="543">
      <c r="B543" s="80"/>
      <c r="E543" s="86" t="str">
        <f t="shared" si="1"/>
        <v>#VALUE!</v>
      </c>
      <c r="J543" s="88"/>
    </row>
    <row r="544">
      <c r="B544" s="80"/>
      <c r="E544" s="86" t="str">
        <f t="shared" si="1"/>
        <v>#VALUE!</v>
      </c>
      <c r="J544" s="88"/>
    </row>
    <row r="545">
      <c r="B545" s="80"/>
      <c r="E545" s="86" t="str">
        <f t="shared" si="1"/>
        <v>#VALUE!</v>
      </c>
      <c r="J545" s="88"/>
    </row>
    <row r="546">
      <c r="B546" s="80"/>
      <c r="E546" s="86" t="str">
        <f t="shared" si="1"/>
        <v>#VALUE!</v>
      </c>
      <c r="J546" s="88"/>
    </row>
    <row r="547">
      <c r="B547" s="80"/>
      <c r="E547" s="86" t="str">
        <f t="shared" si="1"/>
        <v>#VALUE!</v>
      </c>
      <c r="J547" s="88"/>
    </row>
    <row r="548">
      <c r="B548" s="80"/>
      <c r="E548" s="86" t="str">
        <f t="shared" si="1"/>
        <v>#VALUE!</v>
      </c>
      <c r="J548" s="88"/>
    </row>
    <row r="549">
      <c r="B549" s="80"/>
      <c r="E549" s="86" t="str">
        <f t="shared" si="1"/>
        <v>#VALUE!</v>
      </c>
      <c r="J549" s="88"/>
    </row>
    <row r="550">
      <c r="B550" s="80"/>
      <c r="E550" s="86" t="str">
        <f t="shared" si="1"/>
        <v>#VALUE!</v>
      </c>
      <c r="J550" s="88"/>
    </row>
    <row r="551">
      <c r="B551" s="80"/>
      <c r="E551" s="86" t="str">
        <f t="shared" si="1"/>
        <v>#VALUE!</v>
      </c>
      <c r="J551" s="88"/>
    </row>
    <row r="552">
      <c r="B552" s="80"/>
      <c r="E552" s="86" t="str">
        <f t="shared" si="1"/>
        <v>#VALUE!</v>
      </c>
      <c r="J552" s="88"/>
    </row>
    <row r="553">
      <c r="B553" s="80"/>
      <c r="E553" s="86" t="str">
        <f t="shared" si="1"/>
        <v>#VALUE!</v>
      </c>
      <c r="J553" s="88"/>
    </row>
    <row r="554">
      <c r="B554" s="80"/>
      <c r="E554" s="86" t="str">
        <f t="shared" si="1"/>
        <v>#VALUE!</v>
      </c>
      <c r="J554" s="88"/>
    </row>
    <row r="555">
      <c r="B555" s="80"/>
      <c r="E555" s="86" t="str">
        <f t="shared" si="1"/>
        <v>#VALUE!</v>
      </c>
      <c r="J555" s="88"/>
    </row>
    <row r="556">
      <c r="B556" s="80"/>
      <c r="E556" s="86" t="str">
        <f t="shared" si="1"/>
        <v>#VALUE!</v>
      </c>
      <c r="J556" s="88"/>
    </row>
    <row r="557">
      <c r="B557" s="80"/>
      <c r="E557" s="86" t="str">
        <f t="shared" si="1"/>
        <v>#VALUE!</v>
      </c>
      <c r="J557" s="88"/>
    </row>
    <row r="558">
      <c r="B558" s="80"/>
      <c r="E558" s="86" t="str">
        <f t="shared" si="1"/>
        <v>#VALUE!</v>
      </c>
      <c r="J558" s="88"/>
    </row>
    <row r="559">
      <c r="B559" s="80"/>
      <c r="E559" s="86" t="str">
        <f t="shared" si="1"/>
        <v>#VALUE!</v>
      </c>
      <c r="J559" s="88"/>
    </row>
    <row r="560">
      <c r="B560" s="80"/>
      <c r="E560" s="86" t="str">
        <f t="shared" si="1"/>
        <v>#VALUE!</v>
      </c>
      <c r="J560" s="88"/>
    </row>
    <row r="561">
      <c r="B561" s="80"/>
      <c r="E561" s="86" t="str">
        <f t="shared" si="1"/>
        <v>#VALUE!</v>
      </c>
      <c r="J561" s="88"/>
    </row>
    <row r="562">
      <c r="B562" s="80"/>
      <c r="E562" s="86" t="str">
        <f t="shared" si="1"/>
        <v>#VALUE!</v>
      </c>
      <c r="J562" s="88"/>
    </row>
    <row r="563">
      <c r="B563" s="80"/>
      <c r="E563" s="86" t="str">
        <f t="shared" si="1"/>
        <v>#VALUE!</v>
      </c>
      <c r="J563" s="88"/>
    </row>
    <row r="564">
      <c r="B564" s="80"/>
      <c r="E564" s="86" t="str">
        <f t="shared" si="1"/>
        <v>#VALUE!</v>
      </c>
      <c r="J564" s="88"/>
    </row>
    <row r="565">
      <c r="B565" s="80"/>
      <c r="E565" s="86" t="str">
        <f t="shared" si="1"/>
        <v>#VALUE!</v>
      </c>
      <c r="J565" s="88"/>
    </row>
    <row r="566">
      <c r="B566" s="80"/>
      <c r="E566" s="86" t="str">
        <f t="shared" si="1"/>
        <v>#VALUE!</v>
      </c>
      <c r="J566" s="88"/>
    </row>
    <row r="567">
      <c r="B567" s="80"/>
      <c r="E567" s="86" t="str">
        <f t="shared" si="1"/>
        <v>#VALUE!</v>
      </c>
      <c r="J567" s="88"/>
    </row>
    <row r="568">
      <c r="B568" s="80"/>
      <c r="E568" s="86" t="str">
        <f t="shared" si="1"/>
        <v>#VALUE!</v>
      </c>
      <c r="J568" s="88"/>
    </row>
    <row r="569">
      <c r="B569" s="80"/>
      <c r="E569" s="86" t="str">
        <f t="shared" si="1"/>
        <v>#VALUE!</v>
      </c>
      <c r="J569" s="88"/>
    </row>
    <row r="570">
      <c r="B570" s="80"/>
      <c r="E570" s="86" t="str">
        <f t="shared" si="1"/>
        <v>#VALUE!</v>
      </c>
      <c r="J570" s="88"/>
    </row>
    <row r="571">
      <c r="B571" s="80"/>
      <c r="E571" s="86" t="str">
        <f t="shared" si="1"/>
        <v>#VALUE!</v>
      </c>
      <c r="J571" s="88"/>
    </row>
    <row r="572">
      <c r="B572" s="80"/>
      <c r="E572" s="86" t="str">
        <f t="shared" si="1"/>
        <v>#VALUE!</v>
      </c>
      <c r="J572" s="88"/>
    </row>
    <row r="573">
      <c r="B573" s="80"/>
      <c r="E573" s="86" t="str">
        <f t="shared" si="1"/>
        <v>#VALUE!</v>
      </c>
      <c r="J573" s="88"/>
    </row>
    <row r="574">
      <c r="B574" s="80"/>
      <c r="E574" s="86" t="str">
        <f t="shared" si="1"/>
        <v>#VALUE!</v>
      </c>
      <c r="J574" s="88"/>
    </row>
    <row r="575">
      <c r="B575" s="80"/>
      <c r="E575" s="86" t="str">
        <f t="shared" si="1"/>
        <v>#VALUE!</v>
      </c>
      <c r="J575" s="88"/>
    </row>
    <row r="576">
      <c r="B576" s="80"/>
      <c r="E576" s="86" t="str">
        <f t="shared" si="1"/>
        <v>#VALUE!</v>
      </c>
      <c r="J576" s="88"/>
    </row>
    <row r="577">
      <c r="B577" s="80"/>
      <c r="E577" s="86" t="str">
        <f t="shared" si="1"/>
        <v>#VALUE!</v>
      </c>
      <c r="J577" s="88"/>
    </row>
    <row r="578">
      <c r="B578" s="80"/>
      <c r="E578" s="86" t="str">
        <f t="shared" si="1"/>
        <v>#VALUE!</v>
      </c>
      <c r="J578" s="88"/>
    </row>
    <row r="579">
      <c r="B579" s="80"/>
      <c r="E579" s="86" t="str">
        <f t="shared" si="1"/>
        <v>#VALUE!</v>
      </c>
      <c r="J579" s="88"/>
    </row>
    <row r="580">
      <c r="B580" s="80"/>
      <c r="E580" s="86" t="str">
        <f t="shared" si="1"/>
        <v>#VALUE!</v>
      </c>
      <c r="J580" s="88"/>
    </row>
    <row r="581">
      <c r="B581" s="80"/>
      <c r="E581" s="86" t="str">
        <f t="shared" si="1"/>
        <v>#VALUE!</v>
      </c>
      <c r="J581" s="88"/>
    </row>
    <row r="582">
      <c r="B582" s="80"/>
      <c r="E582" s="86" t="str">
        <f t="shared" si="1"/>
        <v>#VALUE!</v>
      </c>
      <c r="J582" s="88"/>
    </row>
    <row r="583">
      <c r="B583" s="80"/>
      <c r="E583" s="86" t="str">
        <f t="shared" si="1"/>
        <v>#VALUE!</v>
      </c>
      <c r="J583" s="88"/>
    </row>
    <row r="584">
      <c r="B584" s="80"/>
      <c r="E584" s="86" t="str">
        <f t="shared" si="1"/>
        <v>#VALUE!</v>
      </c>
      <c r="J584" s="88"/>
    </row>
    <row r="585">
      <c r="B585" s="80"/>
      <c r="E585" s="86" t="str">
        <f t="shared" si="1"/>
        <v>#VALUE!</v>
      </c>
      <c r="J585" s="88"/>
    </row>
    <row r="586">
      <c r="B586" s="80"/>
      <c r="E586" s="86" t="str">
        <f t="shared" si="1"/>
        <v>#VALUE!</v>
      </c>
      <c r="J586" s="88"/>
    </row>
    <row r="587">
      <c r="B587" s="80"/>
      <c r="E587" s="86" t="str">
        <f t="shared" si="1"/>
        <v>#VALUE!</v>
      </c>
      <c r="J587" s="88"/>
    </row>
    <row r="588">
      <c r="B588" s="80"/>
      <c r="E588" s="86" t="str">
        <f t="shared" si="1"/>
        <v>#VALUE!</v>
      </c>
      <c r="J588" s="88"/>
    </row>
    <row r="589">
      <c r="B589" s="80"/>
      <c r="E589" s="86" t="str">
        <f t="shared" si="1"/>
        <v>#VALUE!</v>
      </c>
      <c r="J589" s="88"/>
    </row>
    <row r="590">
      <c r="B590" s="80"/>
      <c r="E590" s="86" t="str">
        <f t="shared" si="1"/>
        <v>#VALUE!</v>
      </c>
      <c r="J590" s="88"/>
    </row>
    <row r="591">
      <c r="B591" s="80"/>
      <c r="E591" s="86" t="str">
        <f t="shared" si="1"/>
        <v>#VALUE!</v>
      </c>
      <c r="J591" s="88"/>
    </row>
    <row r="592">
      <c r="B592" s="80"/>
      <c r="E592" s="86" t="str">
        <f t="shared" si="1"/>
        <v>#VALUE!</v>
      </c>
      <c r="J592" s="88"/>
    </row>
    <row r="593">
      <c r="B593" s="80"/>
      <c r="E593" s="86" t="str">
        <f t="shared" si="1"/>
        <v>#VALUE!</v>
      </c>
      <c r="J593" s="88"/>
    </row>
    <row r="594">
      <c r="B594" s="80"/>
      <c r="E594" s="86" t="str">
        <f t="shared" si="1"/>
        <v>#VALUE!</v>
      </c>
      <c r="J594" s="88"/>
    </row>
    <row r="595">
      <c r="B595" s="80"/>
      <c r="E595" s="86" t="str">
        <f t="shared" si="1"/>
        <v>#VALUE!</v>
      </c>
      <c r="J595" s="88"/>
    </row>
    <row r="596">
      <c r="B596" s="80"/>
      <c r="E596" s="86" t="str">
        <f t="shared" si="1"/>
        <v>#VALUE!</v>
      </c>
      <c r="J596" s="88"/>
    </row>
    <row r="597">
      <c r="B597" s="80"/>
      <c r="E597" s="86" t="str">
        <f t="shared" si="1"/>
        <v>#VALUE!</v>
      </c>
      <c r="J597" s="88"/>
    </row>
    <row r="598">
      <c r="B598" s="80"/>
      <c r="E598" s="86" t="str">
        <f t="shared" si="1"/>
        <v>#VALUE!</v>
      </c>
      <c r="J598" s="88"/>
    </row>
    <row r="599">
      <c r="B599" s="80"/>
      <c r="E599" s="86" t="str">
        <f t="shared" si="1"/>
        <v>#VALUE!</v>
      </c>
      <c r="J599" s="88"/>
    </row>
    <row r="600">
      <c r="B600" s="80"/>
      <c r="E600" s="86" t="str">
        <f t="shared" si="1"/>
        <v>#VALUE!</v>
      </c>
      <c r="J600" s="88"/>
    </row>
    <row r="601">
      <c r="B601" s="80"/>
      <c r="E601" s="86" t="str">
        <f t="shared" si="1"/>
        <v>#VALUE!</v>
      </c>
      <c r="J601" s="88"/>
    </row>
    <row r="602">
      <c r="B602" s="80"/>
      <c r="E602" s="86" t="str">
        <f t="shared" si="1"/>
        <v>#VALUE!</v>
      </c>
      <c r="J602" s="88"/>
    </row>
    <row r="603">
      <c r="B603" s="80"/>
      <c r="E603" s="86" t="str">
        <f t="shared" si="1"/>
        <v>#VALUE!</v>
      </c>
      <c r="J603" s="88"/>
    </row>
    <row r="604">
      <c r="B604" s="80"/>
      <c r="E604" s="86" t="str">
        <f t="shared" si="1"/>
        <v>#VALUE!</v>
      </c>
      <c r="J604" s="88"/>
    </row>
    <row r="605">
      <c r="B605" s="80"/>
      <c r="E605" s="86" t="str">
        <f t="shared" si="1"/>
        <v>#VALUE!</v>
      </c>
      <c r="J605" s="88"/>
    </row>
    <row r="606">
      <c r="B606" s="80"/>
      <c r="E606" s="86" t="str">
        <f t="shared" si="1"/>
        <v>#VALUE!</v>
      </c>
      <c r="J606" s="88"/>
    </row>
    <row r="607">
      <c r="B607" s="80"/>
      <c r="E607" s="86" t="str">
        <f t="shared" si="1"/>
        <v>#VALUE!</v>
      </c>
      <c r="J607" s="88"/>
    </row>
    <row r="608">
      <c r="B608" s="80"/>
      <c r="E608" s="86" t="str">
        <f t="shared" si="1"/>
        <v>#VALUE!</v>
      </c>
      <c r="J608" s="88"/>
    </row>
    <row r="609">
      <c r="B609" s="80"/>
      <c r="E609" s="86" t="str">
        <f t="shared" si="1"/>
        <v>#VALUE!</v>
      </c>
      <c r="J609" s="88"/>
    </row>
    <row r="610">
      <c r="B610" s="80"/>
      <c r="E610" s="86" t="str">
        <f t="shared" si="1"/>
        <v>#VALUE!</v>
      </c>
      <c r="J610" s="88"/>
    </row>
    <row r="611">
      <c r="B611" s="80"/>
      <c r="E611" s="86" t="str">
        <f t="shared" si="1"/>
        <v>#VALUE!</v>
      </c>
      <c r="J611" s="88"/>
    </row>
    <row r="612">
      <c r="B612" s="80"/>
      <c r="E612" s="86" t="str">
        <f t="shared" si="1"/>
        <v>#VALUE!</v>
      </c>
      <c r="J612" s="88"/>
    </row>
    <row r="613">
      <c r="B613" s="80"/>
      <c r="E613" s="86" t="str">
        <f t="shared" si="1"/>
        <v>#VALUE!</v>
      </c>
      <c r="J613" s="88"/>
    </row>
    <row r="614">
      <c r="B614" s="80"/>
      <c r="E614" s="86" t="str">
        <f t="shared" si="1"/>
        <v>#VALUE!</v>
      </c>
      <c r="J614" s="88"/>
    </row>
    <row r="615">
      <c r="B615" s="80"/>
      <c r="E615" s="86" t="str">
        <f t="shared" si="1"/>
        <v>#VALUE!</v>
      </c>
      <c r="J615" s="88"/>
    </row>
    <row r="616">
      <c r="B616" s="80"/>
      <c r="E616" s="86" t="str">
        <f t="shared" si="1"/>
        <v>#VALUE!</v>
      </c>
      <c r="J616" s="88"/>
    </row>
    <row r="617">
      <c r="B617" s="80"/>
      <c r="E617" s="86" t="str">
        <f t="shared" si="1"/>
        <v>#VALUE!</v>
      </c>
      <c r="J617" s="88"/>
    </row>
    <row r="618">
      <c r="B618" s="80"/>
      <c r="E618" s="86" t="str">
        <f t="shared" si="1"/>
        <v>#VALUE!</v>
      </c>
      <c r="J618" s="88"/>
    </row>
    <row r="619">
      <c r="B619" s="80"/>
      <c r="E619" s="86" t="str">
        <f t="shared" si="1"/>
        <v>#VALUE!</v>
      </c>
      <c r="J619" s="88"/>
    </row>
    <row r="620">
      <c r="B620" s="80"/>
      <c r="E620" s="86" t="str">
        <f t="shared" si="1"/>
        <v>#VALUE!</v>
      </c>
      <c r="J620" s="88"/>
    </row>
    <row r="621">
      <c r="B621" s="80"/>
      <c r="E621" s="86" t="str">
        <f t="shared" si="1"/>
        <v>#VALUE!</v>
      </c>
      <c r="J621" s="88"/>
    </row>
    <row r="622">
      <c r="B622" s="80"/>
      <c r="E622" s="86" t="str">
        <f t="shared" si="1"/>
        <v>#VALUE!</v>
      </c>
      <c r="J622" s="88"/>
    </row>
    <row r="623">
      <c r="B623" s="80"/>
      <c r="E623" s="86" t="str">
        <f t="shared" si="1"/>
        <v>#VALUE!</v>
      </c>
      <c r="J623" s="88"/>
    </row>
    <row r="624">
      <c r="B624" s="80"/>
      <c r="E624" s="86" t="str">
        <f t="shared" si="1"/>
        <v>#VALUE!</v>
      </c>
      <c r="J624" s="88"/>
    </row>
    <row r="625">
      <c r="B625" s="80"/>
      <c r="E625" s="86" t="str">
        <f t="shared" si="1"/>
        <v>#VALUE!</v>
      </c>
      <c r="J625" s="88"/>
    </row>
    <row r="626">
      <c r="B626" s="80"/>
      <c r="E626" s="86" t="str">
        <f t="shared" si="1"/>
        <v>#VALUE!</v>
      </c>
      <c r="J626" s="88"/>
    </row>
    <row r="627">
      <c r="B627" s="80"/>
      <c r="E627" s="86" t="str">
        <f t="shared" si="1"/>
        <v>#VALUE!</v>
      </c>
      <c r="J627" s="88"/>
    </row>
    <row r="628">
      <c r="B628" s="80"/>
      <c r="E628" s="86" t="str">
        <f t="shared" si="1"/>
        <v>#VALUE!</v>
      </c>
      <c r="J628" s="88"/>
    </row>
    <row r="629">
      <c r="B629" s="80"/>
      <c r="E629" s="86" t="str">
        <f t="shared" si="1"/>
        <v>#VALUE!</v>
      </c>
      <c r="J629" s="88"/>
    </row>
    <row r="630">
      <c r="B630" s="80"/>
      <c r="E630" s="86" t="str">
        <f t="shared" si="1"/>
        <v>#VALUE!</v>
      </c>
      <c r="J630" s="88"/>
    </row>
    <row r="631">
      <c r="B631" s="80"/>
      <c r="E631" s="86" t="str">
        <f t="shared" si="1"/>
        <v>#VALUE!</v>
      </c>
      <c r="J631" s="88"/>
    </row>
    <row r="632">
      <c r="B632" s="80"/>
      <c r="E632" s="86" t="str">
        <f t="shared" si="1"/>
        <v>#VALUE!</v>
      </c>
      <c r="J632" s="88"/>
    </row>
    <row r="633">
      <c r="B633" s="80"/>
      <c r="E633" s="86" t="str">
        <f t="shared" si="1"/>
        <v>#VALUE!</v>
      </c>
      <c r="J633" s="88"/>
    </row>
    <row r="634">
      <c r="B634" s="80"/>
      <c r="E634" s="86" t="str">
        <f t="shared" si="1"/>
        <v>#VALUE!</v>
      </c>
      <c r="J634" s="88"/>
    </row>
    <row r="635">
      <c r="B635" s="80"/>
      <c r="E635" s="86" t="str">
        <f t="shared" si="1"/>
        <v>#VALUE!</v>
      </c>
      <c r="J635" s="88"/>
    </row>
    <row r="636">
      <c r="B636" s="80"/>
      <c r="E636" s="86" t="str">
        <f t="shared" si="1"/>
        <v>#VALUE!</v>
      </c>
      <c r="J636" s="88"/>
    </row>
    <row r="637">
      <c r="B637" s="80"/>
      <c r="E637" s="86" t="str">
        <f t="shared" si="1"/>
        <v>#VALUE!</v>
      </c>
      <c r="J637" s="88"/>
    </row>
    <row r="638">
      <c r="B638" s="80"/>
      <c r="E638" s="86" t="str">
        <f t="shared" si="1"/>
        <v>#VALUE!</v>
      </c>
      <c r="J638" s="88"/>
    </row>
    <row r="639">
      <c r="B639" s="80"/>
      <c r="E639" s="86" t="str">
        <f t="shared" si="1"/>
        <v>#VALUE!</v>
      </c>
      <c r="J639" s="88"/>
    </row>
    <row r="640">
      <c r="B640" s="80"/>
      <c r="E640" s="86" t="str">
        <f t="shared" si="1"/>
        <v>#VALUE!</v>
      </c>
      <c r="J640" s="88"/>
    </row>
    <row r="641">
      <c r="B641" s="80"/>
      <c r="E641" s="86" t="str">
        <f t="shared" si="1"/>
        <v>#VALUE!</v>
      </c>
      <c r="J641" s="88"/>
    </row>
    <row r="642">
      <c r="B642" s="80"/>
      <c r="E642" s="86" t="str">
        <f t="shared" si="1"/>
        <v>#VALUE!</v>
      </c>
      <c r="J642" s="88"/>
    </row>
    <row r="643">
      <c r="B643" s="80"/>
      <c r="E643" s="86" t="str">
        <f t="shared" si="1"/>
        <v>#VALUE!</v>
      </c>
      <c r="J643" s="88"/>
    </row>
    <row r="644">
      <c r="B644" s="80"/>
      <c r="E644" s="86" t="str">
        <f t="shared" si="1"/>
        <v>#VALUE!</v>
      </c>
      <c r="J644" s="88"/>
    </row>
    <row r="645">
      <c r="B645" s="80"/>
      <c r="E645" s="86" t="str">
        <f t="shared" si="1"/>
        <v>#VALUE!</v>
      </c>
      <c r="J645" s="88"/>
    </row>
    <row r="646">
      <c r="B646" s="80"/>
      <c r="E646" s="86" t="str">
        <f t="shared" si="1"/>
        <v>#VALUE!</v>
      </c>
      <c r="J646" s="88"/>
    </row>
    <row r="647">
      <c r="B647" s="80"/>
      <c r="E647" s="86" t="str">
        <f t="shared" si="1"/>
        <v>#VALUE!</v>
      </c>
      <c r="J647" s="88"/>
    </row>
    <row r="648">
      <c r="B648" s="80"/>
      <c r="E648" s="86" t="str">
        <f t="shared" si="1"/>
        <v>#VALUE!</v>
      </c>
      <c r="J648" s="88"/>
    </row>
    <row r="649">
      <c r="B649" s="80"/>
      <c r="E649" s="86" t="str">
        <f t="shared" si="1"/>
        <v>#VALUE!</v>
      </c>
      <c r="J649" s="88"/>
    </row>
    <row r="650">
      <c r="B650" s="80"/>
      <c r="E650" s="86" t="str">
        <f t="shared" si="1"/>
        <v>#VALUE!</v>
      </c>
      <c r="J650" s="88"/>
    </row>
    <row r="651">
      <c r="B651" s="80"/>
      <c r="E651" s="86" t="str">
        <f t="shared" si="1"/>
        <v>#VALUE!</v>
      </c>
      <c r="J651" s="88"/>
    </row>
    <row r="652">
      <c r="B652" s="80"/>
      <c r="E652" s="86" t="str">
        <f t="shared" si="1"/>
        <v>#VALUE!</v>
      </c>
      <c r="J652" s="88"/>
    </row>
    <row r="653">
      <c r="B653" s="80"/>
      <c r="E653" s="86" t="str">
        <f t="shared" si="1"/>
        <v>#VALUE!</v>
      </c>
      <c r="J653" s="88"/>
    </row>
    <row r="654">
      <c r="B654" s="80"/>
      <c r="E654" s="86" t="str">
        <f t="shared" si="1"/>
        <v>#VALUE!</v>
      </c>
      <c r="J654" s="88"/>
    </row>
    <row r="655">
      <c r="B655" s="80"/>
      <c r="E655" s="86" t="str">
        <f t="shared" si="1"/>
        <v>#VALUE!</v>
      </c>
      <c r="J655" s="88"/>
    </row>
    <row r="656">
      <c r="B656" s="80"/>
      <c r="E656" s="86" t="str">
        <f t="shared" si="1"/>
        <v>#VALUE!</v>
      </c>
      <c r="J656" s="88"/>
    </row>
    <row r="657">
      <c r="B657" s="80"/>
      <c r="E657" s="86" t="str">
        <f t="shared" si="1"/>
        <v>#VALUE!</v>
      </c>
      <c r="J657" s="88"/>
    </row>
    <row r="658">
      <c r="B658" s="80"/>
      <c r="E658" s="86" t="str">
        <f t="shared" si="1"/>
        <v>#VALUE!</v>
      </c>
      <c r="J658" s="88"/>
    </row>
    <row r="659">
      <c r="B659" s="80"/>
      <c r="E659" s="86" t="str">
        <f t="shared" si="1"/>
        <v>#VALUE!</v>
      </c>
      <c r="J659" s="88"/>
    </row>
    <row r="660">
      <c r="B660" s="80"/>
      <c r="E660" s="86" t="str">
        <f t="shared" si="1"/>
        <v>#VALUE!</v>
      </c>
      <c r="J660" s="88"/>
    </row>
    <row r="661">
      <c r="B661" s="80"/>
      <c r="E661" s="86" t="str">
        <f t="shared" si="1"/>
        <v>#VALUE!</v>
      </c>
      <c r="J661" s="88"/>
    </row>
    <row r="662">
      <c r="B662" s="80"/>
      <c r="E662" s="86" t="str">
        <f t="shared" si="1"/>
        <v>#VALUE!</v>
      </c>
      <c r="J662" s="88"/>
    </row>
    <row r="663">
      <c r="B663" s="80"/>
      <c r="E663" s="86" t="str">
        <f t="shared" si="1"/>
        <v>#VALUE!</v>
      </c>
      <c r="J663" s="88"/>
    </row>
    <row r="664">
      <c r="B664" s="80"/>
      <c r="E664" s="86" t="str">
        <f t="shared" si="1"/>
        <v>#VALUE!</v>
      </c>
      <c r="J664" s="88"/>
    </row>
    <row r="665">
      <c r="B665" s="80"/>
      <c r="E665" s="86" t="str">
        <f t="shared" si="1"/>
        <v>#VALUE!</v>
      </c>
      <c r="J665" s="88"/>
    </row>
    <row r="666">
      <c r="B666" s="80"/>
      <c r="E666" s="86" t="str">
        <f t="shared" si="1"/>
        <v>#VALUE!</v>
      </c>
      <c r="J666" s="88"/>
    </row>
    <row r="667">
      <c r="B667" s="80"/>
      <c r="E667" s="86" t="str">
        <f t="shared" si="1"/>
        <v>#VALUE!</v>
      </c>
      <c r="J667" s="88"/>
    </row>
    <row r="668">
      <c r="B668" s="80"/>
      <c r="E668" s="86" t="str">
        <f t="shared" si="1"/>
        <v>#VALUE!</v>
      </c>
      <c r="J668" s="88"/>
    </row>
    <row r="669">
      <c r="B669" s="80"/>
      <c r="E669" s="86" t="str">
        <f t="shared" si="1"/>
        <v>#VALUE!</v>
      </c>
      <c r="J669" s="88"/>
    </row>
    <row r="670">
      <c r="B670" s="80"/>
      <c r="E670" s="86" t="str">
        <f t="shared" si="1"/>
        <v>#VALUE!</v>
      </c>
      <c r="J670" s="88"/>
    </row>
    <row r="671">
      <c r="B671" s="80"/>
      <c r="E671" s="86" t="str">
        <f t="shared" si="1"/>
        <v>#VALUE!</v>
      </c>
      <c r="J671" s="88"/>
    </row>
    <row r="672">
      <c r="B672" s="80"/>
      <c r="E672" s="86" t="str">
        <f t="shared" si="1"/>
        <v>#VALUE!</v>
      </c>
      <c r="J672" s="88"/>
    </row>
    <row r="673">
      <c r="B673" s="80"/>
      <c r="E673" s="86" t="str">
        <f t="shared" si="1"/>
        <v>#VALUE!</v>
      </c>
      <c r="J673" s="88"/>
    </row>
    <row r="674">
      <c r="B674" s="80"/>
      <c r="E674" s="86" t="str">
        <f t="shared" si="1"/>
        <v>#VALUE!</v>
      </c>
      <c r="J674" s="88"/>
    </row>
    <row r="675">
      <c r="B675" s="80"/>
      <c r="E675" s="86" t="str">
        <f t="shared" si="1"/>
        <v>#VALUE!</v>
      </c>
      <c r="J675" s="88"/>
    </row>
    <row r="676">
      <c r="B676" s="80"/>
      <c r="E676" s="86" t="str">
        <f t="shared" si="1"/>
        <v>#VALUE!</v>
      </c>
      <c r="J676" s="88"/>
    </row>
    <row r="677">
      <c r="B677" s="80"/>
      <c r="E677" s="86" t="str">
        <f t="shared" si="1"/>
        <v>#VALUE!</v>
      </c>
      <c r="J677" s="88"/>
    </row>
    <row r="678">
      <c r="B678" s="80"/>
      <c r="E678" s="86" t="str">
        <f t="shared" si="1"/>
        <v>#VALUE!</v>
      </c>
      <c r="J678" s="88"/>
    </row>
    <row r="679">
      <c r="B679" s="80"/>
      <c r="E679" s="86" t="str">
        <f t="shared" si="1"/>
        <v>#VALUE!</v>
      </c>
      <c r="J679" s="88"/>
    </row>
    <row r="680">
      <c r="B680" s="80"/>
      <c r="E680" s="86" t="str">
        <f t="shared" si="1"/>
        <v>#VALUE!</v>
      </c>
      <c r="J680" s="88"/>
    </row>
    <row r="681">
      <c r="B681" s="80"/>
      <c r="E681" s="86" t="str">
        <f t="shared" si="1"/>
        <v>#VALUE!</v>
      </c>
      <c r="J681" s="88"/>
    </row>
    <row r="682">
      <c r="B682" s="80"/>
      <c r="E682" s="86" t="str">
        <f t="shared" si="1"/>
        <v>#VALUE!</v>
      </c>
      <c r="J682" s="88"/>
    </row>
    <row r="683">
      <c r="B683" s="80"/>
      <c r="E683" s="86" t="str">
        <f t="shared" si="1"/>
        <v>#VALUE!</v>
      </c>
      <c r="J683" s="88"/>
    </row>
    <row r="684">
      <c r="B684" s="80"/>
      <c r="E684" s="86" t="str">
        <f t="shared" si="1"/>
        <v>#VALUE!</v>
      </c>
      <c r="J684" s="88"/>
    </row>
    <row r="685">
      <c r="B685" s="80"/>
      <c r="E685" s="86" t="str">
        <f t="shared" si="1"/>
        <v>#VALUE!</v>
      </c>
      <c r="J685" s="88"/>
    </row>
    <row r="686">
      <c r="B686" s="80"/>
      <c r="E686" s="86" t="str">
        <f t="shared" si="1"/>
        <v>#VALUE!</v>
      </c>
      <c r="J686" s="88"/>
    </row>
    <row r="687">
      <c r="B687" s="80"/>
      <c r="E687" s="86" t="str">
        <f t="shared" si="1"/>
        <v>#VALUE!</v>
      </c>
      <c r="J687" s="88"/>
    </row>
    <row r="688">
      <c r="B688" s="80"/>
      <c r="E688" s="86" t="str">
        <f t="shared" si="1"/>
        <v>#VALUE!</v>
      </c>
      <c r="J688" s="88"/>
    </row>
    <row r="689">
      <c r="B689" s="80"/>
      <c r="E689" s="86" t="str">
        <f t="shared" si="1"/>
        <v>#VALUE!</v>
      </c>
      <c r="J689" s="88"/>
    </row>
    <row r="690">
      <c r="B690" s="80"/>
      <c r="E690" s="86" t="str">
        <f t="shared" si="1"/>
        <v>#VALUE!</v>
      </c>
      <c r="J690" s="88"/>
    </row>
    <row r="691">
      <c r="B691" s="80"/>
      <c r="E691" s="86" t="str">
        <f t="shared" si="1"/>
        <v>#VALUE!</v>
      </c>
      <c r="J691" s="88"/>
    </row>
    <row r="692">
      <c r="B692" s="80"/>
      <c r="E692" s="86" t="str">
        <f t="shared" si="1"/>
        <v>#VALUE!</v>
      </c>
      <c r="J692" s="88"/>
    </row>
    <row r="693">
      <c r="B693" s="80"/>
      <c r="E693" s="86" t="str">
        <f t="shared" si="1"/>
        <v>#VALUE!</v>
      </c>
      <c r="J693" s="88"/>
    </row>
    <row r="694">
      <c r="B694" s="80"/>
      <c r="E694" s="86" t="str">
        <f t="shared" si="1"/>
        <v>#VALUE!</v>
      </c>
      <c r="J694" s="88"/>
    </row>
    <row r="695">
      <c r="B695" s="80"/>
      <c r="E695" s="86" t="str">
        <f t="shared" si="1"/>
        <v>#VALUE!</v>
      </c>
      <c r="J695" s="88"/>
    </row>
    <row r="696">
      <c r="B696" s="80"/>
      <c r="E696" s="86" t="str">
        <f t="shared" si="1"/>
        <v>#VALUE!</v>
      </c>
      <c r="J696" s="88"/>
    </row>
    <row r="697">
      <c r="B697" s="80"/>
      <c r="E697" s="86" t="str">
        <f t="shared" si="1"/>
        <v>#VALUE!</v>
      </c>
      <c r="J697" s="88"/>
    </row>
    <row r="698">
      <c r="B698" s="80"/>
      <c r="E698" s="86" t="str">
        <f t="shared" si="1"/>
        <v>#VALUE!</v>
      </c>
      <c r="J698" s="88"/>
    </row>
    <row r="699">
      <c r="B699" s="80"/>
      <c r="E699" s="86" t="str">
        <f t="shared" si="1"/>
        <v>#VALUE!</v>
      </c>
      <c r="J699" s="88"/>
    </row>
    <row r="700">
      <c r="B700" s="80"/>
      <c r="E700" s="86" t="str">
        <f t="shared" si="1"/>
        <v>#VALUE!</v>
      </c>
      <c r="J700" s="88"/>
    </row>
    <row r="701">
      <c r="B701" s="80"/>
      <c r="E701" s="86" t="str">
        <f t="shared" si="1"/>
        <v>#VALUE!</v>
      </c>
      <c r="J701" s="88"/>
    </row>
    <row r="702">
      <c r="B702" s="80"/>
      <c r="E702" s="86" t="str">
        <f t="shared" si="1"/>
        <v>#VALUE!</v>
      </c>
      <c r="J702" s="88"/>
    </row>
    <row r="703">
      <c r="B703" s="80"/>
      <c r="E703" s="86" t="str">
        <f t="shared" si="1"/>
        <v>#VALUE!</v>
      </c>
      <c r="J703" s="88"/>
    </row>
    <row r="704">
      <c r="B704" s="80"/>
      <c r="E704" s="86" t="str">
        <f t="shared" si="1"/>
        <v>#VALUE!</v>
      </c>
      <c r="J704" s="88"/>
    </row>
    <row r="705">
      <c r="B705" s="80"/>
      <c r="E705" s="86" t="str">
        <f t="shared" si="1"/>
        <v>#VALUE!</v>
      </c>
      <c r="J705" s="88"/>
    </row>
    <row r="706">
      <c r="B706" s="80"/>
      <c r="E706" s="86" t="str">
        <f t="shared" si="1"/>
        <v>#VALUE!</v>
      </c>
      <c r="J706" s="88"/>
    </row>
    <row r="707">
      <c r="B707" s="80"/>
      <c r="E707" s="86" t="str">
        <f t="shared" si="1"/>
        <v>#VALUE!</v>
      </c>
      <c r="J707" s="88"/>
    </row>
    <row r="708">
      <c r="B708" s="80"/>
      <c r="E708" s="86" t="str">
        <f t="shared" si="1"/>
        <v>#VALUE!</v>
      </c>
      <c r="J708" s="88"/>
    </row>
    <row r="709">
      <c r="B709" s="80"/>
      <c r="E709" s="86" t="str">
        <f t="shared" si="1"/>
        <v>#VALUE!</v>
      </c>
      <c r="J709" s="88"/>
    </row>
    <row r="710">
      <c r="B710" s="80"/>
      <c r="E710" s="86" t="str">
        <f t="shared" si="1"/>
        <v>#VALUE!</v>
      </c>
      <c r="J710" s="88"/>
    </row>
    <row r="711">
      <c r="B711" s="80"/>
      <c r="E711" s="86" t="str">
        <f t="shared" si="1"/>
        <v>#VALUE!</v>
      </c>
      <c r="J711" s="88"/>
    </row>
    <row r="712">
      <c r="B712" s="80"/>
      <c r="E712" s="86" t="str">
        <f t="shared" si="1"/>
        <v>#VALUE!</v>
      </c>
      <c r="J712" s="88"/>
    </row>
    <row r="713">
      <c r="B713" s="80"/>
      <c r="E713" s="86" t="str">
        <f t="shared" si="1"/>
        <v>#VALUE!</v>
      </c>
      <c r="J713" s="88"/>
    </row>
    <row r="714">
      <c r="B714" s="80"/>
      <c r="E714" s="86" t="str">
        <f t="shared" si="1"/>
        <v>#VALUE!</v>
      </c>
      <c r="J714" s="88"/>
    </row>
    <row r="715">
      <c r="B715" s="80"/>
      <c r="E715" s="86" t="str">
        <f t="shared" si="1"/>
        <v>#VALUE!</v>
      </c>
      <c r="J715" s="88"/>
    </row>
    <row r="716">
      <c r="B716" s="80"/>
      <c r="E716" s="86" t="str">
        <f t="shared" si="1"/>
        <v>#VALUE!</v>
      </c>
      <c r="J716" s="88"/>
    </row>
    <row r="717">
      <c r="B717" s="80"/>
      <c r="E717" s="86" t="str">
        <f t="shared" si="1"/>
        <v>#VALUE!</v>
      </c>
      <c r="J717" s="88"/>
    </row>
    <row r="718">
      <c r="B718" s="80"/>
      <c r="E718" s="86" t="str">
        <f t="shared" si="1"/>
        <v>#VALUE!</v>
      </c>
      <c r="J718" s="88"/>
    </row>
    <row r="719">
      <c r="B719" s="80"/>
      <c r="E719" s="86" t="str">
        <f t="shared" si="1"/>
        <v>#VALUE!</v>
      </c>
      <c r="J719" s="88"/>
    </row>
    <row r="720">
      <c r="B720" s="80"/>
      <c r="E720" s="86" t="str">
        <f t="shared" si="1"/>
        <v>#VALUE!</v>
      </c>
      <c r="J720" s="88"/>
    </row>
    <row r="721">
      <c r="B721" s="80"/>
      <c r="E721" s="86" t="str">
        <f t="shared" si="1"/>
        <v>#VALUE!</v>
      </c>
      <c r="J721" s="88"/>
    </row>
    <row r="722">
      <c r="B722" s="80"/>
      <c r="E722" s="86" t="str">
        <f t="shared" si="1"/>
        <v>#VALUE!</v>
      </c>
      <c r="J722" s="88"/>
    </row>
    <row r="723">
      <c r="B723" s="80"/>
      <c r="E723" s="86" t="str">
        <f t="shared" si="1"/>
        <v>#VALUE!</v>
      </c>
      <c r="J723" s="88"/>
    </row>
    <row r="724">
      <c r="B724" s="80"/>
      <c r="E724" s="86" t="str">
        <f t="shared" si="1"/>
        <v>#VALUE!</v>
      </c>
      <c r="J724" s="88"/>
    </row>
    <row r="725">
      <c r="B725" s="80"/>
      <c r="E725" s="86" t="str">
        <f t="shared" si="1"/>
        <v>#VALUE!</v>
      </c>
      <c r="J725" s="88"/>
    </row>
    <row r="726">
      <c r="B726" s="80"/>
      <c r="E726" s="86" t="str">
        <f t="shared" si="1"/>
        <v>#VALUE!</v>
      </c>
      <c r="J726" s="88"/>
    </row>
    <row r="727">
      <c r="B727" s="80"/>
      <c r="E727" s="86" t="str">
        <f t="shared" si="1"/>
        <v>#VALUE!</v>
      </c>
      <c r="J727" s="88"/>
    </row>
    <row r="728">
      <c r="B728" s="80"/>
      <c r="E728" s="86" t="str">
        <f t="shared" si="1"/>
        <v>#VALUE!</v>
      </c>
      <c r="J728" s="88"/>
    </row>
    <row r="729">
      <c r="B729" s="80"/>
      <c r="E729" s="86" t="str">
        <f t="shared" si="1"/>
        <v>#VALUE!</v>
      </c>
      <c r="J729" s="88"/>
    </row>
    <row r="730">
      <c r="B730" s="80"/>
      <c r="E730" s="86" t="str">
        <f t="shared" si="1"/>
        <v>#VALUE!</v>
      </c>
      <c r="J730" s="88"/>
    </row>
    <row r="731">
      <c r="B731" s="80"/>
      <c r="E731" s="86" t="str">
        <f t="shared" si="1"/>
        <v>#VALUE!</v>
      </c>
      <c r="J731" s="88"/>
    </row>
    <row r="732">
      <c r="B732" s="80"/>
      <c r="E732" s="86" t="str">
        <f t="shared" si="1"/>
        <v>#VALUE!</v>
      </c>
      <c r="J732" s="88"/>
    </row>
    <row r="733">
      <c r="B733" s="80"/>
      <c r="E733" s="86" t="str">
        <f t="shared" si="1"/>
        <v>#VALUE!</v>
      </c>
      <c r="J733" s="88"/>
    </row>
    <row r="734">
      <c r="B734" s="80"/>
      <c r="E734" s="86" t="str">
        <f t="shared" si="1"/>
        <v>#VALUE!</v>
      </c>
      <c r="J734" s="88"/>
    </row>
    <row r="735">
      <c r="B735" s="80"/>
      <c r="E735" s="86" t="str">
        <f t="shared" si="1"/>
        <v>#VALUE!</v>
      </c>
      <c r="J735" s="88"/>
    </row>
    <row r="736">
      <c r="B736" s="80"/>
      <c r="E736" s="86" t="str">
        <f t="shared" si="1"/>
        <v>#VALUE!</v>
      </c>
      <c r="J736" s="88"/>
    </row>
    <row r="737">
      <c r="B737" s="80"/>
      <c r="E737" s="86" t="str">
        <f t="shared" si="1"/>
        <v>#VALUE!</v>
      </c>
      <c r="J737" s="88"/>
    </row>
    <row r="738">
      <c r="B738" s="80"/>
      <c r="E738" s="86" t="str">
        <f t="shared" si="1"/>
        <v>#VALUE!</v>
      </c>
      <c r="J738" s="88"/>
    </row>
    <row r="739">
      <c r="B739" s="80"/>
      <c r="E739" s="86" t="str">
        <f t="shared" si="1"/>
        <v>#VALUE!</v>
      </c>
      <c r="J739" s="88"/>
    </row>
    <row r="740">
      <c r="B740" s="80"/>
      <c r="E740" s="86" t="str">
        <f t="shared" si="1"/>
        <v>#VALUE!</v>
      </c>
      <c r="J740" s="88"/>
    </row>
    <row r="741">
      <c r="B741" s="80"/>
      <c r="E741" s="86" t="str">
        <f t="shared" si="1"/>
        <v>#VALUE!</v>
      </c>
      <c r="J741" s="88"/>
    </row>
    <row r="742">
      <c r="B742" s="80"/>
      <c r="E742" s="86" t="str">
        <f t="shared" si="1"/>
        <v>#VALUE!</v>
      </c>
      <c r="J742" s="88"/>
    </row>
    <row r="743">
      <c r="B743" s="80"/>
      <c r="E743" s="86" t="str">
        <f t="shared" si="1"/>
        <v>#VALUE!</v>
      </c>
      <c r="J743" s="88"/>
    </row>
    <row r="744">
      <c r="B744" s="80"/>
      <c r="E744" s="86" t="str">
        <f t="shared" si="1"/>
        <v>#VALUE!</v>
      </c>
      <c r="J744" s="88"/>
    </row>
    <row r="745">
      <c r="B745" s="80"/>
      <c r="E745" s="86" t="str">
        <f t="shared" si="1"/>
        <v>#VALUE!</v>
      </c>
      <c r="J745" s="88"/>
    </row>
    <row r="746">
      <c r="B746" s="80"/>
      <c r="E746" s="86" t="str">
        <f t="shared" si="1"/>
        <v>#VALUE!</v>
      </c>
      <c r="J746" s="88"/>
    </row>
    <row r="747">
      <c r="B747" s="80"/>
      <c r="E747" s="86" t="str">
        <f t="shared" si="1"/>
        <v>#VALUE!</v>
      </c>
      <c r="J747" s="88"/>
    </row>
    <row r="748">
      <c r="B748" s="80"/>
      <c r="E748" s="86" t="str">
        <f t="shared" si="1"/>
        <v>#VALUE!</v>
      </c>
      <c r="J748" s="88"/>
    </row>
    <row r="749">
      <c r="B749" s="80"/>
      <c r="E749" s="86" t="str">
        <f t="shared" si="1"/>
        <v>#VALUE!</v>
      </c>
      <c r="J749" s="88"/>
    </row>
    <row r="750">
      <c r="B750" s="80"/>
      <c r="E750" s="86" t="str">
        <f t="shared" si="1"/>
        <v>#VALUE!</v>
      </c>
      <c r="J750" s="88"/>
    </row>
    <row r="751">
      <c r="B751" s="80"/>
      <c r="E751" s="86" t="str">
        <f t="shared" si="1"/>
        <v>#VALUE!</v>
      </c>
      <c r="J751" s="88"/>
    </row>
    <row r="752">
      <c r="B752" s="80"/>
      <c r="E752" s="86" t="str">
        <f t="shared" si="1"/>
        <v>#VALUE!</v>
      </c>
      <c r="J752" s="88"/>
    </row>
    <row r="753">
      <c r="B753" s="80"/>
      <c r="E753" s="86" t="str">
        <f t="shared" si="1"/>
        <v>#VALUE!</v>
      </c>
      <c r="J753" s="88"/>
    </row>
    <row r="754">
      <c r="B754" s="80"/>
      <c r="E754" s="86" t="str">
        <f t="shared" si="1"/>
        <v>#VALUE!</v>
      </c>
      <c r="J754" s="88"/>
    </row>
    <row r="755">
      <c r="B755" s="80"/>
      <c r="E755" s="86" t="str">
        <f t="shared" si="1"/>
        <v>#VALUE!</v>
      </c>
      <c r="J755" s="88"/>
    </row>
    <row r="756">
      <c r="B756" s="80"/>
      <c r="E756" s="86" t="str">
        <f t="shared" si="1"/>
        <v>#VALUE!</v>
      </c>
      <c r="J756" s="88"/>
    </row>
    <row r="757">
      <c r="B757" s="80"/>
      <c r="E757" s="86" t="str">
        <f t="shared" si="1"/>
        <v>#VALUE!</v>
      </c>
      <c r="J757" s="88"/>
    </row>
    <row r="758">
      <c r="B758" s="80"/>
      <c r="E758" s="86" t="str">
        <f t="shared" si="1"/>
        <v>#VALUE!</v>
      </c>
      <c r="J758" s="88"/>
    </row>
    <row r="759">
      <c r="B759" s="80"/>
      <c r="E759" s="86" t="str">
        <f t="shared" si="1"/>
        <v>#VALUE!</v>
      </c>
      <c r="J759" s="88"/>
    </row>
    <row r="760">
      <c r="B760" s="80"/>
      <c r="E760" s="86" t="str">
        <f t="shared" si="1"/>
        <v>#VALUE!</v>
      </c>
      <c r="J760" s="88"/>
    </row>
    <row r="761">
      <c r="B761" s="80"/>
      <c r="E761" s="86" t="str">
        <f t="shared" si="1"/>
        <v>#VALUE!</v>
      </c>
      <c r="J761" s="88"/>
    </row>
    <row r="762">
      <c r="B762" s="80"/>
      <c r="E762" s="86" t="str">
        <f t="shared" si="1"/>
        <v>#VALUE!</v>
      </c>
      <c r="J762" s="88"/>
    </row>
    <row r="763">
      <c r="B763" s="80"/>
      <c r="E763" s="86" t="str">
        <f t="shared" si="1"/>
        <v>#VALUE!</v>
      </c>
      <c r="J763" s="88"/>
    </row>
    <row r="764">
      <c r="B764" s="80"/>
      <c r="E764" s="86" t="str">
        <f t="shared" si="1"/>
        <v>#VALUE!</v>
      </c>
      <c r="J764" s="88"/>
    </row>
    <row r="765">
      <c r="B765" s="80"/>
      <c r="E765" s="86" t="str">
        <f t="shared" si="1"/>
        <v>#VALUE!</v>
      </c>
      <c r="J765" s="88"/>
    </row>
    <row r="766">
      <c r="B766" s="80"/>
      <c r="E766" s="86" t="str">
        <f t="shared" si="1"/>
        <v>#VALUE!</v>
      </c>
      <c r="J766" s="88"/>
    </row>
    <row r="767">
      <c r="B767" s="80"/>
      <c r="E767" s="86" t="str">
        <f t="shared" si="1"/>
        <v>#VALUE!</v>
      </c>
      <c r="J767" s="88"/>
    </row>
    <row r="768">
      <c r="B768" s="80"/>
      <c r="E768" s="86" t="str">
        <f t="shared" si="1"/>
        <v>#VALUE!</v>
      </c>
      <c r="J768" s="88"/>
    </row>
    <row r="769">
      <c r="B769" s="80"/>
      <c r="E769" s="86" t="str">
        <f t="shared" si="1"/>
        <v>#VALUE!</v>
      </c>
      <c r="J769" s="88"/>
    </row>
    <row r="770">
      <c r="B770" s="80"/>
      <c r="E770" s="86" t="str">
        <f t="shared" si="1"/>
        <v>#VALUE!</v>
      </c>
      <c r="J770" s="88"/>
    </row>
    <row r="771">
      <c r="B771" s="80"/>
      <c r="E771" s="86" t="str">
        <f t="shared" si="1"/>
        <v>#VALUE!</v>
      </c>
      <c r="J771" s="88"/>
    </row>
    <row r="772">
      <c r="B772" s="80"/>
      <c r="E772" s="86" t="str">
        <f t="shared" si="1"/>
        <v>#VALUE!</v>
      </c>
      <c r="J772" s="88"/>
    </row>
    <row r="773">
      <c r="B773" s="80"/>
      <c r="E773" s="86" t="str">
        <f t="shared" si="1"/>
        <v>#VALUE!</v>
      </c>
      <c r="J773" s="88"/>
    </row>
    <row r="774">
      <c r="B774" s="80"/>
      <c r="E774" s="86" t="str">
        <f t="shared" si="1"/>
        <v>#VALUE!</v>
      </c>
      <c r="J774" s="88"/>
    </row>
    <row r="775">
      <c r="B775" s="80"/>
      <c r="E775" s="86" t="str">
        <f t="shared" si="1"/>
        <v>#VALUE!</v>
      </c>
      <c r="J775" s="88"/>
    </row>
    <row r="776">
      <c r="B776" s="80"/>
      <c r="E776" s="86" t="str">
        <f t="shared" si="1"/>
        <v>#VALUE!</v>
      </c>
      <c r="J776" s="88"/>
    </row>
    <row r="777">
      <c r="B777" s="80"/>
      <c r="E777" s="86" t="str">
        <f t="shared" si="1"/>
        <v>#VALUE!</v>
      </c>
      <c r="J777" s="88"/>
    </row>
    <row r="778">
      <c r="B778" s="80"/>
      <c r="E778" s="86" t="str">
        <f t="shared" si="1"/>
        <v>#VALUE!</v>
      </c>
      <c r="J778" s="88"/>
    </row>
    <row r="779">
      <c r="B779" s="80"/>
      <c r="E779" s="86" t="str">
        <f t="shared" si="1"/>
        <v>#VALUE!</v>
      </c>
      <c r="J779" s="88"/>
    </row>
    <row r="780">
      <c r="B780" s="80"/>
      <c r="E780" s="86" t="str">
        <f t="shared" si="1"/>
        <v>#VALUE!</v>
      </c>
      <c r="J780" s="88"/>
    </row>
    <row r="781">
      <c r="B781" s="80"/>
      <c r="E781" s="86" t="str">
        <f t="shared" si="1"/>
        <v>#VALUE!</v>
      </c>
      <c r="J781" s="88"/>
    </row>
    <row r="782">
      <c r="B782" s="80"/>
      <c r="E782" s="86" t="str">
        <f t="shared" si="1"/>
        <v>#VALUE!</v>
      </c>
      <c r="J782" s="88"/>
    </row>
    <row r="783">
      <c r="B783" s="80"/>
      <c r="E783" s="86" t="str">
        <f t="shared" si="1"/>
        <v>#VALUE!</v>
      </c>
      <c r="J783" s="88"/>
    </row>
    <row r="784">
      <c r="B784" s="80"/>
      <c r="E784" s="86" t="str">
        <f t="shared" si="1"/>
        <v>#VALUE!</v>
      </c>
      <c r="J784" s="88"/>
    </row>
    <row r="785">
      <c r="B785" s="80"/>
      <c r="E785" s="86" t="str">
        <f t="shared" si="1"/>
        <v>#VALUE!</v>
      </c>
      <c r="J785" s="88"/>
    </row>
    <row r="786">
      <c r="B786" s="80"/>
      <c r="E786" s="86" t="str">
        <f t="shared" si="1"/>
        <v>#VALUE!</v>
      </c>
      <c r="J786" s="88"/>
    </row>
    <row r="787">
      <c r="B787" s="80"/>
      <c r="E787" s="86" t="str">
        <f t="shared" si="1"/>
        <v>#VALUE!</v>
      </c>
      <c r="J787" s="88"/>
    </row>
    <row r="788">
      <c r="B788" s="80"/>
      <c r="E788" s="86" t="str">
        <f t="shared" si="1"/>
        <v>#VALUE!</v>
      </c>
      <c r="J788" s="88"/>
    </row>
    <row r="789">
      <c r="B789" s="80"/>
      <c r="E789" s="86" t="str">
        <f t="shared" si="1"/>
        <v>#VALUE!</v>
      </c>
      <c r="J789" s="88"/>
    </row>
    <row r="790">
      <c r="B790" s="80"/>
      <c r="E790" s="86" t="str">
        <f t="shared" si="1"/>
        <v>#VALUE!</v>
      </c>
      <c r="J790" s="88"/>
    </row>
    <row r="791">
      <c r="B791" s="80"/>
      <c r="E791" s="86" t="str">
        <f t="shared" si="1"/>
        <v>#VALUE!</v>
      </c>
      <c r="J791" s="88"/>
    </row>
    <row r="792">
      <c r="B792" s="80"/>
      <c r="E792" s="86" t="str">
        <f t="shared" si="1"/>
        <v>#VALUE!</v>
      </c>
      <c r="J792" s="88"/>
    </row>
    <row r="793">
      <c r="B793" s="80"/>
      <c r="E793" s="86" t="str">
        <f t="shared" si="1"/>
        <v>#VALUE!</v>
      </c>
      <c r="J793" s="88"/>
    </row>
    <row r="794">
      <c r="B794" s="80"/>
      <c r="E794" s="86" t="str">
        <f t="shared" si="1"/>
        <v>#VALUE!</v>
      </c>
      <c r="J794" s="88"/>
    </row>
    <row r="795">
      <c r="B795" s="80"/>
      <c r="E795" s="86" t="str">
        <f t="shared" si="1"/>
        <v>#VALUE!</v>
      </c>
      <c r="J795" s="88"/>
    </row>
    <row r="796">
      <c r="B796" s="80"/>
      <c r="E796" s="86" t="str">
        <f t="shared" si="1"/>
        <v>#VALUE!</v>
      </c>
      <c r="J796" s="88"/>
    </row>
    <row r="797">
      <c r="B797" s="80"/>
      <c r="E797" s="86" t="str">
        <f t="shared" si="1"/>
        <v>#VALUE!</v>
      </c>
      <c r="J797" s="88"/>
    </row>
    <row r="798">
      <c r="B798" s="80"/>
      <c r="E798" s="86" t="str">
        <f t="shared" si="1"/>
        <v>#VALUE!</v>
      </c>
      <c r="J798" s="88"/>
    </row>
    <row r="799">
      <c r="B799" s="80"/>
      <c r="E799" s="86" t="str">
        <f t="shared" si="1"/>
        <v>#VALUE!</v>
      </c>
      <c r="J799" s="88"/>
    </row>
    <row r="800">
      <c r="B800" s="80"/>
      <c r="E800" s="86" t="str">
        <f t="shared" si="1"/>
        <v>#VALUE!</v>
      </c>
      <c r="J800" s="88"/>
    </row>
    <row r="801">
      <c r="B801" s="80"/>
      <c r="E801" s="86" t="str">
        <f t="shared" si="1"/>
        <v>#VALUE!</v>
      </c>
      <c r="J801" s="88"/>
    </row>
    <row r="802">
      <c r="B802" s="80"/>
      <c r="E802" s="86" t="str">
        <f t="shared" si="1"/>
        <v>#VALUE!</v>
      </c>
      <c r="J802" s="88"/>
    </row>
    <row r="803">
      <c r="B803" s="80"/>
      <c r="E803" s="86" t="str">
        <f t="shared" si="1"/>
        <v>#VALUE!</v>
      </c>
      <c r="J803" s="88"/>
    </row>
    <row r="804">
      <c r="B804" s="80"/>
      <c r="E804" s="86" t="str">
        <f t="shared" si="1"/>
        <v>#VALUE!</v>
      </c>
      <c r="J804" s="88"/>
    </row>
    <row r="805">
      <c r="B805" s="80"/>
      <c r="E805" s="86" t="str">
        <f t="shared" si="1"/>
        <v>#VALUE!</v>
      </c>
      <c r="J805" s="88"/>
    </row>
    <row r="806">
      <c r="B806" s="80"/>
      <c r="E806" s="86" t="str">
        <f t="shared" si="1"/>
        <v>#VALUE!</v>
      </c>
      <c r="J806" s="88"/>
    </row>
    <row r="807">
      <c r="B807" s="80"/>
      <c r="E807" s="86" t="str">
        <f t="shared" si="1"/>
        <v>#VALUE!</v>
      </c>
      <c r="J807" s="88"/>
    </row>
    <row r="808">
      <c r="B808" s="80"/>
      <c r="E808" s="86" t="str">
        <f t="shared" si="1"/>
        <v>#VALUE!</v>
      </c>
      <c r="J808" s="88"/>
    </row>
    <row r="809">
      <c r="B809" s="80"/>
      <c r="E809" s="86" t="str">
        <f t="shared" si="1"/>
        <v>#VALUE!</v>
      </c>
      <c r="J809" s="88"/>
    </row>
    <row r="810">
      <c r="B810" s="80"/>
      <c r="E810" s="86" t="str">
        <f t="shared" si="1"/>
        <v>#VALUE!</v>
      </c>
      <c r="J810" s="88"/>
    </row>
    <row r="811">
      <c r="B811" s="80"/>
      <c r="E811" s="86" t="str">
        <f t="shared" si="1"/>
        <v>#VALUE!</v>
      </c>
      <c r="J811" s="88"/>
    </row>
    <row r="812">
      <c r="B812" s="80"/>
      <c r="E812" s="86" t="str">
        <f t="shared" si="1"/>
        <v>#VALUE!</v>
      </c>
      <c r="J812" s="88"/>
    </row>
    <row r="813">
      <c r="B813" s="80"/>
      <c r="E813" s="86" t="str">
        <f t="shared" si="1"/>
        <v>#VALUE!</v>
      </c>
      <c r="J813" s="88"/>
    </row>
    <row r="814">
      <c r="B814" s="80"/>
      <c r="E814" s="86" t="str">
        <f t="shared" si="1"/>
        <v>#VALUE!</v>
      </c>
      <c r="J814" s="88"/>
    </row>
    <row r="815">
      <c r="B815" s="80"/>
      <c r="E815" s="86" t="str">
        <f t="shared" si="1"/>
        <v>#VALUE!</v>
      </c>
      <c r="J815" s="88"/>
    </row>
    <row r="816">
      <c r="B816" s="80"/>
      <c r="E816" s="86" t="str">
        <f t="shared" si="1"/>
        <v>#VALUE!</v>
      </c>
      <c r="J816" s="88"/>
    </row>
    <row r="817">
      <c r="B817" s="80"/>
      <c r="E817" s="86" t="str">
        <f t="shared" si="1"/>
        <v>#VALUE!</v>
      </c>
      <c r="J817" s="88"/>
    </row>
    <row r="818">
      <c r="B818" s="80"/>
      <c r="E818" s="86" t="str">
        <f t="shared" si="1"/>
        <v>#VALUE!</v>
      </c>
      <c r="J818" s="88"/>
    </row>
    <row r="819">
      <c r="B819" s="80"/>
      <c r="E819" s="86" t="str">
        <f t="shared" si="1"/>
        <v>#VALUE!</v>
      </c>
      <c r="J819" s="88"/>
    </row>
    <row r="820">
      <c r="B820" s="80"/>
      <c r="E820" s="86" t="str">
        <f t="shared" si="1"/>
        <v>#VALUE!</v>
      </c>
      <c r="J820" s="88"/>
    </row>
    <row r="821">
      <c r="B821" s="80"/>
      <c r="E821" s="86" t="str">
        <f t="shared" si="1"/>
        <v>#VALUE!</v>
      </c>
      <c r="J821" s="88"/>
    </row>
    <row r="822">
      <c r="B822" s="80"/>
      <c r="E822" s="86" t="str">
        <f t="shared" si="1"/>
        <v>#VALUE!</v>
      </c>
      <c r="J822" s="88"/>
    </row>
    <row r="823">
      <c r="B823" s="80"/>
      <c r="E823" s="86" t="str">
        <f t="shared" si="1"/>
        <v>#VALUE!</v>
      </c>
      <c r="J823" s="88"/>
    </row>
    <row r="824">
      <c r="B824" s="80"/>
      <c r="E824" s="86" t="str">
        <f t="shared" si="1"/>
        <v>#VALUE!</v>
      </c>
      <c r="J824" s="88"/>
    </row>
    <row r="825">
      <c r="B825" s="80"/>
      <c r="E825" s="86" t="str">
        <f t="shared" si="1"/>
        <v>#VALUE!</v>
      </c>
      <c r="J825" s="88"/>
    </row>
    <row r="826">
      <c r="B826" s="80"/>
      <c r="E826" s="86" t="str">
        <f t="shared" si="1"/>
        <v>#VALUE!</v>
      </c>
      <c r="J826" s="88"/>
    </row>
    <row r="827">
      <c r="B827" s="80"/>
      <c r="E827" s="86" t="str">
        <f t="shared" si="1"/>
        <v>#VALUE!</v>
      </c>
      <c r="J827" s="88"/>
    </row>
    <row r="828">
      <c r="B828" s="80"/>
      <c r="E828" s="86" t="str">
        <f t="shared" si="1"/>
        <v>#VALUE!</v>
      </c>
      <c r="J828" s="88"/>
    </row>
    <row r="829">
      <c r="B829" s="80"/>
      <c r="E829" s="86" t="str">
        <f t="shared" si="1"/>
        <v>#VALUE!</v>
      </c>
      <c r="J829" s="88"/>
    </row>
    <row r="830">
      <c r="B830" s="80"/>
      <c r="E830" s="86" t="str">
        <f t="shared" si="1"/>
        <v>#VALUE!</v>
      </c>
      <c r="J830" s="88"/>
    </row>
    <row r="831">
      <c r="B831" s="80"/>
      <c r="E831" s="86" t="str">
        <f t="shared" si="1"/>
        <v>#VALUE!</v>
      </c>
      <c r="J831" s="88"/>
    </row>
    <row r="832">
      <c r="B832" s="80"/>
      <c r="E832" s="86" t="str">
        <f t="shared" si="1"/>
        <v>#VALUE!</v>
      </c>
      <c r="J832" s="88"/>
    </row>
    <row r="833">
      <c r="B833" s="80"/>
      <c r="E833" s="86" t="str">
        <f t="shared" si="1"/>
        <v>#VALUE!</v>
      </c>
      <c r="J833" s="88"/>
    </row>
    <row r="834">
      <c r="B834" s="80"/>
      <c r="E834" s="86" t="str">
        <f t="shared" si="1"/>
        <v>#VALUE!</v>
      </c>
      <c r="J834" s="88"/>
    </row>
    <row r="835">
      <c r="B835" s="80"/>
      <c r="E835" s="86" t="str">
        <f t="shared" si="1"/>
        <v>#VALUE!</v>
      </c>
      <c r="J835" s="88"/>
    </row>
    <row r="836">
      <c r="B836" s="80"/>
      <c r="E836" s="86" t="str">
        <f t="shared" si="1"/>
        <v>#VALUE!</v>
      </c>
      <c r="J836" s="88"/>
    </row>
    <row r="837">
      <c r="B837" s="80"/>
      <c r="E837" s="86" t="str">
        <f t="shared" si="1"/>
        <v>#VALUE!</v>
      </c>
      <c r="J837" s="88"/>
    </row>
    <row r="838">
      <c r="B838" s="80"/>
      <c r="E838" s="86" t="str">
        <f t="shared" si="1"/>
        <v>#VALUE!</v>
      </c>
      <c r="J838" s="88"/>
    </row>
    <row r="839">
      <c r="B839" s="80"/>
      <c r="E839" s="86" t="str">
        <f t="shared" si="1"/>
        <v>#VALUE!</v>
      </c>
      <c r="J839" s="88"/>
    </row>
    <row r="840">
      <c r="B840" s="80"/>
      <c r="E840" s="86" t="str">
        <f t="shared" si="1"/>
        <v>#VALUE!</v>
      </c>
      <c r="J840" s="88"/>
    </row>
    <row r="841">
      <c r="B841" s="80"/>
      <c r="E841" s="86" t="str">
        <f t="shared" si="1"/>
        <v>#VALUE!</v>
      </c>
      <c r="J841" s="88"/>
    </row>
    <row r="842">
      <c r="B842" s="80"/>
      <c r="E842" s="86" t="str">
        <f t="shared" si="1"/>
        <v>#VALUE!</v>
      </c>
      <c r="J842" s="88"/>
    </row>
    <row r="843">
      <c r="B843" s="80"/>
      <c r="E843" s="86" t="str">
        <f t="shared" si="1"/>
        <v>#VALUE!</v>
      </c>
      <c r="J843" s="88"/>
    </row>
    <row r="844">
      <c r="B844" s="80"/>
      <c r="E844" s="86" t="str">
        <f t="shared" si="1"/>
        <v>#VALUE!</v>
      </c>
      <c r="J844" s="88"/>
    </row>
    <row r="845">
      <c r="B845" s="80"/>
      <c r="E845" s="86" t="str">
        <f t="shared" si="1"/>
        <v>#VALUE!</v>
      </c>
      <c r="J845" s="88"/>
    </row>
    <row r="846">
      <c r="B846" s="80"/>
      <c r="E846" s="86" t="str">
        <f t="shared" si="1"/>
        <v>#VALUE!</v>
      </c>
      <c r="J846" s="88"/>
    </row>
    <row r="847">
      <c r="B847" s="80"/>
      <c r="E847" s="86" t="str">
        <f t="shared" si="1"/>
        <v>#VALUE!</v>
      </c>
      <c r="J847" s="88"/>
    </row>
    <row r="848">
      <c r="B848" s="80"/>
      <c r="E848" s="86" t="str">
        <f t="shared" si="1"/>
        <v>#VALUE!</v>
      </c>
      <c r="J848" s="88"/>
    </row>
    <row r="849">
      <c r="B849" s="80"/>
      <c r="E849" s="86" t="str">
        <f t="shared" si="1"/>
        <v>#VALUE!</v>
      </c>
      <c r="J849" s="88"/>
    </row>
    <row r="850">
      <c r="B850" s="80"/>
      <c r="E850" s="86" t="str">
        <f t="shared" si="1"/>
        <v>#VALUE!</v>
      </c>
      <c r="J850" s="88"/>
    </row>
    <row r="851">
      <c r="B851" s="80"/>
      <c r="E851" s="86" t="str">
        <f t="shared" si="1"/>
        <v>#VALUE!</v>
      </c>
      <c r="J851" s="88"/>
    </row>
    <row r="852">
      <c r="B852" s="80"/>
      <c r="E852" s="86" t="str">
        <f t="shared" si="1"/>
        <v>#VALUE!</v>
      </c>
      <c r="J852" s="88"/>
    </row>
    <row r="853">
      <c r="B853" s="80"/>
      <c r="E853" s="86" t="str">
        <f t="shared" si="1"/>
        <v>#VALUE!</v>
      </c>
      <c r="J853" s="88"/>
    </row>
    <row r="854">
      <c r="B854" s="80"/>
      <c r="E854" s="86" t="str">
        <f t="shared" si="1"/>
        <v>#VALUE!</v>
      </c>
      <c r="J854" s="88"/>
    </row>
    <row r="855">
      <c r="B855" s="80"/>
      <c r="E855" s="86" t="str">
        <f t="shared" si="1"/>
        <v>#VALUE!</v>
      </c>
      <c r="J855" s="88"/>
    </row>
    <row r="856">
      <c r="B856" s="80"/>
      <c r="E856" s="86" t="str">
        <f t="shared" si="1"/>
        <v>#VALUE!</v>
      </c>
      <c r="J856" s="88"/>
    </row>
    <row r="857">
      <c r="B857" s="80"/>
      <c r="E857" s="86" t="str">
        <f t="shared" si="1"/>
        <v>#VALUE!</v>
      </c>
      <c r="J857" s="88"/>
    </row>
    <row r="858">
      <c r="B858" s="80"/>
      <c r="E858" s="86" t="str">
        <f t="shared" si="1"/>
        <v>#VALUE!</v>
      </c>
      <c r="J858" s="88"/>
    </row>
    <row r="859">
      <c r="B859" s="80"/>
      <c r="E859" s="86" t="str">
        <f t="shared" si="1"/>
        <v>#VALUE!</v>
      </c>
      <c r="J859" s="88"/>
    </row>
    <row r="860">
      <c r="B860" s="80"/>
      <c r="E860" s="86" t="str">
        <f t="shared" si="1"/>
        <v>#VALUE!</v>
      </c>
      <c r="J860" s="88"/>
    </row>
    <row r="861">
      <c r="B861" s="80"/>
      <c r="E861" s="86" t="str">
        <f t="shared" si="1"/>
        <v>#VALUE!</v>
      </c>
      <c r="J861" s="88"/>
    </row>
    <row r="862">
      <c r="B862" s="80"/>
      <c r="E862" s="86" t="str">
        <f t="shared" si="1"/>
        <v>#VALUE!</v>
      </c>
      <c r="J862" s="88"/>
    </row>
    <row r="863">
      <c r="B863" s="80"/>
      <c r="E863" s="86" t="str">
        <f t="shared" si="1"/>
        <v>#VALUE!</v>
      </c>
      <c r="J863" s="88"/>
    </row>
    <row r="864">
      <c r="B864" s="80"/>
      <c r="E864" s="86" t="str">
        <f t="shared" si="1"/>
        <v>#VALUE!</v>
      </c>
      <c r="J864" s="88"/>
    </row>
    <row r="865">
      <c r="B865" s="80"/>
      <c r="E865" s="86" t="str">
        <f t="shared" si="1"/>
        <v>#VALUE!</v>
      </c>
      <c r="J865" s="88"/>
    </row>
    <row r="866">
      <c r="B866" s="80"/>
      <c r="E866" s="86" t="str">
        <f t="shared" si="1"/>
        <v>#VALUE!</v>
      </c>
      <c r="J866" s="88"/>
    </row>
    <row r="867">
      <c r="B867" s="80"/>
      <c r="E867" s="86" t="str">
        <f t="shared" si="1"/>
        <v>#VALUE!</v>
      </c>
      <c r="J867" s="88"/>
    </row>
    <row r="868">
      <c r="B868" s="80"/>
      <c r="E868" s="86" t="str">
        <f t="shared" si="1"/>
        <v>#VALUE!</v>
      </c>
      <c r="J868" s="88"/>
    </row>
    <row r="869">
      <c r="B869" s="80"/>
      <c r="E869" s="86" t="str">
        <f t="shared" si="1"/>
        <v>#VALUE!</v>
      </c>
      <c r="J869" s="88"/>
    </row>
    <row r="870">
      <c r="B870" s="80"/>
      <c r="E870" s="86" t="str">
        <f t="shared" si="1"/>
        <v>#VALUE!</v>
      </c>
      <c r="J870" s="88"/>
    </row>
    <row r="871">
      <c r="B871" s="80"/>
      <c r="E871" s="86" t="str">
        <f t="shared" si="1"/>
        <v>#VALUE!</v>
      </c>
      <c r="J871" s="88"/>
    </row>
    <row r="872">
      <c r="B872" s="80"/>
      <c r="E872" s="86" t="str">
        <f t="shared" si="1"/>
        <v>#VALUE!</v>
      </c>
      <c r="J872" s="88"/>
    </row>
    <row r="873">
      <c r="B873" s="80"/>
      <c r="E873" s="86" t="str">
        <f t="shared" si="1"/>
        <v>#VALUE!</v>
      </c>
      <c r="J873" s="88"/>
    </row>
    <row r="874">
      <c r="B874" s="80"/>
      <c r="E874" s="86" t="str">
        <f t="shared" si="1"/>
        <v>#VALUE!</v>
      </c>
      <c r="J874" s="88"/>
    </row>
    <row r="875">
      <c r="B875" s="80"/>
      <c r="E875" s="86" t="str">
        <f t="shared" si="1"/>
        <v>#VALUE!</v>
      </c>
      <c r="J875" s="88"/>
    </row>
    <row r="876">
      <c r="B876" s="80"/>
      <c r="E876" s="86" t="str">
        <f t="shared" si="1"/>
        <v>#VALUE!</v>
      </c>
      <c r="J876" s="88"/>
    </row>
    <row r="877">
      <c r="B877" s="80"/>
      <c r="E877" s="86" t="str">
        <f t="shared" si="1"/>
        <v>#VALUE!</v>
      </c>
      <c r="J877" s="88"/>
    </row>
    <row r="878">
      <c r="B878" s="80"/>
      <c r="E878" s="86" t="str">
        <f t="shared" si="1"/>
        <v>#VALUE!</v>
      </c>
      <c r="J878" s="88"/>
    </row>
    <row r="879">
      <c r="B879" s="80"/>
      <c r="E879" s="86" t="str">
        <f t="shared" si="1"/>
        <v>#VALUE!</v>
      </c>
      <c r="J879" s="88"/>
    </row>
    <row r="880">
      <c r="B880" s="80"/>
      <c r="E880" s="86" t="str">
        <f t="shared" si="1"/>
        <v>#VALUE!</v>
      </c>
      <c r="J880" s="88"/>
    </row>
    <row r="881">
      <c r="B881" s="80"/>
      <c r="E881" s="86" t="str">
        <f t="shared" si="1"/>
        <v>#VALUE!</v>
      </c>
      <c r="J881" s="88"/>
    </row>
    <row r="882">
      <c r="B882" s="80"/>
      <c r="E882" s="86" t="str">
        <f t="shared" si="1"/>
        <v>#VALUE!</v>
      </c>
      <c r="J882" s="88"/>
    </row>
    <row r="883">
      <c r="B883" s="80"/>
      <c r="E883" s="86" t="str">
        <f t="shared" si="1"/>
        <v>#VALUE!</v>
      </c>
      <c r="J883" s="88"/>
    </row>
    <row r="884">
      <c r="B884" s="80"/>
      <c r="E884" s="86" t="str">
        <f t="shared" si="1"/>
        <v>#VALUE!</v>
      </c>
      <c r="J884" s="88"/>
    </row>
    <row r="885">
      <c r="B885" s="80"/>
      <c r="E885" s="86" t="str">
        <f t="shared" si="1"/>
        <v>#VALUE!</v>
      </c>
      <c r="J885" s="88"/>
    </row>
    <row r="886">
      <c r="B886" s="80"/>
      <c r="E886" s="86" t="str">
        <f t="shared" si="1"/>
        <v>#VALUE!</v>
      </c>
      <c r="J886" s="88"/>
    </row>
    <row r="887">
      <c r="B887" s="80"/>
      <c r="E887" s="86" t="str">
        <f t="shared" si="1"/>
        <v>#VALUE!</v>
      </c>
      <c r="J887" s="88"/>
    </row>
    <row r="888">
      <c r="B888" s="80"/>
      <c r="E888" s="86" t="str">
        <f t="shared" si="1"/>
        <v>#VALUE!</v>
      </c>
      <c r="J888" s="88"/>
    </row>
    <row r="889">
      <c r="B889" s="80"/>
      <c r="E889" s="86" t="str">
        <f t="shared" si="1"/>
        <v>#VALUE!</v>
      </c>
      <c r="J889" s="88"/>
    </row>
    <row r="890">
      <c r="B890" s="80"/>
      <c r="E890" s="86" t="str">
        <f t="shared" si="1"/>
        <v>#VALUE!</v>
      </c>
      <c r="J890" s="88"/>
    </row>
    <row r="891">
      <c r="B891" s="80"/>
      <c r="E891" s="86" t="str">
        <f t="shared" si="1"/>
        <v>#VALUE!</v>
      </c>
      <c r="J891" s="88"/>
    </row>
    <row r="892">
      <c r="B892" s="80"/>
      <c r="E892" s="86" t="str">
        <f t="shared" si="1"/>
        <v>#VALUE!</v>
      </c>
      <c r="J892" s="88"/>
    </row>
    <row r="893">
      <c r="B893" s="80"/>
      <c r="E893" s="86" t="str">
        <f t="shared" si="1"/>
        <v>#VALUE!</v>
      </c>
      <c r="J893" s="88"/>
    </row>
    <row r="894">
      <c r="B894" s="80"/>
      <c r="E894" s="86" t="str">
        <f t="shared" si="1"/>
        <v>#VALUE!</v>
      </c>
      <c r="J894" s="88"/>
    </row>
    <row r="895">
      <c r="B895" s="80"/>
      <c r="E895" s="86" t="str">
        <f t="shared" si="1"/>
        <v>#VALUE!</v>
      </c>
      <c r="J895" s="88"/>
    </row>
    <row r="896">
      <c r="B896" s="80"/>
      <c r="E896" s="86" t="str">
        <f t="shared" si="1"/>
        <v>#VALUE!</v>
      </c>
      <c r="J896" s="88"/>
    </row>
    <row r="897">
      <c r="B897" s="80"/>
      <c r="E897" s="86" t="str">
        <f t="shared" si="1"/>
        <v>#VALUE!</v>
      </c>
      <c r="J897" s="88"/>
    </row>
    <row r="898">
      <c r="B898" s="80"/>
      <c r="E898" s="86" t="str">
        <f t="shared" si="1"/>
        <v>#VALUE!</v>
      </c>
      <c r="J898" s="88"/>
    </row>
    <row r="899">
      <c r="B899" s="80"/>
      <c r="E899" s="86" t="str">
        <f t="shared" si="1"/>
        <v>#VALUE!</v>
      </c>
      <c r="J899" s="88"/>
    </row>
    <row r="900">
      <c r="B900" s="80"/>
      <c r="E900" s="86" t="str">
        <f t="shared" si="1"/>
        <v>#VALUE!</v>
      </c>
      <c r="J900" s="88"/>
    </row>
    <row r="901">
      <c r="B901" s="80"/>
      <c r="E901" s="86" t="str">
        <f t="shared" si="1"/>
        <v>#VALUE!</v>
      </c>
      <c r="J901" s="88"/>
    </row>
    <row r="902">
      <c r="B902" s="80"/>
      <c r="E902" s="86" t="str">
        <f t="shared" si="1"/>
        <v>#VALUE!</v>
      </c>
      <c r="J902" s="88"/>
    </row>
    <row r="903">
      <c r="B903" s="80"/>
      <c r="E903" s="86" t="str">
        <f t="shared" si="1"/>
        <v>#VALUE!</v>
      </c>
      <c r="J903" s="88"/>
    </row>
    <row r="904">
      <c r="B904" s="80"/>
      <c r="E904" s="86" t="str">
        <f t="shared" si="1"/>
        <v>#VALUE!</v>
      </c>
      <c r="J904" s="88"/>
    </row>
    <row r="905">
      <c r="B905" s="80"/>
      <c r="E905" s="86" t="str">
        <f t="shared" si="1"/>
        <v>#VALUE!</v>
      </c>
      <c r="J905" s="88"/>
    </row>
    <row r="906">
      <c r="B906" s="80"/>
      <c r="E906" s="86" t="str">
        <f t="shared" si="1"/>
        <v>#VALUE!</v>
      </c>
      <c r="J906" s="88"/>
    </row>
    <row r="907">
      <c r="B907" s="80"/>
      <c r="E907" s="86" t="str">
        <f t="shared" si="1"/>
        <v>#VALUE!</v>
      </c>
      <c r="J907" s="88"/>
    </row>
    <row r="908">
      <c r="B908" s="80"/>
      <c r="E908" s="86" t="str">
        <f t="shared" si="1"/>
        <v>#VALUE!</v>
      </c>
      <c r="J908" s="88"/>
    </row>
    <row r="909">
      <c r="B909" s="80"/>
      <c r="E909" s="86" t="str">
        <f t="shared" si="1"/>
        <v>#VALUE!</v>
      </c>
      <c r="J909" s="88"/>
    </row>
    <row r="910">
      <c r="B910" s="80"/>
      <c r="E910" s="86" t="str">
        <f t="shared" si="1"/>
        <v>#VALUE!</v>
      </c>
      <c r="J910" s="88"/>
    </row>
    <row r="911">
      <c r="B911" s="80"/>
      <c r="E911" s="86" t="str">
        <f t="shared" si="1"/>
        <v>#VALUE!</v>
      </c>
      <c r="J911" s="88"/>
    </row>
    <row r="912">
      <c r="B912" s="80"/>
      <c r="E912" s="86" t="str">
        <f t="shared" si="1"/>
        <v>#VALUE!</v>
      </c>
      <c r="J912" s="88"/>
    </row>
    <row r="913">
      <c r="B913" s="80"/>
      <c r="E913" s="86" t="str">
        <f t="shared" si="1"/>
        <v>#VALUE!</v>
      </c>
      <c r="J913" s="88"/>
    </row>
    <row r="914">
      <c r="B914" s="80"/>
      <c r="E914" s="86" t="str">
        <f t="shared" si="1"/>
        <v>#VALUE!</v>
      </c>
      <c r="J914" s="88"/>
    </row>
    <row r="915">
      <c r="B915" s="80"/>
      <c r="E915" s="86" t="str">
        <f t="shared" si="1"/>
        <v>#VALUE!</v>
      </c>
      <c r="J915" s="88"/>
    </row>
    <row r="916">
      <c r="B916" s="80"/>
      <c r="E916" s="86" t="str">
        <f t="shared" si="1"/>
        <v>#VALUE!</v>
      </c>
      <c r="J916" s="88"/>
    </row>
    <row r="917">
      <c r="B917" s="80"/>
      <c r="E917" s="86" t="str">
        <f t="shared" si="1"/>
        <v>#VALUE!</v>
      </c>
      <c r="J917" s="88"/>
    </row>
    <row r="918">
      <c r="B918" s="80"/>
      <c r="E918" s="86" t="str">
        <f t="shared" si="1"/>
        <v>#VALUE!</v>
      </c>
      <c r="J918" s="88"/>
    </row>
    <row r="919">
      <c r="B919" s="80"/>
      <c r="E919" s="86" t="str">
        <f t="shared" si="1"/>
        <v>#VALUE!</v>
      </c>
      <c r="J919" s="88"/>
    </row>
    <row r="920">
      <c r="B920" s="80"/>
      <c r="E920" s="86" t="str">
        <f t="shared" si="1"/>
        <v>#VALUE!</v>
      </c>
      <c r="J920" s="88"/>
    </row>
    <row r="921">
      <c r="B921" s="80"/>
      <c r="E921" s="86" t="str">
        <f t="shared" si="1"/>
        <v>#VALUE!</v>
      </c>
      <c r="J921" s="88"/>
    </row>
    <row r="922">
      <c r="B922" s="80"/>
      <c r="E922" s="86" t="str">
        <f t="shared" si="1"/>
        <v>#VALUE!</v>
      </c>
      <c r="J922" s="88"/>
    </row>
    <row r="923">
      <c r="B923" s="80"/>
      <c r="E923" s="86" t="str">
        <f t="shared" si="1"/>
        <v>#VALUE!</v>
      </c>
      <c r="J923" s="88"/>
    </row>
    <row r="924">
      <c r="B924" s="80"/>
      <c r="E924" s="86" t="str">
        <f t="shared" si="1"/>
        <v>#VALUE!</v>
      </c>
      <c r="J924" s="88"/>
    </row>
    <row r="925">
      <c r="B925" s="80"/>
      <c r="E925" s="86" t="str">
        <f t="shared" si="1"/>
        <v>#VALUE!</v>
      </c>
      <c r="J925" s="88"/>
    </row>
    <row r="926">
      <c r="B926" s="80"/>
      <c r="E926" s="86" t="str">
        <f t="shared" si="1"/>
        <v>#VALUE!</v>
      </c>
      <c r="J926" s="88"/>
    </row>
    <row r="927">
      <c r="B927" s="80"/>
      <c r="E927" s="86" t="str">
        <f t="shared" si="1"/>
        <v>#VALUE!</v>
      </c>
      <c r="J927" s="88"/>
    </row>
    <row r="928">
      <c r="B928" s="80"/>
      <c r="E928" s="86" t="str">
        <f t="shared" si="1"/>
        <v>#VALUE!</v>
      </c>
      <c r="J928" s="88"/>
    </row>
    <row r="929">
      <c r="B929" s="80"/>
      <c r="E929" s="86" t="str">
        <f t="shared" si="1"/>
        <v>#VALUE!</v>
      </c>
      <c r="J929" s="88"/>
    </row>
    <row r="930">
      <c r="B930" s="80"/>
      <c r="E930" s="86" t="str">
        <f t="shared" si="1"/>
        <v>#VALUE!</v>
      </c>
      <c r="J930" s="88"/>
    </row>
    <row r="931">
      <c r="B931" s="80"/>
      <c r="E931" s="86" t="str">
        <f t="shared" si="1"/>
        <v>#VALUE!</v>
      </c>
      <c r="J931" s="88"/>
    </row>
    <row r="932">
      <c r="B932" s="80"/>
      <c r="E932" s="86" t="str">
        <f t="shared" si="1"/>
        <v>#VALUE!</v>
      </c>
      <c r="J932" s="88"/>
    </row>
    <row r="933">
      <c r="B933" s="80"/>
      <c r="E933" s="86" t="str">
        <f t="shared" si="1"/>
        <v>#VALUE!</v>
      </c>
      <c r="J933" s="88"/>
    </row>
    <row r="934">
      <c r="B934" s="80"/>
      <c r="E934" s="86" t="str">
        <f t="shared" si="1"/>
        <v>#VALUE!</v>
      </c>
      <c r="J934" s="88"/>
    </row>
    <row r="935">
      <c r="B935" s="80"/>
      <c r="E935" s="86" t="str">
        <f t="shared" si="1"/>
        <v>#VALUE!</v>
      </c>
      <c r="J935" s="88"/>
    </row>
    <row r="936">
      <c r="B936" s="80"/>
      <c r="E936" s="86" t="str">
        <f t="shared" si="1"/>
        <v>#VALUE!</v>
      </c>
      <c r="J936" s="88"/>
    </row>
    <row r="937">
      <c r="B937" s="80"/>
      <c r="E937" s="86" t="str">
        <f t="shared" si="1"/>
        <v>#VALUE!</v>
      </c>
      <c r="J937" s="88"/>
    </row>
    <row r="938">
      <c r="B938" s="80"/>
      <c r="E938" s="86" t="str">
        <f t="shared" si="1"/>
        <v>#VALUE!</v>
      </c>
      <c r="J938" s="88"/>
    </row>
    <row r="939">
      <c r="B939" s="80"/>
      <c r="E939" s="86" t="str">
        <f t="shared" si="1"/>
        <v>#VALUE!</v>
      </c>
      <c r="J939" s="88"/>
    </row>
    <row r="940">
      <c r="B940" s="80"/>
      <c r="E940" s="86" t="str">
        <f t="shared" si="1"/>
        <v>#VALUE!</v>
      </c>
      <c r="J940" s="88"/>
    </row>
    <row r="941">
      <c r="B941" s="80"/>
      <c r="E941" s="86" t="str">
        <f t="shared" si="1"/>
        <v>#VALUE!</v>
      </c>
      <c r="J941" s="88"/>
    </row>
    <row r="942">
      <c r="B942" s="80"/>
      <c r="E942" s="86" t="str">
        <f t="shared" si="1"/>
        <v>#VALUE!</v>
      </c>
      <c r="J942" s="88"/>
    </row>
    <row r="943">
      <c r="B943" s="80"/>
      <c r="E943" s="86" t="str">
        <f t="shared" si="1"/>
        <v>#VALUE!</v>
      </c>
      <c r="J943" s="88"/>
    </row>
    <row r="944">
      <c r="B944" s="80"/>
      <c r="E944" s="86" t="str">
        <f t="shared" si="1"/>
        <v>#VALUE!</v>
      </c>
      <c r="J944" s="88"/>
    </row>
    <row r="945">
      <c r="B945" s="80"/>
      <c r="E945" s="86" t="str">
        <f t="shared" si="1"/>
        <v>#VALUE!</v>
      </c>
      <c r="J945" s="88"/>
    </row>
    <row r="946">
      <c r="B946" s="80"/>
      <c r="E946" s="86" t="str">
        <f t="shared" si="1"/>
        <v>#VALUE!</v>
      </c>
      <c r="J946" s="88"/>
    </row>
    <row r="947">
      <c r="B947" s="80"/>
      <c r="E947" s="86" t="str">
        <f t="shared" si="1"/>
        <v>#VALUE!</v>
      </c>
      <c r="J947" s="88"/>
    </row>
    <row r="948">
      <c r="B948" s="80"/>
      <c r="E948" s="86" t="str">
        <f t="shared" si="1"/>
        <v>#VALUE!</v>
      </c>
      <c r="J948" s="88"/>
    </row>
    <row r="949">
      <c r="B949" s="80"/>
      <c r="E949" s="86" t="str">
        <f t="shared" si="1"/>
        <v>#VALUE!</v>
      </c>
      <c r="J949" s="88"/>
    </row>
    <row r="950">
      <c r="B950" s="80"/>
      <c r="E950" s="86" t="str">
        <f t="shared" si="1"/>
        <v>#VALUE!</v>
      </c>
      <c r="J950" s="88"/>
    </row>
    <row r="951">
      <c r="B951" s="80"/>
      <c r="E951" s="86" t="str">
        <f t="shared" si="1"/>
        <v>#VALUE!</v>
      </c>
      <c r="J951" s="88"/>
    </row>
    <row r="952">
      <c r="B952" s="80"/>
      <c r="E952" s="86" t="str">
        <f t="shared" si="1"/>
        <v>#VALUE!</v>
      </c>
      <c r="J952" s="88"/>
    </row>
    <row r="953">
      <c r="B953" s="80"/>
      <c r="E953" s="86" t="str">
        <f t="shared" si="1"/>
        <v>#VALUE!</v>
      </c>
      <c r="J953" s="88"/>
    </row>
    <row r="954">
      <c r="B954" s="80"/>
      <c r="E954" s="86" t="str">
        <f t="shared" si="1"/>
        <v>#VALUE!</v>
      </c>
      <c r="J954" s="88"/>
    </row>
    <row r="955">
      <c r="B955" s="80"/>
      <c r="E955" s="86" t="str">
        <f t="shared" si="1"/>
        <v>#VALUE!</v>
      </c>
      <c r="J955" s="88"/>
    </row>
    <row r="956">
      <c r="B956" s="80"/>
      <c r="E956" s="86" t="str">
        <f t="shared" si="1"/>
        <v>#VALUE!</v>
      </c>
      <c r="J956" s="88"/>
    </row>
    <row r="957">
      <c r="B957" s="80"/>
      <c r="E957" s="86" t="str">
        <f t="shared" si="1"/>
        <v>#VALUE!</v>
      </c>
      <c r="J957" s="88"/>
    </row>
    <row r="958">
      <c r="B958" s="80"/>
      <c r="E958" s="86" t="str">
        <f t="shared" si="1"/>
        <v>#VALUE!</v>
      </c>
      <c r="J958" s="88"/>
    </row>
    <row r="959">
      <c r="B959" s="80"/>
      <c r="E959" s="86" t="str">
        <f t="shared" si="1"/>
        <v>#VALUE!</v>
      </c>
      <c r="J959" s="88"/>
    </row>
    <row r="960">
      <c r="B960" s="80"/>
      <c r="E960" s="86" t="str">
        <f t="shared" si="1"/>
        <v>#VALUE!</v>
      </c>
      <c r="J960" s="88"/>
    </row>
    <row r="961">
      <c r="B961" s="80"/>
      <c r="E961" s="86" t="str">
        <f t="shared" si="1"/>
        <v>#VALUE!</v>
      </c>
      <c r="J961" s="88"/>
    </row>
    <row r="962">
      <c r="B962" s="80"/>
      <c r="E962" s="86" t="str">
        <f t="shared" si="1"/>
        <v>#VALUE!</v>
      </c>
      <c r="J962" s="88"/>
    </row>
    <row r="963">
      <c r="B963" s="80"/>
      <c r="E963" s="86" t="str">
        <f t="shared" si="1"/>
        <v>#VALUE!</v>
      </c>
      <c r="J963" s="88"/>
    </row>
    <row r="964">
      <c r="B964" s="80"/>
      <c r="E964" s="86" t="str">
        <f t="shared" si="1"/>
        <v>#VALUE!</v>
      </c>
      <c r="J964" s="88"/>
    </row>
    <row r="965">
      <c r="B965" s="80"/>
      <c r="E965" s="86" t="str">
        <f t="shared" si="1"/>
        <v>#VALUE!</v>
      </c>
      <c r="J965" s="88"/>
    </row>
    <row r="966">
      <c r="B966" s="80"/>
      <c r="E966" s="86" t="str">
        <f t="shared" si="1"/>
        <v>#VALUE!</v>
      </c>
      <c r="J966" s="88"/>
    </row>
    <row r="967">
      <c r="B967" s="80"/>
      <c r="E967" s="86" t="str">
        <f t="shared" si="1"/>
        <v>#VALUE!</v>
      </c>
      <c r="J967" s="88"/>
    </row>
    <row r="968">
      <c r="B968" s="80"/>
      <c r="E968" s="86" t="str">
        <f t="shared" si="1"/>
        <v>#VALUE!</v>
      </c>
      <c r="J968" s="88"/>
    </row>
    <row r="969">
      <c r="B969" s="80"/>
      <c r="E969" s="86" t="str">
        <f t="shared" si="1"/>
        <v>#VALUE!</v>
      </c>
      <c r="J969" s="88"/>
    </row>
    <row r="970">
      <c r="B970" s="80"/>
      <c r="E970" s="86" t="str">
        <f t="shared" si="1"/>
        <v>#VALUE!</v>
      </c>
      <c r="J970" s="88"/>
    </row>
    <row r="971">
      <c r="B971" s="80"/>
      <c r="E971" s="86" t="str">
        <f t="shared" si="1"/>
        <v>#VALUE!</v>
      </c>
      <c r="J971" s="88"/>
    </row>
    <row r="972">
      <c r="B972" s="80"/>
      <c r="E972" s="86" t="str">
        <f t="shared" si="1"/>
        <v>#VALUE!</v>
      </c>
      <c r="J972" s="88"/>
    </row>
    <row r="973">
      <c r="B973" s="80"/>
      <c r="E973" s="86" t="str">
        <f t="shared" si="1"/>
        <v>#VALUE!</v>
      </c>
      <c r="J973" s="88"/>
    </row>
    <row r="974">
      <c r="B974" s="80"/>
      <c r="E974" s="86" t="str">
        <f t="shared" si="1"/>
        <v>#VALUE!</v>
      </c>
      <c r="J974" s="88"/>
    </row>
    <row r="975">
      <c r="B975" s="80"/>
      <c r="E975" s="86" t="str">
        <f t="shared" si="1"/>
        <v>#VALUE!</v>
      </c>
      <c r="J975" s="88"/>
    </row>
    <row r="976">
      <c r="B976" s="80"/>
      <c r="E976" s="86" t="str">
        <f t="shared" si="1"/>
        <v>#VALUE!</v>
      </c>
      <c r="J976" s="88"/>
    </row>
    <row r="977">
      <c r="B977" s="80"/>
      <c r="E977" s="86" t="str">
        <f t="shared" si="1"/>
        <v>#VALUE!</v>
      </c>
      <c r="J977" s="88"/>
    </row>
    <row r="978">
      <c r="B978" s="80"/>
      <c r="E978" s="86" t="str">
        <f t="shared" si="1"/>
        <v>#VALUE!</v>
      </c>
      <c r="J978" s="88"/>
    </row>
    <row r="979">
      <c r="B979" s="80"/>
      <c r="E979" s="86" t="str">
        <f t="shared" si="1"/>
        <v>#VALUE!</v>
      </c>
      <c r="J979" s="88"/>
    </row>
    <row r="980">
      <c r="B980" s="80"/>
      <c r="E980" s="86" t="str">
        <f t="shared" si="1"/>
        <v>#VALUE!</v>
      </c>
      <c r="J980" s="88"/>
    </row>
    <row r="981">
      <c r="B981" s="80"/>
      <c r="E981" s="86" t="str">
        <f t="shared" si="1"/>
        <v>#VALUE!</v>
      </c>
      <c r="J981" s="88"/>
    </row>
    <row r="982">
      <c r="B982" s="80"/>
      <c r="E982" s="86" t="str">
        <f t="shared" si="1"/>
        <v>#VALUE!</v>
      </c>
      <c r="J982" s="88"/>
    </row>
    <row r="983">
      <c r="B983" s="80"/>
      <c r="E983" s="86" t="str">
        <f t="shared" si="1"/>
        <v>#VALUE!</v>
      </c>
      <c r="J983" s="88"/>
    </row>
    <row r="984">
      <c r="B984" s="80"/>
      <c r="E984" s="86" t="str">
        <f t="shared" si="1"/>
        <v>#VALUE!</v>
      </c>
      <c r="J984" s="88"/>
    </row>
    <row r="985">
      <c r="B985" s="80"/>
      <c r="E985" s="86" t="str">
        <f t="shared" si="1"/>
        <v>#VALUE!</v>
      </c>
      <c r="J985" s="88"/>
    </row>
    <row r="986">
      <c r="B986" s="80"/>
      <c r="E986" s="86" t="str">
        <f t="shared" si="1"/>
        <v>#VALUE!</v>
      </c>
      <c r="J986" s="88"/>
    </row>
    <row r="987">
      <c r="B987" s="80"/>
      <c r="E987" s="86" t="str">
        <f t="shared" si="1"/>
        <v>#VALUE!</v>
      </c>
      <c r="J987" s="88"/>
    </row>
    <row r="988">
      <c r="B988" s="80"/>
      <c r="E988" s="86" t="str">
        <f t="shared" si="1"/>
        <v>#VALUE!</v>
      </c>
      <c r="J988" s="88"/>
    </row>
    <row r="989">
      <c r="B989" s="80"/>
      <c r="E989" s="86" t="str">
        <f t="shared" si="1"/>
        <v>#VALUE!</v>
      </c>
      <c r="J989" s="88"/>
    </row>
    <row r="990">
      <c r="B990" s="80"/>
      <c r="E990" s="86" t="str">
        <f t="shared" si="1"/>
        <v>#VALUE!</v>
      </c>
      <c r="J990" s="88"/>
    </row>
    <row r="991">
      <c r="B991" s="80"/>
      <c r="E991" s="86" t="str">
        <f t="shared" si="1"/>
        <v>#VALUE!</v>
      </c>
      <c r="J991" s="88"/>
    </row>
    <row r="992">
      <c r="B992" s="80"/>
      <c r="E992" s="86" t="str">
        <f t="shared" si="1"/>
        <v>#VALUE!</v>
      </c>
      <c r="J992" s="88"/>
    </row>
    <row r="993">
      <c r="B993" s="80"/>
      <c r="E993" s="86" t="str">
        <f t="shared" si="1"/>
        <v>#VALUE!</v>
      </c>
      <c r="J993" s="88"/>
    </row>
    <row r="994">
      <c r="B994" s="80"/>
      <c r="E994" s="86" t="str">
        <f t="shared" si="1"/>
        <v>#VALUE!</v>
      </c>
      <c r="J994" s="88"/>
    </row>
    <row r="995">
      <c r="B995" s="80"/>
      <c r="E995" s="86" t="str">
        <f t="shared" si="1"/>
        <v>#VALUE!</v>
      </c>
      <c r="J995" s="88"/>
    </row>
    <row r="996">
      <c r="B996" s="80"/>
      <c r="E996" s="86" t="str">
        <f t="shared" si="1"/>
        <v>#VALUE!</v>
      </c>
      <c r="J996" s="88"/>
    </row>
    <row r="997">
      <c r="B997" s="80"/>
      <c r="E997" s="86" t="str">
        <f t="shared" si="1"/>
        <v>#VALUE!</v>
      </c>
      <c r="J997" s="88"/>
    </row>
    <row r="998">
      <c r="B998" s="80"/>
      <c r="E998" s="86" t="str">
        <f t="shared" si="1"/>
        <v>#VALUE!</v>
      </c>
      <c r="J998" s="88"/>
    </row>
    <row r="999">
      <c r="B999" s="80"/>
      <c r="E999" s="86" t="str">
        <f t="shared" si="1"/>
        <v>#VALUE!</v>
      </c>
      <c r="J999" s="88"/>
    </row>
    <row r="1000">
      <c r="B1000" s="80"/>
      <c r="E1000" s="86" t="str">
        <f t="shared" si="1"/>
        <v>#VALUE!</v>
      </c>
      <c r="J1000" s="8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3" max="3" width="15.88"/>
  </cols>
  <sheetData>
    <row r="1">
      <c r="A1" s="89" t="s">
        <v>5</v>
      </c>
      <c r="B1" s="89">
        <v>2024.0</v>
      </c>
      <c r="C1" s="90"/>
      <c r="D1" s="90"/>
      <c r="E1" s="90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>
      <c r="A2" s="89" t="s">
        <v>53</v>
      </c>
      <c r="B2" s="92">
        <v>52.0</v>
      </c>
      <c r="C2" s="93"/>
      <c r="D2" s="93"/>
      <c r="E2" s="93"/>
    </row>
    <row r="3">
      <c r="A3" s="90"/>
      <c r="B3" s="93"/>
      <c r="C3" s="93"/>
      <c r="D3" s="93"/>
      <c r="E3" s="93"/>
    </row>
    <row r="4">
      <c r="A4" s="89" t="s">
        <v>54</v>
      </c>
      <c r="B4" s="93"/>
      <c r="C4" s="92"/>
      <c r="D4" s="93"/>
      <c r="E4" s="93"/>
    </row>
    <row r="5">
      <c r="A5" s="89"/>
      <c r="B5" s="94" t="s">
        <v>55</v>
      </c>
      <c r="C5" s="94" t="s">
        <v>56</v>
      </c>
      <c r="D5" s="92" t="s">
        <v>57</v>
      </c>
      <c r="E5" s="92" t="s">
        <v>58</v>
      </c>
    </row>
    <row r="6">
      <c r="A6" s="89" t="s">
        <v>14</v>
      </c>
      <c r="B6" s="94">
        <f t="shared" ref="B6:B9" si="1">SUM(D6/(INT((TODAY() - DATE(YEAR(TODAY()), 1, 1) + WEEKDAY(DATE(YEAR(TODAY()), 1, 1))) / 7) + 1))</f>
        <v>2025.020667</v>
      </c>
      <c r="C6" s="94">
        <f t="shared" ref="C6:C9" si="2">SUM(D6/(YEARFRAC(DATE(YEAR(TODAY()), 1, 1), TODAY()) * 12))</f>
        <v>9492.284375</v>
      </c>
      <c r="D6" s="95">
        <f>SUMIFS('Income Query'!B:B, 'Income Query'!D:D, A6, 'Income Query'!F:F, "Gil")</f>
        <v>30375.31</v>
      </c>
      <c r="E6" s="95">
        <f t="shared" ref="E6:E9" si="3">SUM(B6*52)</f>
        <v>105301.0747</v>
      </c>
    </row>
    <row r="7">
      <c r="A7" s="89" t="s">
        <v>18</v>
      </c>
      <c r="B7" s="94">
        <f t="shared" si="1"/>
        <v>2777.558</v>
      </c>
      <c r="C7" s="94">
        <f t="shared" si="2"/>
        <v>13019.80313</v>
      </c>
      <c r="D7" s="95">
        <f>SUMIFS('Income Query'!B:B, 'Income Query'!D:D, A7, 'Income Query'!F:F, "Gil")</f>
        <v>41663.37</v>
      </c>
      <c r="E7" s="95">
        <f t="shared" si="3"/>
        <v>144433.016</v>
      </c>
    </row>
    <row r="8">
      <c r="A8" s="89" t="s">
        <v>16</v>
      </c>
      <c r="B8" s="94">
        <f t="shared" si="1"/>
        <v>1053.632</v>
      </c>
      <c r="C8" s="94">
        <f t="shared" si="2"/>
        <v>4938.9</v>
      </c>
      <c r="D8" s="95">
        <f>SUMIFS('Income Query'!B:B, 'Income Query'!D:D, A8, 'Income Query'!F:F, "Gil")</f>
        <v>15804.48</v>
      </c>
      <c r="E8" s="95">
        <f t="shared" si="3"/>
        <v>54788.864</v>
      </c>
    </row>
    <row r="9">
      <c r="A9" s="89" t="s">
        <v>20</v>
      </c>
      <c r="B9" s="94">
        <f t="shared" si="1"/>
        <v>448.148</v>
      </c>
      <c r="C9" s="94">
        <f t="shared" si="2"/>
        <v>2100.69375</v>
      </c>
      <c r="D9" s="95">
        <f>SUMIFS('Income Query'!B:B, 'Income Query'!D:D, A9, 'Income Query'!F:F, "Gil")</f>
        <v>6722.22</v>
      </c>
      <c r="E9" s="95">
        <f t="shared" si="3"/>
        <v>23303.696</v>
      </c>
    </row>
    <row r="10">
      <c r="A10" s="89" t="s">
        <v>59</v>
      </c>
      <c r="B10" s="96">
        <f t="shared" ref="B10:E10" si="4">SUM(B6:B9)</f>
        <v>6304.358667</v>
      </c>
      <c r="C10" s="96">
        <f t="shared" si="4"/>
        <v>29551.68125</v>
      </c>
      <c r="D10" s="96">
        <f t="shared" si="4"/>
        <v>94565.38</v>
      </c>
      <c r="E10" s="96">
        <f t="shared" si="4"/>
        <v>327826.6507</v>
      </c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</row>
    <row r="11">
      <c r="A11" s="89"/>
      <c r="B11" s="93"/>
      <c r="C11" s="93"/>
      <c r="D11" s="93"/>
      <c r="E11" s="93"/>
    </row>
    <row r="12">
      <c r="A12" s="89" t="s">
        <v>60</v>
      </c>
      <c r="B12" s="93"/>
      <c r="C12" s="93"/>
      <c r="D12" s="93"/>
      <c r="E12" s="93"/>
    </row>
    <row r="13">
      <c r="A13" s="90"/>
      <c r="B13" s="92" t="s">
        <v>55</v>
      </c>
      <c r="C13" s="92" t="s">
        <v>56</v>
      </c>
      <c r="D13" s="92" t="s">
        <v>57</v>
      </c>
      <c r="E13" s="92" t="s">
        <v>58</v>
      </c>
    </row>
    <row r="14">
      <c r="A14" s="97" t="s">
        <v>13</v>
      </c>
      <c r="B14" s="94">
        <f>E14/52</f>
        <v>311.5384615</v>
      </c>
      <c r="C14" s="94">
        <v>1350.0</v>
      </c>
      <c r="D14" s="94">
        <f>C14*MONTH(TODAY())
</f>
        <v>5400</v>
      </c>
      <c r="E14" s="94">
        <v>16200.0</v>
      </c>
    </row>
    <row r="15">
      <c r="A15" s="97" t="s">
        <v>15</v>
      </c>
      <c r="B15" s="98">
        <f t="shared" ref="B15:B33" si="5">SUM(D15/(INT((TODAY() - DATE(YEAR(TODAY()), 1, 1) + WEEKDAY(DATE(YEAR(TODAY()), 1, 1))) / 7) + 1))</f>
        <v>51.46433333</v>
      </c>
      <c r="C15" s="94">
        <f t="shared" ref="C15:C33" si="6">SUM(D15/(YEARFRAC(DATE(YEAR(TODAY()), 1, 1), TODAY()) * 12))</f>
        <v>241.2390625</v>
      </c>
      <c r="D15" s="94">
        <f>SUMIF('Joint Expense Query'!E:E, A15, 'Joint Expense Query'!G:G) +
 SUMIFS('Individual Expense Query'!B:B, 'Individual Expense Query'!F:F, "Gil", 'Individual Expense Query'!D:D, A15)
</f>
        <v>771.965</v>
      </c>
      <c r="E15" s="94">
        <f t="shared" ref="E15:E33" si="7">SUM(B15*52)</f>
        <v>2676.145333</v>
      </c>
    </row>
    <row r="16">
      <c r="A16" s="97" t="s">
        <v>17</v>
      </c>
      <c r="B16" s="98">
        <f t="shared" si="5"/>
        <v>23.29433333</v>
      </c>
      <c r="C16" s="94">
        <f t="shared" si="6"/>
        <v>109.1921875</v>
      </c>
      <c r="D16" s="94">
        <f>SUMIF('Joint Expense Query'!E:E, A16, 'Joint Expense Query'!G:G) +
 SUMIFS('Individual Expense Query'!B:B, 'Individual Expense Query'!F:F, "Gil", 'Individual Expense Query'!D:D, A16)
</f>
        <v>349.415</v>
      </c>
      <c r="E16" s="94">
        <f t="shared" si="7"/>
        <v>1211.305333</v>
      </c>
    </row>
    <row r="17">
      <c r="A17" s="97" t="s">
        <v>19</v>
      </c>
      <c r="B17" s="98">
        <f t="shared" si="5"/>
        <v>53.11433333</v>
      </c>
      <c r="C17" s="94">
        <f t="shared" si="6"/>
        <v>248.9734375</v>
      </c>
      <c r="D17" s="94">
        <f>SUMIF('Joint Expense Query'!E:E, A17, 'Joint Expense Query'!G:G) +
 SUMIFS('Individual Expense Query'!B:B, 'Individual Expense Query'!F:F, "Gil", 'Individual Expense Query'!D:D, A17)
</f>
        <v>796.715</v>
      </c>
      <c r="E17" s="94">
        <f t="shared" si="7"/>
        <v>2761.945333</v>
      </c>
      <c r="F17" s="99"/>
    </row>
    <row r="18">
      <c r="A18" s="97" t="s">
        <v>21</v>
      </c>
      <c r="B18" s="98">
        <f t="shared" si="5"/>
        <v>393.884</v>
      </c>
      <c r="C18" s="94">
        <f t="shared" si="6"/>
        <v>1846.33125</v>
      </c>
      <c r="D18" s="94">
        <f>SUMIF('Joint Expense Query'!E:E, A18, 'Joint Expense Query'!G:G) +
 SUMIFS('Individual Expense Query'!B:B, 'Individual Expense Query'!F:F, "Gil", 'Individual Expense Query'!D:D, A18)
</f>
        <v>5908.26</v>
      </c>
      <c r="E18" s="94">
        <f t="shared" si="7"/>
        <v>20481.968</v>
      </c>
    </row>
    <row r="19">
      <c r="A19" s="97" t="s">
        <v>22</v>
      </c>
      <c r="B19" s="98">
        <f t="shared" si="5"/>
        <v>328.461</v>
      </c>
      <c r="C19" s="94">
        <f t="shared" si="6"/>
        <v>1539.660938</v>
      </c>
      <c r="D19" s="94">
        <f>SUMIF('Joint Expense Query'!E:E, A19, 'Joint Expense Query'!G:G) +
 SUMIFS('Individual Expense Query'!B:B, 'Individual Expense Query'!F:F, "Gil", 'Individual Expense Query'!D:D, A19)
</f>
        <v>4926.915</v>
      </c>
      <c r="E19" s="94">
        <f t="shared" si="7"/>
        <v>17079.972</v>
      </c>
    </row>
    <row r="20">
      <c r="A20" s="97" t="s">
        <v>23</v>
      </c>
      <c r="B20" s="98">
        <f t="shared" si="5"/>
        <v>108.676</v>
      </c>
      <c r="C20" s="94">
        <f t="shared" si="6"/>
        <v>509.41875</v>
      </c>
      <c r="D20" s="94">
        <f>SUMIF('Joint Expense Query'!E:E, A20, 'Joint Expense Query'!G:G) +
 SUMIFS('Individual Expense Query'!B:B, 'Individual Expense Query'!F:F, "Gil", 'Individual Expense Query'!D:D, A20)
</f>
        <v>1630.14</v>
      </c>
      <c r="E20" s="94">
        <f t="shared" si="7"/>
        <v>5651.152</v>
      </c>
    </row>
    <row r="21">
      <c r="A21" s="100" t="s">
        <v>24</v>
      </c>
      <c r="B21" s="98">
        <f t="shared" si="5"/>
        <v>199.9333333</v>
      </c>
      <c r="C21" s="94">
        <f t="shared" si="6"/>
        <v>937.1875</v>
      </c>
      <c r="D21" s="94">
        <f>SUMIF('Joint Expense Query'!E:E, A21, 'Joint Expense Query'!G:G) +
 SUMIFS('Individual Expense Query'!B:B, 'Individual Expense Query'!F:F, "Gil", 'Individual Expense Query'!D:D, A21)
</f>
        <v>2999</v>
      </c>
      <c r="E21" s="94">
        <f t="shared" si="7"/>
        <v>10396.53333</v>
      </c>
    </row>
    <row r="22">
      <c r="A22" s="100" t="s">
        <v>25</v>
      </c>
      <c r="B22" s="98">
        <f t="shared" si="5"/>
        <v>116.106</v>
      </c>
      <c r="C22" s="94">
        <f t="shared" si="6"/>
        <v>544.246875</v>
      </c>
      <c r="D22" s="94">
        <f>SUMIF('Joint Expense Query'!E:E, A22, 'Joint Expense Query'!G:G) +
 SUMIFS('Individual Expense Query'!B:B, 'Individual Expense Query'!F:F, "Gil", 'Individual Expense Query'!D:D, A22)
</f>
        <v>1741.59</v>
      </c>
      <c r="E22" s="94">
        <f t="shared" si="7"/>
        <v>6037.512</v>
      </c>
    </row>
    <row r="23">
      <c r="A23" s="100" t="s">
        <v>26</v>
      </c>
      <c r="B23" s="98">
        <f t="shared" si="5"/>
        <v>186.4286667</v>
      </c>
      <c r="C23" s="94">
        <f t="shared" si="6"/>
        <v>873.884375</v>
      </c>
      <c r="D23" s="94">
        <f>SUMIF('Joint Expense Query'!E:E, A23, 'Joint Expense Query'!G:G) +
 SUMIFS('Individual Expense Query'!B:B, 'Individual Expense Query'!F:F, "Gil", 'Individual Expense Query'!D:D, A23)
</f>
        <v>2796.43</v>
      </c>
      <c r="E23" s="94">
        <f t="shared" si="7"/>
        <v>9694.290667</v>
      </c>
    </row>
    <row r="24">
      <c r="A24" s="100" t="s">
        <v>27</v>
      </c>
      <c r="B24" s="98">
        <f t="shared" si="5"/>
        <v>228.190754</v>
      </c>
      <c r="C24" s="94">
        <f t="shared" si="6"/>
        <v>1069.644159</v>
      </c>
      <c r="D24" s="94">
        <f>SUMIF('Joint Expense Query'!E:E, A24, 'Joint Expense Query'!G:G) +
 SUMIFS('Individual Expense Query'!B:B, 'Individual Expense Query'!F:F, "Gil", 'Individual Expense Query'!D:D, A24)
</f>
        <v>3422.86131</v>
      </c>
      <c r="E24" s="94">
        <f t="shared" si="7"/>
        <v>11865.91921</v>
      </c>
    </row>
    <row r="25">
      <c r="A25" s="97" t="s">
        <v>28</v>
      </c>
      <c r="B25" s="98">
        <f t="shared" si="5"/>
        <v>217.875</v>
      </c>
      <c r="C25" s="94">
        <f t="shared" si="6"/>
        <v>1021.289063</v>
      </c>
      <c r="D25" s="94">
        <f>SUMIF('Joint Expense Query'!E:E, A25, 'Joint Expense Query'!G:G) +
 SUMIFS('Individual Expense Query'!B:B, 'Individual Expense Query'!F:F, "Gil", 'Individual Expense Query'!D:D, A25)
</f>
        <v>3268.125</v>
      </c>
      <c r="E25" s="94">
        <f t="shared" si="7"/>
        <v>11329.5</v>
      </c>
    </row>
    <row r="26">
      <c r="A26" s="100" t="s">
        <v>29</v>
      </c>
      <c r="B26" s="98">
        <f t="shared" si="5"/>
        <v>98.79266667</v>
      </c>
      <c r="C26" s="94">
        <f t="shared" si="6"/>
        <v>463.090625</v>
      </c>
      <c r="D26" s="94">
        <f>SUMIF('Joint Expense Query'!E:E, A26, 'Joint Expense Query'!G:G) +
 SUMIFS('Individual Expense Query'!B:B, 'Individual Expense Query'!F:F, "Gil", 'Individual Expense Query'!D:D, A26)
</f>
        <v>1481.89</v>
      </c>
      <c r="E26" s="94">
        <f t="shared" si="7"/>
        <v>5137.218667</v>
      </c>
    </row>
    <row r="27">
      <c r="A27" s="100" t="s">
        <v>30</v>
      </c>
      <c r="B27" s="98">
        <f t="shared" si="5"/>
        <v>107.2013333</v>
      </c>
      <c r="C27" s="94">
        <f t="shared" si="6"/>
        <v>502.50625</v>
      </c>
      <c r="D27" s="94">
        <f>SUMIF('Joint Expense Query'!E:E, A27, 'Joint Expense Query'!G:G) +
 SUMIFS('Individual Expense Query'!B:B, 'Individual Expense Query'!F:F, "Gil", 'Individual Expense Query'!D:D, A27)
</f>
        <v>1608.02</v>
      </c>
      <c r="E27" s="94">
        <f t="shared" si="7"/>
        <v>5574.469333</v>
      </c>
    </row>
    <row r="28">
      <c r="A28" s="97" t="s">
        <v>31</v>
      </c>
      <c r="B28" s="98">
        <f t="shared" si="5"/>
        <v>230.526</v>
      </c>
      <c r="C28" s="94">
        <f t="shared" si="6"/>
        <v>1080.590625</v>
      </c>
      <c r="D28" s="94">
        <f>SUMIF('Joint Expense Query'!E:E, A28, 'Joint Expense Query'!G:G) +
 SUMIFS('Individual Expense Query'!B:B, 'Individual Expense Query'!F:F, "Gil", 'Individual Expense Query'!D:D, A28)
</f>
        <v>3457.89</v>
      </c>
      <c r="E28" s="94">
        <f t="shared" si="7"/>
        <v>11987.352</v>
      </c>
    </row>
    <row r="29">
      <c r="A29" s="97" t="s">
        <v>32</v>
      </c>
      <c r="B29" s="98">
        <f t="shared" si="5"/>
        <v>56.92</v>
      </c>
      <c r="C29" s="94">
        <f t="shared" si="6"/>
        <v>266.8125</v>
      </c>
      <c r="D29" s="94">
        <f>SUMIF('Joint Expense Query'!E:E, A29, 'Joint Expense Query'!G:G) +
 SUMIFS('Individual Expense Query'!B:B, 'Individual Expense Query'!F:F, "Gil", 'Individual Expense Query'!D:D, A29)
</f>
        <v>853.8</v>
      </c>
      <c r="E29" s="94">
        <f t="shared" si="7"/>
        <v>2959.84</v>
      </c>
    </row>
    <row r="30">
      <c r="A30" s="97" t="s">
        <v>33</v>
      </c>
      <c r="B30" s="98">
        <f t="shared" si="5"/>
        <v>130.1813333</v>
      </c>
      <c r="C30" s="94">
        <f t="shared" si="6"/>
        <v>610.225</v>
      </c>
      <c r="D30" s="94">
        <f>SUMIF('Joint Expense Query'!E:E, A30, 'Joint Expense Query'!G:G) +
 SUMIFS('Individual Expense Query'!B:B, 'Individual Expense Query'!F:F, "Gil", 'Individual Expense Query'!D:D, A30)
</f>
        <v>1952.72</v>
      </c>
      <c r="E30" s="94">
        <f t="shared" si="7"/>
        <v>6769.429333</v>
      </c>
    </row>
    <row r="31">
      <c r="A31" s="97" t="s">
        <v>61</v>
      </c>
      <c r="B31" s="98">
        <f t="shared" si="5"/>
        <v>53.052</v>
      </c>
      <c r="C31" s="94">
        <f t="shared" si="6"/>
        <v>248.68125</v>
      </c>
      <c r="D31" s="94">
        <f>SUMIF('Joint Expense Query'!E:E, A31, 'Joint Expense Query'!G:G) +
 SUMIFS('Individual Expense Query'!B:B, 'Individual Expense Query'!F:F, "Gil", 'Individual Expense Query'!D:D, A31)
</f>
        <v>795.78</v>
      </c>
      <c r="E31" s="94">
        <f t="shared" si="7"/>
        <v>2758.704</v>
      </c>
    </row>
    <row r="32">
      <c r="A32" s="97" t="s">
        <v>35</v>
      </c>
      <c r="B32" s="98">
        <f t="shared" si="5"/>
        <v>323.9523333</v>
      </c>
      <c r="C32" s="94">
        <f t="shared" si="6"/>
        <v>1518.526563</v>
      </c>
      <c r="D32" s="94">
        <f>SUMIF('Joint Expense Query'!E:E, A32, 'Joint Expense Query'!G:G) +
 SUMIFS('Individual Expense Query'!B:B, 'Individual Expense Query'!F:F, "Gil", 'Individual Expense Query'!D:D, A32)
</f>
        <v>4859.285</v>
      </c>
      <c r="E32" s="94">
        <f t="shared" si="7"/>
        <v>16845.52133</v>
      </c>
    </row>
    <row r="33">
      <c r="A33" s="97" t="s">
        <v>20</v>
      </c>
      <c r="B33" s="98">
        <f t="shared" si="5"/>
        <v>29.94233333</v>
      </c>
      <c r="C33" s="94">
        <f t="shared" si="6"/>
        <v>140.3546875</v>
      </c>
      <c r="D33" s="94">
        <f>SUMIF('Joint Expense Query'!E:E, A33, 'Joint Expense Query'!G:G) +
 SUMIFS('Individual Expense Query'!B:B, 'Individual Expense Query'!F:F, "Gil", 'Individual Expense Query'!D:D, A33)
</f>
        <v>449.135</v>
      </c>
      <c r="E33" s="94">
        <f t="shared" si="7"/>
        <v>1557.001333</v>
      </c>
    </row>
    <row r="34">
      <c r="A34" s="97" t="s">
        <v>59</v>
      </c>
      <c r="B34" s="101">
        <f t="shared" ref="B34:E34" si="8">SUM(B14:B33)</f>
        <v>3249.534216</v>
      </c>
      <c r="C34" s="101">
        <f t="shared" si="8"/>
        <v>15121.8551</v>
      </c>
      <c r="D34" s="101">
        <f t="shared" si="8"/>
        <v>49469.93631</v>
      </c>
      <c r="E34" s="101">
        <f t="shared" si="8"/>
        <v>168975.7792</v>
      </c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</row>
    <row r="35">
      <c r="A35" s="97" t="s">
        <v>62</v>
      </c>
      <c r="B35" s="101">
        <f t="shared" ref="B35:E35" si="9">SUM(B10-B34)</f>
        <v>3054.824451</v>
      </c>
      <c r="C35" s="101">
        <f t="shared" si="9"/>
        <v>14429.82615</v>
      </c>
      <c r="D35" s="101">
        <f t="shared" si="9"/>
        <v>45095.44369</v>
      </c>
      <c r="E35" s="101">
        <f t="shared" si="9"/>
        <v>158850.8715</v>
      </c>
    </row>
    <row r="36">
      <c r="A36" s="91"/>
    </row>
    <row r="37">
      <c r="A37" s="91"/>
    </row>
    <row r="38">
      <c r="A38" s="91"/>
    </row>
    <row r="39">
      <c r="A39" s="91"/>
    </row>
    <row r="40">
      <c r="A40" s="91"/>
    </row>
    <row r="41">
      <c r="A41" s="91"/>
    </row>
    <row r="42">
      <c r="A42" s="91"/>
    </row>
    <row r="43">
      <c r="A43" s="91"/>
    </row>
    <row r="44">
      <c r="A44" s="91"/>
    </row>
    <row r="45">
      <c r="A45" s="91"/>
    </row>
    <row r="46">
      <c r="A46" s="91"/>
    </row>
    <row r="47">
      <c r="A47" s="91"/>
    </row>
    <row r="48">
      <c r="A48" s="91"/>
    </row>
    <row r="49">
      <c r="A49" s="91"/>
    </row>
    <row r="50">
      <c r="A50" s="91"/>
    </row>
    <row r="51">
      <c r="A51" s="91"/>
    </row>
    <row r="52">
      <c r="A52" s="91"/>
    </row>
    <row r="53">
      <c r="A53" s="91"/>
    </row>
    <row r="54">
      <c r="A54" s="91"/>
    </row>
    <row r="55">
      <c r="A55" s="91"/>
    </row>
    <row r="56">
      <c r="A56" s="91"/>
    </row>
    <row r="57">
      <c r="A57" s="91"/>
    </row>
    <row r="58">
      <c r="A58" s="91"/>
    </row>
    <row r="59">
      <c r="A59" s="91"/>
    </row>
    <row r="60">
      <c r="A60" s="91"/>
    </row>
    <row r="61">
      <c r="A61" s="91"/>
    </row>
    <row r="62">
      <c r="A62" s="91"/>
    </row>
    <row r="63">
      <c r="A63" s="91"/>
    </row>
    <row r="64">
      <c r="A64" s="91"/>
    </row>
    <row r="65">
      <c r="A65" s="91"/>
    </row>
    <row r="66">
      <c r="A66" s="91"/>
    </row>
    <row r="67">
      <c r="A67" s="91"/>
    </row>
    <row r="68">
      <c r="A68" s="91"/>
    </row>
    <row r="69">
      <c r="A69" s="91"/>
    </row>
    <row r="70">
      <c r="A70" s="91"/>
    </row>
    <row r="71">
      <c r="A71" s="91"/>
    </row>
    <row r="72">
      <c r="A72" s="91"/>
    </row>
    <row r="73">
      <c r="A73" s="91"/>
    </row>
    <row r="74">
      <c r="A74" s="91"/>
    </row>
    <row r="75">
      <c r="A75" s="91"/>
    </row>
    <row r="76">
      <c r="A76" s="91"/>
    </row>
    <row r="77">
      <c r="A77" s="91"/>
    </row>
    <row r="78">
      <c r="A78" s="91"/>
    </row>
    <row r="79">
      <c r="A79" s="91"/>
    </row>
    <row r="80">
      <c r="A80" s="91"/>
    </row>
    <row r="81">
      <c r="A81" s="91"/>
    </row>
    <row r="82">
      <c r="A82" s="91"/>
    </row>
    <row r="83">
      <c r="A83" s="91"/>
    </row>
    <row r="84">
      <c r="A84" s="91"/>
    </row>
    <row r="85">
      <c r="A85" s="91"/>
    </row>
    <row r="86">
      <c r="A86" s="91"/>
    </row>
    <row r="87">
      <c r="A87" s="91"/>
    </row>
    <row r="88">
      <c r="A88" s="91"/>
    </row>
    <row r="89">
      <c r="A89" s="91"/>
    </row>
    <row r="90">
      <c r="A90" s="91"/>
    </row>
    <row r="91">
      <c r="A91" s="91"/>
    </row>
    <row r="92">
      <c r="A92" s="91"/>
    </row>
    <row r="93">
      <c r="A93" s="91"/>
    </row>
    <row r="94">
      <c r="A94" s="91"/>
    </row>
    <row r="95">
      <c r="A95" s="91"/>
    </row>
    <row r="96">
      <c r="A96" s="91"/>
    </row>
    <row r="97">
      <c r="A97" s="91"/>
    </row>
    <row r="98">
      <c r="A98" s="91"/>
    </row>
    <row r="99">
      <c r="A99" s="91"/>
    </row>
    <row r="100">
      <c r="A100" s="91"/>
    </row>
    <row r="101">
      <c r="A101" s="91"/>
    </row>
    <row r="102">
      <c r="A102" s="91"/>
    </row>
    <row r="103">
      <c r="A103" s="91"/>
    </row>
    <row r="104">
      <c r="A104" s="91"/>
    </row>
    <row r="105">
      <c r="A105" s="91"/>
    </row>
    <row r="106">
      <c r="A106" s="91"/>
    </row>
    <row r="107">
      <c r="A107" s="91"/>
    </row>
    <row r="108">
      <c r="A108" s="91"/>
    </row>
    <row r="109">
      <c r="A109" s="91"/>
    </row>
    <row r="110">
      <c r="A110" s="91"/>
    </row>
    <row r="111">
      <c r="A111" s="91"/>
    </row>
    <row r="112">
      <c r="A112" s="91"/>
    </row>
    <row r="113">
      <c r="A113" s="91"/>
    </row>
    <row r="114">
      <c r="A114" s="91"/>
    </row>
    <row r="115">
      <c r="A115" s="91"/>
    </row>
    <row r="116">
      <c r="A116" s="91"/>
    </row>
    <row r="117">
      <c r="A117" s="91"/>
    </row>
    <row r="118">
      <c r="A118" s="91"/>
    </row>
    <row r="119">
      <c r="A119" s="91"/>
    </row>
    <row r="120">
      <c r="A120" s="91"/>
    </row>
    <row r="121">
      <c r="A121" s="91"/>
    </row>
    <row r="122">
      <c r="A122" s="91"/>
    </row>
    <row r="123">
      <c r="A123" s="91"/>
    </row>
    <row r="124">
      <c r="A124" s="91"/>
    </row>
    <row r="125">
      <c r="A125" s="91"/>
    </row>
    <row r="126">
      <c r="A126" s="91"/>
    </row>
    <row r="127">
      <c r="A127" s="91"/>
    </row>
    <row r="128">
      <c r="A128" s="91"/>
    </row>
    <row r="129">
      <c r="A129" s="91"/>
    </row>
    <row r="130">
      <c r="A130" s="91"/>
    </row>
    <row r="131">
      <c r="A131" s="91"/>
    </row>
    <row r="132">
      <c r="A132" s="91"/>
    </row>
    <row r="133">
      <c r="A133" s="91"/>
    </row>
    <row r="134">
      <c r="A134" s="91"/>
    </row>
    <row r="135">
      <c r="A135" s="91"/>
    </row>
    <row r="136">
      <c r="A136" s="91"/>
    </row>
    <row r="137">
      <c r="A137" s="91"/>
    </row>
    <row r="138">
      <c r="A138" s="91"/>
    </row>
    <row r="139">
      <c r="A139" s="91"/>
    </row>
    <row r="140">
      <c r="A140" s="91"/>
    </row>
    <row r="141">
      <c r="A141" s="91"/>
    </row>
    <row r="142">
      <c r="A142" s="91"/>
    </row>
    <row r="143">
      <c r="A143" s="91"/>
    </row>
    <row r="144">
      <c r="A144" s="91"/>
    </row>
    <row r="145">
      <c r="A145" s="91"/>
    </row>
    <row r="146">
      <c r="A146" s="91"/>
    </row>
    <row r="147">
      <c r="A147" s="91"/>
    </row>
    <row r="148">
      <c r="A148" s="91"/>
    </row>
    <row r="149">
      <c r="A149" s="91"/>
    </row>
    <row r="150">
      <c r="A150" s="91"/>
    </row>
    <row r="151">
      <c r="A151" s="91"/>
    </row>
    <row r="152">
      <c r="A152" s="91"/>
    </row>
    <row r="153">
      <c r="A153" s="91"/>
    </row>
    <row r="154">
      <c r="A154" s="91"/>
    </row>
    <row r="155">
      <c r="A155" s="91"/>
    </row>
    <row r="156">
      <c r="A156" s="91"/>
    </row>
    <row r="157">
      <c r="A157" s="91"/>
    </row>
    <row r="158">
      <c r="A158" s="91"/>
    </row>
    <row r="159">
      <c r="A159" s="91"/>
    </row>
    <row r="160">
      <c r="A160" s="91"/>
    </row>
    <row r="161">
      <c r="A161" s="91"/>
    </row>
    <row r="162">
      <c r="A162" s="91"/>
    </row>
    <row r="163">
      <c r="A163" s="91"/>
    </row>
    <row r="164">
      <c r="A164" s="91"/>
    </row>
    <row r="165">
      <c r="A165" s="91"/>
    </row>
    <row r="166">
      <c r="A166" s="91"/>
    </row>
    <row r="167">
      <c r="A167" s="91"/>
    </row>
    <row r="168">
      <c r="A168" s="91"/>
    </row>
    <row r="169">
      <c r="A169" s="91"/>
    </row>
    <row r="170">
      <c r="A170" s="91"/>
    </row>
    <row r="171">
      <c r="A171" s="91"/>
    </row>
    <row r="172">
      <c r="A172" s="91"/>
    </row>
    <row r="173">
      <c r="A173" s="91"/>
    </row>
    <row r="174">
      <c r="A174" s="91"/>
    </row>
    <row r="175">
      <c r="A175" s="91"/>
    </row>
    <row r="176">
      <c r="A176" s="91"/>
    </row>
    <row r="177">
      <c r="A177" s="91"/>
    </row>
    <row r="178">
      <c r="A178" s="91"/>
    </row>
    <row r="179">
      <c r="A179" s="91"/>
    </row>
    <row r="180">
      <c r="A180" s="91"/>
    </row>
    <row r="181">
      <c r="A181" s="91"/>
    </row>
    <row r="182">
      <c r="A182" s="91"/>
    </row>
    <row r="183">
      <c r="A183" s="91"/>
    </row>
    <row r="184">
      <c r="A184" s="91"/>
    </row>
    <row r="185">
      <c r="A185" s="91"/>
    </row>
    <row r="186">
      <c r="A186" s="91"/>
    </row>
    <row r="187">
      <c r="A187" s="91"/>
    </row>
    <row r="188">
      <c r="A188" s="91"/>
    </row>
    <row r="189">
      <c r="A189" s="91"/>
    </row>
    <row r="190">
      <c r="A190" s="91"/>
    </row>
    <row r="191">
      <c r="A191" s="91"/>
    </row>
    <row r="192">
      <c r="A192" s="91"/>
    </row>
    <row r="193">
      <c r="A193" s="91"/>
    </row>
    <row r="194">
      <c r="A194" s="91"/>
    </row>
    <row r="195">
      <c r="A195" s="91"/>
    </row>
    <row r="196">
      <c r="A196" s="91"/>
    </row>
    <row r="197">
      <c r="A197" s="91"/>
    </row>
    <row r="198">
      <c r="A198" s="91"/>
    </row>
    <row r="199">
      <c r="A199" s="91"/>
    </row>
    <row r="200">
      <c r="A200" s="91"/>
    </row>
    <row r="201">
      <c r="A201" s="91"/>
    </row>
    <row r="202">
      <c r="A202" s="91"/>
    </row>
    <row r="203">
      <c r="A203" s="91"/>
    </row>
    <row r="204">
      <c r="A204" s="91"/>
    </row>
    <row r="205">
      <c r="A205" s="91"/>
    </row>
    <row r="206">
      <c r="A206" s="91"/>
    </row>
    <row r="207">
      <c r="A207" s="91"/>
    </row>
    <row r="208">
      <c r="A208" s="91"/>
    </row>
    <row r="209">
      <c r="A209" s="91"/>
    </row>
    <row r="210">
      <c r="A210" s="91"/>
    </row>
    <row r="211">
      <c r="A211" s="91"/>
    </row>
    <row r="212">
      <c r="A212" s="91"/>
    </row>
    <row r="213">
      <c r="A213" s="91"/>
    </row>
    <row r="214">
      <c r="A214" s="91"/>
    </row>
    <row r="215">
      <c r="A215" s="91"/>
    </row>
    <row r="216">
      <c r="A216" s="91"/>
    </row>
    <row r="217">
      <c r="A217" s="91"/>
    </row>
    <row r="218">
      <c r="A218" s="91"/>
    </row>
    <row r="219">
      <c r="A219" s="91"/>
    </row>
    <row r="220">
      <c r="A220" s="91"/>
    </row>
    <row r="221">
      <c r="A221" s="91"/>
    </row>
    <row r="222">
      <c r="A222" s="91"/>
    </row>
    <row r="223">
      <c r="A223" s="91"/>
    </row>
    <row r="224">
      <c r="A224" s="91"/>
    </row>
    <row r="225">
      <c r="A225" s="91"/>
    </row>
    <row r="226">
      <c r="A226" s="91"/>
    </row>
    <row r="227">
      <c r="A227" s="91"/>
    </row>
    <row r="228">
      <c r="A228" s="91"/>
    </row>
    <row r="229">
      <c r="A229" s="91"/>
    </row>
    <row r="230">
      <c r="A230" s="91"/>
    </row>
    <row r="231">
      <c r="A231" s="91"/>
    </row>
    <row r="232">
      <c r="A232" s="91"/>
    </row>
    <row r="233">
      <c r="A233" s="91"/>
    </row>
    <row r="234">
      <c r="A234" s="91"/>
    </row>
    <row r="235">
      <c r="A235" s="91"/>
    </row>
    <row r="236">
      <c r="A236" s="91"/>
    </row>
    <row r="237">
      <c r="A237" s="91"/>
    </row>
    <row r="238">
      <c r="A238" s="91"/>
    </row>
    <row r="239">
      <c r="A239" s="91"/>
    </row>
    <row r="240">
      <c r="A240" s="91"/>
    </row>
    <row r="241">
      <c r="A241" s="91"/>
    </row>
    <row r="242">
      <c r="A242" s="91"/>
    </row>
    <row r="243">
      <c r="A243" s="91"/>
    </row>
    <row r="244">
      <c r="A244" s="91"/>
    </row>
    <row r="245">
      <c r="A245" s="91"/>
    </row>
    <row r="246">
      <c r="A246" s="91"/>
    </row>
    <row r="247">
      <c r="A247" s="91"/>
    </row>
    <row r="248">
      <c r="A248" s="91"/>
    </row>
    <row r="249">
      <c r="A249" s="91"/>
    </row>
    <row r="250">
      <c r="A250" s="91"/>
    </row>
    <row r="251">
      <c r="A251" s="91"/>
    </row>
    <row r="252">
      <c r="A252" s="91"/>
    </row>
    <row r="253">
      <c r="A253" s="91"/>
    </row>
    <row r="254">
      <c r="A254" s="91"/>
    </row>
    <row r="255">
      <c r="A255" s="91"/>
    </row>
    <row r="256">
      <c r="A256" s="91"/>
    </row>
    <row r="257">
      <c r="A257" s="91"/>
    </row>
    <row r="258">
      <c r="A258" s="91"/>
    </row>
    <row r="259">
      <c r="A259" s="91"/>
    </row>
    <row r="260">
      <c r="A260" s="91"/>
    </row>
    <row r="261">
      <c r="A261" s="91"/>
    </row>
    <row r="262">
      <c r="A262" s="91"/>
    </row>
    <row r="263">
      <c r="A263" s="91"/>
    </row>
    <row r="264">
      <c r="A264" s="91"/>
    </row>
    <row r="265">
      <c r="A265" s="91"/>
    </row>
    <row r="266">
      <c r="A266" s="91"/>
    </row>
    <row r="267">
      <c r="A267" s="91"/>
    </row>
    <row r="268">
      <c r="A268" s="91"/>
    </row>
    <row r="269">
      <c r="A269" s="91"/>
    </row>
    <row r="270">
      <c r="A270" s="91"/>
    </row>
    <row r="271">
      <c r="A271" s="91"/>
    </row>
    <row r="272">
      <c r="A272" s="91"/>
    </row>
    <row r="273">
      <c r="A273" s="91"/>
    </row>
    <row r="274">
      <c r="A274" s="91"/>
    </row>
    <row r="275">
      <c r="A275" s="91"/>
    </row>
    <row r="276">
      <c r="A276" s="91"/>
    </row>
    <row r="277">
      <c r="A277" s="91"/>
    </row>
    <row r="278">
      <c r="A278" s="91"/>
    </row>
    <row r="279">
      <c r="A279" s="91"/>
    </row>
    <row r="280">
      <c r="A280" s="91"/>
    </row>
    <row r="281">
      <c r="A281" s="91"/>
    </row>
    <row r="282">
      <c r="A282" s="91"/>
    </row>
    <row r="283">
      <c r="A283" s="91"/>
    </row>
    <row r="284">
      <c r="A284" s="91"/>
    </row>
    <row r="285">
      <c r="A285" s="91"/>
    </row>
    <row r="286">
      <c r="A286" s="91"/>
    </row>
    <row r="287">
      <c r="A287" s="91"/>
    </row>
    <row r="288">
      <c r="A288" s="91"/>
    </row>
    <row r="289">
      <c r="A289" s="91"/>
    </row>
    <row r="290">
      <c r="A290" s="91"/>
    </row>
    <row r="291">
      <c r="A291" s="91"/>
    </row>
    <row r="292">
      <c r="A292" s="91"/>
    </row>
    <row r="293">
      <c r="A293" s="91"/>
    </row>
    <row r="294">
      <c r="A294" s="91"/>
    </row>
    <row r="295">
      <c r="A295" s="91"/>
    </row>
    <row r="296">
      <c r="A296" s="91"/>
    </row>
    <row r="297">
      <c r="A297" s="91"/>
    </row>
    <row r="298">
      <c r="A298" s="91"/>
    </row>
    <row r="299">
      <c r="A299" s="91"/>
    </row>
    <row r="300">
      <c r="A300" s="91"/>
    </row>
    <row r="301">
      <c r="A301" s="91"/>
    </row>
    <row r="302">
      <c r="A302" s="91"/>
    </row>
    <row r="303">
      <c r="A303" s="91"/>
    </row>
    <row r="304">
      <c r="A304" s="91"/>
    </row>
    <row r="305">
      <c r="A305" s="91"/>
    </row>
    <row r="306">
      <c r="A306" s="91"/>
    </row>
    <row r="307">
      <c r="A307" s="91"/>
    </row>
    <row r="308">
      <c r="A308" s="91"/>
    </row>
    <row r="309">
      <c r="A309" s="91"/>
    </row>
    <row r="310">
      <c r="A310" s="91"/>
    </row>
    <row r="311">
      <c r="A311" s="91"/>
    </row>
    <row r="312">
      <c r="A312" s="91"/>
    </row>
    <row r="313">
      <c r="A313" s="91"/>
    </row>
    <row r="314">
      <c r="A314" s="91"/>
    </row>
    <row r="315">
      <c r="A315" s="91"/>
    </row>
    <row r="316">
      <c r="A316" s="91"/>
    </row>
    <row r="317">
      <c r="A317" s="91"/>
    </row>
    <row r="318">
      <c r="A318" s="91"/>
    </row>
    <row r="319">
      <c r="A319" s="91"/>
    </row>
    <row r="320">
      <c r="A320" s="91"/>
    </row>
    <row r="321">
      <c r="A321" s="91"/>
    </row>
    <row r="322">
      <c r="A322" s="91"/>
    </row>
    <row r="323">
      <c r="A323" s="91"/>
    </row>
    <row r="324">
      <c r="A324" s="91"/>
    </row>
    <row r="325">
      <c r="A325" s="91"/>
    </row>
    <row r="326">
      <c r="A326" s="91"/>
    </row>
    <row r="327">
      <c r="A327" s="91"/>
    </row>
    <row r="328">
      <c r="A328" s="91"/>
    </row>
    <row r="329">
      <c r="A329" s="91"/>
    </row>
    <row r="330">
      <c r="A330" s="91"/>
    </row>
    <row r="331">
      <c r="A331" s="91"/>
    </row>
    <row r="332">
      <c r="A332" s="91"/>
    </row>
    <row r="333">
      <c r="A333" s="91"/>
    </row>
    <row r="334">
      <c r="A334" s="91"/>
    </row>
    <row r="335">
      <c r="A335" s="91"/>
    </row>
    <row r="336">
      <c r="A336" s="91"/>
    </row>
    <row r="337">
      <c r="A337" s="91"/>
    </row>
    <row r="338">
      <c r="A338" s="91"/>
    </row>
    <row r="339">
      <c r="A339" s="91"/>
    </row>
    <row r="340">
      <c r="A340" s="91"/>
    </row>
    <row r="341">
      <c r="A341" s="91"/>
    </row>
    <row r="342">
      <c r="A342" s="91"/>
    </row>
    <row r="343">
      <c r="A343" s="91"/>
    </row>
    <row r="344">
      <c r="A344" s="91"/>
    </row>
    <row r="345">
      <c r="A345" s="91"/>
    </row>
    <row r="346">
      <c r="A346" s="91"/>
    </row>
    <row r="347">
      <c r="A347" s="91"/>
    </row>
    <row r="348">
      <c r="A348" s="91"/>
    </row>
    <row r="349">
      <c r="A349" s="91"/>
    </row>
    <row r="350">
      <c r="A350" s="91"/>
    </row>
    <row r="351">
      <c r="A351" s="91"/>
    </row>
    <row r="352">
      <c r="A352" s="91"/>
    </row>
    <row r="353">
      <c r="A353" s="91"/>
    </row>
    <row r="354">
      <c r="A354" s="91"/>
    </row>
    <row r="355">
      <c r="A355" s="91"/>
    </row>
    <row r="356">
      <c r="A356" s="91"/>
    </row>
    <row r="357">
      <c r="A357" s="91"/>
    </row>
    <row r="358">
      <c r="A358" s="91"/>
    </row>
    <row r="359">
      <c r="A359" s="91"/>
    </row>
    <row r="360">
      <c r="A360" s="91"/>
    </row>
    <row r="361">
      <c r="A361" s="91"/>
    </row>
    <row r="362">
      <c r="A362" s="91"/>
    </row>
    <row r="363">
      <c r="A363" s="91"/>
    </row>
    <row r="364">
      <c r="A364" s="91"/>
    </row>
    <row r="365">
      <c r="A365" s="91"/>
    </row>
    <row r="366">
      <c r="A366" s="91"/>
    </row>
    <row r="367">
      <c r="A367" s="91"/>
    </row>
    <row r="368">
      <c r="A368" s="91"/>
    </row>
    <row r="369">
      <c r="A369" s="91"/>
    </row>
    <row r="370">
      <c r="A370" s="91"/>
    </row>
    <row r="371">
      <c r="A371" s="91"/>
    </row>
    <row r="372">
      <c r="A372" s="91"/>
    </row>
    <row r="373">
      <c r="A373" s="91"/>
    </row>
    <row r="374">
      <c r="A374" s="91"/>
    </row>
    <row r="375">
      <c r="A375" s="91"/>
    </row>
    <row r="376">
      <c r="A376" s="91"/>
    </row>
    <row r="377">
      <c r="A377" s="91"/>
    </row>
    <row r="378">
      <c r="A378" s="91"/>
    </row>
    <row r="379">
      <c r="A379" s="91"/>
    </row>
    <row r="380">
      <c r="A380" s="91"/>
    </row>
    <row r="381">
      <c r="A381" s="91"/>
    </row>
    <row r="382">
      <c r="A382" s="91"/>
    </row>
    <row r="383">
      <c r="A383" s="91"/>
    </row>
    <row r="384">
      <c r="A384" s="91"/>
    </row>
    <row r="385">
      <c r="A385" s="91"/>
    </row>
    <row r="386">
      <c r="A386" s="91"/>
    </row>
    <row r="387">
      <c r="A387" s="91"/>
    </row>
    <row r="388">
      <c r="A388" s="91"/>
    </row>
    <row r="389">
      <c r="A389" s="91"/>
    </row>
    <row r="390">
      <c r="A390" s="91"/>
    </row>
    <row r="391">
      <c r="A391" s="91"/>
    </row>
    <row r="392">
      <c r="A392" s="91"/>
    </row>
    <row r="393">
      <c r="A393" s="91"/>
    </row>
    <row r="394">
      <c r="A394" s="91"/>
    </row>
    <row r="395">
      <c r="A395" s="91"/>
    </row>
    <row r="396">
      <c r="A396" s="91"/>
    </row>
    <row r="397">
      <c r="A397" s="91"/>
    </row>
    <row r="398">
      <c r="A398" s="91"/>
    </row>
    <row r="399">
      <c r="A399" s="91"/>
    </row>
    <row r="400">
      <c r="A400" s="91"/>
    </row>
    <row r="401">
      <c r="A401" s="91"/>
    </row>
    <row r="402">
      <c r="A402" s="91"/>
    </row>
    <row r="403">
      <c r="A403" s="91"/>
    </row>
    <row r="404">
      <c r="A404" s="91"/>
    </row>
    <row r="405">
      <c r="A405" s="91"/>
    </row>
    <row r="406">
      <c r="A406" s="91"/>
    </row>
    <row r="407">
      <c r="A407" s="91"/>
    </row>
    <row r="408">
      <c r="A408" s="91"/>
    </row>
    <row r="409">
      <c r="A409" s="91"/>
    </row>
    <row r="410">
      <c r="A410" s="91"/>
    </row>
    <row r="411">
      <c r="A411" s="91"/>
    </row>
    <row r="412">
      <c r="A412" s="91"/>
    </row>
    <row r="413">
      <c r="A413" s="91"/>
    </row>
    <row r="414">
      <c r="A414" s="91"/>
    </row>
    <row r="415">
      <c r="A415" s="91"/>
    </row>
    <row r="416">
      <c r="A416" s="91"/>
    </row>
    <row r="417">
      <c r="A417" s="91"/>
    </row>
    <row r="418">
      <c r="A418" s="91"/>
    </row>
    <row r="419">
      <c r="A419" s="91"/>
    </row>
    <row r="420">
      <c r="A420" s="91"/>
    </row>
    <row r="421">
      <c r="A421" s="91"/>
    </row>
    <row r="422">
      <c r="A422" s="91"/>
    </row>
    <row r="423">
      <c r="A423" s="91"/>
    </row>
    <row r="424">
      <c r="A424" s="91"/>
    </row>
    <row r="425">
      <c r="A425" s="91"/>
    </row>
    <row r="426">
      <c r="A426" s="91"/>
    </row>
    <row r="427">
      <c r="A427" s="91"/>
    </row>
    <row r="428">
      <c r="A428" s="91"/>
    </row>
    <row r="429">
      <c r="A429" s="91"/>
    </row>
    <row r="430">
      <c r="A430" s="91"/>
    </row>
    <row r="431">
      <c r="A431" s="91"/>
    </row>
    <row r="432">
      <c r="A432" s="91"/>
    </row>
    <row r="433">
      <c r="A433" s="91"/>
    </row>
    <row r="434">
      <c r="A434" s="91"/>
    </row>
    <row r="435">
      <c r="A435" s="91"/>
    </row>
    <row r="436">
      <c r="A436" s="91"/>
    </row>
    <row r="437">
      <c r="A437" s="91"/>
    </row>
    <row r="438">
      <c r="A438" s="91"/>
    </row>
    <row r="439">
      <c r="A439" s="91"/>
    </row>
    <row r="440">
      <c r="A440" s="91"/>
    </row>
    <row r="441">
      <c r="A441" s="91"/>
    </row>
    <row r="442">
      <c r="A442" s="91"/>
    </row>
    <row r="443">
      <c r="A443" s="91"/>
    </row>
    <row r="444">
      <c r="A444" s="91"/>
    </row>
    <row r="445">
      <c r="A445" s="91"/>
    </row>
    <row r="446">
      <c r="A446" s="91"/>
    </row>
    <row r="447">
      <c r="A447" s="91"/>
    </row>
    <row r="448">
      <c r="A448" s="91"/>
    </row>
    <row r="449">
      <c r="A449" s="91"/>
    </row>
    <row r="450">
      <c r="A450" s="91"/>
    </row>
    <row r="451">
      <c r="A451" s="91"/>
    </row>
    <row r="452">
      <c r="A452" s="91"/>
    </row>
    <row r="453">
      <c r="A453" s="91"/>
    </row>
    <row r="454">
      <c r="A454" s="91"/>
    </row>
    <row r="455">
      <c r="A455" s="91"/>
    </row>
    <row r="456">
      <c r="A456" s="91"/>
    </row>
    <row r="457">
      <c r="A457" s="91"/>
    </row>
    <row r="458">
      <c r="A458" s="91"/>
    </row>
    <row r="459">
      <c r="A459" s="91"/>
    </row>
    <row r="460">
      <c r="A460" s="91"/>
    </row>
    <row r="461">
      <c r="A461" s="91"/>
    </row>
    <row r="462">
      <c r="A462" s="91"/>
    </row>
    <row r="463">
      <c r="A463" s="91"/>
    </row>
    <row r="464">
      <c r="A464" s="91"/>
    </row>
    <row r="465">
      <c r="A465" s="91"/>
    </row>
    <row r="466">
      <c r="A466" s="91"/>
    </row>
    <row r="467">
      <c r="A467" s="91"/>
    </row>
    <row r="468">
      <c r="A468" s="91"/>
    </row>
    <row r="469">
      <c r="A469" s="91"/>
    </row>
    <row r="470">
      <c r="A470" s="91"/>
    </row>
    <row r="471">
      <c r="A471" s="91"/>
    </row>
    <row r="472">
      <c r="A472" s="91"/>
    </row>
    <row r="473">
      <c r="A473" s="91"/>
    </row>
    <row r="474">
      <c r="A474" s="91"/>
    </row>
    <row r="475">
      <c r="A475" s="91"/>
    </row>
    <row r="476">
      <c r="A476" s="91"/>
    </row>
    <row r="477">
      <c r="A477" s="91"/>
    </row>
    <row r="478">
      <c r="A478" s="91"/>
    </row>
    <row r="479">
      <c r="A479" s="91"/>
    </row>
    <row r="480">
      <c r="A480" s="91"/>
    </row>
    <row r="481">
      <c r="A481" s="91"/>
    </row>
    <row r="482">
      <c r="A482" s="91"/>
    </row>
    <row r="483">
      <c r="A483" s="91"/>
    </row>
    <row r="484">
      <c r="A484" s="91"/>
    </row>
    <row r="485">
      <c r="A485" s="91"/>
    </row>
    <row r="486">
      <c r="A486" s="91"/>
    </row>
    <row r="487">
      <c r="A487" s="91"/>
    </row>
    <row r="488">
      <c r="A488" s="91"/>
    </row>
    <row r="489">
      <c r="A489" s="91"/>
    </row>
    <row r="490">
      <c r="A490" s="91"/>
    </row>
    <row r="491">
      <c r="A491" s="91"/>
    </row>
    <row r="492">
      <c r="A492" s="91"/>
    </row>
    <row r="493">
      <c r="A493" s="91"/>
    </row>
    <row r="494">
      <c r="A494" s="91"/>
    </row>
    <row r="495">
      <c r="A495" s="91"/>
    </row>
    <row r="496">
      <c r="A496" s="91"/>
    </row>
    <row r="497">
      <c r="A497" s="91"/>
    </row>
    <row r="498">
      <c r="A498" s="91"/>
    </row>
    <row r="499">
      <c r="A499" s="91"/>
    </row>
    <row r="500">
      <c r="A500" s="91"/>
    </row>
    <row r="501">
      <c r="A501" s="91"/>
    </row>
    <row r="502">
      <c r="A502" s="91"/>
    </row>
    <row r="503">
      <c r="A503" s="91"/>
    </row>
    <row r="504">
      <c r="A504" s="91"/>
    </row>
    <row r="505">
      <c r="A505" s="91"/>
    </row>
    <row r="506">
      <c r="A506" s="91"/>
    </row>
    <row r="507">
      <c r="A507" s="91"/>
    </row>
    <row r="508">
      <c r="A508" s="91"/>
    </row>
    <row r="509">
      <c r="A509" s="91"/>
    </row>
    <row r="510">
      <c r="A510" s="91"/>
    </row>
    <row r="511">
      <c r="A511" s="91"/>
    </row>
    <row r="512">
      <c r="A512" s="91"/>
    </row>
    <row r="513">
      <c r="A513" s="91"/>
    </row>
    <row r="514">
      <c r="A514" s="91"/>
    </row>
    <row r="515">
      <c r="A515" s="91"/>
    </row>
    <row r="516">
      <c r="A516" s="91"/>
    </row>
    <row r="517">
      <c r="A517" s="91"/>
    </row>
    <row r="518">
      <c r="A518" s="91"/>
    </row>
    <row r="519">
      <c r="A519" s="91"/>
    </row>
    <row r="520">
      <c r="A520" s="91"/>
    </row>
    <row r="521">
      <c r="A521" s="91"/>
    </row>
    <row r="522">
      <c r="A522" s="91"/>
    </row>
    <row r="523">
      <c r="A523" s="91"/>
    </row>
    <row r="524">
      <c r="A524" s="91"/>
    </row>
    <row r="525">
      <c r="A525" s="91"/>
    </row>
    <row r="526">
      <c r="A526" s="91"/>
    </row>
    <row r="527">
      <c r="A527" s="91"/>
    </row>
    <row r="528">
      <c r="A528" s="91"/>
    </row>
    <row r="529">
      <c r="A529" s="91"/>
    </row>
    <row r="530">
      <c r="A530" s="91"/>
    </row>
    <row r="531">
      <c r="A531" s="91"/>
    </row>
    <row r="532">
      <c r="A532" s="91"/>
    </row>
    <row r="533">
      <c r="A533" s="91"/>
    </row>
    <row r="534">
      <c r="A534" s="91"/>
    </row>
    <row r="535">
      <c r="A535" s="91"/>
    </row>
    <row r="536">
      <c r="A536" s="91"/>
    </row>
    <row r="537">
      <c r="A537" s="91"/>
    </row>
    <row r="538">
      <c r="A538" s="91"/>
    </row>
    <row r="539">
      <c r="A539" s="91"/>
    </row>
    <row r="540">
      <c r="A540" s="91"/>
    </row>
    <row r="541">
      <c r="A541" s="91"/>
    </row>
    <row r="542">
      <c r="A542" s="91"/>
    </row>
    <row r="543">
      <c r="A543" s="91"/>
    </row>
    <row r="544">
      <c r="A544" s="91"/>
    </row>
    <row r="545">
      <c r="A545" s="91"/>
    </row>
    <row r="546">
      <c r="A546" s="91"/>
    </row>
    <row r="547">
      <c r="A547" s="91"/>
    </row>
    <row r="548">
      <c r="A548" s="91"/>
    </row>
    <row r="549">
      <c r="A549" s="91"/>
    </row>
    <row r="550">
      <c r="A550" s="91"/>
    </row>
    <row r="551">
      <c r="A551" s="91"/>
    </row>
    <row r="552">
      <c r="A552" s="91"/>
    </row>
    <row r="553">
      <c r="A553" s="91"/>
    </row>
    <row r="554">
      <c r="A554" s="91"/>
    </row>
    <row r="555">
      <c r="A555" s="91"/>
    </row>
    <row r="556">
      <c r="A556" s="91"/>
    </row>
    <row r="557">
      <c r="A557" s="91"/>
    </row>
    <row r="558">
      <c r="A558" s="91"/>
    </row>
    <row r="559">
      <c r="A559" s="91"/>
    </row>
    <row r="560">
      <c r="A560" s="91"/>
    </row>
    <row r="561">
      <c r="A561" s="91"/>
    </row>
    <row r="562">
      <c r="A562" s="91"/>
    </row>
    <row r="563">
      <c r="A563" s="91"/>
    </row>
    <row r="564">
      <c r="A564" s="91"/>
    </row>
    <row r="565">
      <c r="A565" s="91"/>
    </row>
    <row r="566">
      <c r="A566" s="91"/>
    </row>
    <row r="567">
      <c r="A567" s="91"/>
    </row>
    <row r="568">
      <c r="A568" s="91"/>
    </row>
    <row r="569">
      <c r="A569" s="91"/>
    </row>
    <row r="570">
      <c r="A570" s="91"/>
    </row>
    <row r="571">
      <c r="A571" s="91"/>
    </row>
    <row r="572">
      <c r="A572" s="91"/>
    </row>
    <row r="573">
      <c r="A573" s="91"/>
    </row>
    <row r="574">
      <c r="A574" s="91"/>
    </row>
    <row r="575">
      <c r="A575" s="91"/>
    </row>
    <row r="576">
      <c r="A576" s="91"/>
    </row>
    <row r="577">
      <c r="A577" s="91"/>
    </row>
    <row r="578">
      <c r="A578" s="91"/>
    </row>
    <row r="579">
      <c r="A579" s="91"/>
    </row>
    <row r="580">
      <c r="A580" s="91"/>
    </row>
    <row r="581">
      <c r="A581" s="91"/>
    </row>
    <row r="582">
      <c r="A582" s="91"/>
    </row>
    <row r="583">
      <c r="A583" s="91"/>
    </row>
    <row r="584">
      <c r="A584" s="91"/>
    </row>
    <row r="585">
      <c r="A585" s="91"/>
    </row>
    <row r="586">
      <c r="A586" s="91"/>
    </row>
    <row r="587">
      <c r="A587" s="91"/>
    </row>
    <row r="588">
      <c r="A588" s="91"/>
    </row>
    <row r="589">
      <c r="A589" s="91"/>
    </row>
    <row r="590">
      <c r="A590" s="91"/>
    </row>
    <row r="591">
      <c r="A591" s="91"/>
    </row>
    <row r="592">
      <c r="A592" s="91"/>
    </row>
    <row r="593">
      <c r="A593" s="91"/>
    </row>
    <row r="594">
      <c r="A594" s="91"/>
    </row>
    <row r="595">
      <c r="A595" s="91"/>
    </row>
    <row r="596">
      <c r="A596" s="91"/>
    </row>
    <row r="597">
      <c r="A597" s="91"/>
    </row>
    <row r="598">
      <c r="A598" s="91"/>
    </row>
    <row r="599">
      <c r="A599" s="91"/>
    </row>
    <row r="600">
      <c r="A600" s="91"/>
    </row>
    <row r="601">
      <c r="A601" s="91"/>
    </row>
    <row r="602">
      <c r="A602" s="91"/>
    </row>
    <row r="603">
      <c r="A603" s="91"/>
    </row>
    <row r="604">
      <c r="A604" s="91"/>
    </row>
    <row r="605">
      <c r="A605" s="91"/>
    </row>
    <row r="606">
      <c r="A606" s="91"/>
    </row>
    <row r="607">
      <c r="A607" s="91"/>
    </row>
    <row r="608">
      <c r="A608" s="91"/>
    </row>
    <row r="609">
      <c r="A609" s="91"/>
    </row>
    <row r="610">
      <c r="A610" s="91"/>
    </row>
    <row r="611">
      <c r="A611" s="91"/>
    </row>
    <row r="612">
      <c r="A612" s="91"/>
    </row>
    <row r="613">
      <c r="A613" s="91"/>
    </row>
    <row r="614">
      <c r="A614" s="91"/>
    </row>
    <row r="615">
      <c r="A615" s="91"/>
    </row>
    <row r="616">
      <c r="A616" s="91"/>
    </row>
    <row r="617">
      <c r="A617" s="91"/>
    </row>
    <row r="618">
      <c r="A618" s="91"/>
    </row>
    <row r="619">
      <c r="A619" s="91"/>
    </row>
    <row r="620">
      <c r="A620" s="91"/>
    </row>
    <row r="621">
      <c r="A621" s="91"/>
    </row>
    <row r="622">
      <c r="A622" s="91"/>
    </row>
    <row r="623">
      <c r="A623" s="91"/>
    </row>
    <row r="624">
      <c r="A624" s="91"/>
    </row>
    <row r="625">
      <c r="A625" s="91"/>
    </row>
    <row r="626">
      <c r="A626" s="91"/>
    </row>
    <row r="627">
      <c r="A627" s="91"/>
    </row>
    <row r="628">
      <c r="A628" s="91"/>
    </row>
    <row r="629">
      <c r="A629" s="91"/>
    </row>
    <row r="630">
      <c r="A630" s="91"/>
    </row>
    <row r="631">
      <c r="A631" s="91"/>
    </row>
    <row r="632">
      <c r="A632" s="91"/>
    </row>
    <row r="633">
      <c r="A633" s="91"/>
    </row>
    <row r="634">
      <c r="A634" s="91"/>
    </row>
    <row r="635">
      <c r="A635" s="91"/>
    </row>
    <row r="636">
      <c r="A636" s="91"/>
    </row>
    <row r="637">
      <c r="A637" s="91"/>
    </row>
    <row r="638">
      <c r="A638" s="91"/>
    </row>
    <row r="639">
      <c r="A639" s="91"/>
    </row>
    <row r="640">
      <c r="A640" s="91"/>
    </row>
    <row r="641">
      <c r="A641" s="91"/>
    </row>
    <row r="642">
      <c r="A642" s="91"/>
    </row>
    <row r="643">
      <c r="A643" s="91"/>
    </row>
    <row r="644">
      <c r="A644" s="91"/>
    </row>
    <row r="645">
      <c r="A645" s="91"/>
    </row>
    <row r="646">
      <c r="A646" s="91"/>
    </row>
    <row r="647">
      <c r="A647" s="91"/>
    </row>
    <row r="648">
      <c r="A648" s="91"/>
    </row>
    <row r="649">
      <c r="A649" s="91"/>
    </row>
    <row r="650">
      <c r="A650" s="91"/>
    </row>
    <row r="651">
      <c r="A651" s="91"/>
    </row>
    <row r="652">
      <c r="A652" s="91"/>
    </row>
    <row r="653">
      <c r="A653" s="91"/>
    </row>
    <row r="654">
      <c r="A654" s="91"/>
    </row>
    <row r="655">
      <c r="A655" s="91"/>
    </row>
    <row r="656">
      <c r="A656" s="91"/>
    </row>
    <row r="657">
      <c r="A657" s="91"/>
    </row>
    <row r="658">
      <c r="A658" s="91"/>
    </row>
    <row r="659">
      <c r="A659" s="91"/>
    </row>
    <row r="660">
      <c r="A660" s="91"/>
    </row>
    <row r="661">
      <c r="A661" s="91"/>
    </row>
    <row r="662">
      <c r="A662" s="91"/>
    </row>
    <row r="663">
      <c r="A663" s="91"/>
    </row>
    <row r="664">
      <c r="A664" s="91"/>
    </row>
    <row r="665">
      <c r="A665" s="91"/>
    </row>
    <row r="666">
      <c r="A666" s="91"/>
    </row>
    <row r="667">
      <c r="A667" s="91"/>
    </row>
    <row r="668">
      <c r="A668" s="91"/>
    </row>
    <row r="669">
      <c r="A669" s="91"/>
    </row>
    <row r="670">
      <c r="A670" s="91"/>
    </row>
    <row r="671">
      <c r="A671" s="91"/>
    </row>
    <row r="672">
      <c r="A672" s="91"/>
    </row>
    <row r="673">
      <c r="A673" s="91"/>
    </row>
    <row r="674">
      <c r="A674" s="91"/>
    </row>
    <row r="675">
      <c r="A675" s="91"/>
    </row>
    <row r="676">
      <c r="A676" s="91"/>
    </row>
    <row r="677">
      <c r="A677" s="91"/>
    </row>
    <row r="678">
      <c r="A678" s="91"/>
    </row>
    <row r="679">
      <c r="A679" s="91"/>
    </row>
    <row r="680">
      <c r="A680" s="91"/>
    </row>
    <row r="681">
      <c r="A681" s="91"/>
    </row>
    <row r="682">
      <c r="A682" s="91"/>
    </row>
    <row r="683">
      <c r="A683" s="91"/>
    </row>
    <row r="684">
      <c r="A684" s="91"/>
    </row>
    <row r="685">
      <c r="A685" s="91"/>
    </row>
    <row r="686">
      <c r="A686" s="91"/>
    </row>
    <row r="687">
      <c r="A687" s="91"/>
    </row>
    <row r="688">
      <c r="A688" s="91"/>
    </row>
    <row r="689">
      <c r="A689" s="91"/>
    </row>
    <row r="690">
      <c r="A690" s="91"/>
    </row>
    <row r="691">
      <c r="A691" s="91"/>
    </row>
    <row r="692">
      <c r="A692" s="91"/>
    </row>
    <row r="693">
      <c r="A693" s="91"/>
    </row>
    <row r="694">
      <c r="A694" s="91"/>
    </row>
    <row r="695">
      <c r="A695" s="91"/>
    </row>
    <row r="696">
      <c r="A696" s="91"/>
    </row>
    <row r="697">
      <c r="A697" s="91"/>
    </row>
    <row r="698">
      <c r="A698" s="91"/>
    </row>
    <row r="699">
      <c r="A699" s="91"/>
    </row>
    <row r="700">
      <c r="A700" s="91"/>
    </row>
    <row r="701">
      <c r="A701" s="91"/>
    </row>
    <row r="702">
      <c r="A702" s="91"/>
    </row>
    <row r="703">
      <c r="A703" s="91"/>
    </row>
    <row r="704">
      <c r="A704" s="91"/>
    </row>
    <row r="705">
      <c r="A705" s="91"/>
    </row>
    <row r="706">
      <c r="A706" s="91"/>
    </row>
    <row r="707">
      <c r="A707" s="91"/>
    </row>
    <row r="708">
      <c r="A708" s="91"/>
    </row>
    <row r="709">
      <c r="A709" s="91"/>
    </row>
    <row r="710">
      <c r="A710" s="91"/>
    </row>
    <row r="711">
      <c r="A711" s="91"/>
    </row>
    <row r="712">
      <c r="A712" s="91"/>
    </row>
    <row r="713">
      <c r="A713" s="91"/>
    </row>
    <row r="714">
      <c r="A714" s="91"/>
    </row>
    <row r="715">
      <c r="A715" s="91"/>
    </row>
    <row r="716">
      <c r="A716" s="91"/>
    </row>
    <row r="717">
      <c r="A717" s="91"/>
    </row>
    <row r="718">
      <c r="A718" s="91"/>
    </row>
    <row r="719">
      <c r="A719" s="91"/>
    </row>
    <row r="720">
      <c r="A720" s="91"/>
    </row>
    <row r="721">
      <c r="A721" s="91"/>
    </row>
    <row r="722">
      <c r="A722" s="91"/>
    </row>
    <row r="723">
      <c r="A723" s="91"/>
    </row>
    <row r="724">
      <c r="A724" s="91"/>
    </row>
    <row r="725">
      <c r="A725" s="91"/>
    </row>
    <row r="726">
      <c r="A726" s="91"/>
    </row>
    <row r="727">
      <c r="A727" s="91"/>
    </row>
    <row r="728">
      <c r="A728" s="91"/>
    </row>
    <row r="729">
      <c r="A729" s="91"/>
    </row>
    <row r="730">
      <c r="A730" s="91"/>
    </row>
    <row r="731">
      <c r="A731" s="91"/>
    </row>
    <row r="732">
      <c r="A732" s="91"/>
    </row>
    <row r="733">
      <c r="A733" s="91"/>
    </row>
    <row r="734">
      <c r="A734" s="91"/>
    </row>
    <row r="735">
      <c r="A735" s="91"/>
    </row>
    <row r="736">
      <c r="A736" s="91"/>
    </row>
    <row r="737">
      <c r="A737" s="91"/>
    </row>
    <row r="738">
      <c r="A738" s="91"/>
    </row>
    <row r="739">
      <c r="A739" s="91"/>
    </row>
    <row r="740">
      <c r="A740" s="91"/>
    </row>
    <row r="741">
      <c r="A741" s="91"/>
    </row>
    <row r="742">
      <c r="A742" s="91"/>
    </row>
    <row r="743">
      <c r="A743" s="91"/>
    </row>
    <row r="744">
      <c r="A744" s="91"/>
    </row>
    <row r="745">
      <c r="A745" s="91"/>
    </row>
    <row r="746">
      <c r="A746" s="91"/>
    </row>
    <row r="747">
      <c r="A747" s="91"/>
    </row>
    <row r="748">
      <c r="A748" s="91"/>
    </row>
    <row r="749">
      <c r="A749" s="91"/>
    </row>
    <row r="750">
      <c r="A750" s="91"/>
    </row>
    <row r="751">
      <c r="A751" s="91"/>
    </row>
    <row r="752">
      <c r="A752" s="91"/>
    </row>
    <row r="753">
      <c r="A753" s="91"/>
    </row>
    <row r="754">
      <c r="A754" s="91"/>
    </row>
    <row r="755">
      <c r="A755" s="91"/>
    </row>
    <row r="756">
      <c r="A756" s="91"/>
    </row>
    <row r="757">
      <c r="A757" s="91"/>
    </row>
    <row r="758">
      <c r="A758" s="91"/>
    </row>
    <row r="759">
      <c r="A759" s="91"/>
    </row>
    <row r="760">
      <c r="A760" s="91"/>
    </row>
    <row r="761">
      <c r="A761" s="91"/>
    </row>
    <row r="762">
      <c r="A762" s="91"/>
    </row>
    <row r="763">
      <c r="A763" s="91"/>
    </row>
    <row r="764">
      <c r="A764" s="91"/>
    </row>
    <row r="765">
      <c r="A765" s="91"/>
    </row>
    <row r="766">
      <c r="A766" s="91"/>
    </row>
    <row r="767">
      <c r="A767" s="91"/>
    </row>
    <row r="768">
      <c r="A768" s="91"/>
    </row>
    <row r="769">
      <c r="A769" s="91"/>
    </row>
    <row r="770">
      <c r="A770" s="91"/>
    </row>
    <row r="771">
      <c r="A771" s="91"/>
    </row>
    <row r="772">
      <c r="A772" s="91"/>
    </row>
    <row r="773">
      <c r="A773" s="91"/>
    </row>
    <row r="774">
      <c r="A774" s="91"/>
    </row>
    <row r="775">
      <c r="A775" s="91"/>
    </row>
    <row r="776">
      <c r="A776" s="91"/>
    </row>
    <row r="777">
      <c r="A777" s="91"/>
    </row>
    <row r="778">
      <c r="A778" s="91"/>
    </row>
    <row r="779">
      <c r="A779" s="91"/>
    </row>
    <row r="780">
      <c r="A780" s="91"/>
    </row>
    <row r="781">
      <c r="A781" s="91"/>
    </row>
    <row r="782">
      <c r="A782" s="91"/>
    </row>
    <row r="783">
      <c r="A783" s="91"/>
    </row>
    <row r="784">
      <c r="A784" s="91"/>
    </row>
    <row r="785">
      <c r="A785" s="91"/>
    </row>
    <row r="786">
      <c r="A786" s="91"/>
    </row>
    <row r="787">
      <c r="A787" s="91"/>
    </row>
    <row r="788">
      <c r="A788" s="91"/>
    </row>
    <row r="789">
      <c r="A789" s="91"/>
    </row>
    <row r="790">
      <c r="A790" s="91"/>
    </row>
    <row r="791">
      <c r="A791" s="91"/>
    </row>
    <row r="792">
      <c r="A792" s="91"/>
    </row>
    <row r="793">
      <c r="A793" s="91"/>
    </row>
    <row r="794">
      <c r="A794" s="91"/>
    </row>
    <row r="795">
      <c r="A795" s="91"/>
    </row>
    <row r="796">
      <c r="A796" s="91"/>
    </row>
    <row r="797">
      <c r="A797" s="91"/>
    </row>
    <row r="798">
      <c r="A798" s="91"/>
    </row>
    <row r="799">
      <c r="A799" s="91"/>
    </row>
    <row r="800">
      <c r="A800" s="91"/>
    </row>
    <row r="801">
      <c r="A801" s="91"/>
    </row>
    <row r="802">
      <c r="A802" s="91"/>
    </row>
    <row r="803">
      <c r="A803" s="91"/>
    </row>
    <row r="804">
      <c r="A804" s="91"/>
    </row>
    <row r="805">
      <c r="A805" s="91"/>
    </row>
    <row r="806">
      <c r="A806" s="91"/>
    </row>
    <row r="807">
      <c r="A807" s="91"/>
    </row>
    <row r="808">
      <c r="A808" s="91"/>
    </row>
    <row r="809">
      <c r="A809" s="91"/>
    </row>
    <row r="810">
      <c r="A810" s="91"/>
    </row>
    <row r="811">
      <c r="A811" s="91"/>
    </row>
    <row r="812">
      <c r="A812" s="91"/>
    </row>
    <row r="813">
      <c r="A813" s="91"/>
    </row>
    <row r="814">
      <c r="A814" s="91"/>
    </row>
    <row r="815">
      <c r="A815" s="91"/>
    </row>
    <row r="816">
      <c r="A816" s="91"/>
    </row>
    <row r="817">
      <c r="A817" s="91"/>
    </row>
    <row r="818">
      <c r="A818" s="91"/>
    </row>
    <row r="819">
      <c r="A819" s="91"/>
    </row>
    <row r="820">
      <c r="A820" s="91"/>
    </row>
    <row r="821">
      <c r="A821" s="91"/>
    </row>
    <row r="822">
      <c r="A822" s="91"/>
    </row>
    <row r="823">
      <c r="A823" s="91"/>
    </row>
    <row r="824">
      <c r="A824" s="91"/>
    </row>
    <row r="825">
      <c r="A825" s="91"/>
    </row>
    <row r="826">
      <c r="A826" s="91"/>
    </row>
    <row r="827">
      <c r="A827" s="91"/>
    </row>
    <row r="828">
      <c r="A828" s="91"/>
    </row>
    <row r="829">
      <c r="A829" s="91"/>
    </row>
    <row r="830">
      <c r="A830" s="91"/>
    </row>
    <row r="831">
      <c r="A831" s="91"/>
    </row>
    <row r="832">
      <c r="A832" s="91"/>
    </row>
    <row r="833">
      <c r="A833" s="91"/>
    </row>
    <row r="834">
      <c r="A834" s="91"/>
    </row>
    <row r="835">
      <c r="A835" s="91"/>
    </row>
    <row r="836">
      <c r="A836" s="91"/>
    </row>
    <row r="837">
      <c r="A837" s="91"/>
    </row>
    <row r="838">
      <c r="A838" s="91"/>
    </row>
    <row r="839">
      <c r="A839" s="91"/>
    </row>
    <row r="840">
      <c r="A840" s="91"/>
    </row>
    <row r="841">
      <c r="A841" s="91"/>
    </row>
    <row r="842">
      <c r="A842" s="91"/>
    </row>
    <row r="843">
      <c r="A843" s="91"/>
    </row>
    <row r="844">
      <c r="A844" s="91"/>
    </row>
    <row r="845">
      <c r="A845" s="91"/>
    </row>
    <row r="846">
      <c r="A846" s="91"/>
    </row>
    <row r="847">
      <c r="A847" s="91"/>
    </row>
    <row r="848">
      <c r="A848" s="91"/>
    </row>
    <row r="849">
      <c r="A849" s="91"/>
    </row>
    <row r="850">
      <c r="A850" s="91"/>
    </row>
    <row r="851">
      <c r="A851" s="91"/>
    </row>
    <row r="852">
      <c r="A852" s="91"/>
    </row>
    <row r="853">
      <c r="A853" s="91"/>
    </row>
    <row r="854">
      <c r="A854" s="91"/>
    </row>
    <row r="855">
      <c r="A855" s="91"/>
    </row>
    <row r="856">
      <c r="A856" s="91"/>
    </row>
    <row r="857">
      <c r="A857" s="91"/>
    </row>
    <row r="858">
      <c r="A858" s="91"/>
    </row>
    <row r="859">
      <c r="A859" s="91"/>
    </row>
    <row r="860">
      <c r="A860" s="91"/>
    </row>
    <row r="861">
      <c r="A861" s="91"/>
    </row>
    <row r="862">
      <c r="A862" s="91"/>
    </row>
    <row r="863">
      <c r="A863" s="91"/>
    </row>
    <row r="864">
      <c r="A864" s="91"/>
    </row>
    <row r="865">
      <c r="A865" s="91"/>
    </row>
    <row r="866">
      <c r="A866" s="91"/>
    </row>
    <row r="867">
      <c r="A867" s="91"/>
    </row>
    <row r="868">
      <c r="A868" s="91"/>
    </row>
    <row r="869">
      <c r="A869" s="91"/>
    </row>
    <row r="870">
      <c r="A870" s="91"/>
    </row>
    <row r="871">
      <c r="A871" s="91"/>
    </row>
    <row r="872">
      <c r="A872" s="91"/>
    </row>
    <row r="873">
      <c r="A873" s="91"/>
    </row>
    <row r="874">
      <c r="A874" s="91"/>
    </row>
    <row r="875">
      <c r="A875" s="91"/>
    </row>
    <row r="876">
      <c r="A876" s="91"/>
    </row>
    <row r="877">
      <c r="A877" s="91"/>
    </row>
    <row r="878">
      <c r="A878" s="91"/>
    </row>
    <row r="879">
      <c r="A879" s="91"/>
    </row>
    <row r="880">
      <c r="A880" s="91"/>
    </row>
    <row r="881">
      <c r="A881" s="91"/>
    </row>
    <row r="882">
      <c r="A882" s="91"/>
    </row>
    <row r="883">
      <c r="A883" s="91"/>
    </row>
    <row r="884">
      <c r="A884" s="91"/>
    </row>
    <row r="885">
      <c r="A885" s="91"/>
    </row>
    <row r="886">
      <c r="A886" s="91"/>
    </row>
    <row r="887">
      <c r="A887" s="91"/>
    </row>
    <row r="888">
      <c r="A888" s="91"/>
    </row>
    <row r="889">
      <c r="A889" s="91"/>
    </row>
    <row r="890">
      <c r="A890" s="91"/>
    </row>
    <row r="891">
      <c r="A891" s="91"/>
    </row>
    <row r="892">
      <c r="A892" s="91"/>
    </row>
    <row r="893">
      <c r="A893" s="91"/>
    </row>
    <row r="894">
      <c r="A894" s="91"/>
    </row>
    <row r="895">
      <c r="A895" s="91"/>
    </row>
    <row r="896">
      <c r="A896" s="91"/>
    </row>
    <row r="897">
      <c r="A897" s="91"/>
    </row>
    <row r="898">
      <c r="A898" s="91"/>
    </row>
    <row r="899">
      <c r="A899" s="91"/>
    </row>
    <row r="900">
      <c r="A900" s="91"/>
    </row>
    <row r="901">
      <c r="A901" s="91"/>
    </row>
    <row r="902">
      <c r="A902" s="91"/>
    </row>
    <row r="903">
      <c r="A903" s="91"/>
    </row>
    <row r="904">
      <c r="A904" s="91"/>
    </row>
    <row r="905">
      <c r="A905" s="91"/>
    </row>
    <row r="906">
      <c r="A906" s="91"/>
    </row>
    <row r="907">
      <c r="A907" s="91"/>
    </row>
    <row r="908">
      <c r="A908" s="91"/>
    </row>
    <row r="909">
      <c r="A909" s="91"/>
    </row>
    <row r="910">
      <c r="A910" s="91"/>
    </row>
    <row r="911">
      <c r="A911" s="91"/>
    </row>
    <row r="912">
      <c r="A912" s="91"/>
    </row>
    <row r="913">
      <c r="A913" s="91"/>
    </row>
    <row r="914">
      <c r="A914" s="91"/>
    </row>
    <row r="915">
      <c r="A915" s="91"/>
    </row>
    <row r="916">
      <c r="A916" s="91"/>
    </row>
    <row r="917">
      <c r="A917" s="91"/>
    </row>
    <row r="918">
      <c r="A918" s="91"/>
    </row>
    <row r="919">
      <c r="A919" s="91"/>
    </row>
    <row r="920">
      <c r="A920" s="91"/>
    </row>
    <row r="921">
      <c r="A921" s="91"/>
    </row>
    <row r="922">
      <c r="A922" s="91"/>
    </row>
    <row r="923">
      <c r="A923" s="91"/>
    </row>
    <row r="924">
      <c r="A924" s="91"/>
    </row>
    <row r="925">
      <c r="A925" s="91"/>
    </row>
    <row r="926">
      <c r="A926" s="91"/>
    </row>
    <row r="927">
      <c r="A927" s="91"/>
    </row>
    <row r="928">
      <c r="A928" s="91"/>
    </row>
    <row r="929">
      <c r="A929" s="91"/>
    </row>
    <row r="930">
      <c r="A930" s="91"/>
    </row>
    <row r="931">
      <c r="A931" s="91"/>
    </row>
    <row r="932">
      <c r="A932" s="91"/>
    </row>
    <row r="933">
      <c r="A933" s="91"/>
    </row>
    <row r="934">
      <c r="A934" s="91"/>
    </row>
    <row r="935">
      <c r="A935" s="91"/>
    </row>
    <row r="936">
      <c r="A936" s="91"/>
    </row>
    <row r="937">
      <c r="A937" s="91"/>
    </row>
    <row r="938">
      <c r="A938" s="91"/>
    </row>
    <row r="939">
      <c r="A939" s="91"/>
    </row>
    <row r="940">
      <c r="A940" s="91"/>
    </row>
    <row r="941">
      <c r="A941" s="91"/>
    </row>
    <row r="942">
      <c r="A942" s="91"/>
    </row>
    <row r="943">
      <c r="A943" s="91"/>
    </row>
    <row r="944">
      <c r="A944" s="91"/>
    </row>
    <row r="945">
      <c r="A945" s="91"/>
    </row>
    <row r="946">
      <c r="A946" s="91"/>
    </row>
    <row r="947">
      <c r="A947" s="91"/>
    </row>
    <row r="948">
      <c r="A948" s="91"/>
    </row>
    <row r="949">
      <c r="A949" s="91"/>
    </row>
    <row r="950">
      <c r="A950" s="91"/>
    </row>
    <row r="951">
      <c r="A951" s="91"/>
    </row>
    <row r="952">
      <c r="A952" s="91"/>
    </row>
    <row r="953">
      <c r="A953" s="91"/>
    </row>
    <row r="954">
      <c r="A954" s="91"/>
    </row>
    <row r="955">
      <c r="A955" s="91"/>
    </row>
    <row r="956">
      <c r="A956" s="91"/>
    </row>
    <row r="957">
      <c r="A957" s="91"/>
    </row>
    <row r="958">
      <c r="A958" s="91"/>
    </row>
    <row r="959">
      <c r="A959" s="91"/>
    </row>
    <row r="960">
      <c r="A960" s="91"/>
    </row>
    <row r="961">
      <c r="A961" s="91"/>
    </row>
    <row r="962">
      <c r="A962" s="91"/>
    </row>
    <row r="963">
      <c r="A963" s="91"/>
    </row>
    <row r="964">
      <c r="A964" s="91"/>
    </row>
    <row r="965">
      <c r="A965" s="91"/>
    </row>
    <row r="966">
      <c r="A966" s="91"/>
    </row>
    <row r="967">
      <c r="A967" s="91"/>
    </row>
    <row r="968">
      <c r="A968" s="91"/>
    </row>
    <row r="969">
      <c r="A969" s="91"/>
    </row>
    <row r="970">
      <c r="A970" s="91"/>
    </row>
    <row r="971">
      <c r="A971" s="91"/>
    </row>
    <row r="972">
      <c r="A972" s="91"/>
    </row>
    <row r="973">
      <c r="A973" s="91"/>
    </row>
    <row r="974">
      <c r="A974" s="91"/>
    </row>
    <row r="975">
      <c r="A975" s="91"/>
    </row>
    <row r="976">
      <c r="A976" s="91"/>
    </row>
    <row r="977">
      <c r="A977" s="91"/>
    </row>
    <row r="978">
      <c r="A978" s="91"/>
    </row>
    <row r="979">
      <c r="A979" s="91"/>
    </row>
    <row r="980">
      <c r="A980" s="91"/>
    </row>
    <row r="981">
      <c r="A981" s="91"/>
    </row>
    <row r="982">
      <c r="A982" s="91"/>
    </row>
    <row r="983">
      <c r="A983" s="91"/>
    </row>
    <row r="984">
      <c r="A984" s="91"/>
    </row>
    <row r="985">
      <c r="A985" s="91"/>
    </row>
    <row r="986">
      <c r="A986" s="91"/>
    </row>
    <row r="987">
      <c r="A987" s="91"/>
    </row>
    <row r="988">
      <c r="A988" s="91"/>
    </row>
    <row r="989">
      <c r="A989" s="91"/>
    </row>
    <row r="990">
      <c r="A990" s="91"/>
    </row>
    <row r="991">
      <c r="A991" s="91"/>
    </row>
    <row r="992">
      <c r="A992" s="91"/>
    </row>
    <row r="993">
      <c r="A993" s="91"/>
    </row>
    <row r="994">
      <c r="A994" s="91"/>
    </row>
    <row r="995">
      <c r="A995" s="91"/>
    </row>
    <row r="996">
      <c r="A996" s="91"/>
    </row>
    <row r="997">
      <c r="A997" s="91"/>
    </row>
    <row r="998">
      <c r="A998" s="91"/>
    </row>
    <row r="999">
      <c r="A999" s="91"/>
    </row>
    <row r="1000">
      <c r="A1000" s="91"/>
    </row>
    <row r="1001">
      <c r="A1001" s="91"/>
    </row>
    <row r="1002">
      <c r="A1002" s="91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75"/>
    <col customWidth="1" min="4" max="4" width="20.38"/>
    <col customWidth="1" min="5" max="5" width="21.0"/>
  </cols>
  <sheetData>
    <row r="1" ht="15.0" customHeight="1">
      <c r="A1" s="102" t="str">
        <f>IFERROR(__xludf.DUMMYFUNCTION("QUERY(IMPORTRANGE(""https://docs.google.com/spreadsheets/d/1ImQFcJoVLADSXlCV12sTbdZdxM9zXkulluBIP8sm_M4/edit?usp=sharing"", ""Form Responses 2!E1:I""), ""SELECT Col1, Col2, Col3, Col4, Col5 WHERE Col1 IS NOT NULL"")
"),"Date   ")</f>
        <v>Date   </v>
      </c>
      <c r="B1" s="103" t="str">
        <f>IFERROR(__xludf.DUMMYFUNCTION("""COMPUTED_VALUE"""),"Amount (00.00)   ")</f>
        <v>Amount (00.00)   </v>
      </c>
      <c r="C1" s="79" t="str">
        <f>IFERROR(__xludf.DUMMYFUNCTION("""COMPUTED_VALUE"""),"Description   ")</f>
        <v>Description   </v>
      </c>
      <c r="D1" s="79" t="str">
        <f>IFERROR(__xludf.DUMMYFUNCTION("""COMPUTED_VALUE"""),"Joint Expense Category   ")</f>
        <v>Joint Expense Category   </v>
      </c>
      <c r="E1" s="79" t="str">
        <f>IFERROR(__xludf.DUMMYFUNCTION("""COMPUTED_VALUE"""),"Expense Category   ")</f>
        <v>Expense Category   </v>
      </c>
      <c r="F1" s="79" t="str">
        <f>IFERROR(__xludf.DUMMYFUNCTION("QUERY(IMPORTRANGE(""https://docs.google.com/spreadsheets/d/1ImQFcJoVLADSXlCV12sTbdZdxM9zXkulluBIP8sm_M4/edit?usp=sharing"", ""Form Responses 2!D:D""), ""SELECT Col1 WHERE Col1 IS NOT NULL"")
"),"Shaeffer or Gil")</f>
        <v>Shaeffer or Gil</v>
      </c>
      <c r="G1" s="104" t="s">
        <v>63</v>
      </c>
      <c r="H1" s="105" t="s">
        <v>3</v>
      </c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</row>
    <row r="2">
      <c r="A2" s="106">
        <f>IFERROR(__xludf.DUMMYFUNCTION("""COMPUTED_VALUE"""),45304.0)</f>
        <v>45304</v>
      </c>
      <c r="B2" s="103">
        <f>IFERROR(__xludf.DUMMYFUNCTION("""COMPUTED_VALUE"""),7.99)</f>
        <v>7.99</v>
      </c>
      <c r="C2" s="79" t="str">
        <f>IFERROR(__xludf.DUMMYFUNCTION("""COMPUTED_VALUE"""),"Whole Foods ")</f>
        <v>Whole Foods </v>
      </c>
      <c r="D2" s="79" t="str">
        <f>IFERROR(__xludf.DUMMYFUNCTION("""COMPUTED_VALUE"""),"Amex Gold")</f>
        <v>Amex Gold</v>
      </c>
      <c r="E2" s="79" t="str">
        <f>IFERROR(__xludf.DUMMYFUNCTION("""COMPUTED_VALUE"""),"Groceries")</f>
        <v>Groceries</v>
      </c>
      <c r="F2" s="79" t="str">
        <f>IFERROR(__xludf.DUMMYFUNCTION("""COMPUTED_VALUE"""),"Gil")</f>
        <v>Gil</v>
      </c>
      <c r="G2" s="107">
        <f t="shared" ref="G2:G1000" si="1">B2/2</f>
        <v>3.995</v>
      </c>
      <c r="H2" s="108" t="str">
        <f t="shared" ref="H2:H1000" si="2">TEXT(DATEVALUE($A2), "mmm")</f>
        <v>Jan</v>
      </c>
    </row>
    <row r="3">
      <c r="A3" s="106">
        <f>IFERROR(__xludf.DUMMYFUNCTION("""COMPUTED_VALUE"""),45305.0)</f>
        <v>45305</v>
      </c>
      <c r="B3" s="103">
        <f>IFERROR(__xludf.DUMMYFUNCTION("""COMPUTED_VALUE"""),22.15)</f>
        <v>22.15</v>
      </c>
      <c r="C3" s="79" t="str">
        <f>IFERROR(__xludf.DUMMYFUNCTION("""COMPUTED_VALUE"""),"I'Milky")</f>
        <v>I'Milky</v>
      </c>
      <c r="D3" s="79" t="str">
        <f>IFERROR(__xludf.DUMMYFUNCTION("""COMPUTED_VALUE"""),"Amex Gold")</f>
        <v>Amex Gold</v>
      </c>
      <c r="E3" s="79" t="str">
        <f>IFERROR(__xludf.DUMMYFUNCTION("""COMPUTED_VALUE"""),"Meals")</f>
        <v>Meals</v>
      </c>
      <c r="F3" s="79" t="str">
        <f>IFERROR(__xludf.DUMMYFUNCTION("""COMPUTED_VALUE"""),"Gil")</f>
        <v>Gil</v>
      </c>
      <c r="G3" s="107">
        <f t="shared" si="1"/>
        <v>11.075</v>
      </c>
      <c r="H3" s="108" t="str">
        <f t="shared" si="2"/>
        <v>Jan</v>
      </c>
    </row>
    <row r="4">
      <c r="A4" s="106">
        <f>IFERROR(__xludf.DUMMYFUNCTION("""COMPUTED_VALUE"""),45305.0)</f>
        <v>45305</v>
      </c>
      <c r="B4" s="103">
        <f>IFERROR(__xludf.DUMMYFUNCTION("""COMPUTED_VALUE"""),48.72)</f>
        <v>48.72</v>
      </c>
      <c r="C4" s="79" t="str">
        <f>IFERROR(__xludf.DUMMYFUNCTION("""COMPUTED_VALUE"""),"Nitehawk")</f>
        <v>Nitehawk</v>
      </c>
      <c r="D4" s="79" t="str">
        <f>IFERROR(__xludf.DUMMYFUNCTION("""COMPUTED_VALUE"""),"Amex Gold")</f>
        <v>Amex Gold</v>
      </c>
      <c r="E4" s="79" t="str">
        <f>IFERROR(__xludf.DUMMYFUNCTION("""COMPUTED_VALUE"""),"Meals")</f>
        <v>Meals</v>
      </c>
      <c r="F4" s="79" t="str">
        <f>IFERROR(__xludf.DUMMYFUNCTION("""COMPUTED_VALUE"""),"Gil")</f>
        <v>Gil</v>
      </c>
      <c r="G4" s="107">
        <f t="shared" si="1"/>
        <v>24.36</v>
      </c>
      <c r="H4" s="108" t="str">
        <f t="shared" si="2"/>
        <v>Jan</v>
      </c>
    </row>
    <row r="5">
      <c r="A5" s="106">
        <f>IFERROR(__xludf.DUMMYFUNCTION("""COMPUTED_VALUE"""),45304.0)</f>
        <v>45304</v>
      </c>
      <c r="B5" s="103">
        <f>IFERROR(__xludf.DUMMYFUNCTION("""COMPUTED_VALUE"""),15.0)</f>
        <v>15</v>
      </c>
      <c r="C5" s="79" t="str">
        <f>IFERROR(__xludf.DUMMYFUNCTION("""COMPUTED_VALUE"""),"Iona")</f>
        <v>Iona</v>
      </c>
      <c r="D5" s="79" t="str">
        <f>IFERROR(__xludf.DUMMYFUNCTION("""COMPUTED_VALUE"""),"Cash")</f>
        <v>Cash</v>
      </c>
      <c r="E5" s="79" t="str">
        <f>IFERROR(__xludf.DUMMYFUNCTION("""COMPUTED_VALUE"""),"Alcohol/Weed")</f>
        <v>Alcohol/Weed</v>
      </c>
      <c r="F5" s="79" t="str">
        <f>IFERROR(__xludf.DUMMYFUNCTION("""COMPUTED_VALUE"""),"Gil")</f>
        <v>Gil</v>
      </c>
      <c r="G5" s="107">
        <f t="shared" si="1"/>
        <v>7.5</v>
      </c>
      <c r="H5" s="108" t="str">
        <f t="shared" si="2"/>
        <v>Jan</v>
      </c>
    </row>
    <row r="6">
      <c r="A6" s="106">
        <f>IFERROR(__xludf.DUMMYFUNCTION("""COMPUTED_VALUE"""),45305.0)</f>
        <v>45305</v>
      </c>
      <c r="B6" s="103">
        <f>IFERROR(__xludf.DUMMYFUNCTION("""COMPUTED_VALUE"""),14.61)</f>
        <v>14.61</v>
      </c>
      <c r="C6" s="79" t="str">
        <f>IFERROR(__xludf.DUMMYFUNCTION("""COMPUTED_VALUE"""),"Takahachi Bakery")</f>
        <v>Takahachi Bakery</v>
      </c>
      <c r="D6" s="79" t="str">
        <f>IFERROR(__xludf.DUMMYFUNCTION("""COMPUTED_VALUE"""),"Amex Gold")</f>
        <v>Amex Gold</v>
      </c>
      <c r="E6" s="79" t="str">
        <f>IFERROR(__xludf.DUMMYFUNCTION("""COMPUTED_VALUE"""),"Meals")</f>
        <v>Meals</v>
      </c>
      <c r="F6" s="79" t="str">
        <f>IFERROR(__xludf.DUMMYFUNCTION("""COMPUTED_VALUE"""),"Gil")</f>
        <v>Gil</v>
      </c>
      <c r="G6" s="107">
        <f t="shared" si="1"/>
        <v>7.305</v>
      </c>
      <c r="H6" s="108" t="str">
        <f t="shared" si="2"/>
        <v>Jan</v>
      </c>
    </row>
    <row r="7">
      <c r="A7" s="106">
        <f>IFERROR(__xludf.DUMMYFUNCTION("""COMPUTED_VALUE"""),45305.0)</f>
        <v>45305</v>
      </c>
      <c r="B7" s="103">
        <f>IFERROR(__xludf.DUMMYFUNCTION("""COMPUTED_VALUE"""),32.49)</f>
        <v>32.49</v>
      </c>
      <c r="C7" s="79" t="str">
        <f>IFERROR(__xludf.DUMMYFUNCTION("""COMPUTED_VALUE"""),"City Fresh")</f>
        <v>City Fresh</v>
      </c>
      <c r="D7" s="79" t="str">
        <f>IFERROR(__xludf.DUMMYFUNCTION("""COMPUTED_VALUE"""),"Amex Blue")</f>
        <v>Amex Blue</v>
      </c>
      <c r="E7" s="79" t="str">
        <f>IFERROR(__xludf.DUMMYFUNCTION("""COMPUTED_VALUE"""),"Groceries")</f>
        <v>Groceries</v>
      </c>
      <c r="F7" s="79" t="str">
        <f>IFERROR(__xludf.DUMMYFUNCTION("""COMPUTED_VALUE"""),"Gil")</f>
        <v>Gil</v>
      </c>
      <c r="G7" s="107">
        <f t="shared" si="1"/>
        <v>16.245</v>
      </c>
      <c r="H7" s="108" t="str">
        <f t="shared" si="2"/>
        <v>Jan</v>
      </c>
    </row>
    <row r="8">
      <c r="A8" s="106">
        <f>IFERROR(__xludf.DUMMYFUNCTION("""COMPUTED_VALUE"""),45307.0)</f>
        <v>45307</v>
      </c>
      <c r="B8" s="103">
        <f>IFERROR(__xludf.DUMMYFUNCTION("""COMPUTED_VALUE"""),46.2)</f>
        <v>46.2</v>
      </c>
      <c r="C8" s="79" t="str">
        <f>IFERROR(__xludf.DUMMYFUNCTION("""COMPUTED_VALUE"""),"Laundry")</f>
        <v>Laundry</v>
      </c>
      <c r="D8" s="79" t="str">
        <f>IFERROR(__xludf.DUMMYFUNCTION("""COMPUTED_VALUE"""),"Other")</f>
        <v>Other</v>
      </c>
      <c r="E8" s="79" t="str">
        <f>IFERROR(__xludf.DUMMYFUNCTION("""COMPUTED_VALUE"""),"Household")</f>
        <v>Household</v>
      </c>
      <c r="F8" s="79" t="str">
        <f>IFERROR(__xludf.DUMMYFUNCTION("""COMPUTED_VALUE"""),"Shaeffer")</f>
        <v>Shaeffer</v>
      </c>
      <c r="G8" s="107">
        <f t="shared" si="1"/>
        <v>23.1</v>
      </c>
      <c r="H8" s="108" t="str">
        <f t="shared" si="2"/>
        <v>Jan</v>
      </c>
    </row>
    <row r="9">
      <c r="A9" s="106">
        <f>IFERROR(__xludf.DUMMYFUNCTION("""COMPUTED_VALUE"""),45309.0)</f>
        <v>45309</v>
      </c>
      <c r="B9" s="103">
        <f>IFERROR(__xludf.DUMMYFUNCTION("""COMPUTED_VALUE"""),39.63)</f>
        <v>39.63</v>
      </c>
      <c r="C9" s="79" t="str">
        <f>IFERROR(__xludf.DUMMYFUNCTION("""COMPUTED_VALUE"""),"Birch coffee")</f>
        <v>Birch coffee</v>
      </c>
      <c r="D9" s="79" t="str">
        <f>IFERROR(__xludf.DUMMYFUNCTION("""COMPUTED_VALUE"""),"Amex Blue")</f>
        <v>Amex Blue</v>
      </c>
      <c r="E9" s="79" t="str">
        <f>IFERROR(__xludf.DUMMYFUNCTION("""COMPUTED_VALUE"""),"Groceries")</f>
        <v>Groceries</v>
      </c>
      <c r="F9" s="79" t="str">
        <f>IFERROR(__xludf.DUMMYFUNCTION("""COMPUTED_VALUE"""),"Gil")</f>
        <v>Gil</v>
      </c>
      <c r="G9" s="107">
        <f t="shared" si="1"/>
        <v>19.815</v>
      </c>
      <c r="H9" s="108" t="str">
        <f t="shared" si="2"/>
        <v>Jan</v>
      </c>
    </row>
    <row r="10">
      <c r="A10" s="106">
        <f>IFERROR(__xludf.DUMMYFUNCTION("""COMPUTED_VALUE"""),45310.0)</f>
        <v>45310</v>
      </c>
      <c r="B10" s="103">
        <f>IFERROR(__xludf.DUMMYFUNCTION("""COMPUTED_VALUE"""),188.5)</f>
        <v>188.5</v>
      </c>
      <c r="C10" s="79" t="str">
        <f>IFERROR(__xludf.DUMMYFUNCTION("""COMPUTED_VALUE"""),"December Bill")</f>
        <v>December Bill</v>
      </c>
      <c r="D10" s="79" t="str">
        <f>IFERROR(__xludf.DUMMYFUNCTION("""COMPUTED_VALUE"""),"Checking")</f>
        <v>Checking</v>
      </c>
      <c r="E10" s="79" t="str">
        <f>IFERROR(__xludf.DUMMYFUNCTION("""COMPUTED_VALUE"""),"Mobile Phone")</f>
        <v>Mobile Phone</v>
      </c>
      <c r="F10" s="79" t="str">
        <f>IFERROR(__xludf.DUMMYFUNCTION("""COMPUTED_VALUE"""),"Gil")</f>
        <v>Gil</v>
      </c>
      <c r="G10" s="107">
        <f t="shared" si="1"/>
        <v>94.25</v>
      </c>
      <c r="H10" s="108" t="str">
        <f t="shared" si="2"/>
        <v>Jan</v>
      </c>
    </row>
    <row r="11">
      <c r="A11" s="106">
        <f>IFERROR(__xludf.DUMMYFUNCTION("""COMPUTED_VALUE"""),45312.0)</f>
        <v>45312</v>
      </c>
      <c r="B11" s="103">
        <f>IFERROR(__xludf.DUMMYFUNCTION("""COMPUTED_VALUE"""),12.97)</f>
        <v>12.97</v>
      </c>
      <c r="C11" s="79" t="str">
        <f>IFERROR(__xludf.DUMMYFUNCTION("""COMPUTED_VALUE"""),"Mr. Lemon")</f>
        <v>Mr. Lemon</v>
      </c>
      <c r="D11" s="79" t="str">
        <f>IFERROR(__xludf.DUMMYFUNCTION("""COMPUTED_VALUE"""),"Amex Blue")</f>
        <v>Amex Blue</v>
      </c>
      <c r="E11" s="79" t="str">
        <f>IFERROR(__xludf.DUMMYFUNCTION("""COMPUTED_VALUE"""),"Groceries")</f>
        <v>Groceries</v>
      </c>
      <c r="F11" s="79" t="str">
        <f>IFERROR(__xludf.DUMMYFUNCTION("""COMPUTED_VALUE"""),"Gil")</f>
        <v>Gil</v>
      </c>
      <c r="G11" s="107">
        <f t="shared" si="1"/>
        <v>6.485</v>
      </c>
      <c r="H11" s="108" t="str">
        <f t="shared" si="2"/>
        <v>Jan</v>
      </c>
    </row>
    <row r="12">
      <c r="A12" s="106">
        <f>IFERROR(__xludf.DUMMYFUNCTION("""COMPUTED_VALUE"""),45312.0)</f>
        <v>45312</v>
      </c>
      <c r="B12" s="103">
        <f>IFERROR(__xludf.DUMMYFUNCTION("""COMPUTED_VALUE"""),21.73)</f>
        <v>21.73</v>
      </c>
      <c r="C12" s="79" t="str">
        <f>IFERROR(__xludf.DUMMYFUNCTION("""COMPUTED_VALUE"""),"Uber Eats - GoPuff")</f>
        <v>Uber Eats - GoPuff</v>
      </c>
      <c r="D12" s="79" t="str">
        <f>IFERROR(__xludf.DUMMYFUNCTION("""COMPUTED_VALUE"""),"Capital ONE")</f>
        <v>Capital ONE</v>
      </c>
      <c r="E12" s="79" t="str">
        <f>IFERROR(__xludf.DUMMYFUNCTION("""COMPUTED_VALUE"""),"Groceries")</f>
        <v>Groceries</v>
      </c>
      <c r="F12" s="79" t="str">
        <f>IFERROR(__xludf.DUMMYFUNCTION("""COMPUTED_VALUE"""),"Gil")</f>
        <v>Gil</v>
      </c>
      <c r="G12" s="107">
        <f t="shared" si="1"/>
        <v>10.865</v>
      </c>
      <c r="H12" s="108" t="str">
        <f t="shared" si="2"/>
        <v>Jan</v>
      </c>
    </row>
    <row r="13">
      <c r="A13" s="106">
        <f>IFERROR(__xludf.DUMMYFUNCTION("""COMPUTED_VALUE"""),45317.0)</f>
        <v>45317</v>
      </c>
      <c r="B13" s="103">
        <f>IFERROR(__xludf.DUMMYFUNCTION("""COMPUTED_VALUE"""),53.91)</f>
        <v>53.91</v>
      </c>
      <c r="C13" s="79" t="str">
        <f>IFERROR(__xludf.DUMMYFUNCTION("""COMPUTED_VALUE"""),"Whole Foods")</f>
        <v>Whole Foods</v>
      </c>
      <c r="D13" s="79" t="str">
        <f>IFERROR(__xludf.DUMMYFUNCTION("""COMPUTED_VALUE"""),"Amex Blue")</f>
        <v>Amex Blue</v>
      </c>
      <c r="E13" s="79" t="str">
        <f>IFERROR(__xludf.DUMMYFUNCTION("""COMPUTED_VALUE"""),"Groceries")</f>
        <v>Groceries</v>
      </c>
      <c r="F13" s="79" t="str">
        <f>IFERROR(__xludf.DUMMYFUNCTION("""COMPUTED_VALUE"""),"Gil")</f>
        <v>Gil</v>
      </c>
      <c r="G13" s="107">
        <f t="shared" si="1"/>
        <v>26.955</v>
      </c>
      <c r="H13" s="108" t="str">
        <f t="shared" si="2"/>
        <v>Jan</v>
      </c>
    </row>
    <row r="14">
      <c r="A14" s="106">
        <f>IFERROR(__xludf.DUMMYFUNCTION("""COMPUTED_VALUE"""),45317.0)</f>
        <v>45317</v>
      </c>
      <c r="B14" s="103">
        <f>IFERROR(__xludf.DUMMYFUNCTION("""COMPUTED_VALUE"""),6.49)</f>
        <v>6.49</v>
      </c>
      <c r="C14" s="79" t="str">
        <f>IFERROR(__xludf.DUMMYFUNCTION("""COMPUTED_VALUE"""),"Mr. Lemon")</f>
        <v>Mr. Lemon</v>
      </c>
      <c r="D14" s="79" t="str">
        <f>IFERROR(__xludf.DUMMYFUNCTION("""COMPUTED_VALUE"""),"Amex Blue")</f>
        <v>Amex Blue</v>
      </c>
      <c r="E14" s="79" t="str">
        <f>IFERROR(__xludf.DUMMYFUNCTION("""COMPUTED_VALUE"""),"Groceries")</f>
        <v>Groceries</v>
      </c>
      <c r="F14" s="79" t="str">
        <f>IFERROR(__xludf.DUMMYFUNCTION("""COMPUTED_VALUE"""),"Gil")</f>
        <v>Gil</v>
      </c>
      <c r="G14" s="107">
        <f t="shared" si="1"/>
        <v>3.245</v>
      </c>
      <c r="H14" s="108" t="str">
        <f t="shared" si="2"/>
        <v>Jan</v>
      </c>
    </row>
    <row r="15">
      <c r="A15" s="106">
        <f>IFERROR(__xludf.DUMMYFUNCTION("""COMPUTED_VALUE"""),45318.0)</f>
        <v>45318</v>
      </c>
      <c r="B15" s="103">
        <f>IFERROR(__xludf.DUMMYFUNCTION("""COMPUTED_VALUE"""),860.68)</f>
        <v>860.68</v>
      </c>
      <c r="C15" s="79" t="str">
        <f>IFERROR(__xludf.DUMMYFUNCTION("""COMPUTED_VALUE"""),"Healthfirst 2/1/24")</f>
        <v>Healthfirst 2/1/24</v>
      </c>
      <c r="D15" s="79" t="str">
        <f>IFERROR(__xludf.DUMMYFUNCTION("""COMPUTED_VALUE"""),"Wells Fargo")</f>
        <v>Wells Fargo</v>
      </c>
      <c r="E15" s="79" t="str">
        <f>IFERROR(__xludf.DUMMYFUNCTION("""COMPUTED_VALUE"""),"Insurance")</f>
        <v>Insurance</v>
      </c>
      <c r="F15" s="79" t="str">
        <f>IFERROR(__xludf.DUMMYFUNCTION("""COMPUTED_VALUE"""),"Gil")</f>
        <v>Gil</v>
      </c>
      <c r="G15" s="107">
        <f t="shared" si="1"/>
        <v>430.34</v>
      </c>
      <c r="H15" s="108" t="str">
        <f t="shared" si="2"/>
        <v>Jan</v>
      </c>
    </row>
    <row r="16">
      <c r="A16" s="106">
        <f>IFERROR(__xludf.DUMMYFUNCTION("""COMPUTED_VALUE"""),45318.0)</f>
        <v>45318</v>
      </c>
      <c r="B16" s="103">
        <f>IFERROR(__xludf.DUMMYFUNCTION("""COMPUTED_VALUE"""),-13.24)</f>
        <v>-13.24</v>
      </c>
      <c r="C16" s="79" t="str">
        <f>IFERROR(__xludf.DUMMYFUNCTION("""COMPUTED_VALUE"""),"Rewards Cashback")</f>
        <v>Rewards Cashback</v>
      </c>
      <c r="D16" s="79" t="str">
        <f>IFERROR(__xludf.DUMMYFUNCTION("""COMPUTED_VALUE"""),"Capital ONE")</f>
        <v>Capital ONE</v>
      </c>
      <c r="E16" s="79" t="str">
        <f>IFERROR(__xludf.DUMMYFUNCTION("""COMPUTED_VALUE"""),"Meals")</f>
        <v>Meals</v>
      </c>
      <c r="F16" s="79" t="str">
        <f>IFERROR(__xludf.DUMMYFUNCTION("""COMPUTED_VALUE"""),"Gil")</f>
        <v>Gil</v>
      </c>
      <c r="G16" s="107">
        <f t="shared" si="1"/>
        <v>-6.62</v>
      </c>
      <c r="H16" s="108" t="str">
        <f t="shared" si="2"/>
        <v>Jan</v>
      </c>
    </row>
    <row r="17">
      <c r="A17" s="106">
        <f>IFERROR(__xludf.DUMMYFUNCTION("""COMPUTED_VALUE"""),45319.0)</f>
        <v>45319</v>
      </c>
      <c r="B17" s="103">
        <f>IFERROR(__xludf.DUMMYFUNCTION("""COMPUTED_VALUE"""),22.12)</f>
        <v>22.12</v>
      </c>
      <c r="C17" s="79" t="str">
        <f>IFERROR(__xludf.DUMMYFUNCTION("""COMPUTED_VALUE"""),"Mr. Lemon")</f>
        <v>Mr. Lemon</v>
      </c>
      <c r="D17" s="79" t="str">
        <f>IFERROR(__xludf.DUMMYFUNCTION("""COMPUTED_VALUE"""),"Amex Blue")</f>
        <v>Amex Blue</v>
      </c>
      <c r="E17" s="79" t="str">
        <f>IFERROR(__xludf.DUMMYFUNCTION("""COMPUTED_VALUE"""),"Groceries")</f>
        <v>Groceries</v>
      </c>
      <c r="F17" s="79" t="str">
        <f>IFERROR(__xludf.DUMMYFUNCTION("""COMPUTED_VALUE"""),"Gil")</f>
        <v>Gil</v>
      </c>
      <c r="G17" s="107">
        <f t="shared" si="1"/>
        <v>11.06</v>
      </c>
      <c r="H17" s="108" t="str">
        <f t="shared" si="2"/>
        <v>Jan</v>
      </c>
    </row>
    <row r="18">
      <c r="A18" s="106">
        <f>IFERROR(__xludf.DUMMYFUNCTION("""COMPUTED_VALUE"""),45319.0)</f>
        <v>45319</v>
      </c>
      <c r="B18" s="103">
        <f>IFERROR(__xludf.DUMMYFUNCTION("""COMPUTED_VALUE"""),31.58)</f>
        <v>31.58</v>
      </c>
      <c r="C18" s="79" t="str">
        <f>IFERROR(__xludf.DUMMYFUNCTION("""COMPUTED_VALUE"""),"UberEats - GoPuff")</f>
        <v>UberEats - GoPuff</v>
      </c>
      <c r="D18" s="79" t="str">
        <f>IFERROR(__xludf.DUMMYFUNCTION("""COMPUTED_VALUE"""),"Capital ONE")</f>
        <v>Capital ONE</v>
      </c>
      <c r="E18" s="79" t="str">
        <f>IFERROR(__xludf.DUMMYFUNCTION("""COMPUTED_VALUE"""),"Groceries")</f>
        <v>Groceries</v>
      </c>
      <c r="F18" s="79" t="str">
        <f>IFERROR(__xludf.DUMMYFUNCTION("""COMPUTED_VALUE"""),"Gil")</f>
        <v>Gil</v>
      </c>
      <c r="G18" s="107">
        <f t="shared" si="1"/>
        <v>15.79</v>
      </c>
      <c r="H18" s="108" t="str">
        <f t="shared" si="2"/>
        <v>Jan</v>
      </c>
    </row>
    <row r="19">
      <c r="A19" s="106">
        <f>IFERROR(__xludf.DUMMYFUNCTION("""COMPUTED_VALUE"""),45320.0)</f>
        <v>45320</v>
      </c>
      <c r="B19" s="103">
        <f>IFERROR(__xludf.DUMMYFUNCTION("""COMPUTED_VALUE"""),44.62)</f>
        <v>44.62</v>
      </c>
      <c r="C19" s="79" t="str">
        <f>IFERROR(__xludf.DUMMYFUNCTION("""COMPUTED_VALUE"""),"Whole Foods")</f>
        <v>Whole Foods</v>
      </c>
      <c r="D19" s="79" t="str">
        <f>IFERROR(__xludf.DUMMYFUNCTION("""COMPUTED_VALUE"""),"Amex Blue")</f>
        <v>Amex Blue</v>
      </c>
      <c r="E19" s="79" t="str">
        <f>IFERROR(__xludf.DUMMYFUNCTION("""COMPUTED_VALUE"""),"Groceries")</f>
        <v>Groceries</v>
      </c>
      <c r="F19" s="79" t="str">
        <f>IFERROR(__xludf.DUMMYFUNCTION("""COMPUTED_VALUE"""),"Gil")</f>
        <v>Gil</v>
      </c>
      <c r="G19" s="107">
        <f t="shared" si="1"/>
        <v>22.31</v>
      </c>
      <c r="H19" s="108" t="str">
        <f t="shared" si="2"/>
        <v>Jan</v>
      </c>
    </row>
    <row r="20">
      <c r="A20" s="106">
        <f>IFERROR(__xludf.DUMMYFUNCTION("""COMPUTED_VALUE"""),45320.0)</f>
        <v>45320</v>
      </c>
      <c r="B20" s="103">
        <f>IFERROR(__xludf.DUMMYFUNCTION("""COMPUTED_VALUE"""),26.86)</f>
        <v>26.86</v>
      </c>
      <c r="C20" s="79" t="str">
        <f>IFERROR(__xludf.DUMMYFUNCTION("""COMPUTED_VALUE"""),"Jan 22 '24")</f>
        <v>Jan 22 '24</v>
      </c>
      <c r="D20" s="79" t="str">
        <f>IFERROR(__xludf.DUMMYFUNCTION("""COMPUTED_VALUE"""),"Checking")</f>
        <v>Checking</v>
      </c>
      <c r="E20" s="79" t="str">
        <f>IFERROR(__xludf.DUMMYFUNCTION("""COMPUTED_VALUE"""),"Utilities")</f>
        <v>Utilities</v>
      </c>
      <c r="F20" s="79" t="str">
        <f>IFERROR(__xludf.DUMMYFUNCTION("""COMPUTED_VALUE"""),"Gil")</f>
        <v>Gil</v>
      </c>
      <c r="G20" s="107">
        <f t="shared" si="1"/>
        <v>13.43</v>
      </c>
      <c r="H20" s="108" t="str">
        <f t="shared" si="2"/>
        <v>Jan</v>
      </c>
    </row>
    <row r="21">
      <c r="A21" s="106">
        <f>IFERROR(__xludf.DUMMYFUNCTION("""COMPUTED_VALUE"""),45320.0)</f>
        <v>45320</v>
      </c>
      <c r="B21" s="103">
        <f>IFERROR(__xludf.DUMMYFUNCTION("""COMPUTED_VALUE"""),24.75)</f>
        <v>24.75</v>
      </c>
      <c r="C21" s="79" t="str">
        <f>IFERROR(__xludf.DUMMYFUNCTION("""COMPUTED_VALUE"""),"ATG - last month of 50%")</f>
        <v>ATG - last month of 50%</v>
      </c>
      <c r="D21" s="79" t="str">
        <f>IFERROR(__xludf.DUMMYFUNCTION("""COMPUTED_VALUE"""),"Other")</f>
        <v>Other</v>
      </c>
      <c r="E21" s="79" t="str">
        <f>IFERROR(__xludf.DUMMYFUNCTION("""COMPUTED_VALUE"""),"Subscriptions")</f>
        <v>Subscriptions</v>
      </c>
      <c r="F21" s="79" t="str">
        <f>IFERROR(__xludf.DUMMYFUNCTION("""COMPUTED_VALUE"""),"Gil")</f>
        <v>Gil</v>
      </c>
      <c r="G21" s="107">
        <f t="shared" si="1"/>
        <v>12.375</v>
      </c>
      <c r="H21" s="108" t="str">
        <f t="shared" si="2"/>
        <v>Jan</v>
      </c>
    </row>
    <row r="22">
      <c r="A22" s="106">
        <f>IFERROR(__xludf.DUMMYFUNCTION("""COMPUTED_VALUE"""),45321.0)</f>
        <v>45321</v>
      </c>
      <c r="B22" s="103">
        <f>IFERROR(__xludf.DUMMYFUNCTION("""COMPUTED_VALUE"""),32.5)</f>
        <v>32.5</v>
      </c>
      <c r="C22" s="79" t="str">
        <f>IFERROR(__xludf.DUMMYFUNCTION("""COMPUTED_VALUE"""),"Spin Laundry")</f>
        <v>Spin Laundry</v>
      </c>
      <c r="D22" s="79" t="str">
        <f>IFERROR(__xludf.DUMMYFUNCTION("""COMPUTED_VALUE"""),"Cash")</f>
        <v>Cash</v>
      </c>
      <c r="E22" s="79" t="str">
        <f>IFERROR(__xludf.DUMMYFUNCTION("""COMPUTED_VALUE"""),"Household")</f>
        <v>Household</v>
      </c>
      <c r="F22" s="79" t="str">
        <f>IFERROR(__xludf.DUMMYFUNCTION("""COMPUTED_VALUE"""),"Gil")</f>
        <v>Gil</v>
      </c>
      <c r="G22" s="107">
        <f t="shared" si="1"/>
        <v>16.25</v>
      </c>
      <c r="H22" s="108" t="str">
        <f t="shared" si="2"/>
        <v>Jan</v>
      </c>
    </row>
    <row r="23">
      <c r="A23" s="106">
        <f>IFERROR(__xludf.DUMMYFUNCTION("""COMPUTED_VALUE"""),45321.0)</f>
        <v>45321</v>
      </c>
      <c r="B23" s="103">
        <f>IFERROR(__xludf.DUMMYFUNCTION("""COMPUTED_VALUE"""),13.45)</f>
        <v>13.45</v>
      </c>
      <c r="C23" s="79" t="str">
        <f>IFERROR(__xludf.DUMMYFUNCTION("""COMPUTED_VALUE"""),"Mr. Lemon")</f>
        <v>Mr. Lemon</v>
      </c>
      <c r="D23" s="79" t="str">
        <f>IFERROR(__xludf.DUMMYFUNCTION("""COMPUTED_VALUE"""),"Amex Blue")</f>
        <v>Amex Blue</v>
      </c>
      <c r="E23" s="79" t="str">
        <f>IFERROR(__xludf.DUMMYFUNCTION("""COMPUTED_VALUE"""),"Groceries")</f>
        <v>Groceries</v>
      </c>
      <c r="F23" s="79" t="str">
        <f>IFERROR(__xludf.DUMMYFUNCTION("""COMPUTED_VALUE"""),"Gil")</f>
        <v>Gil</v>
      </c>
      <c r="G23" s="107">
        <f t="shared" si="1"/>
        <v>6.725</v>
      </c>
      <c r="H23" s="108" t="str">
        <f t="shared" si="2"/>
        <v>Jan</v>
      </c>
    </row>
    <row r="24">
      <c r="A24" s="106">
        <f>IFERROR(__xludf.DUMMYFUNCTION("""COMPUTED_VALUE"""),45322.0)</f>
        <v>45322</v>
      </c>
      <c r="B24" s="103">
        <f>IFERROR(__xludf.DUMMYFUNCTION("""COMPUTED_VALUE"""),103.09)</f>
        <v>103.09</v>
      </c>
      <c r="C24" s="79" t="str">
        <f>IFERROR(__xludf.DUMMYFUNCTION("""COMPUTED_VALUE"""),"Coned")</f>
        <v>Coned</v>
      </c>
      <c r="D24" s="79" t="str">
        <f>IFERROR(__xludf.DUMMYFUNCTION("""COMPUTED_VALUE"""),"Checking")</f>
        <v>Checking</v>
      </c>
      <c r="E24" s="79" t="str">
        <f>IFERROR(__xludf.DUMMYFUNCTION("""COMPUTED_VALUE"""),"Utilities")</f>
        <v>Utilities</v>
      </c>
      <c r="F24" s="79" t="str">
        <f>IFERROR(__xludf.DUMMYFUNCTION("""COMPUTED_VALUE"""),"Gil")</f>
        <v>Gil</v>
      </c>
      <c r="G24" s="107">
        <f t="shared" si="1"/>
        <v>51.545</v>
      </c>
      <c r="H24" s="108" t="str">
        <f t="shared" si="2"/>
        <v>Jan</v>
      </c>
    </row>
    <row r="25">
      <c r="A25" s="106">
        <f>IFERROR(__xludf.DUMMYFUNCTION("""COMPUTED_VALUE"""),45323.0)</f>
        <v>45323</v>
      </c>
      <c r="B25" s="103">
        <f>IFERROR(__xludf.DUMMYFUNCTION("""COMPUTED_VALUE"""),117.45)</f>
        <v>117.45</v>
      </c>
      <c r="C25" s="79" t="str">
        <f>IFERROR(__xludf.DUMMYFUNCTION("""COMPUTED_VALUE"""),"Whole Foods - Prime Pickup")</f>
        <v>Whole Foods - Prime Pickup</v>
      </c>
      <c r="D25" s="79" t="str">
        <f>IFERROR(__xludf.DUMMYFUNCTION("""COMPUTED_VALUE"""),"Amazon Prime Chase")</f>
        <v>Amazon Prime Chase</v>
      </c>
      <c r="E25" s="79" t="str">
        <f>IFERROR(__xludf.DUMMYFUNCTION("""COMPUTED_VALUE"""),"Groceries")</f>
        <v>Groceries</v>
      </c>
      <c r="F25" s="79" t="str">
        <f>IFERROR(__xludf.DUMMYFUNCTION("""COMPUTED_VALUE"""),"Gil")</f>
        <v>Gil</v>
      </c>
      <c r="G25" s="107">
        <f t="shared" si="1"/>
        <v>58.725</v>
      </c>
      <c r="H25" s="108" t="str">
        <f t="shared" si="2"/>
        <v>Feb</v>
      </c>
    </row>
    <row r="26">
      <c r="A26" s="106">
        <f>IFERROR(__xludf.DUMMYFUNCTION("""COMPUTED_VALUE"""),45324.0)</f>
        <v>45324</v>
      </c>
      <c r="B26" s="103">
        <f>IFERROR(__xludf.DUMMYFUNCTION("""COMPUTED_VALUE"""),42.13)</f>
        <v>42.13</v>
      </c>
      <c r="C26" s="79" t="str">
        <f>IFERROR(__xludf.DUMMYFUNCTION("""COMPUTED_VALUE"""),"Ulta Beauty")</f>
        <v>Ulta Beauty</v>
      </c>
      <c r="D26" s="79" t="str">
        <f>IFERROR(__xludf.DUMMYFUNCTION("""COMPUTED_VALUE"""),"Amex Gold")</f>
        <v>Amex Gold</v>
      </c>
      <c r="E26" s="79" t="str">
        <f>IFERROR(__xludf.DUMMYFUNCTION("""COMPUTED_VALUE"""),"Personal")</f>
        <v>Personal</v>
      </c>
      <c r="F26" s="79" t="str">
        <f>IFERROR(__xludf.DUMMYFUNCTION("""COMPUTED_VALUE"""),"Gil")</f>
        <v>Gil</v>
      </c>
      <c r="G26" s="107">
        <f t="shared" si="1"/>
        <v>21.065</v>
      </c>
      <c r="H26" s="108" t="str">
        <f t="shared" si="2"/>
        <v>Feb</v>
      </c>
    </row>
    <row r="27">
      <c r="A27" s="106">
        <f>IFERROR(__xludf.DUMMYFUNCTION("""COMPUTED_VALUE"""),45322.0)</f>
        <v>45322</v>
      </c>
      <c r="B27" s="103">
        <f>IFERROR(__xludf.DUMMYFUNCTION("""COMPUTED_VALUE"""),130.51)</f>
        <v>130.51</v>
      </c>
      <c r="C27" s="79" t="str">
        <f>IFERROR(__xludf.DUMMYFUNCTION("""COMPUTED_VALUE"""),"Ops- Ken's Asian Taste")</f>
        <v>Ops- Ken's Asian Taste</v>
      </c>
      <c r="D27" s="79" t="str">
        <f>IFERROR(__xludf.DUMMYFUNCTION("""COMPUTED_VALUE"""),"Amex Gold")</f>
        <v>Amex Gold</v>
      </c>
      <c r="E27" s="79" t="str">
        <f>IFERROR(__xludf.DUMMYFUNCTION("""COMPUTED_VALUE"""),"Meals")</f>
        <v>Meals</v>
      </c>
      <c r="F27" s="79" t="str">
        <f>IFERROR(__xludf.DUMMYFUNCTION("""COMPUTED_VALUE"""),"Gil")</f>
        <v>Gil</v>
      </c>
      <c r="G27" s="107">
        <f t="shared" si="1"/>
        <v>65.255</v>
      </c>
      <c r="H27" s="108" t="str">
        <f t="shared" si="2"/>
        <v>Jan</v>
      </c>
    </row>
    <row r="28">
      <c r="A28" s="106">
        <f>IFERROR(__xludf.DUMMYFUNCTION("""COMPUTED_VALUE"""),45324.0)</f>
        <v>45324</v>
      </c>
      <c r="B28" s="103">
        <f>IFERROR(__xludf.DUMMYFUNCTION("""COMPUTED_VALUE"""),26.0)</f>
        <v>26</v>
      </c>
      <c r="C28" s="79" t="str">
        <f>IFERROR(__xludf.DUMMYFUNCTION("""COMPUTED_VALUE"""),"Paradise Lounge")</f>
        <v>Paradise Lounge</v>
      </c>
      <c r="D28" s="79" t="str">
        <f>IFERROR(__xludf.DUMMYFUNCTION("""COMPUTED_VALUE"""),"Cash")</f>
        <v>Cash</v>
      </c>
      <c r="E28" s="79" t="str">
        <f>IFERROR(__xludf.DUMMYFUNCTION("""COMPUTED_VALUE"""),"Alcohol/Weed")</f>
        <v>Alcohol/Weed</v>
      </c>
      <c r="F28" s="79" t="str">
        <f>IFERROR(__xludf.DUMMYFUNCTION("""COMPUTED_VALUE"""),"Gil")</f>
        <v>Gil</v>
      </c>
      <c r="G28" s="107">
        <f t="shared" si="1"/>
        <v>13</v>
      </c>
      <c r="H28" s="108" t="str">
        <f t="shared" si="2"/>
        <v>Feb</v>
      </c>
    </row>
    <row r="29">
      <c r="A29" s="106">
        <f>IFERROR(__xludf.DUMMYFUNCTION("""COMPUTED_VALUE"""),45323.0)</f>
        <v>45323</v>
      </c>
      <c r="B29" s="103">
        <f>IFERROR(__xludf.DUMMYFUNCTION("""COMPUTED_VALUE"""),20.0)</f>
        <v>20</v>
      </c>
      <c r="C29" s="79" t="str">
        <f>IFERROR(__xludf.DUMMYFUNCTION("""COMPUTED_VALUE"""),"Planned Parenthood")</f>
        <v>Planned Parenthood</v>
      </c>
      <c r="D29" s="79" t="str">
        <f>IFERROR(__xludf.DUMMYFUNCTION("""COMPUTED_VALUE"""),"Shaeffer ONLY - Gifts/Donations")</f>
        <v>Shaeffer ONLY - Gifts/Donations</v>
      </c>
      <c r="E29" s="79"/>
      <c r="F29" s="79" t="str">
        <f>IFERROR(__xludf.DUMMYFUNCTION("""COMPUTED_VALUE"""),"Shaeffer")</f>
        <v>Shaeffer</v>
      </c>
      <c r="G29" s="107">
        <f t="shared" si="1"/>
        <v>10</v>
      </c>
      <c r="H29" s="108" t="str">
        <f t="shared" si="2"/>
        <v>Feb</v>
      </c>
    </row>
    <row r="30">
      <c r="A30" s="106">
        <f>IFERROR(__xludf.DUMMYFUNCTION("""COMPUTED_VALUE"""),45319.0)</f>
        <v>45319</v>
      </c>
      <c r="B30" s="103">
        <f>IFERROR(__xludf.DUMMYFUNCTION("""COMPUTED_VALUE"""),306.77)</f>
        <v>306.77</v>
      </c>
      <c r="C30" s="79" t="str">
        <f>IFERROR(__xludf.DUMMYFUNCTION("""COMPUTED_VALUE"""),"Amazon - Frames")</f>
        <v>Amazon - Frames</v>
      </c>
      <c r="D30" s="79" t="str">
        <f>IFERROR(__xludf.DUMMYFUNCTION("""COMPUTED_VALUE"""),"Amex Gold")</f>
        <v>Amex Gold</v>
      </c>
      <c r="E30" s="79" t="str">
        <f>IFERROR(__xludf.DUMMYFUNCTION("""COMPUTED_VALUE"""),"Household")</f>
        <v>Household</v>
      </c>
      <c r="F30" s="79" t="str">
        <f>IFERROR(__xludf.DUMMYFUNCTION("""COMPUTED_VALUE"""),"Gil")</f>
        <v>Gil</v>
      </c>
      <c r="G30" s="107">
        <f t="shared" si="1"/>
        <v>153.385</v>
      </c>
      <c r="H30" s="108" t="str">
        <f t="shared" si="2"/>
        <v>Jan</v>
      </c>
    </row>
    <row r="31">
      <c r="A31" s="106">
        <f>IFERROR(__xludf.DUMMYFUNCTION("""COMPUTED_VALUE"""),45312.0)</f>
        <v>45312</v>
      </c>
      <c r="B31" s="103">
        <f>IFERROR(__xludf.DUMMYFUNCTION("""COMPUTED_VALUE"""),5.45)</f>
        <v>5.45</v>
      </c>
      <c r="C31" s="79" t="str">
        <f>IFERROR(__xludf.DUMMYFUNCTION("""COMPUTED_VALUE"""),"Ernesta")</f>
        <v>Ernesta</v>
      </c>
      <c r="D31" s="79" t="str">
        <f>IFERROR(__xludf.DUMMYFUNCTION("""COMPUTED_VALUE"""),"Amex Gold")</f>
        <v>Amex Gold</v>
      </c>
      <c r="E31" s="79" t="str">
        <f>IFERROR(__xludf.DUMMYFUNCTION("""COMPUTED_VALUE"""),"Household")</f>
        <v>Household</v>
      </c>
      <c r="F31" s="79" t="str">
        <f>IFERROR(__xludf.DUMMYFUNCTION("""COMPUTED_VALUE"""),"Gil")</f>
        <v>Gil</v>
      </c>
      <c r="G31" s="107">
        <f t="shared" si="1"/>
        <v>2.725</v>
      </c>
      <c r="H31" s="108" t="str">
        <f t="shared" si="2"/>
        <v>Jan</v>
      </c>
    </row>
    <row r="32">
      <c r="A32" s="106">
        <f>IFERROR(__xludf.DUMMYFUNCTION("""COMPUTED_VALUE"""),45305.0)</f>
        <v>45305</v>
      </c>
      <c r="B32" s="103">
        <f>IFERROR(__xludf.DUMMYFUNCTION("""COMPUTED_VALUE"""),15.0)</f>
        <v>15</v>
      </c>
      <c r="C32" s="79" t="str">
        <f>IFERROR(__xludf.DUMMYFUNCTION("""COMPUTED_VALUE"""),"Iona")</f>
        <v>Iona</v>
      </c>
      <c r="D32" s="79" t="str">
        <f>IFERROR(__xludf.DUMMYFUNCTION("""COMPUTED_VALUE"""),"Amex Gold")</f>
        <v>Amex Gold</v>
      </c>
      <c r="E32" s="79" t="str">
        <f>IFERROR(__xludf.DUMMYFUNCTION("""COMPUTED_VALUE"""),"Alcohol/Weed")</f>
        <v>Alcohol/Weed</v>
      </c>
      <c r="F32" s="79" t="str">
        <f>IFERROR(__xludf.DUMMYFUNCTION("""COMPUTED_VALUE"""),"Gil")</f>
        <v>Gil</v>
      </c>
      <c r="G32" s="107">
        <f t="shared" si="1"/>
        <v>7.5</v>
      </c>
      <c r="H32" s="108" t="str">
        <f t="shared" si="2"/>
        <v>Jan</v>
      </c>
    </row>
    <row r="33">
      <c r="A33" s="106">
        <f>IFERROR(__xludf.DUMMYFUNCTION("""COMPUTED_VALUE"""),45301.0)</f>
        <v>45301</v>
      </c>
      <c r="B33" s="103">
        <f>IFERROR(__xludf.DUMMYFUNCTION("""COMPUTED_VALUE"""),35.5)</f>
        <v>35.5</v>
      </c>
      <c r="C33" s="79" t="str">
        <f>IFERROR(__xludf.DUMMYFUNCTION("""COMPUTED_VALUE"""),"Nitehawk")</f>
        <v>Nitehawk</v>
      </c>
      <c r="D33" s="79" t="str">
        <f>IFERROR(__xludf.DUMMYFUNCTION("""COMPUTED_VALUE"""),"Amex Gold")</f>
        <v>Amex Gold</v>
      </c>
      <c r="E33" s="79" t="str">
        <f>IFERROR(__xludf.DUMMYFUNCTION("""COMPUTED_VALUE"""),"Entertainment")</f>
        <v>Entertainment</v>
      </c>
      <c r="F33" s="79" t="str">
        <f>IFERROR(__xludf.DUMMYFUNCTION("""COMPUTED_VALUE"""),"Gil")</f>
        <v>Gil</v>
      </c>
      <c r="G33" s="107">
        <f t="shared" si="1"/>
        <v>17.75</v>
      </c>
      <c r="H33" s="108" t="str">
        <f t="shared" si="2"/>
        <v>Jan</v>
      </c>
    </row>
    <row r="34">
      <c r="A34" s="106">
        <f>IFERROR(__xludf.DUMMYFUNCTION("""COMPUTED_VALUE"""),45292.0)</f>
        <v>45292</v>
      </c>
      <c r="B34" s="103">
        <f>IFERROR(__xludf.DUMMYFUNCTION("""COMPUTED_VALUE"""),43.25)</f>
        <v>43.25</v>
      </c>
      <c r="C34" s="79" t="str">
        <f>IFERROR(__xludf.DUMMYFUNCTION("""COMPUTED_VALUE"""),"Birch Coffee")</f>
        <v>Birch Coffee</v>
      </c>
      <c r="D34" s="79" t="str">
        <f>IFERROR(__xludf.DUMMYFUNCTION("""COMPUTED_VALUE"""),"Amex Gold")</f>
        <v>Amex Gold</v>
      </c>
      <c r="E34" s="79" t="str">
        <f>IFERROR(__xludf.DUMMYFUNCTION("""COMPUTED_VALUE"""),"Groceries")</f>
        <v>Groceries</v>
      </c>
      <c r="F34" s="79" t="str">
        <f>IFERROR(__xludf.DUMMYFUNCTION("""COMPUTED_VALUE"""),"Gil")</f>
        <v>Gil</v>
      </c>
      <c r="G34" s="107">
        <f t="shared" si="1"/>
        <v>21.625</v>
      </c>
      <c r="H34" s="108" t="str">
        <f t="shared" si="2"/>
        <v>Jan</v>
      </c>
    </row>
    <row r="35">
      <c r="A35" s="106">
        <f>IFERROR(__xludf.DUMMYFUNCTION("""COMPUTED_VALUE"""),45325.0)</f>
        <v>45325</v>
      </c>
      <c r="B35" s="103">
        <f>IFERROR(__xludf.DUMMYFUNCTION("""COMPUTED_VALUE"""),31.43)</f>
        <v>31.43</v>
      </c>
      <c r="C35" s="79" t="str">
        <f>IFERROR(__xludf.DUMMYFUNCTION("""COMPUTED_VALUE"""),"I'Milky")</f>
        <v>I'Milky</v>
      </c>
      <c r="D35" s="79" t="str">
        <f>IFERROR(__xludf.DUMMYFUNCTION("""COMPUTED_VALUE"""),"Amex Gold")</f>
        <v>Amex Gold</v>
      </c>
      <c r="E35" s="79" t="str">
        <f>IFERROR(__xludf.DUMMYFUNCTION("""COMPUTED_VALUE"""),"Meals")</f>
        <v>Meals</v>
      </c>
      <c r="F35" s="79" t="str">
        <f>IFERROR(__xludf.DUMMYFUNCTION("""COMPUTED_VALUE"""),"Gil")</f>
        <v>Gil</v>
      </c>
      <c r="G35" s="107">
        <f t="shared" si="1"/>
        <v>15.715</v>
      </c>
      <c r="H35" s="108" t="str">
        <f t="shared" si="2"/>
        <v>Feb</v>
      </c>
    </row>
    <row r="36">
      <c r="A36" s="106">
        <f>IFERROR(__xludf.DUMMYFUNCTION("""COMPUTED_VALUE"""),45292.0)</f>
        <v>45292</v>
      </c>
      <c r="B36" s="103">
        <f>IFERROR(__xludf.DUMMYFUNCTION("""COMPUTED_VALUE"""),12.89)</f>
        <v>12.89</v>
      </c>
      <c r="C36" s="79" t="str">
        <f>IFERROR(__xludf.DUMMYFUNCTION("""COMPUTED_VALUE"""),"La Cabra")</f>
        <v>La Cabra</v>
      </c>
      <c r="D36" s="79" t="str">
        <f>IFERROR(__xludf.DUMMYFUNCTION("""COMPUTED_VALUE"""),"Amex Gold")</f>
        <v>Amex Gold</v>
      </c>
      <c r="E36" s="79" t="str">
        <f>IFERROR(__xludf.DUMMYFUNCTION("""COMPUTED_VALUE"""),"Meals")</f>
        <v>Meals</v>
      </c>
      <c r="F36" s="79" t="str">
        <f>IFERROR(__xludf.DUMMYFUNCTION("""COMPUTED_VALUE"""),"Gil")</f>
        <v>Gil</v>
      </c>
      <c r="G36" s="107">
        <f t="shared" si="1"/>
        <v>6.445</v>
      </c>
      <c r="H36" s="108" t="str">
        <f t="shared" si="2"/>
        <v>Jan</v>
      </c>
    </row>
    <row r="37">
      <c r="A37" s="106">
        <f>IFERROR(__xludf.DUMMYFUNCTION("""COMPUTED_VALUE"""),45292.0)</f>
        <v>45292</v>
      </c>
      <c r="B37" s="103">
        <f>IFERROR(__xludf.DUMMYFUNCTION("""COMPUTED_VALUE"""),31.94)</f>
        <v>31.94</v>
      </c>
      <c r="C37" s="79" t="str">
        <f>IFERROR(__xludf.DUMMYFUNCTION("""COMPUTED_VALUE"""),"La Cabra - Canèles - AMEX Gold")</f>
        <v>La Cabra - Canèles - AMEX Gold</v>
      </c>
      <c r="D37" s="79" t="str">
        <f>IFERROR(__xludf.DUMMYFUNCTION("""COMPUTED_VALUE"""),"Shaeffer ONLY")</f>
        <v>Shaeffer ONLY</v>
      </c>
      <c r="E37" s="79"/>
      <c r="F37" s="79" t="str">
        <f>IFERROR(__xludf.DUMMYFUNCTION("""COMPUTED_VALUE"""),"Gil")</f>
        <v>Gil</v>
      </c>
      <c r="G37" s="107">
        <f t="shared" si="1"/>
        <v>15.97</v>
      </c>
      <c r="H37" s="108" t="str">
        <f t="shared" si="2"/>
        <v>Jan</v>
      </c>
    </row>
    <row r="38">
      <c r="A38" s="106">
        <f>IFERROR(__xludf.DUMMYFUNCTION("""COMPUTED_VALUE"""),45322.0)</f>
        <v>45322</v>
      </c>
      <c r="B38" s="103">
        <f>IFERROR(__xludf.DUMMYFUNCTION("""COMPUTED_VALUE"""),165.74)</f>
        <v>165.74</v>
      </c>
      <c r="C38" s="79" t="str">
        <f>IFERROR(__xludf.DUMMYFUNCTION("""COMPUTED_VALUE"""),"Amex Blue Expenses - Transportation")</f>
        <v>Amex Blue Expenses - Transportation</v>
      </c>
      <c r="D38" s="79" t="str">
        <f>IFERROR(__xludf.DUMMYFUNCTION("""COMPUTED_VALUE"""),"Shaeffer ONLY")</f>
        <v>Shaeffer ONLY</v>
      </c>
      <c r="E38" s="79"/>
      <c r="F38" s="79" t="str">
        <f>IFERROR(__xludf.DUMMYFUNCTION("""COMPUTED_VALUE"""),"Gil")</f>
        <v>Gil</v>
      </c>
      <c r="G38" s="107">
        <f t="shared" si="1"/>
        <v>82.87</v>
      </c>
      <c r="H38" s="108" t="str">
        <f t="shared" si="2"/>
        <v>Jan</v>
      </c>
    </row>
    <row r="39">
      <c r="A39" s="106">
        <f>IFERROR(__xludf.DUMMYFUNCTION("""COMPUTED_VALUE"""),45322.0)</f>
        <v>45322</v>
      </c>
      <c r="B39" s="103">
        <f>IFERROR(__xludf.DUMMYFUNCTION("""COMPUTED_VALUE"""),20.0)</f>
        <v>20</v>
      </c>
      <c r="C39" s="79" t="str">
        <f>IFERROR(__xludf.DUMMYFUNCTION("""COMPUTED_VALUE"""),"Amex Blue Expenses - Planned Parenthood")</f>
        <v>Amex Blue Expenses - Planned Parenthood</v>
      </c>
      <c r="D39" s="79" t="str">
        <f>IFERROR(__xludf.DUMMYFUNCTION("""COMPUTED_VALUE"""),"Shaeffer ONLY")</f>
        <v>Shaeffer ONLY</v>
      </c>
      <c r="E39" s="79"/>
      <c r="F39" s="79" t="str">
        <f>IFERROR(__xludf.DUMMYFUNCTION("""COMPUTED_VALUE"""),"Gil")</f>
        <v>Gil</v>
      </c>
      <c r="G39" s="107">
        <f t="shared" si="1"/>
        <v>10</v>
      </c>
      <c r="H39" s="108" t="str">
        <f t="shared" si="2"/>
        <v>Jan</v>
      </c>
    </row>
    <row r="40">
      <c r="A40" s="106">
        <f>IFERROR(__xludf.DUMMYFUNCTION("""COMPUTED_VALUE"""),45319.0)</f>
        <v>45319</v>
      </c>
      <c r="B40" s="103">
        <f>IFERROR(__xludf.DUMMYFUNCTION("""COMPUTED_VALUE"""),16.86)</f>
        <v>16.86</v>
      </c>
      <c r="C40" s="79" t="str">
        <f>IFERROR(__xludf.DUMMYFUNCTION("""COMPUTED_VALUE"""),"Netflix")</f>
        <v>Netflix</v>
      </c>
      <c r="D40" s="79" t="str">
        <f>IFERROR(__xludf.DUMMYFUNCTION("""COMPUTED_VALUE"""),"Amex Blue")</f>
        <v>Amex Blue</v>
      </c>
      <c r="E40" s="79" t="str">
        <f>IFERROR(__xludf.DUMMYFUNCTION("""COMPUTED_VALUE"""),"Subscriptions")</f>
        <v>Subscriptions</v>
      </c>
      <c r="F40" s="79" t="str">
        <f>IFERROR(__xludf.DUMMYFUNCTION("""COMPUTED_VALUE"""),"Gil")</f>
        <v>Gil</v>
      </c>
      <c r="G40" s="107">
        <f t="shared" si="1"/>
        <v>8.43</v>
      </c>
      <c r="H40" s="108" t="str">
        <f t="shared" si="2"/>
        <v>Jan</v>
      </c>
    </row>
    <row r="41">
      <c r="A41" s="106">
        <f>IFERROR(__xludf.DUMMYFUNCTION("""COMPUTED_VALUE"""),45304.0)</f>
        <v>45304</v>
      </c>
      <c r="B41" s="103">
        <f>IFERROR(__xludf.DUMMYFUNCTION("""COMPUTED_VALUE"""),7.99)</f>
        <v>7.99</v>
      </c>
      <c r="C41" s="79" t="str">
        <f>IFERROR(__xludf.DUMMYFUNCTION("""COMPUTED_VALUE"""),"Whole Foods")</f>
        <v>Whole Foods</v>
      </c>
      <c r="D41" s="79" t="str">
        <f>IFERROR(__xludf.DUMMYFUNCTION("""COMPUTED_VALUE"""),"Amex Blue")</f>
        <v>Amex Blue</v>
      </c>
      <c r="E41" s="79" t="str">
        <f>IFERROR(__xludf.DUMMYFUNCTION("""COMPUTED_VALUE"""),"Groceries")</f>
        <v>Groceries</v>
      </c>
      <c r="F41" s="79" t="str">
        <f>IFERROR(__xludf.DUMMYFUNCTION("""COMPUTED_VALUE"""),"Gil")</f>
        <v>Gil</v>
      </c>
      <c r="G41" s="107">
        <f t="shared" si="1"/>
        <v>3.995</v>
      </c>
      <c r="H41" s="108" t="str">
        <f t="shared" si="2"/>
        <v>Jan</v>
      </c>
    </row>
    <row r="42">
      <c r="A42" s="106">
        <f>IFERROR(__xludf.DUMMYFUNCTION("""COMPUTED_VALUE"""),45302.0)</f>
        <v>45302</v>
      </c>
      <c r="B42" s="103">
        <f>IFERROR(__xludf.DUMMYFUNCTION("""COMPUTED_VALUE"""),54.96)</f>
        <v>54.96</v>
      </c>
      <c r="C42" s="79" t="str">
        <f>IFERROR(__xludf.DUMMYFUNCTION("""COMPUTED_VALUE"""),"Whole Foods")</f>
        <v>Whole Foods</v>
      </c>
      <c r="D42" s="79" t="str">
        <f>IFERROR(__xludf.DUMMYFUNCTION("""COMPUTED_VALUE"""),"Amex Blue")</f>
        <v>Amex Blue</v>
      </c>
      <c r="E42" s="79" t="str">
        <f>IFERROR(__xludf.DUMMYFUNCTION("""COMPUTED_VALUE"""),"Groceries")</f>
        <v>Groceries</v>
      </c>
      <c r="F42" s="79" t="str">
        <f>IFERROR(__xludf.DUMMYFUNCTION("""COMPUTED_VALUE"""),"Gil")</f>
        <v>Gil</v>
      </c>
      <c r="G42" s="107">
        <f t="shared" si="1"/>
        <v>27.48</v>
      </c>
      <c r="H42" s="108" t="str">
        <f t="shared" si="2"/>
        <v>Jan</v>
      </c>
    </row>
    <row r="43">
      <c r="A43" s="106">
        <f>IFERROR(__xludf.DUMMYFUNCTION("""COMPUTED_VALUE"""),45298.0)</f>
        <v>45298</v>
      </c>
      <c r="B43" s="103">
        <f>IFERROR(__xludf.DUMMYFUNCTION("""COMPUTED_VALUE"""),16.99)</f>
        <v>16.99</v>
      </c>
      <c r="C43" s="79" t="str">
        <f>IFERROR(__xludf.DUMMYFUNCTION("""COMPUTED_VALUE"""),"Spotify")</f>
        <v>Spotify</v>
      </c>
      <c r="D43" s="79" t="str">
        <f>IFERROR(__xludf.DUMMYFUNCTION("""COMPUTED_VALUE"""),"Amex Blue")</f>
        <v>Amex Blue</v>
      </c>
      <c r="E43" s="79" t="str">
        <f>IFERROR(__xludf.DUMMYFUNCTION("""COMPUTED_VALUE"""),"Subscriptions")</f>
        <v>Subscriptions</v>
      </c>
      <c r="F43" s="79" t="str">
        <f>IFERROR(__xludf.DUMMYFUNCTION("""COMPUTED_VALUE"""),"Gil")</f>
        <v>Gil</v>
      </c>
      <c r="G43" s="107">
        <f t="shared" si="1"/>
        <v>8.495</v>
      </c>
      <c r="H43" s="108" t="str">
        <f t="shared" si="2"/>
        <v>Jan</v>
      </c>
    </row>
    <row r="44">
      <c r="A44" s="106">
        <f>IFERROR(__xludf.DUMMYFUNCTION("""COMPUTED_VALUE"""),45292.0)</f>
        <v>45292</v>
      </c>
      <c r="B44" s="103">
        <f>IFERROR(__xludf.DUMMYFUNCTION("""COMPUTED_VALUE"""),68.02)</f>
        <v>68.02</v>
      </c>
      <c r="C44" s="79" t="str">
        <f>IFERROR(__xludf.DUMMYFUNCTION("""COMPUTED_VALUE"""),"Whole Foods")</f>
        <v>Whole Foods</v>
      </c>
      <c r="D44" s="79" t="str">
        <f>IFERROR(__xludf.DUMMYFUNCTION("""COMPUTED_VALUE"""),"Amex Blue")</f>
        <v>Amex Blue</v>
      </c>
      <c r="E44" s="79" t="str">
        <f>IFERROR(__xludf.DUMMYFUNCTION("""COMPUTED_VALUE"""),"Groceries")</f>
        <v>Groceries</v>
      </c>
      <c r="F44" s="79" t="str">
        <f>IFERROR(__xludf.DUMMYFUNCTION("""COMPUTED_VALUE"""),"Gil")</f>
        <v>Gil</v>
      </c>
      <c r="G44" s="107">
        <f t="shared" si="1"/>
        <v>34.01</v>
      </c>
      <c r="H44" s="108" t="str">
        <f t="shared" si="2"/>
        <v>Jan</v>
      </c>
    </row>
    <row r="45">
      <c r="A45" s="106">
        <f>IFERROR(__xludf.DUMMYFUNCTION("""COMPUTED_VALUE"""),45311.0)</f>
        <v>45311</v>
      </c>
      <c r="B45" s="103">
        <f>IFERROR(__xludf.DUMMYFUNCTION("""COMPUTED_VALUE"""),-15.24)</f>
        <v>-15.24</v>
      </c>
      <c r="C45" s="79" t="str">
        <f>IFERROR(__xludf.DUMMYFUNCTION("""COMPUTED_VALUE"""),"Amazon - Casper Nightlight Return")</f>
        <v>Amazon - Casper Nightlight Return</v>
      </c>
      <c r="D45" s="79" t="str">
        <f>IFERROR(__xludf.DUMMYFUNCTION("""COMPUTED_VALUE"""),"Discover")</f>
        <v>Discover</v>
      </c>
      <c r="E45" s="79" t="str">
        <f>IFERROR(__xludf.DUMMYFUNCTION("""COMPUTED_VALUE"""),"Household")</f>
        <v>Household</v>
      </c>
      <c r="F45" s="79" t="str">
        <f>IFERROR(__xludf.DUMMYFUNCTION("""COMPUTED_VALUE"""),"Gil")</f>
        <v>Gil</v>
      </c>
      <c r="G45" s="107">
        <f t="shared" si="1"/>
        <v>-7.62</v>
      </c>
      <c r="H45" s="108" t="str">
        <f t="shared" si="2"/>
        <v>Jan</v>
      </c>
    </row>
    <row r="46">
      <c r="A46" s="106">
        <f>IFERROR(__xludf.DUMMYFUNCTION("""COMPUTED_VALUE"""),45311.0)</f>
        <v>45311</v>
      </c>
      <c r="B46" s="103">
        <f>IFERROR(__xludf.DUMMYFUNCTION("""COMPUTED_VALUE"""),16.44)</f>
        <v>16.44</v>
      </c>
      <c r="C46" s="79" t="str">
        <f>IFERROR(__xludf.DUMMYFUNCTION("""COMPUTED_VALUE"""),"Amazon - Casper Nightlight")</f>
        <v>Amazon - Casper Nightlight</v>
      </c>
      <c r="D46" s="79" t="str">
        <f>IFERROR(__xludf.DUMMYFUNCTION("""COMPUTED_VALUE"""),"Discover")</f>
        <v>Discover</v>
      </c>
      <c r="E46" s="79" t="str">
        <f>IFERROR(__xludf.DUMMYFUNCTION("""COMPUTED_VALUE"""),"Household")</f>
        <v>Household</v>
      </c>
      <c r="F46" s="79" t="str">
        <f>IFERROR(__xludf.DUMMYFUNCTION("""COMPUTED_VALUE"""),"Gil")</f>
        <v>Gil</v>
      </c>
      <c r="G46" s="107">
        <f t="shared" si="1"/>
        <v>8.22</v>
      </c>
      <c r="H46" s="108" t="str">
        <f t="shared" si="2"/>
        <v>Jan</v>
      </c>
    </row>
    <row r="47">
      <c r="A47" s="106">
        <f>IFERROR(__xludf.DUMMYFUNCTION("""COMPUTED_VALUE"""),45292.0)</f>
        <v>45292</v>
      </c>
      <c r="B47" s="103">
        <f>IFERROR(__xludf.DUMMYFUNCTION("""COMPUTED_VALUE"""),16.32)</f>
        <v>16.32</v>
      </c>
      <c r="C47" s="79" t="str">
        <f>IFERROR(__xludf.DUMMYFUNCTION("""COMPUTED_VALUE"""),"Amazon Prime Subscription")</f>
        <v>Amazon Prime Subscription</v>
      </c>
      <c r="D47" s="79" t="str">
        <f>IFERROR(__xludf.DUMMYFUNCTION("""COMPUTED_VALUE"""),"Discover")</f>
        <v>Discover</v>
      </c>
      <c r="E47" s="79" t="str">
        <f>IFERROR(__xludf.DUMMYFUNCTION("""COMPUTED_VALUE"""),"Subscriptions")</f>
        <v>Subscriptions</v>
      </c>
      <c r="F47" s="79" t="str">
        <f>IFERROR(__xludf.DUMMYFUNCTION("""COMPUTED_VALUE"""),"Gil")</f>
        <v>Gil</v>
      </c>
      <c r="G47" s="107">
        <f t="shared" si="1"/>
        <v>8.16</v>
      </c>
      <c r="H47" s="108" t="str">
        <f t="shared" si="2"/>
        <v>Jan</v>
      </c>
    </row>
    <row r="48">
      <c r="A48" s="106">
        <f>IFERROR(__xludf.DUMMYFUNCTION("""COMPUTED_VALUE"""),45313.0)</f>
        <v>45313</v>
      </c>
      <c r="B48" s="103">
        <f>IFERROR(__xludf.DUMMYFUNCTION("""COMPUTED_VALUE"""),29.37)</f>
        <v>29.37</v>
      </c>
      <c r="C48" s="79" t="str">
        <f>IFERROR(__xludf.DUMMYFUNCTION("""COMPUTED_VALUE"""),"Amazon - Fish Oil Caps")</f>
        <v>Amazon - Fish Oil Caps</v>
      </c>
      <c r="D48" s="79" t="str">
        <f>IFERROR(__xludf.DUMMYFUNCTION("""COMPUTED_VALUE"""),"Discover")</f>
        <v>Discover</v>
      </c>
      <c r="E48" s="79" t="str">
        <f>IFERROR(__xludf.DUMMYFUNCTION("""COMPUTED_VALUE"""),"Groceries")</f>
        <v>Groceries</v>
      </c>
      <c r="F48" s="79" t="str">
        <f>IFERROR(__xludf.DUMMYFUNCTION("""COMPUTED_VALUE"""),"Gil")</f>
        <v>Gil</v>
      </c>
      <c r="G48" s="107">
        <f t="shared" si="1"/>
        <v>14.685</v>
      </c>
      <c r="H48" s="108" t="str">
        <f t="shared" si="2"/>
        <v>Jan</v>
      </c>
    </row>
    <row r="49">
      <c r="A49" s="106">
        <f>IFERROR(__xludf.DUMMYFUNCTION("""COMPUTED_VALUE"""),45292.0)</f>
        <v>45292</v>
      </c>
      <c r="B49" s="103">
        <f>IFERROR(__xludf.DUMMYFUNCTION("""COMPUTED_VALUE"""),28.42)</f>
        <v>28.42</v>
      </c>
      <c r="C49" s="79" t="str">
        <f>IFERROR(__xludf.DUMMYFUNCTION("""COMPUTED_VALUE"""),"Amazon - Paula's Choice Body Lotion")</f>
        <v>Amazon - Paula's Choice Body Lotion</v>
      </c>
      <c r="D49" s="79" t="str">
        <f>IFERROR(__xludf.DUMMYFUNCTION("""COMPUTED_VALUE"""),"Discover")</f>
        <v>Discover</v>
      </c>
      <c r="E49" s="79" t="str">
        <f>IFERROR(__xludf.DUMMYFUNCTION("""COMPUTED_VALUE"""),"Household")</f>
        <v>Household</v>
      </c>
      <c r="F49" s="79" t="str">
        <f>IFERROR(__xludf.DUMMYFUNCTION("""COMPUTED_VALUE"""),"Gil")</f>
        <v>Gil</v>
      </c>
      <c r="G49" s="107">
        <f t="shared" si="1"/>
        <v>14.21</v>
      </c>
      <c r="H49" s="108" t="str">
        <f t="shared" si="2"/>
        <v>Jan</v>
      </c>
    </row>
    <row r="50">
      <c r="A50" s="106">
        <f>IFERROR(__xludf.DUMMYFUNCTION("""COMPUTED_VALUE"""),45292.0)</f>
        <v>45292</v>
      </c>
      <c r="B50" s="103">
        <f>IFERROR(__xludf.DUMMYFUNCTION("""COMPUTED_VALUE"""),28.79)</f>
        <v>28.79</v>
      </c>
      <c r="C50" s="79" t="str">
        <f>IFERROR(__xludf.DUMMYFUNCTION("""COMPUTED_VALUE"""),"Amazon - Fish Oil Caps")</f>
        <v>Amazon - Fish Oil Caps</v>
      </c>
      <c r="D50" s="79" t="str">
        <f>IFERROR(__xludf.DUMMYFUNCTION("""COMPUTED_VALUE"""),"Discover")</f>
        <v>Discover</v>
      </c>
      <c r="E50" s="79" t="str">
        <f>IFERROR(__xludf.DUMMYFUNCTION("""COMPUTED_VALUE"""),"Groceries")</f>
        <v>Groceries</v>
      </c>
      <c r="F50" s="79" t="str">
        <f>IFERROR(__xludf.DUMMYFUNCTION("""COMPUTED_VALUE"""),"Gil")</f>
        <v>Gil</v>
      </c>
      <c r="G50" s="107">
        <f t="shared" si="1"/>
        <v>14.395</v>
      </c>
      <c r="H50" s="108" t="str">
        <f t="shared" si="2"/>
        <v>Jan</v>
      </c>
    </row>
    <row r="51">
      <c r="A51" s="106">
        <f>IFERROR(__xludf.DUMMYFUNCTION("""COMPUTED_VALUE"""),45292.0)</f>
        <v>45292</v>
      </c>
      <c r="B51" s="103">
        <f>IFERROR(__xludf.DUMMYFUNCTION("""COMPUTED_VALUE"""),15.75)</f>
        <v>15.75</v>
      </c>
      <c r="C51" s="79" t="str">
        <f>IFERROR(__xludf.DUMMYFUNCTION("""COMPUTED_VALUE"""),"Amazon - Hemp Seeds")</f>
        <v>Amazon - Hemp Seeds</v>
      </c>
      <c r="D51" s="79" t="str">
        <f>IFERROR(__xludf.DUMMYFUNCTION("""COMPUTED_VALUE"""),"Discover")</f>
        <v>Discover</v>
      </c>
      <c r="E51" s="79" t="str">
        <f>IFERROR(__xludf.DUMMYFUNCTION("""COMPUTED_VALUE"""),"Groceries")</f>
        <v>Groceries</v>
      </c>
      <c r="F51" s="79" t="str">
        <f>IFERROR(__xludf.DUMMYFUNCTION("""COMPUTED_VALUE"""),"Gil")</f>
        <v>Gil</v>
      </c>
      <c r="G51" s="107">
        <f t="shared" si="1"/>
        <v>7.875</v>
      </c>
      <c r="H51" s="108" t="str">
        <f t="shared" si="2"/>
        <v>Jan</v>
      </c>
    </row>
    <row r="52">
      <c r="A52" s="106">
        <f>IFERROR(__xludf.DUMMYFUNCTION("""COMPUTED_VALUE"""),45292.0)</f>
        <v>45292</v>
      </c>
      <c r="B52" s="103">
        <f>IFERROR(__xludf.DUMMYFUNCTION("""COMPUTED_VALUE"""),20.6)</f>
        <v>20.6</v>
      </c>
      <c r="C52" s="79" t="str">
        <f>IFERROR(__xludf.DUMMYFUNCTION("""COMPUTED_VALUE"""),"Amazon - Spindrift")</f>
        <v>Amazon - Spindrift</v>
      </c>
      <c r="D52" s="79" t="str">
        <f>IFERROR(__xludf.DUMMYFUNCTION("""COMPUTED_VALUE"""),"Discover")</f>
        <v>Discover</v>
      </c>
      <c r="E52" s="79" t="str">
        <f>IFERROR(__xludf.DUMMYFUNCTION("""COMPUTED_VALUE"""),"Groceries")</f>
        <v>Groceries</v>
      </c>
      <c r="F52" s="79" t="str">
        <f>IFERROR(__xludf.DUMMYFUNCTION("""COMPUTED_VALUE"""),"Gil")</f>
        <v>Gil</v>
      </c>
      <c r="G52" s="107">
        <f t="shared" si="1"/>
        <v>10.3</v>
      </c>
      <c r="H52" s="108" t="str">
        <f t="shared" si="2"/>
        <v>Jan</v>
      </c>
    </row>
    <row r="53">
      <c r="A53" s="106">
        <f>IFERROR(__xludf.DUMMYFUNCTION("""COMPUTED_VALUE"""),45292.0)</f>
        <v>45292</v>
      </c>
      <c r="B53" s="103">
        <f>IFERROR(__xludf.DUMMYFUNCTION("""COMPUTED_VALUE"""),25.45)</f>
        <v>25.45</v>
      </c>
      <c r="C53" s="79" t="str">
        <f>IFERROR(__xludf.DUMMYFUNCTION("""COMPUTED_VALUE"""),"Amazon - Neuro-Mag")</f>
        <v>Amazon - Neuro-Mag</v>
      </c>
      <c r="D53" s="79" t="str">
        <f>IFERROR(__xludf.DUMMYFUNCTION("""COMPUTED_VALUE"""),"Discover")</f>
        <v>Discover</v>
      </c>
      <c r="E53" s="79" t="str">
        <f>IFERROR(__xludf.DUMMYFUNCTION("""COMPUTED_VALUE"""),"Personal")</f>
        <v>Personal</v>
      </c>
      <c r="F53" s="79" t="str">
        <f>IFERROR(__xludf.DUMMYFUNCTION("""COMPUTED_VALUE"""),"Gil")</f>
        <v>Gil</v>
      </c>
      <c r="G53" s="107">
        <f t="shared" si="1"/>
        <v>12.725</v>
      </c>
      <c r="H53" s="108" t="str">
        <f t="shared" si="2"/>
        <v>Jan</v>
      </c>
    </row>
    <row r="54">
      <c r="A54" s="106">
        <f>IFERROR(__xludf.DUMMYFUNCTION("""COMPUTED_VALUE"""),45292.0)</f>
        <v>45292</v>
      </c>
      <c r="B54" s="103">
        <f>IFERROR(__xludf.DUMMYFUNCTION("""COMPUTED_VALUE"""),14.5)</f>
        <v>14.5</v>
      </c>
      <c r="C54" s="79" t="str">
        <f>IFERROR(__xludf.DUMMYFUNCTION("""COMPUTED_VALUE"""),"Amazon - Almonds")</f>
        <v>Amazon - Almonds</v>
      </c>
      <c r="D54" s="79" t="str">
        <f>IFERROR(__xludf.DUMMYFUNCTION("""COMPUTED_VALUE"""),"Discover")</f>
        <v>Discover</v>
      </c>
      <c r="E54" s="79" t="str">
        <f>IFERROR(__xludf.DUMMYFUNCTION("""COMPUTED_VALUE"""),"Groceries")</f>
        <v>Groceries</v>
      </c>
      <c r="F54" s="79" t="str">
        <f>IFERROR(__xludf.DUMMYFUNCTION("""COMPUTED_VALUE"""),"Gil")</f>
        <v>Gil</v>
      </c>
      <c r="G54" s="107">
        <f t="shared" si="1"/>
        <v>7.25</v>
      </c>
      <c r="H54" s="108" t="str">
        <f t="shared" si="2"/>
        <v>Jan</v>
      </c>
    </row>
    <row r="55">
      <c r="A55" s="106">
        <f>IFERROR(__xludf.DUMMYFUNCTION("""COMPUTED_VALUE"""),45292.0)</f>
        <v>45292</v>
      </c>
      <c r="B55" s="103">
        <f>IFERROR(__xludf.DUMMYFUNCTION("""COMPUTED_VALUE"""),11.59)</f>
        <v>11.59</v>
      </c>
      <c r="C55" s="79" t="str">
        <f>IFERROR(__xludf.DUMMYFUNCTION("""COMPUTED_VALUE"""),"Amazon - B12")</f>
        <v>Amazon - B12</v>
      </c>
      <c r="D55" s="79" t="str">
        <f>IFERROR(__xludf.DUMMYFUNCTION("""COMPUTED_VALUE"""),"Discover")</f>
        <v>Discover</v>
      </c>
      <c r="E55" s="79" t="str">
        <f>IFERROR(__xludf.DUMMYFUNCTION("""COMPUTED_VALUE"""),"Personal")</f>
        <v>Personal</v>
      </c>
      <c r="F55" s="79" t="str">
        <f>IFERROR(__xludf.DUMMYFUNCTION("""COMPUTED_VALUE"""),"Gil")</f>
        <v>Gil</v>
      </c>
      <c r="G55" s="107">
        <f t="shared" si="1"/>
        <v>5.795</v>
      </c>
      <c r="H55" s="108" t="str">
        <f t="shared" si="2"/>
        <v>Jan</v>
      </c>
    </row>
    <row r="56">
      <c r="A56" s="106">
        <f>IFERROR(__xludf.DUMMYFUNCTION("""COMPUTED_VALUE"""),45292.0)</f>
        <v>45292</v>
      </c>
      <c r="B56" s="103">
        <f>IFERROR(__xludf.DUMMYFUNCTION("""COMPUTED_VALUE"""),25.81)</f>
        <v>25.81</v>
      </c>
      <c r="C56" s="79" t="str">
        <f>IFERROR(__xludf.DUMMYFUNCTION("""COMPUTED_VALUE"""),"Amazon - Pellegrino")</f>
        <v>Amazon - Pellegrino</v>
      </c>
      <c r="D56" s="79" t="str">
        <f>IFERROR(__xludf.DUMMYFUNCTION("""COMPUTED_VALUE"""),"Discover")</f>
        <v>Discover</v>
      </c>
      <c r="E56" s="79" t="str">
        <f>IFERROR(__xludf.DUMMYFUNCTION("""COMPUTED_VALUE"""),"Groceries")</f>
        <v>Groceries</v>
      </c>
      <c r="F56" s="79" t="str">
        <f>IFERROR(__xludf.DUMMYFUNCTION("""COMPUTED_VALUE"""),"Gil")</f>
        <v>Gil</v>
      </c>
      <c r="G56" s="107">
        <f t="shared" si="1"/>
        <v>12.905</v>
      </c>
      <c r="H56" s="108" t="str">
        <f t="shared" si="2"/>
        <v>Jan</v>
      </c>
    </row>
    <row r="57">
      <c r="A57" s="106">
        <f>IFERROR(__xludf.DUMMYFUNCTION("""COMPUTED_VALUE"""),45306.0)</f>
        <v>45306</v>
      </c>
      <c r="B57" s="103">
        <f>IFERROR(__xludf.DUMMYFUNCTION("""COMPUTED_VALUE"""),4.29)</f>
        <v>4.29</v>
      </c>
      <c r="C57" s="79" t="str">
        <f>IFERROR(__xludf.DUMMYFUNCTION("""COMPUTED_VALUE"""),"Amazon Prime Video ")</f>
        <v>Amazon Prime Video </v>
      </c>
      <c r="D57" s="79" t="str">
        <f>IFERROR(__xludf.DUMMYFUNCTION("""COMPUTED_VALUE"""),"Discover")</f>
        <v>Discover</v>
      </c>
      <c r="E57" s="79" t="str">
        <f>IFERROR(__xludf.DUMMYFUNCTION("""COMPUTED_VALUE"""),"Entertainment")</f>
        <v>Entertainment</v>
      </c>
      <c r="F57" s="79" t="str">
        <f>IFERROR(__xludf.DUMMYFUNCTION("""COMPUTED_VALUE"""),"Gil")</f>
        <v>Gil</v>
      </c>
      <c r="G57" s="107">
        <f t="shared" si="1"/>
        <v>2.145</v>
      </c>
      <c r="H57" s="108" t="str">
        <f t="shared" si="2"/>
        <v>Jan</v>
      </c>
    </row>
    <row r="58">
      <c r="A58" s="106">
        <f>IFERROR(__xludf.DUMMYFUNCTION("""COMPUTED_VALUE"""),45292.0)</f>
        <v>45292</v>
      </c>
      <c r="B58" s="103">
        <f>IFERROR(__xludf.DUMMYFUNCTION("""COMPUTED_VALUE"""),6.52)</f>
        <v>6.52</v>
      </c>
      <c r="C58" s="79" t="str">
        <f>IFERROR(__xludf.DUMMYFUNCTION("""COMPUTED_VALUE"""),"HP Instant Ink")</f>
        <v>HP Instant Ink</v>
      </c>
      <c r="D58" s="79" t="str">
        <f>IFERROR(__xludf.DUMMYFUNCTION("""COMPUTED_VALUE"""),"Amazon Prime Chase")</f>
        <v>Amazon Prime Chase</v>
      </c>
      <c r="E58" s="79" t="str">
        <f>IFERROR(__xludf.DUMMYFUNCTION("""COMPUTED_VALUE"""),"Household")</f>
        <v>Household</v>
      </c>
      <c r="F58" s="79" t="str">
        <f>IFERROR(__xludf.DUMMYFUNCTION("""COMPUTED_VALUE"""),"Gil")</f>
        <v>Gil</v>
      </c>
      <c r="G58" s="107">
        <f t="shared" si="1"/>
        <v>3.26</v>
      </c>
      <c r="H58" s="108" t="str">
        <f t="shared" si="2"/>
        <v>Jan</v>
      </c>
    </row>
    <row r="59">
      <c r="A59" s="106">
        <f>IFERROR(__xludf.DUMMYFUNCTION("""COMPUTED_VALUE"""),45319.0)</f>
        <v>45319</v>
      </c>
      <c r="B59" s="103">
        <f>IFERROR(__xludf.DUMMYFUNCTION("""COMPUTED_VALUE"""),5.45)</f>
        <v>5.45</v>
      </c>
      <c r="C59" s="79" t="str">
        <f>IFERROR(__xludf.DUMMYFUNCTION("""COMPUTED_VALUE"""),"Ernesta carpet samples")</f>
        <v>Ernesta carpet samples</v>
      </c>
      <c r="D59" s="79" t="str">
        <f>IFERROR(__xludf.DUMMYFUNCTION("""COMPUTED_VALUE"""),"Other")</f>
        <v>Other</v>
      </c>
      <c r="E59" s="79" t="str">
        <f>IFERROR(__xludf.DUMMYFUNCTION("""COMPUTED_VALUE"""),"Household")</f>
        <v>Household</v>
      </c>
      <c r="F59" s="79" t="str">
        <f>IFERROR(__xludf.DUMMYFUNCTION("""COMPUTED_VALUE"""),"Shaeffer")</f>
        <v>Shaeffer</v>
      </c>
      <c r="G59" s="107">
        <f t="shared" si="1"/>
        <v>2.725</v>
      </c>
      <c r="H59" s="108" t="str">
        <f t="shared" si="2"/>
        <v>Jan</v>
      </c>
    </row>
    <row r="60">
      <c r="A60" s="106">
        <f>IFERROR(__xludf.DUMMYFUNCTION("""COMPUTED_VALUE"""),45323.0)</f>
        <v>45323</v>
      </c>
      <c r="B60" s="103">
        <f>IFERROR(__xludf.DUMMYFUNCTION("""COMPUTED_VALUE"""),2700.0)</f>
        <v>2700</v>
      </c>
      <c r="C60" s="79" t="str">
        <f>IFERROR(__xludf.DUMMYFUNCTION("""COMPUTED_VALUE"""),"Feb rent")</f>
        <v>Feb rent</v>
      </c>
      <c r="D60" s="79" t="str">
        <f>IFERROR(__xludf.DUMMYFUNCTION("""COMPUTED_VALUE"""),"Rent")</f>
        <v>Rent</v>
      </c>
      <c r="E60" s="79" t="str">
        <f>IFERROR(__xludf.DUMMYFUNCTION("""COMPUTED_VALUE"""),"Rent")</f>
        <v>Rent</v>
      </c>
      <c r="F60" s="79" t="str">
        <f>IFERROR(__xludf.DUMMYFUNCTION("""COMPUTED_VALUE"""),"Shaeffer")</f>
        <v>Shaeffer</v>
      </c>
      <c r="G60" s="107">
        <f t="shared" si="1"/>
        <v>1350</v>
      </c>
      <c r="H60" s="108" t="str">
        <f t="shared" si="2"/>
        <v>Feb</v>
      </c>
    </row>
    <row r="61">
      <c r="A61" s="106">
        <f>IFERROR(__xludf.DUMMYFUNCTION("""COMPUTED_VALUE"""),45314.0)</f>
        <v>45314</v>
      </c>
      <c r="B61" s="103">
        <f>IFERROR(__xludf.DUMMYFUNCTION("""COMPUTED_VALUE"""),61.98)</f>
        <v>61.98</v>
      </c>
      <c r="C61" s="79" t="str">
        <f>IFERROR(__xludf.DUMMYFUNCTION("""COMPUTED_VALUE"""),"Optimum")</f>
        <v>Optimum</v>
      </c>
      <c r="D61" s="79" t="str">
        <f>IFERROR(__xludf.DUMMYFUNCTION("""COMPUTED_VALUE"""),"Amex Delta Skymiles")</f>
        <v>Amex Delta Skymiles</v>
      </c>
      <c r="E61" s="79" t="str">
        <f>IFERROR(__xludf.DUMMYFUNCTION("""COMPUTED_VALUE"""),"Internet")</f>
        <v>Internet</v>
      </c>
      <c r="F61" s="79" t="str">
        <f>IFERROR(__xludf.DUMMYFUNCTION("""COMPUTED_VALUE"""),"Shaeffer")</f>
        <v>Shaeffer</v>
      </c>
      <c r="G61" s="107">
        <f t="shared" si="1"/>
        <v>30.99</v>
      </c>
      <c r="H61" s="108" t="str">
        <f t="shared" si="2"/>
        <v>Jan</v>
      </c>
    </row>
    <row r="62">
      <c r="A62" s="106">
        <f>IFERROR(__xludf.DUMMYFUNCTION("""COMPUTED_VALUE"""),45293.0)</f>
        <v>45293</v>
      </c>
      <c r="B62" s="103">
        <f>IFERROR(__xludf.DUMMYFUNCTION("""COMPUTED_VALUE"""),44.34)</f>
        <v>44.34</v>
      </c>
      <c r="C62" s="79" t="str">
        <f>IFERROR(__xludf.DUMMYFUNCTION("""COMPUTED_VALUE"""),"See Tickets - Bowiemas")</f>
        <v>See Tickets - Bowiemas</v>
      </c>
      <c r="D62" s="79" t="str">
        <f>IFERROR(__xludf.DUMMYFUNCTION("""COMPUTED_VALUE"""),"Amex Blue")</f>
        <v>Amex Blue</v>
      </c>
      <c r="E62" s="79" t="str">
        <f>IFERROR(__xludf.DUMMYFUNCTION("""COMPUTED_VALUE"""),"Entertainment")</f>
        <v>Entertainment</v>
      </c>
      <c r="F62" s="79" t="str">
        <f>IFERROR(__xludf.DUMMYFUNCTION("""COMPUTED_VALUE"""),"Gil")</f>
        <v>Gil</v>
      </c>
      <c r="G62" s="107">
        <f t="shared" si="1"/>
        <v>22.17</v>
      </c>
      <c r="H62" s="108" t="str">
        <f t="shared" si="2"/>
        <v>Jan</v>
      </c>
    </row>
    <row r="63">
      <c r="A63" s="106">
        <f>IFERROR(__xludf.DUMMYFUNCTION("""COMPUTED_VALUE"""),45295.0)</f>
        <v>45295</v>
      </c>
      <c r="B63" s="103">
        <f>IFERROR(__xludf.DUMMYFUNCTION("""COMPUTED_VALUE"""),161.25)</f>
        <v>161.25</v>
      </c>
      <c r="C63" s="79" t="str">
        <f>IFERROR(__xludf.DUMMYFUNCTION("""COMPUTED_VALUE"""),"Storage unit")</f>
        <v>Storage unit</v>
      </c>
      <c r="D63" s="79" t="str">
        <f>IFERROR(__xludf.DUMMYFUNCTION("""COMPUTED_VALUE"""),"Cash")</f>
        <v>Cash</v>
      </c>
      <c r="E63" s="79" t="str">
        <f>IFERROR(__xludf.DUMMYFUNCTION("""COMPUTED_VALUE"""),"Storage")</f>
        <v>Storage</v>
      </c>
      <c r="F63" s="79" t="str">
        <f>IFERROR(__xludf.DUMMYFUNCTION("""COMPUTED_VALUE"""),"Shaeffer")</f>
        <v>Shaeffer</v>
      </c>
      <c r="G63" s="107">
        <f t="shared" si="1"/>
        <v>80.625</v>
      </c>
      <c r="H63" s="108" t="str">
        <f t="shared" si="2"/>
        <v>Jan</v>
      </c>
    </row>
    <row r="64">
      <c r="A64" s="106">
        <f>IFERROR(__xludf.DUMMYFUNCTION("""COMPUTED_VALUE"""),45301.0)</f>
        <v>45301</v>
      </c>
      <c r="B64" s="103">
        <f>IFERROR(__xludf.DUMMYFUNCTION("""COMPUTED_VALUE"""),120.0)</f>
        <v>120</v>
      </c>
      <c r="C64" s="79" t="str">
        <f>IFERROR(__xludf.DUMMYFUNCTION("""COMPUTED_VALUE"""),"Met Opera")</f>
        <v>Met Opera</v>
      </c>
      <c r="D64" s="79" t="str">
        <f>IFERROR(__xludf.DUMMYFUNCTION("""COMPUTED_VALUE"""),"Chase Reserve")</f>
        <v>Chase Reserve</v>
      </c>
      <c r="E64" s="79" t="str">
        <f>IFERROR(__xludf.DUMMYFUNCTION("""COMPUTED_VALUE"""),"Entertainment")</f>
        <v>Entertainment</v>
      </c>
      <c r="F64" s="79" t="str">
        <f>IFERROR(__xludf.DUMMYFUNCTION("""COMPUTED_VALUE"""),"Shaeffer")</f>
        <v>Shaeffer</v>
      </c>
      <c r="G64" s="107">
        <f t="shared" si="1"/>
        <v>60</v>
      </c>
      <c r="H64" s="108" t="str">
        <f t="shared" si="2"/>
        <v>Jan</v>
      </c>
    </row>
    <row r="65">
      <c r="A65" s="106">
        <f>IFERROR(__xludf.DUMMYFUNCTION("""COMPUTED_VALUE"""),45325.0)</f>
        <v>45325</v>
      </c>
      <c r="B65" s="103">
        <f>IFERROR(__xludf.DUMMYFUNCTION("""COMPUTED_VALUE"""),161.25)</f>
        <v>161.25</v>
      </c>
      <c r="C65" s="79" t="str">
        <f>IFERROR(__xludf.DUMMYFUNCTION("""COMPUTED_VALUE"""),"Storage Unit")</f>
        <v>Storage Unit</v>
      </c>
      <c r="D65" s="79" t="str">
        <f>IFERROR(__xludf.DUMMYFUNCTION("""COMPUTED_VALUE"""),"Checking")</f>
        <v>Checking</v>
      </c>
      <c r="E65" s="79" t="str">
        <f>IFERROR(__xludf.DUMMYFUNCTION("""COMPUTED_VALUE"""),"Storage")</f>
        <v>Storage</v>
      </c>
      <c r="F65" s="79" t="str">
        <f>IFERROR(__xludf.DUMMYFUNCTION("""COMPUTED_VALUE"""),"Shaeffer")</f>
        <v>Shaeffer</v>
      </c>
      <c r="G65" s="107">
        <f t="shared" si="1"/>
        <v>80.625</v>
      </c>
      <c r="H65" s="108" t="str">
        <f t="shared" si="2"/>
        <v>Feb</v>
      </c>
    </row>
    <row r="66">
      <c r="A66" s="106">
        <f>IFERROR(__xludf.DUMMYFUNCTION("""COMPUTED_VALUE"""),45300.0)</f>
        <v>45300</v>
      </c>
      <c r="B66" s="103">
        <f>IFERROR(__xludf.DUMMYFUNCTION("""COMPUTED_VALUE"""),28.35)</f>
        <v>28.35</v>
      </c>
      <c r="C66" s="79" t="str">
        <f>IFERROR(__xludf.DUMMYFUNCTION("""COMPUTED_VALUE"""),"Amazon - Shaeffer")</f>
        <v>Amazon - Shaeffer</v>
      </c>
      <c r="D66" s="79" t="str">
        <f>IFERROR(__xludf.DUMMYFUNCTION("""COMPUTED_VALUE"""),"Shaeffer ONLY")</f>
        <v>Shaeffer ONLY</v>
      </c>
      <c r="E66" s="79"/>
      <c r="F66" s="79" t="str">
        <f>IFERROR(__xludf.DUMMYFUNCTION("""COMPUTED_VALUE"""),"Gil")</f>
        <v>Gil</v>
      </c>
      <c r="G66" s="107">
        <f t="shared" si="1"/>
        <v>14.175</v>
      </c>
      <c r="H66" s="108" t="str">
        <f t="shared" si="2"/>
        <v>Jan</v>
      </c>
    </row>
    <row r="67">
      <c r="A67" s="106">
        <f>IFERROR(__xludf.DUMMYFUNCTION("""COMPUTED_VALUE"""),45325.0)</f>
        <v>45325</v>
      </c>
      <c r="B67" s="103">
        <f>IFERROR(__xludf.DUMMYFUNCTION("""COMPUTED_VALUE"""),5.39)</f>
        <v>5.39</v>
      </c>
      <c r="C67" s="79" t="str">
        <f>IFERROR(__xludf.DUMMYFUNCTION("""COMPUTED_VALUE"""),"Westside Market")</f>
        <v>Westside Market</v>
      </c>
      <c r="D67" s="79" t="str">
        <f>IFERROR(__xludf.DUMMYFUNCTION("""COMPUTED_VALUE"""),"Amex Blue")</f>
        <v>Amex Blue</v>
      </c>
      <c r="E67" s="79" t="str">
        <f>IFERROR(__xludf.DUMMYFUNCTION("""COMPUTED_VALUE"""),"Work Meals")</f>
        <v>Work Meals</v>
      </c>
      <c r="F67" s="79" t="str">
        <f>IFERROR(__xludf.DUMMYFUNCTION("""COMPUTED_VALUE"""),"Gil")</f>
        <v>Gil</v>
      </c>
      <c r="G67" s="107">
        <f t="shared" si="1"/>
        <v>2.695</v>
      </c>
      <c r="H67" s="108" t="str">
        <f t="shared" si="2"/>
        <v>Feb</v>
      </c>
    </row>
    <row r="68">
      <c r="A68" s="106">
        <f>IFERROR(__xludf.DUMMYFUNCTION("""COMPUTED_VALUE"""),45324.0)</f>
        <v>45324</v>
      </c>
      <c r="B68" s="103">
        <f>IFERROR(__xludf.DUMMYFUNCTION("""COMPUTED_VALUE"""),7.95)</f>
        <v>7.95</v>
      </c>
      <c r="C68" s="79" t="str">
        <f>IFERROR(__xludf.DUMMYFUNCTION("""COMPUTED_VALUE"""),"Audible")</f>
        <v>Audible</v>
      </c>
      <c r="D68" s="79" t="str">
        <f>IFERROR(__xludf.DUMMYFUNCTION("""COMPUTED_VALUE"""),"Amazon Prime Chase")</f>
        <v>Amazon Prime Chase</v>
      </c>
      <c r="E68" s="79" t="str">
        <f>IFERROR(__xludf.DUMMYFUNCTION("""COMPUTED_VALUE"""),"Subscriptions")</f>
        <v>Subscriptions</v>
      </c>
      <c r="F68" s="79" t="str">
        <f>IFERROR(__xludf.DUMMYFUNCTION("""COMPUTED_VALUE"""),"Gil")</f>
        <v>Gil</v>
      </c>
      <c r="G68" s="107">
        <f t="shared" si="1"/>
        <v>3.975</v>
      </c>
      <c r="H68" s="108" t="str">
        <f t="shared" si="2"/>
        <v>Feb</v>
      </c>
    </row>
    <row r="69">
      <c r="A69" s="106">
        <f>IFERROR(__xludf.DUMMYFUNCTION("""COMPUTED_VALUE"""),45323.0)</f>
        <v>45323</v>
      </c>
      <c r="B69" s="103">
        <f>IFERROR(__xludf.DUMMYFUNCTION("""COMPUTED_VALUE"""),23.0)</f>
        <v>23</v>
      </c>
      <c r="C69" s="79" t="str">
        <f>IFERROR(__xludf.DUMMYFUNCTION("""COMPUTED_VALUE"""),"Lemonade ")</f>
        <v>Lemonade </v>
      </c>
      <c r="D69" s="79" t="str">
        <f>IFERROR(__xludf.DUMMYFUNCTION("""COMPUTED_VALUE"""),"Amazon Prime Chase")</f>
        <v>Amazon Prime Chase</v>
      </c>
      <c r="E69" s="79" t="str">
        <f>IFERROR(__xludf.DUMMYFUNCTION("""COMPUTED_VALUE"""),"Insurance")</f>
        <v>Insurance</v>
      </c>
      <c r="F69" s="79" t="str">
        <f>IFERROR(__xludf.DUMMYFUNCTION("""COMPUTED_VALUE"""),"Gil")</f>
        <v>Gil</v>
      </c>
      <c r="G69" s="107">
        <f t="shared" si="1"/>
        <v>11.5</v>
      </c>
      <c r="H69" s="108" t="str">
        <f t="shared" si="2"/>
        <v>Feb</v>
      </c>
    </row>
    <row r="70">
      <c r="A70" s="106">
        <f>IFERROR(__xludf.DUMMYFUNCTION("""COMPUTED_VALUE"""),45326.0)</f>
        <v>45326</v>
      </c>
      <c r="B70" s="103">
        <f>IFERROR(__xludf.DUMMYFUNCTION("""COMPUTED_VALUE"""),21.29)</f>
        <v>21.29</v>
      </c>
      <c r="C70" s="79" t="str">
        <f>IFERROR(__xludf.DUMMYFUNCTION("""COMPUTED_VALUE"""),"Dickson's")</f>
        <v>Dickson's</v>
      </c>
      <c r="D70" s="79" t="str">
        <f>IFERROR(__xludf.DUMMYFUNCTION("""COMPUTED_VALUE"""),"Amex Blue")</f>
        <v>Amex Blue</v>
      </c>
      <c r="E70" s="79" t="str">
        <f>IFERROR(__xludf.DUMMYFUNCTION("""COMPUTED_VALUE"""),"Groceries")</f>
        <v>Groceries</v>
      </c>
      <c r="F70" s="79" t="str">
        <f>IFERROR(__xludf.DUMMYFUNCTION("""COMPUTED_VALUE"""),"Gil")</f>
        <v>Gil</v>
      </c>
      <c r="G70" s="107">
        <f t="shared" si="1"/>
        <v>10.645</v>
      </c>
      <c r="H70" s="108" t="str">
        <f t="shared" si="2"/>
        <v>Feb</v>
      </c>
    </row>
    <row r="71">
      <c r="A71" s="106">
        <f>IFERROR(__xludf.DUMMYFUNCTION("""COMPUTED_VALUE"""),45329.0)</f>
        <v>45329</v>
      </c>
      <c r="B71" s="103">
        <f>IFERROR(__xludf.DUMMYFUNCTION("""COMPUTED_VALUE"""),16.99)</f>
        <v>16.99</v>
      </c>
      <c r="C71" s="79" t="str">
        <f>IFERROR(__xludf.DUMMYFUNCTION("""COMPUTED_VALUE"""),"Spotify")</f>
        <v>Spotify</v>
      </c>
      <c r="D71" s="79" t="str">
        <f>IFERROR(__xludf.DUMMYFUNCTION("""COMPUTED_VALUE"""),"Amex Blue")</f>
        <v>Amex Blue</v>
      </c>
      <c r="E71" s="79" t="str">
        <f>IFERROR(__xludf.DUMMYFUNCTION("""COMPUTED_VALUE"""),"Subscriptions")</f>
        <v>Subscriptions</v>
      </c>
      <c r="F71" s="79" t="str">
        <f>IFERROR(__xludf.DUMMYFUNCTION("""COMPUTED_VALUE"""),"Gil")</f>
        <v>Gil</v>
      </c>
      <c r="G71" s="107">
        <f t="shared" si="1"/>
        <v>8.495</v>
      </c>
      <c r="H71" s="108" t="str">
        <f t="shared" si="2"/>
        <v>Feb</v>
      </c>
    </row>
    <row r="72">
      <c r="A72" s="106">
        <f>IFERROR(__xludf.DUMMYFUNCTION("""COMPUTED_VALUE"""),45326.0)</f>
        <v>45326</v>
      </c>
      <c r="B72" s="103">
        <f>IFERROR(__xludf.DUMMYFUNCTION("""COMPUTED_VALUE"""),20.39)</f>
        <v>20.39</v>
      </c>
      <c r="C72" s="79" t="str">
        <f>IFERROR(__xludf.DUMMYFUNCTION("""COMPUTED_VALUE"""),"Mr. Lemon")</f>
        <v>Mr. Lemon</v>
      </c>
      <c r="D72" s="79" t="str">
        <f>IFERROR(__xludf.DUMMYFUNCTION("""COMPUTED_VALUE"""),"Amex Blue")</f>
        <v>Amex Blue</v>
      </c>
      <c r="E72" s="79" t="str">
        <f>IFERROR(__xludf.DUMMYFUNCTION("""COMPUTED_VALUE"""),"Groceries")</f>
        <v>Groceries</v>
      </c>
      <c r="F72" s="79" t="str">
        <f>IFERROR(__xludf.DUMMYFUNCTION("""COMPUTED_VALUE"""),"Gil")</f>
        <v>Gil</v>
      </c>
      <c r="G72" s="107">
        <f t="shared" si="1"/>
        <v>10.195</v>
      </c>
      <c r="H72" s="108" t="str">
        <f t="shared" si="2"/>
        <v>Feb</v>
      </c>
    </row>
    <row r="73">
      <c r="A73" s="106">
        <f>IFERROR(__xludf.DUMMYFUNCTION("""COMPUTED_VALUE"""),45330.0)</f>
        <v>45330</v>
      </c>
      <c r="B73" s="103">
        <f>IFERROR(__xludf.DUMMYFUNCTION("""COMPUTED_VALUE"""),30.97)</f>
        <v>30.97</v>
      </c>
      <c r="C73" s="79" t="str">
        <f>IFERROR(__xludf.DUMMYFUNCTION("""COMPUTED_VALUE"""),"Mr. Lemon")</f>
        <v>Mr. Lemon</v>
      </c>
      <c r="D73" s="79" t="str">
        <f>IFERROR(__xludf.DUMMYFUNCTION("""COMPUTED_VALUE"""),"Amex Blue")</f>
        <v>Amex Blue</v>
      </c>
      <c r="E73" s="79" t="str">
        <f>IFERROR(__xludf.DUMMYFUNCTION("""COMPUTED_VALUE"""),"Groceries")</f>
        <v>Groceries</v>
      </c>
      <c r="F73" s="79" t="str">
        <f>IFERROR(__xludf.DUMMYFUNCTION("""COMPUTED_VALUE"""),"Gil")</f>
        <v>Gil</v>
      </c>
      <c r="G73" s="107">
        <f t="shared" si="1"/>
        <v>15.485</v>
      </c>
      <c r="H73" s="108" t="str">
        <f t="shared" si="2"/>
        <v>Feb</v>
      </c>
    </row>
    <row r="74">
      <c r="A74" s="106">
        <f>IFERROR(__xludf.DUMMYFUNCTION("""COMPUTED_VALUE"""),45333.0)</f>
        <v>45333</v>
      </c>
      <c r="B74" s="103">
        <f>IFERROR(__xludf.DUMMYFUNCTION("""COMPUTED_VALUE"""),34.96)</f>
        <v>34.96</v>
      </c>
      <c r="C74" s="79" t="str">
        <f>IFERROR(__xludf.DUMMYFUNCTION("""COMPUTED_VALUE"""),"Mr. Lemon")</f>
        <v>Mr. Lemon</v>
      </c>
      <c r="D74" s="79" t="str">
        <f>IFERROR(__xludf.DUMMYFUNCTION("""COMPUTED_VALUE"""),"Amex Blue")</f>
        <v>Amex Blue</v>
      </c>
      <c r="E74" s="79" t="str">
        <f>IFERROR(__xludf.DUMMYFUNCTION("""COMPUTED_VALUE"""),"Groceries")</f>
        <v>Groceries</v>
      </c>
      <c r="F74" s="79" t="str">
        <f>IFERROR(__xludf.DUMMYFUNCTION("""COMPUTED_VALUE"""),"Gil")</f>
        <v>Gil</v>
      </c>
      <c r="G74" s="107">
        <f t="shared" si="1"/>
        <v>17.48</v>
      </c>
      <c r="H74" s="108" t="str">
        <f t="shared" si="2"/>
        <v>Feb</v>
      </c>
    </row>
    <row r="75">
      <c r="A75" s="106">
        <f>IFERROR(__xludf.DUMMYFUNCTION("""COMPUTED_VALUE"""),45333.0)</f>
        <v>45333</v>
      </c>
      <c r="B75" s="103">
        <f>IFERROR(__xludf.DUMMYFUNCTION("""COMPUTED_VALUE"""),76.68)</f>
        <v>76.68</v>
      </c>
      <c r="C75" s="79" t="str">
        <f>IFERROR(__xludf.DUMMYFUNCTION("""COMPUTED_VALUE"""),"Dokebi")</f>
        <v>Dokebi</v>
      </c>
      <c r="D75" s="79" t="str">
        <f>IFERROR(__xludf.DUMMYFUNCTION("""COMPUTED_VALUE"""),"Discover")</f>
        <v>Discover</v>
      </c>
      <c r="E75" s="79" t="str">
        <f>IFERROR(__xludf.DUMMYFUNCTION("""COMPUTED_VALUE"""),"Meals")</f>
        <v>Meals</v>
      </c>
      <c r="F75" s="79" t="str">
        <f>IFERROR(__xludf.DUMMYFUNCTION("""COMPUTED_VALUE"""),"Gil")</f>
        <v>Gil</v>
      </c>
      <c r="G75" s="107">
        <f t="shared" si="1"/>
        <v>38.34</v>
      </c>
      <c r="H75" s="108" t="str">
        <f t="shared" si="2"/>
        <v>Feb</v>
      </c>
    </row>
    <row r="76">
      <c r="A76" s="106">
        <f>IFERROR(__xludf.DUMMYFUNCTION("""COMPUTED_VALUE"""),45333.0)</f>
        <v>45333</v>
      </c>
      <c r="B76" s="103">
        <f>IFERROR(__xludf.DUMMYFUNCTION("""COMPUTED_VALUE"""),25.0)</f>
        <v>25</v>
      </c>
      <c r="C76" s="79" t="str">
        <f>IFERROR(__xludf.DUMMYFUNCTION("""COMPUTED_VALUE"""),"Spuyten Duyvil")</f>
        <v>Spuyten Duyvil</v>
      </c>
      <c r="D76" s="79" t="str">
        <f>IFERROR(__xludf.DUMMYFUNCTION("""COMPUTED_VALUE"""),"Amex Gold")</f>
        <v>Amex Gold</v>
      </c>
      <c r="E76" s="79" t="str">
        <f>IFERROR(__xludf.DUMMYFUNCTION("""COMPUTED_VALUE"""),"Alcohol/Weed")</f>
        <v>Alcohol/Weed</v>
      </c>
      <c r="F76" s="79" t="str">
        <f>IFERROR(__xludf.DUMMYFUNCTION("""COMPUTED_VALUE"""),"Gil")</f>
        <v>Gil</v>
      </c>
      <c r="G76" s="107">
        <f t="shared" si="1"/>
        <v>12.5</v>
      </c>
      <c r="H76" s="108" t="str">
        <f t="shared" si="2"/>
        <v>Feb</v>
      </c>
    </row>
    <row r="77">
      <c r="A77" s="106">
        <f>IFERROR(__xludf.DUMMYFUNCTION("""COMPUTED_VALUE"""),45337.0)</f>
        <v>45337</v>
      </c>
      <c r="B77" s="103">
        <f>IFERROR(__xludf.DUMMYFUNCTION("""COMPUTED_VALUE"""),83.92)</f>
        <v>83.92</v>
      </c>
      <c r="C77" s="79" t="str">
        <f>IFERROR(__xludf.DUMMYFUNCTION("""COMPUTED_VALUE"""),"Whole Foods")</f>
        <v>Whole Foods</v>
      </c>
      <c r="D77" s="79" t="str">
        <f>IFERROR(__xludf.DUMMYFUNCTION("""COMPUTED_VALUE"""),"Amazon Prime Chase")</f>
        <v>Amazon Prime Chase</v>
      </c>
      <c r="E77" s="79" t="str">
        <f>IFERROR(__xludf.DUMMYFUNCTION("""COMPUTED_VALUE"""),"Groceries")</f>
        <v>Groceries</v>
      </c>
      <c r="F77" s="79" t="str">
        <f>IFERROR(__xludf.DUMMYFUNCTION("""COMPUTED_VALUE"""),"Gil")</f>
        <v>Gil</v>
      </c>
      <c r="G77" s="107">
        <f t="shared" si="1"/>
        <v>41.96</v>
      </c>
      <c r="H77" s="108" t="str">
        <f t="shared" si="2"/>
        <v>Feb</v>
      </c>
    </row>
    <row r="78">
      <c r="A78" s="106">
        <f>IFERROR(__xludf.DUMMYFUNCTION("""COMPUTED_VALUE"""),45338.0)</f>
        <v>45338</v>
      </c>
      <c r="B78" s="103">
        <f>IFERROR(__xludf.DUMMYFUNCTION("""COMPUTED_VALUE"""),69.42)</f>
        <v>69.42</v>
      </c>
      <c r="C78" s="79" t="str">
        <f>IFERROR(__xludf.DUMMYFUNCTION("""COMPUTED_VALUE"""),"Dickson's")</f>
        <v>Dickson's</v>
      </c>
      <c r="D78" s="79" t="str">
        <f>IFERROR(__xludf.DUMMYFUNCTION("""COMPUTED_VALUE"""),"Amex Blue")</f>
        <v>Amex Blue</v>
      </c>
      <c r="E78" s="79" t="str">
        <f>IFERROR(__xludf.DUMMYFUNCTION("""COMPUTED_VALUE"""),"Groceries")</f>
        <v>Groceries</v>
      </c>
      <c r="F78" s="79" t="str">
        <f>IFERROR(__xludf.DUMMYFUNCTION("""COMPUTED_VALUE"""),"Gil")</f>
        <v>Gil</v>
      </c>
      <c r="G78" s="107">
        <f t="shared" si="1"/>
        <v>34.71</v>
      </c>
      <c r="H78" s="108" t="str">
        <f t="shared" si="2"/>
        <v>Feb</v>
      </c>
    </row>
    <row r="79">
      <c r="A79" s="106">
        <f>IFERROR(__xludf.DUMMYFUNCTION("""COMPUTED_VALUE"""),45339.0)</f>
        <v>45339</v>
      </c>
      <c r="B79" s="103">
        <f>IFERROR(__xludf.DUMMYFUNCTION("""COMPUTED_VALUE"""),54.41)</f>
        <v>54.41</v>
      </c>
      <c r="C79" s="79" t="str">
        <f>IFERROR(__xludf.DUMMYFUNCTION("""COMPUTED_VALUE"""),"Whole Foods")</f>
        <v>Whole Foods</v>
      </c>
      <c r="D79" s="79" t="str">
        <f>IFERROR(__xludf.DUMMYFUNCTION("""COMPUTED_VALUE"""),"Amazon Prime Chase")</f>
        <v>Amazon Prime Chase</v>
      </c>
      <c r="E79" s="79" t="str">
        <f>IFERROR(__xludf.DUMMYFUNCTION("""COMPUTED_VALUE"""),"Groceries")</f>
        <v>Groceries</v>
      </c>
      <c r="F79" s="79" t="str">
        <f>IFERROR(__xludf.DUMMYFUNCTION("""COMPUTED_VALUE"""),"Gil")</f>
        <v>Gil</v>
      </c>
      <c r="G79" s="107">
        <f t="shared" si="1"/>
        <v>27.205</v>
      </c>
      <c r="H79" s="108" t="str">
        <f t="shared" si="2"/>
        <v>Feb</v>
      </c>
    </row>
    <row r="80">
      <c r="A80" s="106">
        <f>IFERROR(__xludf.DUMMYFUNCTION("""COMPUTED_VALUE"""),45336.0)</f>
        <v>45336</v>
      </c>
      <c r="B80" s="103">
        <f>IFERROR(__xludf.DUMMYFUNCTION("""COMPUTED_VALUE"""),50.0)</f>
        <v>50</v>
      </c>
      <c r="C80" s="79" t="str">
        <f>IFERROR(__xludf.DUMMYFUNCTION("""COMPUTED_VALUE"""),"Spin Laundry")</f>
        <v>Spin Laundry</v>
      </c>
      <c r="D80" s="79" t="str">
        <f>IFERROR(__xludf.DUMMYFUNCTION("""COMPUTED_VALUE"""),"Cash")</f>
        <v>Cash</v>
      </c>
      <c r="E80" s="79" t="str">
        <f>IFERROR(__xludf.DUMMYFUNCTION("""COMPUTED_VALUE"""),"Household")</f>
        <v>Household</v>
      </c>
      <c r="F80" s="79" t="str">
        <f>IFERROR(__xludf.DUMMYFUNCTION("""COMPUTED_VALUE"""),"Gil")</f>
        <v>Gil</v>
      </c>
      <c r="G80" s="107">
        <f t="shared" si="1"/>
        <v>25</v>
      </c>
      <c r="H80" s="108" t="str">
        <f t="shared" si="2"/>
        <v>Feb</v>
      </c>
    </row>
    <row r="81">
      <c r="A81" s="106">
        <f>IFERROR(__xludf.DUMMYFUNCTION("""COMPUTED_VALUE"""),45339.0)</f>
        <v>45339</v>
      </c>
      <c r="B81" s="103">
        <f>IFERROR(__xludf.DUMMYFUNCTION("""COMPUTED_VALUE"""),70.37)</f>
        <v>70.37</v>
      </c>
      <c r="C81" s="79" t="str">
        <f>IFERROR(__xludf.DUMMYFUNCTION("""COMPUTED_VALUE"""),"Uber Eats - Klom Klorm")</f>
        <v>Uber Eats - Klom Klorm</v>
      </c>
      <c r="D81" s="79" t="str">
        <f>IFERROR(__xludf.DUMMYFUNCTION("""COMPUTED_VALUE"""),"Capital ONE")</f>
        <v>Capital ONE</v>
      </c>
      <c r="E81" s="79" t="str">
        <f>IFERROR(__xludf.DUMMYFUNCTION("""COMPUTED_VALUE"""),"Meals")</f>
        <v>Meals</v>
      </c>
      <c r="F81" s="79" t="str">
        <f>IFERROR(__xludf.DUMMYFUNCTION("""COMPUTED_VALUE"""),"Gil")</f>
        <v>Gil</v>
      </c>
      <c r="G81" s="107">
        <f t="shared" si="1"/>
        <v>35.185</v>
      </c>
      <c r="H81" s="108" t="str">
        <f t="shared" si="2"/>
        <v>Feb</v>
      </c>
    </row>
    <row r="82">
      <c r="A82" s="106">
        <f>IFERROR(__xludf.DUMMYFUNCTION("""COMPUTED_VALUE"""),45340.0)</f>
        <v>45340</v>
      </c>
      <c r="B82" s="103">
        <f>IFERROR(__xludf.DUMMYFUNCTION("""COMPUTED_VALUE"""),171.43)</f>
        <v>171.43</v>
      </c>
      <c r="C82" s="79" t="str">
        <f>IFERROR(__xludf.DUMMYFUNCTION("""COMPUTED_VALUE"""),"T-Mobile")</f>
        <v>T-Mobile</v>
      </c>
      <c r="D82" s="79" t="str">
        <f>IFERROR(__xludf.DUMMYFUNCTION("""COMPUTED_VALUE"""),"Checking")</f>
        <v>Checking</v>
      </c>
      <c r="E82" s="79" t="str">
        <f>IFERROR(__xludf.DUMMYFUNCTION("""COMPUTED_VALUE"""),"Mobile Phone")</f>
        <v>Mobile Phone</v>
      </c>
      <c r="F82" s="79" t="str">
        <f>IFERROR(__xludf.DUMMYFUNCTION("""COMPUTED_VALUE"""),"Gil")</f>
        <v>Gil</v>
      </c>
      <c r="G82" s="107">
        <f t="shared" si="1"/>
        <v>85.715</v>
      </c>
      <c r="H82" s="108" t="str">
        <f t="shared" si="2"/>
        <v>Feb</v>
      </c>
    </row>
    <row r="83">
      <c r="A83" s="106">
        <f>IFERROR(__xludf.DUMMYFUNCTION("""COMPUTED_VALUE"""),45340.0)</f>
        <v>45340</v>
      </c>
      <c r="B83" s="103">
        <f>IFERROR(__xludf.DUMMYFUNCTION("""COMPUTED_VALUE"""),304.0)</f>
        <v>304</v>
      </c>
      <c r="C83" s="79" t="str">
        <f>IFERROR(__xludf.DUMMYFUNCTION("""COMPUTED_VALUE"""),"Modern Shelving")</f>
        <v>Modern Shelving</v>
      </c>
      <c r="D83" s="79" t="str">
        <f>IFERROR(__xludf.DUMMYFUNCTION("""COMPUTED_VALUE"""),"Jet Blue")</f>
        <v>Jet Blue</v>
      </c>
      <c r="E83" s="79" t="str">
        <f>IFERROR(__xludf.DUMMYFUNCTION("""COMPUTED_VALUE"""),"Household")</f>
        <v>Household</v>
      </c>
      <c r="F83" s="79" t="str">
        <f>IFERROR(__xludf.DUMMYFUNCTION("""COMPUTED_VALUE"""),"Shaeffer")</f>
        <v>Shaeffer</v>
      </c>
      <c r="G83" s="107">
        <f t="shared" si="1"/>
        <v>152</v>
      </c>
      <c r="H83" s="108" t="str">
        <f t="shared" si="2"/>
        <v>Feb</v>
      </c>
    </row>
    <row r="84">
      <c r="A84" s="106">
        <f>IFERROR(__xludf.DUMMYFUNCTION("""COMPUTED_VALUE"""),45341.0)</f>
        <v>45341</v>
      </c>
      <c r="B84" s="103">
        <f>IFERROR(__xludf.DUMMYFUNCTION("""COMPUTED_VALUE"""),7.99)</f>
        <v>7.99</v>
      </c>
      <c r="C84" s="79" t="str">
        <f>IFERROR(__xludf.DUMMYFUNCTION("""COMPUTED_VALUE"""),"Hulu")</f>
        <v>Hulu</v>
      </c>
      <c r="D84" s="79" t="str">
        <f>IFERROR(__xludf.DUMMYFUNCTION("""COMPUTED_VALUE"""),"Chase Reserve")</f>
        <v>Chase Reserve</v>
      </c>
      <c r="E84" s="79" t="str">
        <f>IFERROR(__xludf.DUMMYFUNCTION("""COMPUTED_VALUE"""),"Subscriptions")</f>
        <v>Subscriptions</v>
      </c>
      <c r="F84" s="79" t="str">
        <f>IFERROR(__xludf.DUMMYFUNCTION("""COMPUTED_VALUE"""),"Shaeffer")</f>
        <v>Shaeffer</v>
      </c>
      <c r="G84" s="107">
        <f t="shared" si="1"/>
        <v>3.995</v>
      </c>
      <c r="H84" s="108" t="str">
        <f t="shared" si="2"/>
        <v>Feb</v>
      </c>
    </row>
    <row r="85">
      <c r="A85" s="106">
        <f>IFERROR(__xludf.DUMMYFUNCTION("""COMPUTED_VALUE"""),45343.0)</f>
        <v>45343</v>
      </c>
      <c r="B85" s="103">
        <f>IFERROR(__xludf.DUMMYFUNCTION("""COMPUTED_VALUE"""),42.45)</f>
        <v>42.45</v>
      </c>
      <c r="C85" s="79" t="str">
        <f>IFERROR(__xludf.DUMMYFUNCTION("""COMPUTED_VALUE"""),"New London Pharmacy")</f>
        <v>New London Pharmacy</v>
      </c>
      <c r="D85" s="79" t="str">
        <f>IFERROR(__xludf.DUMMYFUNCTION("""COMPUTED_VALUE"""),"Amex Blue")</f>
        <v>Amex Blue</v>
      </c>
      <c r="E85" s="79" t="str">
        <f>IFERROR(__xludf.DUMMYFUNCTION("""COMPUTED_VALUE"""),"Household")</f>
        <v>Household</v>
      </c>
      <c r="F85" s="79" t="str">
        <f>IFERROR(__xludf.DUMMYFUNCTION("""COMPUTED_VALUE"""),"Gil")</f>
        <v>Gil</v>
      </c>
      <c r="G85" s="107">
        <f t="shared" si="1"/>
        <v>21.225</v>
      </c>
      <c r="H85" s="108" t="str">
        <f t="shared" si="2"/>
        <v>Feb</v>
      </c>
    </row>
    <row r="86">
      <c r="A86" s="106">
        <f>IFERROR(__xludf.DUMMYFUNCTION("""COMPUTED_VALUE"""),45346.0)</f>
        <v>45346</v>
      </c>
      <c r="B86" s="103">
        <f>IFERROR(__xludf.DUMMYFUNCTION("""COMPUTED_VALUE"""),26.0)</f>
        <v>26</v>
      </c>
      <c r="C86" s="79" t="str">
        <f>IFERROR(__xludf.DUMMYFUNCTION("""COMPUTED_VALUE"""),"Laundry")</f>
        <v>Laundry</v>
      </c>
      <c r="D86" s="79" t="str">
        <f>IFERROR(__xludf.DUMMYFUNCTION("""COMPUTED_VALUE"""),"Cash")</f>
        <v>Cash</v>
      </c>
      <c r="E86" s="79" t="str">
        <f>IFERROR(__xludf.DUMMYFUNCTION("""COMPUTED_VALUE"""),"Household")</f>
        <v>Household</v>
      </c>
      <c r="F86" s="79" t="str">
        <f>IFERROR(__xludf.DUMMYFUNCTION("""COMPUTED_VALUE"""),"Shaeffer")</f>
        <v>Shaeffer</v>
      </c>
      <c r="G86" s="107">
        <f t="shared" si="1"/>
        <v>13</v>
      </c>
      <c r="H86" s="108" t="str">
        <f t="shared" si="2"/>
        <v>Feb</v>
      </c>
    </row>
    <row r="87">
      <c r="A87" s="106">
        <f>IFERROR(__xludf.DUMMYFUNCTION("""COMPUTED_VALUE"""),45346.0)</f>
        <v>45346</v>
      </c>
      <c r="B87" s="103">
        <f>IFERROR(__xludf.DUMMYFUNCTION("""COMPUTED_VALUE"""),51.16)</f>
        <v>51.16</v>
      </c>
      <c r="C87" s="79" t="str">
        <f>IFERROR(__xludf.DUMMYFUNCTION("""COMPUTED_VALUE"""),"Grace Street - Thomas' Bday Cheesecake")</f>
        <v>Grace Street - Thomas' Bday Cheesecake</v>
      </c>
      <c r="D87" s="79" t="str">
        <f>IFERROR(__xludf.DUMMYFUNCTION("""COMPUTED_VALUE"""),"Amex Gold")</f>
        <v>Amex Gold</v>
      </c>
      <c r="E87" s="79" t="str">
        <f>IFERROR(__xludf.DUMMYFUNCTION("""COMPUTED_VALUE"""),"Gifts/Donations")</f>
        <v>Gifts/Donations</v>
      </c>
      <c r="F87" s="79" t="str">
        <f>IFERROR(__xludf.DUMMYFUNCTION("""COMPUTED_VALUE"""),"Gil")</f>
        <v>Gil</v>
      </c>
      <c r="G87" s="107">
        <f t="shared" si="1"/>
        <v>25.58</v>
      </c>
      <c r="H87" s="108" t="str">
        <f t="shared" si="2"/>
        <v>Feb</v>
      </c>
    </row>
    <row r="88">
      <c r="A88" s="106">
        <f>IFERROR(__xludf.DUMMYFUNCTION("""COMPUTED_VALUE"""),45347.0)</f>
        <v>45347</v>
      </c>
      <c r="B88" s="103">
        <f>IFERROR(__xludf.DUMMYFUNCTION("""COMPUTED_VALUE"""),13.78)</f>
        <v>13.78</v>
      </c>
      <c r="C88" s="79" t="str">
        <f>IFERROR(__xludf.DUMMYFUNCTION("""COMPUTED_VALUE"""),"Caffe Vita")</f>
        <v>Caffe Vita</v>
      </c>
      <c r="D88" s="79" t="str">
        <f>IFERROR(__xludf.DUMMYFUNCTION("""COMPUTED_VALUE"""),"Amex Gold")</f>
        <v>Amex Gold</v>
      </c>
      <c r="E88" s="79" t="str">
        <f>IFERROR(__xludf.DUMMYFUNCTION("""COMPUTED_VALUE"""),"Meals")</f>
        <v>Meals</v>
      </c>
      <c r="F88" s="79" t="str">
        <f>IFERROR(__xludf.DUMMYFUNCTION("""COMPUTED_VALUE"""),"Gil")</f>
        <v>Gil</v>
      </c>
      <c r="G88" s="107">
        <f t="shared" si="1"/>
        <v>6.89</v>
      </c>
      <c r="H88" s="108" t="str">
        <f t="shared" si="2"/>
        <v>Feb</v>
      </c>
    </row>
    <row r="89">
      <c r="A89" s="106">
        <f>IFERROR(__xludf.DUMMYFUNCTION("""COMPUTED_VALUE"""),45348.0)</f>
        <v>45348</v>
      </c>
      <c r="B89" s="103">
        <f>IFERROR(__xludf.DUMMYFUNCTION("""COMPUTED_VALUE"""),51.16)</f>
        <v>51.16</v>
      </c>
      <c r="C89" s="79" t="str">
        <f>IFERROR(__xludf.DUMMYFUNCTION("""COMPUTED_VALUE"""),"Uber - Tom Dixon")</f>
        <v>Uber - Tom Dixon</v>
      </c>
      <c r="D89" s="79" t="str">
        <f>IFERROR(__xludf.DUMMYFUNCTION("""COMPUTED_VALUE"""),"Capital ONE")</f>
        <v>Capital ONE</v>
      </c>
      <c r="E89" s="79" t="str">
        <f>IFERROR(__xludf.DUMMYFUNCTION("""COMPUTED_VALUE"""),"Transportation")</f>
        <v>Transportation</v>
      </c>
      <c r="F89" s="79" t="str">
        <f>IFERROR(__xludf.DUMMYFUNCTION("""COMPUTED_VALUE"""),"Gil")</f>
        <v>Gil</v>
      </c>
      <c r="G89" s="107">
        <f t="shared" si="1"/>
        <v>25.58</v>
      </c>
      <c r="H89" s="108" t="str">
        <f t="shared" si="2"/>
        <v>Feb</v>
      </c>
    </row>
    <row r="90">
      <c r="A90" s="106">
        <f>IFERROR(__xludf.DUMMYFUNCTION("""COMPUTED_VALUE"""),45348.0)</f>
        <v>45348</v>
      </c>
      <c r="B90" s="103">
        <f>IFERROR(__xludf.DUMMYFUNCTION("""COMPUTED_VALUE"""),42.3)</f>
        <v>42.3</v>
      </c>
      <c r="C90" s="79" t="str">
        <f>IFERROR(__xludf.DUMMYFUNCTION("""COMPUTED_VALUE"""),"Whole Foods")</f>
        <v>Whole Foods</v>
      </c>
      <c r="D90" s="79" t="str">
        <f>IFERROR(__xludf.DUMMYFUNCTION("""COMPUTED_VALUE"""),"Amex Blue")</f>
        <v>Amex Blue</v>
      </c>
      <c r="E90" s="79" t="str">
        <f>IFERROR(__xludf.DUMMYFUNCTION("""COMPUTED_VALUE"""),"Groceries")</f>
        <v>Groceries</v>
      </c>
      <c r="F90" s="79" t="str">
        <f>IFERROR(__xludf.DUMMYFUNCTION("""COMPUTED_VALUE"""),"Gil")</f>
        <v>Gil</v>
      </c>
      <c r="G90" s="107">
        <f t="shared" si="1"/>
        <v>21.15</v>
      </c>
      <c r="H90" s="108" t="str">
        <f t="shared" si="2"/>
        <v>Feb</v>
      </c>
    </row>
    <row r="91">
      <c r="A91" s="106">
        <f>IFERROR(__xludf.DUMMYFUNCTION("""COMPUTED_VALUE"""),45344.0)</f>
        <v>45344</v>
      </c>
      <c r="B91" s="103">
        <f>IFERROR(__xludf.DUMMYFUNCTION("""COMPUTED_VALUE"""),62.0)</f>
        <v>62</v>
      </c>
      <c r="C91" s="79" t="str">
        <f>IFERROR(__xludf.DUMMYFUNCTION("""COMPUTED_VALUE"""),"Optimum")</f>
        <v>Optimum</v>
      </c>
      <c r="D91" s="79" t="str">
        <f>IFERROR(__xludf.DUMMYFUNCTION("""COMPUTED_VALUE"""),"Amex Delta Skymiles")</f>
        <v>Amex Delta Skymiles</v>
      </c>
      <c r="E91" s="79" t="str">
        <f>IFERROR(__xludf.DUMMYFUNCTION("""COMPUTED_VALUE"""),"Internet")</f>
        <v>Internet</v>
      </c>
      <c r="F91" s="79" t="str">
        <f>IFERROR(__xludf.DUMMYFUNCTION("""COMPUTED_VALUE"""),"Shaeffer")</f>
        <v>Shaeffer</v>
      </c>
      <c r="G91" s="107">
        <f t="shared" si="1"/>
        <v>31</v>
      </c>
      <c r="H91" s="108" t="str">
        <f t="shared" si="2"/>
        <v>Feb</v>
      </c>
    </row>
    <row r="92">
      <c r="A92" s="106">
        <f>IFERROR(__xludf.DUMMYFUNCTION("""COMPUTED_VALUE"""),45349.0)</f>
        <v>45349</v>
      </c>
      <c r="B92" s="103">
        <f>IFERROR(__xludf.DUMMYFUNCTION("""COMPUTED_VALUE"""),160.0)</f>
        <v>160</v>
      </c>
      <c r="C92" s="79" t="str">
        <f>IFERROR(__xludf.DUMMYFUNCTION("""COMPUTED_VALUE"""),"Storage unit - March ")</f>
        <v>Storage unit - March </v>
      </c>
      <c r="D92" s="79" t="str">
        <f>IFERROR(__xludf.DUMMYFUNCTION("""COMPUTED_VALUE"""),"Checking")</f>
        <v>Checking</v>
      </c>
      <c r="E92" s="79" t="str">
        <f>IFERROR(__xludf.DUMMYFUNCTION("""COMPUTED_VALUE"""),"Storage")</f>
        <v>Storage</v>
      </c>
      <c r="F92" s="79" t="str">
        <f>IFERROR(__xludf.DUMMYFUNCTION("""COMPUTED_VALUE"""),"Shaeffer")</f>
        <v>Shaeffer</v>
      </c>
      <c r="G92" s="107">
        <f t="shared" si="1"/>
        <v>80</v>
      </c>
      <c r="H92" s="108" t="str">
        <f t="shared" si="2"/>
        <v>Feb</v>
      </c>
    </row>
    <row r="93">
      <c r="A93" s="106">
        <f>IFERROR(__xludf.DUMMYFUNCTION("""COMPUTED_VALUE"""),45344.0)</f>
        <v>45344</v>
      </c>
      <c r="B93" s="103">
        <f>IFERROR(__xludf.DUMMYFUNCTION("""COMPUTED_VALUE"""),45.71)</f>
        <v>45.71</v>
      </c>
      <c r="C93" s="79" t="str">
        <f>IFERROR(__xludf.DUMMYFUNCTION("""COMPUTED_VALUE"""),"Irving btl")</f>
        <v>Irving btl</v>
      </c>
      <c r="D93" s="79" t="str">
        <f>IFERROR(__xludf.DUMMYFUNCTION("""COMPUTED_VALUE"""),"Jet Blue")</f>
        <v>Jet Blue</v>
      </c>
      <c r="E93" s="79" t="str">
        <f>IFERROR(__xludf.DUMMYFUNCTION("""COMPUTED_VALUE"""),"Alcohol/Weed")</f>
        <v>Alcohol/Weed</v>
      </c>
      <c r="F93" s="79" t="str">
        <f>IFERROR(__xludf.DUMMYFUNCTION("""COMPUTED_VALUE"""),"Shaeffer")</f>
        <v>Shaeffer</v>
      </c>
      <c r="G93" s="107">
        <f t="shared" si="1"/>
        <v>22.855</v>
      </c>
      <c r="H93" s="108" t="str">
        <f t="shared" si="2"/>
        <v>Feb</v>
      </c>
    </row>
    <row r="94">
      <c r="A94" s="106">
        <f>IFERROR(__xludf.DUMMYFUNCTION("""COMPUTED_VALUE"""),45346.0)</f>
        <v>45346</v>
      </c>
      <c r="B94" s="103">
        <f>IFERROR(__xludf.DUMMYFUNCTION("""COMPUTED_VALUE"""),50.86)</f>
        <v>50.86</v>
      </c>
      <c r="C94" s="79" t="str">
        <f>IFERROR(__xludf.DUMMYFUNCTION("""COMPUTED_VALUE"""),"Klom Klorm delivery")</f>
        <v>Klom Klorm delivery</v>
      </c>
      <c r="D94" s="79" t="str">
        <f>IFERROR(__xludf.DUMMYFUNCTION("""COMPUTED_VALUE"""),"Chase Reserve")</f>
        <v>Chase Reserve</v>
      </c>
      <c r="E94" s="79" t="str">
        <f>IFERROR(__xludf.DUMMYFUNCTION("""COMPUTED_VALUE"""),"Meals")</f>
        <v>Meals</v>
      </c>
      <c r="F94" s="79" t="str">
        <f>IFERROR(__xludf.DUMMYFUNCTION("""COMPUTED_VALUE"""),"Shaeffer")</f>
        <v>Shaeffer</v>
      </c>
      <c r="G94" s="107">
        <f t="shared" si="1"/>
        <v>25.43</v>
      </c>
      <c r="H94" s="108" t="str">
        <f t="shared" si="2"/>
        <v>Feb</v>
      </c>
    </row>
    <row r="95">
      <c r="A95" s="106">
        <f>IFERROR(__xludf.DUMMYFUNCTION("""COMPUTED_VALUE"""),45349.0)</f>
        <v>45349</v>
      </c>
      <c r="B95" s="103">
        <f>IFERROR(__xludf.DUMMYFUNCTION("""COMPUTED_VALUE"""),14.69)</f>
        <v>14.69</v>
      </c>
      <c r="C95" s="79" t="str">
        <f>IFERROR(__xludf.DUMMYFUNCTION("""COMPUTED_VALUE"""),"King of Falafel")</f>
        <v>King of Falafel</v>
      </c>
      <c r="D95" s="79" t="str">
        <f>IFERROR(__xludf.DUMMYFUNCTION("""COMPUTED_VALUE"""),"Amex Gold")</f>
        <v>Amex Gold</v>
      </c>
      <c r="E95" s="79" t="str">
        <f>IFERROR(__xludf.DUMMYFUNCTION("""COMPUTED_VALUE"""),"Work Meals")</f>
        <v>Work Meals</v>
      </c>
      <c r="F95" s="79" t="str">
        <f>IFERROR(__xludf.DUMMYFUNCTION("""COMPUTED_VALUE"""),"Gil")</f>
        <v>Gil</v>
      </c>
      <c r="G95" s="107">
        <f t="shared" si="1"/>
        <v>7.345</v>
      </c>
      <c r="H95" s="108" t="str">
        <f t="shared" si="2"/>
        <v>Feb</v>
      </c>
    </row>
    <row r="96">
      <c r="A96" s="106">
        <f>IFERROR(__xludf.DUMMYFUNCTION("""COMPUTED_VALUE"""),45350.0)</f>
        <v>45350</v>
      </c>
      <c r="B96" s="103">
        <f>IFERROR(__xludf.DUMMYFUNCTION("""COMPUTED_VALUE"""),43.66)</f>
        <v>43.66</v>
      </c>
      <c r="C96" s="79" t="str">
        <f>IFERROR(__xludf.DUMMYFUNCTION("""COMPUTED_VALUE"""),"Whole Foods")</f>
        <v>Whole Foods</v>
      </c>
      <c r="D96" s="79" t="str">
        <f>IFERROR(__xludf.DUMMYFUNCTION("""COMPUTED_VALUE"""),"Amex Blue")</f>
        <v>Amex Blue</v>
      </c>
      <c r="E96" s="79" t="str">
        <f>IFERROR(__xludf.DUMMYFUNCTION("""COMPUTED_VALUE"""),"Groceries")</f>
        <v>Groceries</v>
      </c>
      <c r="F96" s="79" t="str">
        <f>IFERROR(__xludf.DUMMYFUNCTION("""COMPUTED_VALUE"""),"Gil")</f>
        <v>Gil</v>
      </c>
      <c r="G96" s="107">
        <f t="shared" si="1"/>
        <v>21.83</v>
      </c>
      <c r="H96" s="108" t="str">
        <f t="shared" si="2"/>
        <v>Feb</v>
      </c>
    </row>
    <row r="97">
      <c r="A97" s="106">
        <f>IFERROR(__xludf.DUMMYFUNCTION("""COMPUTED_VALUE"""),45353.0)</f>
        <v>45353</v>
      </c>
      <c r="B97" s="103">
        <f>IFERROR(__xludf.DUMMYFUNCTION("""COMPUTED_VALUE"""),29.0)</f>
        <v>29</v>
      </c>
      <c r="C97" s="79" t="str">
        <f>IFERROR(__xludf.DUMMYFUNCTION("""COMPUTED_VALUE"""),"Farmer's Market")</f>
        <v>Farmer's Market</v>
      </c>
      <c r="D97" s="79" t="str">
        <f>IFERROR(__xludf.DUMMYFUNCTION("""COMPUTED_VALUE"""),"Cash")</f>
        <v>Cash</v>
      </c>
      <c r="E97" s="79" t="str">
        <f>IFERROR(__xludf.DUMMYFUNCTION("""COMPUTED_VALUE"""),"Groceries")</f>
        <v>Groceries</v>
      </c>
      <c r="F97" s="79" t="str">
        <f>IFERROR(__xludf.DUMMYFUNCTION("""COMPUTED_VALUE"""),"Gil")</f>
        <v>Gil</v>
      </c>
      <c r="G97" s="107">
        <f t="shared" si="1"/>
        <v>14.5</v>
      </c>
      <c r="H97" s="108" t="str">
        <f t="shared" si="2"/>
        <v>Mar</v>
      </c>
    </row>
    <row r="98">
      <c r="A98" s="106">
        <f>IFERROR(__xludf.DUMMYFUNCTION("""COMPUTED_VALUE"""),45350.0)</f>
        <v>45350</v>
      </c>
      <c r="B98" s="103">
        <f>IFERROR(__xludf.DUMMYFUNCTION("""COMPUTED_VALUE"""),860.68)</f>
        <v>860.68</v>
      </c>
      <c r="C98" s="79" t="str">
        <f>IFERROR(__xludf.DUMMYFUNCTION("""COMPUTED_VALUE"""),"Health First")</f>
        <v>Health First</v>
      </c>
      <c r="D98" s="79" t="str">
        <f>IFERROR(__xludf.DUMMYFUNCTION("""COMPUTED_VALUE"""),"Amazon Prime Chase")</f>
        <v>Amazon Prime Chase</v>
      </c>
      <c r="E98" s="79" t="str">
        <f>IFERROR(__xludf.DUMMYFUNCTION("""COMPUTED_VALUE"""),"Insurance")</f>
        <v>Insurance</v>
      </c>
      <c r="F98" s="79" t="str">
        <f>IFERROR(__xludf.DUMMYFUNCTION("""COMPUTED_VALUE"""),"Gil")</f>
        <v>Gil</v>
      </c>
      <c r="G98" s="107">
        <f t="shared" si="1"/>
        <v>430.34</v>
      </c>
      <c r="H98" s="108" t="str">
        <f t="shared" si="2"/>
        <v>Feb</v>
      </c>
    </row>
    <row r="99">
      <c r="A99" s="106">
        <f>IFERROR(__xludf.DUMMYFUNCTION("""COMPUTED_VALUE"""),45332.0)</f>
        <v>45332</v>
      </c>
      <c r="B99" s="103">
        <f>IFERROR(__xludf.DUMMYFUNCTION("""COMPUTED_VALUE"""),67.0)</f>
        <v>67</v>
      </c>
      <c r="C99" s="79" t="str">
        <f>IFERROR(__xludf.DUMMYFUNCTION("""COMPUTED_VALUE"""),"AXS Tickets - Philly")</f>
        <v>AXS Tickets - Philly</v>
      </c>
      <c r="D99" s="79" t="str">
        <f>IFERROR(__xludf.DUMMYFUNCTION("""COMPUTED_VALUE"""),"Amex Gold")</f>
        <v>Amex Gold</v>
      </c>
      <c r="E99" s="79" t="str">
        <f>IFERROR(__xludf.DUMMYFUNCTION("""COMPUTED_VALUE"""),"Entertainment")</f>
        <v>Entertainment</v>
      </c>
      <c r="F99" s="79" t="str">
        <f>IFERROR(__xludf.DUMMYFUNCTION("""COMPUTED_VALUE"""),"Gil")</f>
        <v>Gil</v>
      </c>
      <c r="G99" s="107">
        <f t="shared" si="1"/>
        <v>33.5</v>
      </c>
      <c r="H99" s="108" t="str">
        <f t="shared" si="2"/>
        <v>Feb</v>
      </c>
    </row>
    <row r="100">
      <c r="A100" s="106">
        <f>IFERROR(__xludf.DUMMYFUNCTION("""COMPUTED_VALUE"""),45338.0)</f>
        <v>45338</v>
      </c>
      <c r="B100" s="103">
        <f>IFERROR(__xludf.DUMMYFUNCTION("""COMPUTED_VALUE"""),250.0)</f>
        <v>250</v>
      </c>
      <c r="C100" s="79" t="str">
        <f>IFERROR(__xludf.DUMMYFUNCTION("""COMPUTED_VALUE"""),"Amex Annual Membership")</f>
        <v>Amex Annual Membership</v>
      </c>
      <c r="D100" s="79" t="str">
        <f>IFERROR(__xludf.DUMMYFUNCTION("""COMPUTED_VALUE"""),"Amex Gold")</f>
        <v>Amex Gold</v>
      </c>
      <c r="E100" s="79" t="str">
        <f>IFERROR(__xludf.DUMMYFUNCTION("""COMPUTED_VALUE"""),"Other")</f>
        <v>Other</v>
      </c>
      <c r="F100" s="79" t="str">
        <f>IFERROR(__xludf.DUMMYFUNCTION("""COMPUTED_VALUE"""),"Gil")</f>
        <v>Gil</v>
      </c>
      <c r="G100" s="107">
        <f t="shared" si="1"/>
        <v>125</v>
      </c>
      <c r="H100" s="108" t="str">
        <f t="shared" si="2"/>
        <v>Feb</v>
      </c>
    </row>
    <row r="101">
      <c r="A101" s="106">
        <f>IFERROR(__xludf.DUMMYFUNCTION("""COMPUTED_VALUE"""),45352.0)</f>
        <v>45352</v>
      </c>
      <c r="B101" s="103">
        <f>IFERROR(__xludf.DUMMYFUNCTION("""COMPUTED_VALUE"""),49.5)</f>
        <v>49.5</v>
      </c>
      <c r="C101" s="79" t="str">
        <f>IFERROR(__xludf.DUMMYFUNCTION("""COMPUTED_VALUE"""),"ATG - Knees Over Toes (AMEX Green)")</f>
        <v>ATG - Knees Over Toes (AMEX Green)</v>
      </c>
      <c r="D101" s="79" t="str">
        <f>IFERROR(__xludf.DUMMYFUNCTION("""COMPUTED_VALUE"""),"Other")</f>
        <v>Other</v>
      </c>
      <c r="E101" s="79" t="str">
        <f>IFERROR(__xludf.DUMMYFUNCTION("""COMPUTED_VALUE"""),"Subscriptions")</f>
        <v>Subscriptions</v>
      </c>
      <c r="F101" s="79" t="str">
        <f>IFERROR(__xludf.DUMMYFUNCTION("""COMPUTED_VALUE"""),"Gil")</f>
        <v>Gil</v>
      </c>
      <c r="G101" s="107">
        <f t="shared" si="1"/>
        <v>24.75</v>
      </c>
      <c r="H101" s="108" t="str">
        <f t="shared" si="2"/>
        <v>Mar</v>
      </c>
    </row>
    <row r="102">
      <c r="A102" s="106">
        <f>IFERROR(__xludf.DUMMYFUNCTION("""COMPUTED_VALUE"""),45350.0)</f>
        <v>45350</v>
      </c>
      <c r="B102" s="103">
        <f>IFERROR(__xludf.DUMMYFUNCTION("""COMPUTED_VALUE"""),204.45)</f>
        <v>204.45</v>
      </c>
      <c r="C102" s="79" t="str">
        <f>IFERROR(__xludf.DUMMYFUNCTION("""COMPUTED_VALUE"""),"Shaeffer AMEX Blue Expenses")</f>
        <v>Shaeffer AMEX Blue Expenses</v>
      </c>
      <c r="D102" s="79" t="str">
        <f>IFERROR(__xludf.DUMMYFUNCTION("""COMPUTED_VALUE"""),"Shaeffer ONLY")</f>
        <v>Shaeffer ONLY</v>
      </c>
      <c r="E102" s="79"/>
      <c r="F102" s="79" t="str">
        <f>IFERROR(__xludf.DUMMYFUNCTION("""COMPUTED_VALUE"""),"Gil")</f>
        <v>Gil</v>
      </c>
      <c r="G102" s="107">
        <f t="shared" si="1"/>
        <v>102.225</v>
      </c>
      <c r="H102" s="108" t="str">
        <f t="shared" si="2"/>
        <v>Feb</v>
      </c>
    </row>
    <row r="103">
      <c r="A103" s="106">
        <f>IFERROR(__xludf.DUMMYFUNCTION("""COMPUTED_VALUE"""),45350.0)</f>
        <v>45350</v>
      </c>
      <c r="B103" s="103">
        <f>IFERROR(__xludf.DUMMYFUNCTION("""COMPUTED_VALUE"""),16.86)</f>
        <v>16.86</v>
      </c>
      <c r="C103" s="79" t="str">
        <f>IFERROR(__xludf.DUMMYFUNCTION("""COMPUTED_VALUE"""),"Netflix")</f>
        <v>Netflix</v>
      </c>
      <c r="D103" s="79" t="str">
        <f>IFERROR(__xludf.DUMMYFUNCTION("""COMPUTED_VALUE"""),"Amex Blue")</f>
        <v>Amex Blue</v>
      </c>
      <c r="E103" s="79" t="str">
        <f>IFERROR(__xludf.DUMMYFUNCTION("""COMPUTED_VALUE"""),"Subscriptions")</f>
        <v>Subscriptions</v>
      </c>
      <c r="F103" s="79" t="str">
        <f>IFERROR(__xludf.DUMMYFUNCTION("""COMPUTED_VALUE"""),"Gil")</f>
        <v>Gil</v>
      </c>
      <c r="G103" s="107">
        <f t="shared" si="1"/>
        <v>8.43</v>
      </c>
      <c r="H103" s="108" t="str">
        <f t="shared" si="2"/>
        <v>Feb</v>
      </c>
    </row>
    <row r="104">
      <c r="A104" s="106">
        <f>IFERROR(__xludf.DUMMYFUNCTION("""COMPUTED_VALUE"""),45344.0)</f>
        <v>45344</v>
      </c>
      <c r="B104" s="103">
        <f>IFERROR(__xludf.DUMMYFUNCTION("""COMPUTED_VALUE"""),41.16)</f>
        <v>41.16</v>
      </c>
      <c r="C104" s="79" t="str">
        <f>IFERROR(__xludf.DUMMYFUNCTION("""COMPUTED_VALUE"""),"Whole Foods")</f>
        <v>Whole Foods</v>
      </c>
      <c r="D104" s="79" t="str">
        <f>IFERROR(__xludf.DUMMYFUNCTION("""COMPUTED_VALUE"""),"Amex Blue")</f>
        <v>Amex Blue</v>
      </c>
      <c r="E104" s="79" t="str">
        <f>IFERROR(__xludf.DUMMYFUNCTION("""COMPUTED_VALUE"""),"Groceries")</f>
        <v>Groceries</v>
      </c>
      <c r="F104" s="79" t="str">
        <f>IFERROR(__xludf.DUMMYFUNCTION("""COMPUTED_VALUE"""),"Gil")</f>
        <v>Gil</v>
      </c>
      <c r="G104" s="107">
        <f t="shared" si="1"/>
        <v>20.58</v>
      </c>
      <c r="H104" s="108" t="str">
        <f t="shared" si="2"/>
        <v>Feb</v>
      </c>
    </row>
    <row r="105">
      <c r="A105" s="106">
        <f>IFERROR(__xludf.DUMMYFUNCTION("""COMPUTED_VALUE"""),45340.0)</f>
        <v>45340</v>
      </c>
      <c r="B105" s="103">
        <f>IFERROR(__xludf.DUMMYFUNCTION("""COMPUTED_VALUE"""),37.63)</f>
        <v>37.63</v>
      </c>
      <c r="C105" s="79" t="str">
        <f>IFERROR(__xludf.DUMMYFUNCTION("""COMPUTED_VALUE"""),"Birch Coffee")</f>
        <v>Birch Coffee</v>
      </c>
      <c r="D105" s="79" t="str">
        <f>IFERROR(__xludf.DUMMYFUNCTION("""COMPUTED_VALUE"""),"Amex Blue")</f>
        <v>Amex Blue</v>
      </c>
      <c r="E105" s="79" t="str">
        <f>IFERROR(__xludf.DUMMYFUNCTION("""COMPUTED_VALUE"""),"Groceries")</f>
        <v>Groceries</v>
      </c>
      <c r="F105" s="79" t="str">
        <f>IFERROR(__xludf.DUMMYFUNCTION("""COMPUTED_VALUE"""),"Gil")</f>
        <v>Gil</v>
      </c>
      <c r="G105" s="107">
        <f t="shared" si="1"/>
        <v>18.815</v>
      </c>
      <c r="H105" s="108" t="str">
        <f t="shared" si="2"/>
        <v>Feb</v>
      </c>
    </row>
    <row r="106">
      <c r="A106" s="106">
        <f>IFERROR(__xludf.DUMMYFUNCTION("""COMPUTED_VALUE"""),45341.0)</f>
        <v>45341</v>
      </c>
      <c r="B106" s="103">
        <f>IFERROR(__xludf.DUMMYFUNCTION("""COMPUTED_VALUE"""),57.91)</f>
        <v>57.91</v>
      </c>
      <c r="C106" s="79" t="str">
        <f>IFERROR(__xludf.DUMMYFUNCTION("""COMPUTED_VALUE"""),"Whole Foods")</f>
        <v>Whole Foods</v>
      </c>
      <c r="D106" s="79" t="str">
        <f>IFERROR(__xludf.DUMMYFUNCTION("""COMPUTED_VALUE"""),"Amex Blue")</f>
        <v>Amex Blue</v>
      </c>
      <c r="E106" s="79" t="str">
        <f>IFERROR(__xludf.DUMMYFUNCTION("""COMPUTED_VALUE"""),"Groceries")</f>
        <v>Groceries</v>
      </c>
      <c r="F106" s="79" t="str">
        <f>IFERROR(__xludf.DUMMYFUNCTION("""COMPUTED_VALUE"""),"Gil")</f>
        <v>Gil</v>
      </c>
      <c r="G106" s="107">
        <f t="shared" si="1"/>
        <v>28.955</v>
      </c>
      <c r="H106" s="108" t="str">
        <f t="shared" si="2"/>
        <v>Feb</v>
      </c>
    </row>
    <row r="107">
      <c r="A107" s="106">
        <f>IFERROR(__xludf.DUMMYFUNCTION("""COMPUTED_VALUE"""),45340.0)</f>
        <v>45340</v>
      </c>
      <c r="B107" s="103">
        <f>IFERROR(__xludf.DUMMYFUNCTION("""COMPUTED_VALUE"""),35.86)</f>
        <v>35.86</v>
      </c>
      <c r="C107" s="79" t="str">
        <f>IFERROR(__xludf.DUMMYFUNCTION("""COMPUTED_VALUE"""),"City Fresh")</f>
        <v>City Fresh</v>
      </c>
      <c r="D107" s="79" t="str">
        <f>IFERROR(__xludf.DUMMYFUNCTION("""COMPUTED_VALUE"""),"Amex Blue")</f>
        <v>Amex Blue</v>
      </c>
      <c r="E107" s="79" t="str">
        <f>IFERROR(__xludf.DUMMYFUNCTION("""COMPUTED_VALUE"""),"Groceries")</f>
        <v>Groceries</v>
      </c>
      <c r="F107" s="79" t="str">
        <f>IFERROR(__xludf.DUMMYFUNCTION("""COMPUTED_VALUE"""),"Gil")</f>
        <v>Gil</v>
      </c>
      <c r="G107" s="107">
        <f t="shared" si="1"/>
        <v>17.93</v>
      </c>
      <c r="H107" s="108" t="str">
        <f t="shared" si="2"/>
        <v>Feb</v>
      </c>
    </row>
    <row r="108">
      <c r="A108" s="106">
        <f>IFERROR(__xludf.DUMMYFUNCTION("""COMPUTED_VALUE"""),45335.0)</f>
        <v>45335</v>
      </c>
      <c r="B108" s="103">
        <f>IFERROR(__xludf.DUMMYFUNCTION("""COMPUTED_VALUE"""),22.34)</f>
        <v>22.34</v>
      </c>
      <c r="C108" s="79" t="str">
        <f>IFERROR(__xludf.DUMMYFUNCTION("""COMPUTED_VALUE"""),"Whole Foods")</f>
        <v>Whole Foods</v>
      </c>
      <c r="D108" s="79" t="str">
        <f>IFERROR(__xludf.DUMMYFUNCTION("""COMPUTED_VALUE"""),"Amex Blue")</f>
        <v>Amex Blue</v>
      </c>
      <c r="E108" s="79" t="str">
        <f>IFERROR(__xludf.DUMMYFUNCTION("""COMPUTED_VALUE"""),"Groceries")</f>
        <v>Groceries</v>
      </c>
      <c r="F108" s="79" t="str">
        <f>IFERROR(__xludf.DUMMYFUNCTION("""COMPUTED_VALUE"""),"Gil")</f>
        <v>Gil</v>
      </c>
      <c r="G108" s="107">
        <f t="shared" si="1"/>
        <v>11.17</v>
      </c>
      <c r="H108" s="108" t="str">
        <f t="shared" si="2"/>
        <v>Feb</v>
      </c>
    </row>
    <row r="109">
      <c r="A109" s="106">
        <f>IFERROR(__xludf.DUMMYFUNCTION("""COMPUTED_VALUE"""),45334.0)</f>
        <v>45334</v>
      </c>
      <c r="B109" s="103">
        <f>IFERROR(__xludf.DUMMYFUNCTION("""COMPUTED_VALUE"""),11.85)</f>
        <v>11.85</v>
      </c>
      <c r="C109" s="79" t="str">
        <f>IFERROR(__xludf.DUMMYFUNCTION("""COMPUTED_VALUE"""),"Mr. Lemon")</f>
        <v>Mr. Lemon</v>
      </c>
      <c r="D109" s="79" t="str">
        <f>IFERROR(__xludf.DUMMYFUNCTION("""COMPUTED_VALUE"""),"Amex Blue")</f>
        <v>Amex Blue</v>
      </c>
      <c r="E109" s="79" t="str">
        <f>IFERROR(__xludf.DUMMYFUNCTION("""COMPUTED_VALUE"""),"Groceries")</f>
        <v>Groceries</v>
      </c>
      <c r="F109" s="79" t="str">
        <f>IFERROR(__xludf.DUMMYFUNCTION("""COMPUTED_VALUE"""),"Gil")</f>
        <v>Gil</v>
      </c>
      <c r="G109" s="107">
        <f t="shared" si="1"/>
        <v>5.925</v>
      </c>
      <c r="H109" s="108" t="str">
        <f t="shared" si="2"/>
        <v>Feb</v>
      </c>
    </row>
    <row r="110">
      <c r="A110" s="106">
        <f>IFERROR(__xludf.DUMMYFUNCTION("""COMPUTED_VALUE"""),45333.0)</f>
        <v>45333</v>
      </c>
      <c r="B110" s="103">
        <f>IFERROR(__xludf.DUMMYFUNCTION("""COMPUTED_VALUE"""),13.47)</f>
        <v>13.47</v>
      </c>
      <c r="C110" s="79" t="str">
        <f>IFERROR(__xludf.DUMMYFUNCTION("""COMPUTED_VALUE"""),"L-Mo's Market")</f>
        <v>L-Mo's Market</v>
      </c>
      <c r="D110" s="79" t="str">
        <f>IFERROR(__xludf.DUMMYFUNCTION("""COMPUTED_VALUE"""),"Amex Blue")</f>
        <v>Amex Blue</v>
      </c>
      <c r="E110" s="79" t="str">
        <f>IFERROR(__xludf.DUMMYFUNCTION("""COMPUTED_VALUE"""),"Groceries")</f>
        <v>Groceries</v>
      </c>
      <c r="F110" s="79" t="str">
        <f>IFERROR(__xludf.DUMMYFUNCTION("""COMPUTED_VALUE"""),"Gil")</f>
        <v>Gil</v>
      </c>
      <c r="G110" s="107">
        <f t="shared" si="1"/>
        <v>6.735</v>
      </c>
      <c r="H110" s="108" t="str">
        <f t="shared" si="2"/>
        <v>Feb</v>
      </c>
    </row>
    <row r="111">
      <c r="A111" s="106">
        <f>IFERROR(__xludf.DUMMYFUNCTION("""COMPUTED_VALUE"""),45327.0)</f>
        <v>45327</v>
      </c>
      <c r="B111" s="103">
        <f>IFERROR(__xludf.DUMMYFUNCTION("""COMPUTED_VALUE"""),26.74)</f>
        <v>26.74</v>
      </c>
      <c r="C111" s="79" t="str">
        <f>IFERROR(__xludf.DUMMYFUNCTION("""COMPUTED_VALUE"""),"Whole Foods")</f>
        <v>Whole Foods</v>
      </c>
      <c r="D111" s="79" t="str">
        <f>IFERROR(__xludf.DUMMYFUNCTION("""COMPUTED_VALUE"""),"Amex Blue")</f>
        <v>Amex Blue</v>
      </c>
      <c r="E111" s="79" t="str">
        <f>IFERROR(__xludf.DUMMYFUNCTION("""COMPUTED_VALUE"""),"Groceries")</f>
        <v>Groceries</v>
      </c>
      <c r="F111" s="79" t="str">
        <f>IFERROR(__xludf.DUMMYFUNCTION("""COMPUTED_VALUE"""),"Gil")</f>
        <v>Gil</v>
      </c>
      <c r="G111" s="107">
        <f t="shared" si="1"/>
        <v>13.37</v>
      </c>
      <c r="H111" s="108" t="str">
        <f t="shared" si="2"/>
        <v>Feb</v>
      </c>
    </row>
    <row r="112">
      <c r="A112" s="106">
        <f>IFERROR(__xludf.DUMMYFUNCTION("""COMPUTED_VALUE"""),45347.0)</f>
        <v>45347</v>
      </c>
      <c r="B112" s="103">
        <f>IFERROR(__xludf.DUMMYFUNCTION("""COMPUTED_VALUE"""),70.13)</f>
        <v>70.13</v>
      </c>
      <c r="C112" s="79" t="str">
        <f>IFERROR(__xludf.DUMMYFUNCTION("""COMPUTED_VALUE"""),"Kitchen Co Ut")</f>
        <v>Kitchen Co Ut</v>
      </c>
      <c r="D112" s="79" t="str">
        <f>IFERROR(__xludf.DUMMYFUNCTION("""COMPUTED_VALUE"""),"Discover")</f>
        <v>Discover</v>
      </c>
      <c r="E112" s="79" t="str">
        <f>IFERROR(__xludf.DUMMYFUNCTION("""COMPUTED_VALUE"""),"Meals")</f>
        <v>Meals</v>
      </c>
      <c r="F112" s="79" t="str">
        <f>IFERROR(__xludf.DUMMYFUNCTION("""COMPUTED_VALUE"""),"Gil")</f>
        <v>Gil</v>
      </c>
      <c r="G112" s="107">
        <f t="shared" si="1"/>
        <v>35.065</v>
      </c>
      <c r="H112" s="108" t="str">
        <f t="shared" si="2"/>
        <v>Feb</v>
      </c>
    </row>
    <row r="113">
      <c r="A113" s="106">
        <f>IFERROR(__xludf.DUMMYFUNCTION("""COMPUTED_VALUE"""),45350.0)</f>
        <v>45350</v>
      </c>
      <c r="B113" s="103">
        <f>IFERROR(__xludf.DUMMYFUNCTION("""COMPUTED_VALUE"""),-23.92)</f>
        <v>-23.92</v>
      </c>
      <c r="C113" s="79" t="str">
        <f>IFERROR(__xludf.DUMMYFUNCTION("""COMPUTED_VALUE"""),"Discover Cashback")</f>
        <v>Discover Cashback</v>
      </c>
      <c r="D113" s="79" t="str">
        <f>IFERROR(__xludf.DUMMYFUNCTION("""COMPUTED_VALUE"""),"Discover")</f>
        <v>Discover</v>
      </c>
      <c r="E113" s="79" t="str">
        <f>IFERROR(__xludf.DUMMYFUNCTION("""COMPUTED_VALUE"""),"Meals")</f>
        <v>Meals</v>
      </c>
      <c r="F113" s="79" t="str">
        <f>IFERROR(__xludf.DUMMYFUNCTION("""COMPUTED_VALUE"""),"Gil")</f>
        <v>Gil</v>
      </c>
      <c r="G113" s="107">
        <f t="shared" si="1"/>
        <v>-11.96</v>
      </c>
      <c r="H113" s="108" t="str">
        <f t="shared" si="2"/>
        <v>Feb</v>
      </c>
    </row>
    <row r="114">
      <c r="A114" s="106">
        <f>IFERROR(__xludf.DUMMYFUNCTION("""COMPUTED_VALUE"""),45350.0)</f>
        <v>45350</v>
      </c>
      <c r="B114" s="103">
        <f>IFERROR(__xludf.DUMMYFUNCTION("""COMPUTED_VALUE"""),12.26)</f>
        <v>12.26</v>
      </c>
      <c r="C114" s="79" t="str">
        <f>IFERROR(__xludf.DUMMYFUNCTION("""COMPUTED_VALUE"""),"Capital ONE - Cashback")</f>
        <v>Capital ONE - Cashback</v>
      </c>
      <c r="D114" s="79" t="str">
        <f>IFERROR(__xludf.DUMMYFUNCTION("""COMPUTED_VALUE"""),"Capital ONE")</f>
        <v>Capital ONE</v>
      </c>
      <c r="E114" s="79" t="str">
        <f>IFERROR(__xludf.DUMMYFUNCTION("""COMPUTED_VALUE"""),"Meals")</f>
        <v>Meals</v>
      </c>
      <c r="F114" s="79" t="str">
        <f>IFERROR(__xludf.DUMMYFUNCTION("""COMPUTED_VALUE"""),"Gil")</f>
        <v>Gil</v>
      </c>
      <c r="G114" s="107">
        <f t="shared" si="1"/>
        <v>6.13</v>
      </c>
      <c r="H114" s="108" t="str">
        <f t="shared" si="2"/>
        <v>Feb</v>
      </c>
    </row>
    <row r="115">
      <c r="A115" s="106">
        <f>IFERROR(__xludf.DUMMYFUNCTION("""COMPUTED_VALUE"""),45353.0)</f>
        <v>45353</v>
      </c>
      <c r="B115" s="103">
        <f>IFERROR(__xludf.DUMMYFUNCTION("""COMPUTED_VALUE"""),23.0)</f>
        <v>23</v>
      </c>
      <c r="C115" s="79" t="str">
        <f>IFERROR(__xludf.DUMMYFUNCTION("""COMPUTED_VALUE"""),"Lemonade")</f>
        <v>Lemonade</v>
      </c>
      <c r="D115" s="79" t="str">
        <f>IFERROR(__xludf.DUMMYFUNCTION("""COMPUTED_VALUE"""),"Amazon Prime Chase")</f>
        <v>Amazon Prime Chase</v>
      </c>
      <c r="E115" s="79" t="str">
        <f>IFERROR(__xludf.DUMMYFUNCTION("""COMPUTED_VALUE"""),"Insurance")</f>
        <v>Insurance</v>
      </c>
      <c r="F115" s="79" t="str">
        <f>IFERROR(__xludf.DUMMYFUNCTION("""COMPUTED_VALUE"""),"Gil")</f>
        <v>Gil</v>
      </c>
      <c r="G115" s="107">
        <f t="shared" si="1"/>
        <v>11.5</v>
      </c>
      <c r="H115" s="108" t="str">
        <f t="shared" si="2"/>
        <v>Mar</v>
      </c>
    </row>
    <row r="116">
      <c r="A116" s="106">
        <f>IFERROR(__xludf.DUMMYFUNCTION("""COMPUTED_VALUE"""),45352.0)</f>
        <v>45352</v>
      </c>
      <c r="B116" s="103">
        <f>IFERROR(__xludf.DUMMYFUNCTION("""COMPUTED_VALUE"""),7.95)</f>
        <v>7.95</v>
      </c>
      <c r="C116" s="79" t="str">
        <f>IFERROR(__xludf.DUMMYFUNCTION("""COMPUTED_VALUE"""),"Audible")</f>
        <v>Audible</v>
      </c>
      <c r="D116" s="79" t="str">
        <f>IFERROR(__xludf.DUMMYFUNCTION("""COMPUTED_VALUE"""),"Amazon Prime Chase")</f>
        <v>Amazon Prime Chase</v>
      </c>
      <c r="E116" s="79" t="str">
        <f>IFERROR(__xludf.DUMMYFUNCTION("""COMPUTED_VALUE"""),"Subscriptions")</f>
        <v>Subscriptions</v>
      </c>
      <c r="F116" s="79" t="str">
        <f>IFERROR(__xludf.DUMMYFUNCTION("""COMPUTED_VALUE"""),"Gil")</f>
        <v>Gil</v>
      </c>
      <c r="G116" s="107">
        <f t="shared" si="1"/>
        <v>3.975</v>
      </c>
      <c r="H116" s="108" t="str">
        <f t="shared" si="2"/>
        <v>Mar</v>
      </c>
    </row>
    <row r="117">
      <c r="A117" s="106">
        <f>IFERROR(__xludf.DUMMYFUNCTION("""COMPUTED_VALUE"""),45332.0)</f>
        <v>45332</v>
      </c>
      <c r="B117" s="103">
        <f>IFERROR(__xludf.DUMMYFUNCTION("""COMPUTED_VALUE"""),1.08)</f>
        <v>1.08</v>
      </c>
      <c r="C117" s="79" t="str">
        <f>IFERROR(__xludf.DUMMYFUNCTION("""COMPUTED_VALUE"""),"HP Instant Ink")</f>
        <v>HP Instant Ink</v>
      </c>
      <c r="D117" s="79" t="str">
        <f>IFERROR(__xludf.DUMMYFUNCTION("""COMPUTED_VALUE"""),"Amazon Prime Chase")</f>
        <v>Amazon Prime Chase</v>
      </c>
      <c r="E117" s="79" t="str">
        <f>IFERROR(__xludf.DUMMYFUNCTION("""COMPUTED_VALUE"""),"Household")</f>
        <v>Household</v>
      </c>
      <c r="F117" s="79" t="str">
        <f>IFERROR(__xludf.DUMMYFUNCTION("""COMPUTED_VALUE"""),"Gil")</f>
        <v>Gil</v>
      </c>
      <c r="G117" s="107">
        <f t="shared" si="1"/>
        <v>0.54</v>
      </c>
      <c r="H117" s="108" t="str">
        <f t="shared" si="2"/>
        <v>Feb</v>
      </c>
    </row>
    <row r="118">
      <c r="A118" s="106">
        <f>IFERROR(__xludf.DUMMYFUNCTION("""COMPUTED_VALUE"""),45327.0)</f>
        <v>45327</v>
      </c>
      <c r="B118" s="103">
        <f>IFERROR(__xludf.DUMMYFUNCTION("""COMPUTED_VALUE"""),25.81)</f>
        <v>25.81</v>
      </c>
      <c r="C118" s="79" t="str">
        <f>IFERROR(__xludf.DUMMYFUNCTION("""COMPUTED_VALUE"""),"Amazon - San Pelligrino")</f>
        <v>Amazon - San Pelligrino</v>
      </c>
      <c r="D118" s="79" t="str">
        <f>IFERROR(__xludf.DUMMYFUNCTION("""COMPUTED_VALUE"""),"Amazon Prime Chase")</f>
        <v>Amazon Prime Chase</v>
      </c>
      <c r="E118" s="79" t="str">
        <f>IFERROR(__xludf.DUMMYFUNCTION("""COMPUTED_VALUE"""),"Groceries")</f>
        <v>Groceries</v>
      </c>
      <c r="F118" s="79" t="str">
        <f>IFERROR(__xludf.DUMMYFUNCTION("""COMPUTED_VALUE"""),"Gil")</f>
        <v>Gil</v>
      </c>
      <c r="G118" s="107">
        <f t="shared" si="1"/>
        <v>12.905</v>
      </c>
      <c r="H118" s="108" t="str">
        <f t="shared" si="2"/>
        <v>Feb</v>
      </c>
    </row>
    <row r="119">
      <c r="A119" s="106">
        <f>IFERROR(__xludf.DUMMYFUNCTION("""COMPUTED_VALUE"""),45333.0)</f>
        <v>45333</v>
      </c>
      <c r="B119" s="103">
        <f>IFERROR(__xludf.DUMMYFUNCTION("""COMPUTED_VALUE"""),24.7)</f>
        <v>24.7</v>
      </c>
      <c r="C119" s="79" t="str">
        <f>IFERROR(__xludf.DUMMYFUNCTION("""COMPUTED_VALUE"""),"Amazon - Viva Naturals EPA DHA Omega 3 Supplement")</f>
        <v>Amazon - Viva Naturals EPA DHA Omega 3 Supplement</v>
      </c>
      <c r="D119" s="79" t="str">
        <f>IFERROR(__xludf.DUMMYFUNCTION("""COMPUTED_VALUE"""),"Amazon Prime Chase")</f>
        <v>Amazon Prime Chase</v>
      </c>
      <c r="E119" s="79" t="str">
        <f>IFERROR(__xludf.DUMMYFUNCTION("""COMPUTED_VALUE"""),"Household")</f>
        <v>Household</v>
      </c>
      <c r="F119" s="79" t="str">
        <f>IFERROR(__xludf.DUMMYFUNCTION("""COMPUTED_VALUE"""),"Gil")</f>
        <v>Gil</v>
      </c>
      <c r="G119" s="107">
        <f t="shared" si="1"/>
        <v>12.35</v>
      </c>
      <c r="H119" s="108" t="str">
        <f t="shared" si="2"/>
        <v>Feb</v>
      </c>
    </row>
    <row r="120">
      <c r="A120" s="106">
        <f>IFERROR(__xludf.DUMMYFUNCTION("""COMPUTED_VALUE"""),45340.0)</f>
        <v>45340</v>
      </c>
      <c r="B120" s="103">
        <f>IFERROR(__xludf.DUMMYFUNCTION("""COMPUTED_VALUE"""),16.32)</f>
        <v>16.32</v>
      </c>
      <c r="C120" s="79" t="str">
        <f>IFERROR(__xludf.DUMMYFUNCTION("""COMPUTED_VALUE"""),"Amazon Prime Membership")</f>
        <v>Amazon Prime Membership</v>
      </c>
      <c r="D120" s="79" t="str">
        <f>IFERROR(__xludf.DUMMYFUNCTION("""COMPUTED_VALUE"""),"Amazon Prime Chase")</f>
        <v>Amazon Prime Chase</v>
      </c>
      <c r="E120" s="79" t="str">
        <f>IFERROR(__xludf.DUMMYFUNCTION("""COMPUTED_VALUE"""),"Subscriptions")</f>
        <v>Subscriptions</v>
      </c>
      <c r="F120" s="79" t="str">
        <f>IFERROR(__xludf.DUMMYFUNCTION("""COMPUTED_VALUE"""),"Gil")</f>
        <v>Gil</v>
      </c>
      <c r="G120" s="107">
        <f t="shared" si="1"/>
        <v>8.16</v>
      </c>
      <c r="H120" s="108" t="str">
        <f t="shared" si="2"/>
        <v>Feb</v>
      </c>
    </row>
    <row r="121">
      <c r="A121" s="106">
        <f>IFERROR(__xludf.DUMMYFUNCTION("""COMPUTED_VALUE"""),45346.0)</f>
        <v>45346</v>
      </c>
      <c r="B121" s="103">
        <f>IFERROR(__xludf.DUMMYFUNCTION("""COMPUTED_VALUE"""),236.0)</f>
        <v>236</v>
      </c>
      <c r="C121" s="79" t="str">
        <f>IFERROR(__xludf.DUMMYFUNCTION("""COMPUTED_VALUE"""),"Butcher Box")</f>
        <v>Butcher Box</v>
      </c>
      <c r="D121" s="79" t="str">
        <f>IFERROR(__xludf.DUMMYFUNCTION("""COMPUTED_VALUE"""),"Amazon Prime Chase")</f>
        <v>Amazon Prime Chase</v>
      </c>
      <c r="E121" s="79" t="str">
        <f>IFERROR(__xludf.DUMMYFUNCTION("""COMPUTED_VALUE"""),"Groceries")</f>
        <v>Groceries</v>
      </c>
      <c r="F121" s="79" t="str">
        <f>IFERROR(__xludf.DUMMYFUNCTION("""COMPUTED_VALUE"""),"Gil")</f>
        <v>Gil</v>
      </c>
      <c r="G121" s="107">
        <f t="shared" si="1"/>
        <v>118</v>
      </c>
      <c r="H121" s="108" t="str">
        <f t="shared" si="2"/>
        <v>Feb</v>
      </c>
    </row>
    <row r="122">
      <c r="A122" s="106">
        <f>IFERROR(__xludf.DUMMYFUNCTION("""COMPUTED_VALUE"""),45353.0)</f>
        <v>45353</v>
      </c>
      <c r="B122" s="103">
        <f>IFERROR(__xludf.DUMMYFUNCTION("""COMPUTED_VALUE"""),37.94)</f>
        <v>37.94</v>
      </c>
      <c r="C122" s="79" t="str">
        <f>IFERROR(__xludf.DUMMYFUNCTION("""COMPUTED_VALUE"""),"Amazon S&amp;S - Zum Laundry Detergent")</f>
        <v>Amazon S&amp;S - Zum Laundry Detergent</v>
      </c>
      <c r="D122" s="79" t="str">
        <f>IFERROR(__xludf.DUMMYFUNCTION("""COMPUTED_VALUE"""),"Amazon Prime Chase")</f>
        <v>Amazon Prime Chase</v>
      </c>
      <c r="E122" s="79" t="str">
        <f>IFERROR(__xludf.DUMMYFUNCTION("""COMPUTED_VALUE"""),"Household")</f>
        <v>Household</v>
      </c>
      <c r="F122" s="79" t="str">
        <f>IFERROR(__xludf.DUMMYFUNCTION("""COMPUTED_VALUE"""),"Gil")</f>
        <v>Gil</v>
      </c>
      <c r="G122" s="107">
        <f t="shared" si="1"/>
        <v>18.97</v>
      </c>
      <c r="H122" s="108" t="str">
        <f t="shared" si="2"/>
        <v>Mar</v>
      </c>
    </row>
    <row r="123">
      <c r="A123" s="106">
        <f>IFERROR(__xludf.DUMMYFUNCTION("""COMPUTED_VALUE"""),45353.0)</f>
        <v>45353</v>
      </c>
      <c r="B123" s="103">
        <f>IFERROR(__xludf.DUMMYFUNCTION("""COMPUTED_VALUE"""),28.42)</f>
        <v>28.42</v>
      </c>
      <c r="C123" s="79" t="str">
        <f>IFERROR(__xludf.DUMMYFUNCTION("""COMPUTED_VALUE"""),"Amazon S&amp;S - Paula's Choice Moisturizer")</f>
        <v>Amazon S&amp;S - Paula's Choice Moisturizer</v>
      </c>
      <c r="D123" s="79" t="str">
        <f>IFERROR(__xludf.DUMMYFUNCTION("""COMPUTED_VALUE"""),"Amazon Prime Chase")</f>
        <v>Amazon Prime Chase</v>
      </c>
      <c r="E123" s="79" t="str">
        <f>IFERROR(__xludf.DUMMYFUNCTION("""COMPUTED_VALUE"""),"Household")</f>
        <v>Household</v>
      </c>
      <c r="F123" s="79" t="str">
        <f>IFERROR(__xludf.DUMMYFUNCTION("""COMPUTED_VALUE"""),"Gil")</f>
        <v>Gil</v>
      </c>
      <c r="G123" s="107">
        <f t="shared" si="1"/>
        <v>14.21</v>
      </c>
      <c r="H123" s="108" t="str">
        <f t="shared" si="2"/>
        <v>Mar</v>
      </c>
    </row>
    <row r="124">
      <c r="A124" s="106">
        <f>IFERROR(__xludf.DUMMYFUNCTION("""COMPUTED_VALUE"""),45353.0)</f>
        <v>45353</v>
      </c>
      <c r="B124" s="103">
        <f>IFERROR(__xludf.DUMMYFUNCTION("""COMPUTED_VALUE"""),25.28)</f>
        <v>25.28</v>
      </c>
      <c r="C124" s="79" t="str">
        <f>IFERROR(__xludf.DUMMYFUNCTION("""COMPUTED_VALUE"""),"Amazon S&amp;S - Chosen Foods Avocado Oil")</f>
        <v>Amazon S&amp;S - Chosen Foods Avocado Oil</v>
      </c>
      <c r="D124" s="79" t="str">
        <f>IFERROR(__xludf.DUMMYFUNCTION("""COMPUTED_VALUE"""),"Amazon Prime Chase")</f>
        <v>Amazon Prime Chase</v>
      </c>
      <c r="E124" s="79" t="str">
        <f>IFERROR(__xludf.DUMMYFUNCTION("""COMPUTED_VALUE"""),"Groceries")</f>
        <v>Groceries</v>
      </c>
      <c r="F124" s="79" t="str">
        <f>IFERROR(__xludf.DUMMYFUNCTION("""COMPUTED_VALUE"""),"Gil")</f>
        <v>Gil</v>
      </c>
      <c r="G124" s="107">
        <f t="shared" si="1"/>
        <v>12.64</v>
      </c>
      <c r="H124" s="108" t="str">
        <f t="shared" si="2"/>
        <v>Mar</v>
      </c>
    </row>
    <row r="125">
      <c r="A125" s="106">
        <f>IFERROR(__xludf.DUMMYFUNCTION("""COMPUTED_VALUE"""),45353.0)</f>
        <v>45353</v>
      </c>
      <c r="B125" s="103">
        <f>IFERROR(__xludf.DUMMYFUNCTION("""COMPUTED_VALUE"""),18.65)</f>
        <v>18.65</v>
      </c>
      <c r="C125" s="79" t="str">
        <f>IFERROR(__xludf.DUMMYFUNCTION("""COMPUTED_VALUE"""),"Amazon S&amp;S - Belmont Peanuts")</f>
        <v>Amazon S&amp;S - Belmont Peanuts</v>
      </c>
      <c r="D125" s="79" t="str">
        <f>IFERROR(__xludf.DUMMYFUNCTION("""COMPUTED_VALUE"""),"Amazon Prime Chase")</f>
        <v>Amazon Prime Chase</v>
      </c>
      <c r="E125" s="79" t="str">
        <f>IFERROR(__xludf.DUMMYFUNCTION("""COMPUTED_VALUE"""),"Groceries")</f>
        <v>Groceries</v>
      </c>
      <c r="F125" s="79" t="str">
        <f>IFERROR(__xludf.DUMMYFUNCTION("""COMPUTED_VALUE"""),"Gil")</f>
        <v>Gil</v>
      </c>
      <c r="G125" s="107">
        <f t="shared" si="1"/>
        <v>9.325</v>
      </c>
      <c r="H125" s="108" t="str">
        <f t="shared" si="2"/>
        <v>Mar</v>
      </c>
    </row>
    <row r="126">
      <c r="A126" s="106">
        <f>IFERROR(__xludf.DUMMYFUNCTION("""COMPUTED_VALUE"""),45353.0)</f>
        <v>45353</v>
      </c>
      <c r="B126" s="103">
        <f>IFERROR(__xludf.DUMMYFUNCTION("""COMPUTED_VALUE"""),19.6)</f>
        <v>19.6</v>
      </c>
      <c r="C126" s="79" t="str">
        <f>IFERROR(__xludf.DUMMYFUNCTION("""COMPUTED_VALUE"""),"Amazon S&amp;S - Seventh Gen Dish Soap")</f>
        <v>Amazon S&amp;S - Seventh Gen Dish Soap</v>
      </c>
      <c r="D126" s="79" t="str">
        <f>IFERROR(__xludf.DUMMYFUNCTION("""COMPUTED_VALUE"""),"Amazon Prime Chase")</f>
        <v>Amazon Prime Chase</v>
      </c>
      <c r="E126" s="79" t="str">
        <f>IFERROR(__xludf.DUMMYFUNCTION("""COMPUTED_VALUE"""),"Household")</f>
        <v>Household</v>
      </c>
      <c r="F126" s="79" t="str">
        <f>IFERROR(__xludf.DUMMYFUNCTION("""COMPUTED_VALUE"""),"Gil")</f>
        <v>Gil</v>
      </c>
      <c r="G126" s="107">
        <f t="shared" si="1"/>
        <v>9.8</v>
      </c>
      <c r="H126" s="108" t="str">
        <f t="shared" si="2"/>
        <v>Mar</v>
      </c>
    </row>
    <row r="127">
      <c r="A127" s="106">
        <f>IFERROR(__xludf.DUMMYFUNCTION("""COMPUTED_VALUE"""),45353.0)</f>
        <v>45353</v>
      </c>
      <c r="B127" s="103">
        <f>IFERROR(__xludf.DUMMYFUNCTION("""COMPUTED_VALUE"""),14.76)</f>
        <v>14.76</v>
      </c>
      <c r="C127" s="79" t="str">
        <f>IFERROR(__xludf.DUMMYFUNCTION("""COMPUTED_VALUE"""),"Amazon S&amp;S - Sprouted Almonds")</f>
        <v>Amazon S&amp;S - Sprouted Almonds</v>
      </c>
      <c r="D127" s="79" t="str">
        <f>IFERROR(__xludf.DUMMYFUNCTION("""COMPUTED_VALUE"""),"Amazon Prime Chase")</f>
        <v>Amazon Prime Chase</v>
      </c>
      <c r="E127" s="79" t="str">
        <f>IFERROR(__xludf.DUMMYFUNCTION("""COMPUTED_VALUE"""),"Groceries")</f>
        <v>Groceries</v>
      </c>
      <c r="F127" s="79" t="str">
        <f>IFERROR(__xludf.DUMMYFUNCTION("""COMPUTED_VALUE"""),"Gil")</f>
        <v>Gil</v>
      </c>
      <c r="G127" s="107">
        <f t="shared" si="1"/>
        <v>7.38</v>
      </c>
      <c r="H127" s="108" t="str">
        <f t="shared" si="2"/>
        <v>Mar</v>
      </c>
    </row>
    <row r="128">
      <c r="A128" s="106">
        <f>IFERROR(__xludf.DUMMYFUNCTION("""COMPUTED_VALUE"""),45353.0)</f>
        <v>45353</v>
      </c>
      <c r="B128" s="103">
        <f>IFERROR(__xludf.DUMMYFUNCTION("""COMPUTED_VALUE"""),23.38)</f>
        <v>23.38</v>
      </c>
      <c r="C128" s="79" t="str">
        <f>IFERROR(__xludf.DUMMYFUNCTION("""COMPUTED_VALUE"""),"Amazon S&amp;S - Yuzuco")</f>
        <v>Amazon S&amp;S - Yuzuco</v>
      </c>
      <c r="D128" s="79" t="str">
        <f>IFERROR(__xludf.DUMMYFUNCTION("""COMPUTED_VALUE"""),"Amazon Prime Chase")</f>
        <v>Amazon Prime Chase</v>
      </c>
      <c r="E128" s="79" t="str">
        <f>IFERROR(__xludf.DUMMYFUNCTION("""COMPUTED_VALUE"""),"Groceries")</f>
        <v>Groceries</v>
      </c>
      <c r="F128" s="79" t="str">
        <f>IFERROR(__xludf.DUMMYFUNCTION("""COMPUTED_VALUE"""),"Gil")</f>
        <v>Gil</v>
      </c>
      <c r="G128" s="107">
        <f t="shared" si="1"/>
        <v>11.69</v>
      </c>
      <c r="H128" s="108" t="str">
        <f t="shared" si="2"/>
        <v>Mar</v>
      </c>
    </row>
    <row r="129">
      <c r="A129" s="106">
        <f>IFERROR(__xludf.DUMMYFUNCTION("""COMPUTED_VALUE"""),45353.0)</f>
        <v>45353</v>
      </c>
      <c r="B129" s="103">
        <f>IFERROR(__xludf.DUMMYFUNCTION("""COMPUTED_VALUE"""),13.57)</f>
        <v>13.57</v>
      </c>
      <c r="C129" s="79" t="str">
        <f>IFERROR(__xludf.DUMMYFUNCTION("""COMPUTED_VALUE"""),"Amazon S&amp;S - Curel Makeup Oil")</f>
        <v>Amazon S&amp;S - Curel Makeup Oil</v>
      </c>
      <c r="D129" s="79" t="str">
        <f>IFERROR(__xludf.DUMMYFUNCTION("""COMPUTED_VALUE"""),"Amazon Prime Chase")</f>
        <v>Amazon Prime Chase</v>
      </c>
      <c r="E129" s="79" t="str">
        <f>IFERROR(__xludf.DUMMYFUNCTION("""COMPUTED_VALUE"""),"Personal")</f>
        <v>Personal</v>
      </c>
      <c r="F129" s="79" t="str">
        <f>IFERROR(__xludf.DUMMYFUNCTION("""COMPUTED_VALUE"""),"Gil")</f>
        <v>Gil</v>
      </c>
      <c r="G129" s="107">
        <f t="shared" si="1"/>
        <v>6.785</v>
      </c>
      <c r="H129" s="108" t="str">
        <f t="shared" si="2"/>
        <v>Mar</v>
      </c>
    </row>
    <row r="130">
      <c r="A130" s="106">
        <f>IFERROR(__xludf.DUMMYFUNCTION("""COMPUTED_VALUE"""),45353.0)</f>
        <v>45353</v>
      </c>
      <c r="B130" s="103">
        <f>IFERROR(__xludf.DUMMYFUNCTION("""COMPUTED_VALUE"""),29.4)</f>
        <v>29.4</v>
      </c>
      <c r="C130" s="79" t="str">
        <f>IFERROR(__xludf.DUMMYFUNCTION("""COMPUTED_VALUE"""),"Amazon S&amp;S - Viva Naturals EPA DHA Omega 3 Supplement")</f>
        <v>Amazon S&amp;S - Viva Naturals EPA DHA Omega 3 Supplement</v>
      </c>
      <c r="D130" s="79" t="str">
        <f>IFERROR(__xludf.DUMMYFUNCTION("""COMPUTED_VALUE"""),"Amazon Prime Chase")</f>
        <v>Amazon Prime Chase</v>
      </c>
      <c r="E130" s="79" t="str">
        <f>IFERROR(__xludf.DUMMYFUNCTION("""COMPUTED_VALUE"""),"Groceries")</f>
        <v>Groceries</v>
      </c>
      <c r="F130" s="79" t="str">
        <f>IFERROR(__xludf.DUMMYFUNCTION("""COMPUTED_VALUE"""),"Gil")</f>
        <v>Gil</v>
      </c>
      <c r="G130" s="107">
        <f t="shared" si="1"/>
        <v>14.7</v>
      </c>
      <c r="H130" s="108" t="str">
        <f t="shared" si="2"/>
        <v>Mar</v>
      </c>
    </row>
    <row r="131">
      <c r="A131" s="106">
        <f>IFERROR(__xludf.DUMMYFUNCTION("""COMPUTED_VALUE"""),45350.0)</f>
        <v>45350</v>
      </c>
      <c r="B131" s="103">
        <f>IFERROR(__xludf.DUMMYFUNCTION("""COMPUTED_VALUE"""),620.74)</f>
        <v>620.74</v>
      </c>
      <c r="C131" s="79" t="str">
        <f>IFERROR(__xludf.DUMMYFUNCTION("""COMPUTED_VALUE"""),"Tom Dixon Table/Lamp and IKEA Shelves")</f>
        <v>Tom Dixon Table/Lamp and IKEA Shelves</v>
      </c>
      <c r="D131" s="79" t="str">
        <f>IFERROR(__xludf.DUMMYFUNCTION("""COMPUTED_VALUE"""),"Shaeffer ONLY")</f>
        <v>Shaeffer ONLY</v>
      </c>
      <c r="E131" s="79"/>
      <c r="F131" s="79" t="str">
        <f>IFERROR(__xludf.DUMMYFUNCTION("""COMPUTED_VALUE"""),"Gil")</f>
        <v>Gil</v>
      </c>
      <c r="G131" s="107">
        <f t="shared" si="1"/>
        <v>310.37</v>
      </c>
      <c r="H131" s="108" t="str">
        <f t="shared" si="2"/>
        <v>Feb</v>
      </c>
    </row>
    <row r="132">
      <c r="A132" s="106">
        <f>IFERROR(__xludf.DUMMYFUNCTION("""COMPUTED_VALUE"""),45353.0)</f>
        <v>45353</v>
      </c>
      <c r="B132" s="103">
        <f>IFERROR(__xludf.DUMMYFUNCTION("""COMPUTED_VALUE"""),860.68)</f>
        <v>860.68</v>
      </c>
      <c r="C132" s="79" t="str">
        <f>IFERROR(__xludf.DUMMYFUNCTION("""COMPUTED_VALUE"""),"Health First")</f>
        <v>Health First</v>
      </c>
      <c r="D132" s="79" t="str">
        <f>IFERROR(__xludf.DUMMYFUNCTION("""COMPUTED_VALUE"""),"Amazon Prime Chase")</f>
        <v>Amazon Prime Chase</v>
      </c>
      <c r="E132" s="79" t="str">
        <f>IFERROR(__xludf.DUMMYFUNCTION("""COMPUTED_VALUE"""),"Insurance")</f>
        <v>Insurance</v>
      </c>
      <c r="F132" s="79" t="str">
        <f>IFERROR(__xludf.DUMMYFUNCTION("""COMPUTED_VALUE"""),"Gil")</f>
        <v>Gil</v>
      </c>
      <c r="G132" s="107">
        <f t="shared" si="1"/>
        <v>430.34</v>
      </c>
      <c r="H132" s="108" t="str">
        <f t="shared" si="2"/>
        <v>Mar</v>
      </c>
    </row>
    <row r="133">
      <c r="A133" s="106">
        <f>IFERROR(__xludf.DUMMYFUNCTION("""COMPUTED_VALUE"""),45352.0)</f>
        <v>45352</v>
      </c>
      <c r="B133" s="103">
        <f>IFERROR(__xludf.DUMMYFUNCTION("""COMPUTED_VALUE"""),40.0)</f>
        <v>40</v>
      </c>
      <c r="C133" s="79" t="str">
        <f>IFERROR(__xludf.DUMMYFUNCTION("""COMPUTED_VALUE"""),"Gotham - Sessions Pre-rolls")</f>
        <v>Gotham - Sessions Pre-rolls</v>
      </c>
      <c r="D133" s="79" t="str">
        <f>IFERROR(__xludf.DUMMYFUNCTION("""COMPUTED_VALUE"""),"Checking")</f>
        <v>Checking</v>
      </c>
      <c r="E133" s="79" t="str">
        <f>IFERROR(__xludf.DUMMYFUNCTION("""COMPUTED_VALUE"""),"Alcohol/Weed")</f>
        <v>Alcohol/Weed</v>
      </c>
      <c r="F133" s="79" t="str">
        <f>IFERROR(__xludf.DUMMYFUNCTION("""COMPUTED_VALUE"""),"Gil")</f>
        <v>Gil</v>
      </c>
      <c r="G133" s="107">
        <f t="shared" si="1"/>
        <v>20</v>
      </c>
      <c r="H133" s="108" t="str">
        <f t="shared" si="2"/>
        <v>Mar</v>
      </c>
    </row>
    <row r="134">
      <c r="A134" s="106">
        <f>IFERROR(__xludf.DUMMYFUNCTION("""COMPUTED_VALUE"""),45354.0)</f>
        <v>45354</v>
      </c>
      <c r="B134" s="103">
        <f>IFERROR(__xludf.DUMMYFUNCTION("""COMPUTED_VALUE"""),100.0)</f>
        <v>100</v>
      </c>
      <c r="C134" s="79" t="str">
        <f>IFERROR(__xludf.DUMMYFUNCTION("""COMPUTED_VALUE"""),"Lovely Day")</f>
        <v>Lovely Day</v>
      </c>
      <c r="D134" s="79" t="str">
        <f>IFERROR(__xludf.DUMMYFUNCTION("""COMPUTED_VALUE"""),"Cash")</f>
        <v>Cash</v>
      </c>
      <c r="E134" s="79" t="str">
        <f>IFERROR(__xludf.DUMMYFUNCTION("""COMPUTED_VALUE"""),"Meals")</f>
        <v>Meals</v>
      </c>
      <c r="F134" s="79" t="str">
        <f>IFERROR(__xludf.DUMMYFUNCTION("""COMPUTED_VALUE"""),"Gil")</f>
        <v>Gil</v>
      </c>
      <c r="G134" s="107">
        <f t="shared" si="1"/>
        <v>50</v>
      </c>
      <c r="H134" s="108" t="str">
        <f t="shared" si="2"/>
        <v>Mar</v>
      </c>
    </row>
    <row r="135">
      <c r="A135" s="106">
        <f>IFERROR(__xludf.DUMMYFUNCTION("""COMPUTED_VALUE"""),45355.0)</f>
        <v>45355</v>
      </c>
      <c r="B135" s="103">
        <f>IFERROR(__xludf.DUMMYFUNCTION("""COMPUTED_VALUE"""),37.63)</f>
        <v>37.63</v>
      </c>
      <c r="C135" s="79" t="str">
        <f>IFERROR(__xludf.DUMMYFUNCTION("""COMPUTED_VALUE"""),"Ulta Beauty - Peach &amp; Lily Moisturizer")</f>
        <v>Ulta Beauty - Peach &amp; Lily Moisturizer</v>
      </c>
      <c r="D135" s="79" t="str">
        <f>IFERROR(__xludf.DUMMYFUNCTION("""COMPUTED_VALUE"""),"Amex Blue")</f>
        <v>Amex Blue</v>
      </c>
      <c r="E135" s="79" t="str">
        <f>IFERROR(__xludf.DUMMYFUNCTION("""COMPUTED_VALUE"""),"Personal")</f>
        <v>Personal</v>
      </c>
      <c r="F135" s="79" t="str">
        <f>IFERROR(__xludf.DUMMYFUNCTION("""COMPUTED_VALUE"""),"Gil")</f>
        <v>Gil</v>
      </c>
      <c r="G135" s="107">
        <f t="shared" si="1"/>
        <v>18.815</v>
      </c>
      <c r="H135" s="108" t="str">
        <f t="shared" si="2"/>
        <v>Mar</v>
      </c>
    </row>
    <row r="136">
      <c r="A136" s="106">
        <f>IFERROR(__xludf.DUMMYFUNCTION("""COMPUTED_VALUE"""),45351.0)</f>
        <v>45351</v>
      </c>
      <c r="B136" s="103">
        <f>IFERROR(__xludf.DUMMYFUNCTION("""COMPUTED_VALUE"""),63.11)</f>
        <v>63.11</v>
      </c>
      <c r="C136" s="79" t="str">
        <f>IFERROR(__xludf.DUMMYFUNCTION("""COMPUTED_VALUE"""),"Chambers st wines")</f>
        <v>Chambers st wines</v>
      </c>
      <c r="D136" s="79" t="str">
        <f>IFERROR(__xludf.DUMMYFUNCTION("""COMPUTED_VALUE"""),"Chase Reserve")</f>
        <v>Chase Reserve</v>
      </c>
      <c r="E136" s="79" t="str">
        <f>IFERROR(__xludf.DUMMYFUNCTION("""COMPUTED_VALUE"""),"Alcohol/Weed")</f>
        <v>Alcohol/Weed</v>
      </c>
      <c r="F136" s="79" t="str">
        <f>IFERROR(__xludf.DUMMYFUNCTION("""COMPUTED_VALUE"""),"Shaeffer")</f>
        <v>Shaeffer</v>
      </c>
      <c r="G136" s="107">
        <f t="shared" si="1"/>
        <v>31.555</v>
      </c>
      <c r="H136" s="108" t="str">
        <f t="shared" si="2"/>
        <v>Feb</v>
      </c>
    </row>
    <row r="137">
      <c r="A137" s="106">
        <f>IFERROR(__xludf.DUMMYFUNCTION("""COMPUTED_VALUE"""),45357.0)</f>
        <v>45357</v>
      </c>
      <c r="B137" s="103">
        <f>IFERROR(__xludf.DUMMYFUNCTION("""COMPUTED_VALUE"""),30.94)</f>
        <v>30.94</v>
      </c>
      <c r="C137" s="79" t="str">
        <f>IFERROR(__xludf.DUMMYFUNCTION("""COMPUTED_VALUE"""),"Amazon - Gluten Free Flours")</f>
        <v>Amazon - Gluten Free Flours</v>
      </c>
      <c r="D137" s="79" t="str">
        <f>IFERROR(__xludf.DUMMYFUNCTION("""COMPUTED_VALUE"""),"Amex Blue")</f>
        <v>Amex Blue</v>
      </c>
      <c r="E137" s="79" t="str">
        <f>IFERROR(__xludf.DUMMYFUNCTION("""COMPUTED_VALUE"""),"Groceries")</f>
        <v>Groceries</v>
      </c>
      <c r="F137" s="79" t="str">
        <f>IFERROR(__xludf.DUMMYFUNCTION("""COMPUTED_VALUE"""),"Gil")</f>
        <v>Gil</v>
      </c>
      <c r="G137" s="107">
        <f t="shared" si="1"/>
        <v>15.47</v>
      </c>
      <c r="H137" s="108" t="str">
        <f t="shared" si="2"/>
        <v>Mar</v>
      </c>
    </row>
    <row r="138">
      <c r="A138" s="106">
        <f>IFERROR(__xludf.DUMMYFUNCTION("""COMPUTED_VALUE"""),45358.0)</f>
        <v>45358</v>
      </c>
      <c r="B138" s="103">
        <f>IFERROR(__xludf.DUMMYFUNCTION("""COMPUTED_VALUE"""),85.68)</f>
        <v>85.68</v>
      </c>
      <c r="C138" s="79" t="str">
        <f>IFERROR(__xludf.DUMMYFUNCTION("""COMPUTED_VALUE"""),"Holywater")</f>
        <v>Holywater</v>
      </c>
      <c r="D138" s="79" t="str">
        <f>IFERROR(__xludf.DUMMYFUNCTION("""COMPUTED_VALUE"""),"Amex Gold")</f>
        <v>Amex Gold</v>
      </c>
      <c r="E138" s="79" t="str">
        <f>IFERROR(__xludf.DUMMYFUNCTION("""COMPUTED_VALUE"""),"Alcohol/Weed")</f>
        <v>Alcohol/Weed</v>
      </c>
      <c r="F138" s="79" t="str">
        <f>IFERROR(__xludf.DUMMYFUNCTION("""COMPUTED_VALUE"""),"Gil")</f>
        <v>Gil</v>
      </c>
      <c r="G138" s="107">
        <f t="shared" si="1"/>
        <v>42.84</v>
      </c>
      <c r="H138" s="108" t="str">
        <f t="shared" si="2"/>
        <v>Mar</v>
      </c>
    </row>
    <row r="139">
      <c r="A139" s="106">
        <f>IFERROR(__xludf.DUMMYFUNCTION("""COMPUTED_VALUE"""),45358.0)</f>
        <v>45358</v>
      </c>
      <c r="B139" s="103">
        <f>IFERROR(__xludf.DUMMYFUNCTION("""COMPUTED_VALUE"""),49.37)</f>
        <v>49.37</v>
      </c>
      <c r="C139" s="79" t="str">
        <f>IFERROR(__xludf.DUMMYFUNCTION("""COMPUTED_VALUE"""),"Orient Express Cocktail Bar")</f>
        <v>Orient Express Cocktail Bar</v>
      </c>
      <c r="D139" s="79" t="str">
        <f>IFERROR(__xludf.DUMMYFUNCTION("""COMPUTED_VALUE"""),"Amex Gold")</f>
        <v>Amex Gold</v>
      </c>
      <c r="E139" s="79" t="str">
        <f>IFERROR(__xludf.DUMMYFUNCTION("""COMPUTED_VALUE"""),"Alcohol/Weed")</f>
        <v>Alcohol/Weed</v>
      </c>
      <c r="F139" s="79" t="str">
        <f>IFERROR(__xludf.DUMMYFUNCTION("""COMPUTED_VALUE"""),"Gil")</f>
        <v>Gil</v>
      </c>
      <c r="G139" s="107">
        <f t="shared" si="1"/>
        <v>24.685</v>
      </c>
      <c r="H139" s="108" t="str">
        <f t="shared" si="2"/>
        <v>Mar</v>
      </c>
    </row>
    <row r="140">
      <c r="A140" s="106">
        <f>IFERROR(__xludf.DUMMYFUNCTION("""COMPUTED_VALUE"""),45359.0)</f>
        <v>45359</v>
      </c>
      <c r="B140" s="103">
        <f>IFERROR(__xludf.DUMMYFUNCTION("""COMPUTED_VALUE"""),39.76)</f>
        <v>39.76</v>
      </c>
      <c r="C140" s="79" t="str">
        <f>IFERROR(__xludf.DUMMYFUNCTION("""COMPUTED_VALUE"""),"Taqueria Al Pastor")</f>
        <v>Taqueria Al Pastor</v>
      </c>
      <c r="D140" s="79" t="str">
        <f>IFERROR(__xludf.DUMMYFUNCTION("""COMPUTED_VALUE"""),"Amex Gold")</f>
        <v>Amex Gold</v>
      </c>
      <c r="E140" s="79" t="str">
        <f>IFERROR(__xludf.DUMMYFUNCTION("""COMPUTED_VALUE"""),"Meals")</f>
        <v>Meals</v>
      </c>
      <c r="F140" s="79" t="str">
        <f>IFERROR(__xludf.DUMMYFUNCTION("""COMPUTED_VALUE"""),"Gil")</f>
        <v>Gil</v>
      </c>
      <c r="G140" s="107">
        <f t="shared" si="1"/>
        <v>19.88</v>
      </c>
      <c r="H140" s="108" t="str">
        <f t="shared" si="2"/>
        <v>Mar</v>
      </c>
    </row>
    <row r="141">
      <c r="A141" s="106">
        <f>IFERROR(__xludf.DUMMYFUNCTION("""COMPUTED_VALUE"""),45359.0)</f>
        <v>45359</v>
      </c>
      <c r="B141" s="103">
        <f>IFERROR(__xludf.DUMMYFUNCTION("""COMPUTED_VALUE"""),30.0)</f>
        <v>30</v>
      </c>
      <c r="C141" s="79" t="str">
        <f>IFERROR(__xludf.DUMMYFUNCTION("""COMPUTED_VALUE"""),"TV Eye Tickets")</f>
        <v>TV Eye Tickets</v>
      </c>
      <c r="D141" s="79" t="str">
        <f>IFERROR(__xludf.DUMMYFUNCTION("""COMPUTED_VALUE"""),"Cash")</f>
        <v>Cash</v>
      </c>
      <c r="E141" s="79" t="str">
        <f>IFERROR(__xludf.DUMMYFUNCTION("""COMPUTED_VALUE"""),"Entertainment")</f>
        <v>Entertainment</v>
      </c>
      <c r="F141" s="79" t="str">
        <f>IFERROR(__xludf.DUMMYFUNCTION("""COMPUTED_VALUE"""),"Gil")</f>
        <v>Gil</v>
      </c>
      <c r="G141" s="107">
        <f t="shared" si="1"/>
        <v>15</v>
      </c>
      <c r="H141" s="108" t="str">
        <f t="shared" si="2"/>
        <v>Mar</v>
      </c>
    </row>
    <row r="142">
      <c r="A142" s="106">
        <f>IFERROR(__xludf.DUMMYFUNCTION("""COMPUTED_VALUE"""),45360.0)</f>
        <v>45360</v>
      </c>
      <c r="B142" s="103">
        <f>IFERROR(__xludf.DUMMYFUNCTION("""COMPUTED_VALUE"""),41.17)</f>
        <v>41.17</v>
      </c>
      <c r="C142" s="79" t="str">
        <f>IFERROR(__xludf.DUMMYFUNCTION("""COMPUTED_VALUE"""),"Birch Coffee")</f>
        <v>Birch Coffee</v>
      </c>
      <c r="D142" s="79" t="str">
        <f>IFERROR(__xludf.DUMMYFUNCTION("""COMPUTED_VALUE"""),"Amex Gold")</f>
        <v>Amex Gold</v>
      </c>
      <c r="E142" s="79" t="str">
        <f>IFERROR(__xludf.DUMMYFUNCTION("""COMPUTED_VALUE"""),"Groceries")</f>
        <v>Groceries</v>
      </c>
      <c r="F142" s="79" t="str">
        <f>IFERROR(__xludf.DUMMYFUNCTION("""COMPUTED_VALUE"""),"Gil")</f>
        <v>Gil</v>
      </c>
      <c r="G142" s="107">
        <f t="shared" si="1"/>
        <v>20.585</v>
      </c>
      <c r="H142" s="108" t="str">
        <f t="shared" si="2"/>
        <v>Mar</v>
      </c>
    </row>
    <row r="143">
      <c r="A143" s="106">
        <f>IFERROR(__xludf.DUMMYFUNCTION("""COMPUTED_VALUE"""),45360.0)</f>
        <v>45360</v>
      </c>
      <c r="B143" s="103">
        <f>IFERROR(__xludf.DUMMYFUNCTION("""COMPUTED_VALUE"""),25.16)</f>
        <v>25.16</v>
      </c>
      <c r="C143" s="79" t="str">
        <f>IFERROR(__xludf.DUMMYFUNCTION("""COMPUTED_VALUE"""),"Whole Foods")</f>
        <v>Whole Foods</v>
      </c>
      <c r="D143" s="79" t="str">
        <f>IFERROR(__xludf.DUMMYFUNCTION("""COMPUTED_VALUE"""),"Amex Blue")</f>
        <v>Amex Blue</v>
      </c>
      <c r="E143" s="79" t="str">
        <f>IFERROR(__xludf.DUMMYFUNCTION("""COMPUTED_VALUE"""),"Groceries")</f>
        <v>Groceries</v>
      </c>
      <c r="F143" s="79" t="str">
        <f>IFERROR(__xludf.DUMMYFUNCTION("""COMPUTED_VALUE"""),"Gil")</f>
        <v>Gil</v>
      </c>
      <c r="G143" s="107">
        <f t="shared" si="1"/>
        <v>12.58</v>
      </c>
      <c r="H143" s="108" t="str">
        <f t="shared" si="2"/>
        <v>Mar</v>
      </c>
    </row>
    <row r="144">
      <c r="A144" s="106">
        <f>IFERROR(__xludf.DUMMYFUNCTION("""COMPUTED_VALUE"""),45362.0)</f>
        <v>45362</v>
      </c>
      <c r="B144" s="103">
        <f>IFERROR(__xludf.DUMMYFUNCTION("""COMPUTED_VALUE"""),56.99)</f>
        <v>56.99</v>
      </c>
      <c r="C144" s="79" t="str">
        <f>IFERROR(__xludf.DUMMYFUNCTION("""COMPUTED_VALUE"""),"Amazon - Hemp Seeds")</f>
        <v>Amazon - Hemp Seeds</v>
      </c>
      <c r="D144" s="79" t="str">
        <f>IFERROR(__xludf.DUMMYFUNCTION("""COMPUTED_VALUE"""),"Amazon Prime Chase")</f>
        <v>Amazon Prime Chase</v>
      </c>
      <c r="E144" s="79" t="str">
        <f>IFERROR(__xludf.DUMMYFUNCTION("""COMPUTED_VALUE"""),"Groceries")</f>
        <v>Groceries</v>
      </c>
      <c r="F144" s="79" t="str">
        <f>IFERROR(__xludf.DUMMYFUNCTION("""COMPUTED_VALUE"""),"Gil")</f>
        <v>Gil</v>
      </c>
      <c r="G144" s="107">
        <f t="shared" si="1"/>
        <v>28.495</v>
      </c>
      <c r="H144" s="108" t="str">
        <f t="shared" si="2"/>
        <v>Mar</v>
      </c>
    </row>
    <row r="145">
      <c r="A145" s="106">
        <f>IFERROR(__xludf.DUMMYFUNCTION("""COMPUTED_VALUE"""),45353.0)</f>
        <v>45353</v>
      </c>
      <c r="B145" s="103">
        <f>IFERROR(__xludf.DUMMYFUNCTION("""COMPUTED_VALUE"""),29.24)</f>
        <v>29.24</v>
      </c>
      <c r="C145" s="79" t="str">
        <f>IFERROR(__xludf.DUMMYFUNCTION("""COMPUTED_VALUE"""),"Amazon S&amp;S - NeuroMag")</f>
        <v>Amazon S&amp;S - NeuroMag</v>
      </c>
      <c r="D145" s="79" t="str">
        <f>IFERROR(__xludf.DUMMYFUNCTION("""COMPUTED_VALUE"""),"Amazon Prime Chase")</f>
        <v>Amazon Prime Chase</v>
      </c>
      <c r="E145" s="79" t="str">
        <f>IFERROR(__xludf.DUMMYFUNCTION("""COMPUTED_VALUE"""),"Personal")</f>
        <v>Personal</v>
      </c>
      <c r="F145" s="79" t="str">
        <f>IFERROR(__xludf.DUMMYFUNCTION("""COMPUTED_VALUE"""),"Gil")</f>
        <v>Gil</v>
      </c>
      <c r="G145" s="107">
        <f t="shared" si="1"/>
        <v>14.62</v>
      </c>
      <c r="H145" s="108" t="str">
        <f t="shared" si="2"/>
        <v>Mar</v>
      </c>
    </row>
    <row r="146">
      <c r="A146" s="106">
        <f>IFERROR(__xludf.DUMMYFUNCTION("""COMPUTED_VALUE"""),45353.0)</f>
        <v>45353</v>
      </c>
      <c r="B146" s="103">
        <f>IFERROR(__xludf.DUMMYFUNCTION("""COMPUTED_VALUE"""),1.62)</f>
        <v>1.62</v>
      </c>
      <c r="C146" s="79" t="str">
        <f>IFERROR(__xludf.DUMMYFUNCTION("""COMPUTED_VALUE"""),"HP Instant Ink")</f>
        <v>HP Instant Ink</v>
      </c>
      <c r="D146" s="79" t="str">
        <f>IFERROR(__xludf.DUMMYFUNCTION("""COMPUTED_VALUE"""),"Amazon Prime Chase")</f>
        <v>Amazon Prime Chase</v>
      </c>
      <c r="E146" s="79" t="str">
        <f>IFERROR(__xludf.DUMMYFUNCTION("""COMPUTED_VALUE"""),"Household")</f>
        <v>Household</v>
      </c>
      <c r="F146" s="79" t="str">
        <f>IFERROR(__xludf.DUMMYFUNCTION("""COMPUTED_VALUE"""),"Gil")</f>
        <v>Gil</v>
      </c>
      <c r="G146" s="107">
        <f t="shared" si="1"/>
        <v>0.81</v>
      </c>
      <c r="H146" s="108" t="str">
        <f t="shared" si="2"/>
        <v>Mar</v>
      </c>
    </row>
    <row r="147">
      <c r="A147" s="106">
        <f>IFERROR(__xludf.DUMMYFUNCTION("""COMPUTED_VALUE"""),45353.0)</f>
        <v>45353</v>
      </c>
      <c r="B147" s="103">
        <f>IFERROR(__xludf.DUMMYFUNCTION("""COMPUTED_VALUE"""),31.48)</f>
        <v>31.48</v>
      </c>
      <c r="C147" s="79" t="str">
        <f>IFERROR(__xludf.DUMMYFUNCTION("""COMPUTED_VALUE"""),"Amazon S&amp;S - Purely Elizabeth Granola")</f>
        <v>Amazon S&amp;S - Purely Elizabeth Granola</v>
      </c>
      <c r="D147" s="79" t="str">
        <f>IFERROR(__xludf.DUMMYFUNCTION("""COMPUTED_VALUE"""),"Amazon Prime Chase")</f>
        <v>Amazon Prime Chase</v>
      </c>
      <c r="E147" s="79" t="str">
        <f>IFERROR(__xludf.DUMMYFUNCTION("""COMPUTED_VALUE"""),"Groceries")</f>
        <v>Groceries</v>
      </c>
      <c r="F147" s="79" t="str">
        <f>IFERROR(__xludf.DUMMYFUNCTION("""COMPUTED_VALUE"""),"Gil")</f>
        <v>Gil</v>
      </c>
      <c r="G147" s="107">
        <f t="shared" si="1"/>
        <v>15.74</v>
      </c>
      <c r="H147" s="108" t="str">
        <f t="shared" si="2"/>
        <v>Mar</v>
      </c>
    </row>
    <row r="148">
      <c r="A148" s="106">
        <f>IFERROR(__xludf.DUMMYFUNCTION("""COMPUTED_VALUE"""),45353.0)</f>
        <v>45353</v>
      </c>
      <c r="B148" s="103">
        <f>IFERROR(__xludf.DUMMYFUNCTION("""COMPUTED_VALUE"""),25.81)</f>
        <v>25.81</v>
      </c>
      <c r="C148" s="79" t="str">
        <f>IFERROR(__xludf.DUMMYFUNCTION("""COMPUTED_VALUE"""),"Amazon S&amp;S - San Pelligrino")</f>
        <v>Amazon S&amp;S - San Pelligrino</v>
      </c>
      <c r="D148" s="79" t="str">
        <f>IFERROR(__xludf.DUMMYFUNCTION("""COMPUTED_VALUE"""),"Amazon Prime Chase")</f>
        <v>Amazon Prime Chase</v>
      </c>
      <c r="E148" s="79" t="str">
        <f>IFERROR(__xludf.DUMMYFUNCTION("""COMPUTED_VALUE"""),"Groceries")</f>
        <v>Groceries</v>
      </c>
      <c r="F148" s="79" t="str">
        <f>IFERROR(__xludf.DUMMYFUNCTION("""COMPUTED_VALUE"""),"Gil")</f>
        <v>Gil</v>
      </c>
      <c r="G148" s="107">
        <f t="shared" si="1"/>
        <v>12.905</v>
      </c>
      <c r="H148" s="108" t="str">
        <f t="shared" si="2"/>
        <v>Mar</v>
      </c>
    </row>
    <row r="149">
      <c r="A149" s="106">
        <f>IFERROR(__xludf.DUMMYFUNCTION("""COMPUTED_VALUE"""),45353.0)</f>
        <v>45353</v>
      </c>
      <c r="B149" s="103">
        <f>IFERROR(__xludf.DUMMYFUNCTION("""COMPUTED_VALUE"""),84.03)</f>
        <v>84.03</v>
      </c>
      <c r="C149" s="79" t="str">
        <f>IFERROR(__xludf.DUMMYFUNCTION("""COMPUTED_VALUE"""),"Amazon Purchases - Shaeffer 3/2 28.35 2/24 58.68")</f>
        <v>Amazon Purchases - Shaeffer 3/2 28.35 2/24 58.68</v>
      </c>
      <c r="D149" s="79" t="str">
        <f>IFERROR(__xludf.DUMMYFUNCTION("""COMPUTED_VALUE"""),"Shaeffer ONLY")</f>
        <v>Shaeffer ONLY</v>
      </c>
      <c r="E149" s="79"/>
      <c r="F149" s="79" t="str">
        <f>IFERROR(__xludf.DUMMYFUNCTION("""COMPUTED_VALUE"""),"Gil")</f>
        <v>Gil</v>
      </c>
      <c r="G149" s="107">
        <f t="shared" si="1"/>
        <v>42.015</v>
      </c>
      <c r="H149" s="108" t="str">
        <f t="shared" si="2"/>
        <v>Mar</v>
      </c>
    </row>
    <row r="150">
      <c r="A150" s="106">
        <f>IFERROR(__xludf.DUMMYFUNCTION("""COMPUTED_VALUE"""),45362.0)</f>
        <v>45362</v>
      </c>
      <c r="B150" s="103">
        <f>IFERROR(__xludf.DUMMYFUNCTION("""COMPUTED_VALUE"""),16.17)</f>
        <v>16.17</v>
      </c>
      <c r="C150" s="79" t="str">
        <f>IFERROR(__xludf.DUMMYFUNCTION("""COMPUTED_VALUE"""),"Whole Foods")</f>
        <v>Whole Foods</v>
      </c>
      <c r="D150" s="79" t="str">
        <f>IFERROR(__xludf.DUMMYFUNCTION("""COMPUTED_VALUE"""),"Amex Blue")</f>
        <v>Amex Blue</v>
      </c>
      <c r="E150" s="79" t="str">
        <f>IFERROR(__xludf.DUMMYFUNCTION("""COMPUTED_VALUE"""),"Groceries")</f>
        <v>Groceries</v>
      </c>
      <c r="F150" s="79" t="str">
        <f>IFERROR(__xludf.DUMMYFUNCTION("""COMPUTED_VALUE"""),"Gil")</f>
        <v>Gil</v>
      </c>
      <c r="G150" s="107">
        <f t="shared" si="1"/>
        <v>8.085</v>
      </c>
      <c r="H150" s="108" t="str">
        <f t="shared" si="2"/>
        <v>Mar</v>
      </c>
    </row>
    <row r="151">
      <c r="A151" s="106">
        <f>IFERROR(__xludf.DUMMYFUNCTION("""COMPUTED_VALUE"""),45358.0)</f>
        <v>45358</v>
      </c>
      <c r="B151" s="103">
        <f>IFERROR(__xludf.DUMMYFUNCTION("""COMPUTED_VALUE"""),16.99)</f>
        <v>16.99</v>
      </c>
      <c r="C151" s="79" t="str">
        <f>IFERROR(__xludf.DUMMYFUNCTION("""COMPUTED_VALUE"""),"Spotify")</f>
        <v>Spotify</v>
      </c>
      <c r="D151" s="79" t="str">
        <f>IFERROR(__xludf.DUMMYFUNCTION("""COMPUTED_VALUE"""),"Amex Blue")</f>
        <v>Amex Blue</v>
      </c>
      <c r="E151" s="79" t="str">
        <f>IFERROR(__xludf.DUMMYFUNCTION("""COMPUTED_VALUE"""),"Subscriptions")</f>
        <v>Subscriptions</v>
      </c>
      <c r="F151" s="79" t="str">
        <f>IFERROR(__xludf.DUMMYFUNCTION("""COMPUTED_VALUE"""),"Gil")</f>
        <v>Gil</v>
      </c>
      <c r="G151" s="107">
        <f t="shared" si="1"/>
        <v>8.495</v>
      </c>
      <c r="H151" s="108" t="str">
        <f t="shared" si="2"/>
        <v>Mar</v>
      </c>
    </row>
    <row r="152">
      <c r="A152" s="106">
        <f>IFERROR(__xludf.DUMMYFUNCTION("""COMPUTED_VALUE"""),45366.0)</f>
        <v>45366</v>
      </c>
      <c r="B152" s="103">
        <f>IFERROR(__xludf.DUMMYFUNCTION("""COMPUTED_VALUE"""),90.0)</f>
        <v>90</v>
      </c>
      <c r="C152" s="79" t="str">
        <f>IFERROR(__xludf.DUMMYFUNCTION("""COMPUTED_VALUE"""),"La Chinesca Philly")</f>
        <v>La Chinesca Philly</v>
      </c>
      <c r="D152" s="79" t="str">
        <f>IFERROR(__xludf.DUMMYFUNCTION("""COMPUTED_VALUE"""),"Amex Gold")</f>
        <v>Amex Gold</v>
      </c>
      <c r="E152" s="79" t="str">
        <f>IFERROR(__xludf.DUMMYFUNCTION("""COMPUTED_VALUE"""),"Travel")</f>
        <v>Travel</v>
      </c>
      <c r="F152" s="79" t="str">
        <f>IFERROR(__xludf.DUMMYFUNCTION("""COMPUTED_VALUE"""),"Gil")</f>
        <v>Gil</v>
      </c>
      <c r="G152" s="107">
        <f t="shared" si="1"/>
        <v>45</v>
      </c>
      <c r="H152" s="108" t="str">
        <f t="shared" si="2"/>
        <v>Mar</v>
      </c>
    </row>
    <row r="153">
      <c r="A153" s="106">
        <f>IFERROR(__xludf.DUMMYFUNCTION("""COMPUTED_VALUE"""),45366.0)</f>
        <v>45366</v>
      </c>
      <c r="B153" s="103">
        <f>IFERROR(__xludf.DUMMYFUNCTION("""COMPUTED_VALUE"""),51.84)</f>
        <v>51.84</v>
      </c>
      <c r="C153" s="79" t="str">
        <f>IFERROR(__xludf.DUMMYFUNCTION("""COMPUTED_VALUE"""),"Katagiri")</f>
        <v>Katagiri</v>
      </c>
      <c r="D153" s="79" t="str">
        <f>IFERROR(__xludf.DUMMYFUNCTION("""COMPUTED_VALUE"""),"Amex Blue")</f>
        <v>Amex Blue</v>
      </c>
      <c r="E153" s="79" t="str">
        <f>IFERROR(__xludf.DUMMYFUNCTION("""COMPUTED_VALUE"""),"Travel")</f>
        <v>Travel</v>
      </c>
      <c r="F153" s="79" t="str">
        <f>IFERROR(__xludf.DUMMYFUNCTION("""COMPUTED_VALUE"""),"Gil")</f>
        <v>Gil</v>
      </c>
      <c r="G153" s="107">
        <f t="shared" si="1"/>
        <v>25.92</v>
      </c>
      <c r="H153" s="108" t="str">
        <f t="shared" si="2"/>
        <v>Mar</v>
      </c>
    </row>
    <row r="154">
      <c r="A154" s="106">
        <f>IFERROR(__xludf.DUMMYFUNCTION("""COMPUTED_VALUE"""),45370.0)</f>
        <v>45370</v>
      </c>
      <c r="B154" s="103">
        <f>IFERROR(__xludf.DUMMYFUNCTION("""COMPUTED_VALUE"""),14.98)</f>
        <v>14.98</v>
      </c>
      <c r="C154" s="79" t="str">
        <f>IFERROR(__xludf.DUMMYFUNCTION("""COMPUTED_VALUE"""),"Mr. Lemon")</f>
        <v>Mr. Lemon</v>
      </c>
      <c r="D154" s="79" t="str">
        <f>IFERROR(__xludf.DUMMYFUNCTION("""COMPUTED_VALUE"""),"Amex Blue")</f>
        <v>Amex Blue</v>
      </c>
      <c r="E154" s="79" t="str">
        <f>IFERROR(__xludf.DUMMYFUNCTION("""COMPUTED_VALUE"""),"Groceries")</f>
        <v>Groceries</v>
      </c>
      <c r="F154" s="79" t="str">
        <f>IFERROR(__xludf.DUMMYFUNCTION("""COMPUTED_VALUE"""),"Gil")</f>
        <v>Gil</v>
      </c>
      <c r="G154" s="107">
        <f t="shared" si="1"/>
        <v>7.49</v>
      </c>
      <c r="H154" s="108" t="str">
        <f t="shared" si="2"/>
        <v>Mar</v>
      </c>
    </row>
    <row r="155">
      <c r="A155" s="106">
        <f>IFERROR(__xludf.DUMMYFUNCTION("""COMPUTED_VALUE"""),45370.0)</f>
        <v>45370</v>
      </c>
      <c r="B155" s="103">
        <f>IFERROR(__xludf.DUMMYFUNCTION("""COMPUTED_VALUE"""),36.38)</f>
        <v>36.38</v>
      </c>
      <c r="C155" s="79" t="str">
        <f>IFERROR(__xludf.DUMMYFUNCTION("""COMPUTED_VALUE"""),"Fandango - Quad Cinema")</f>
        <v>Fandango - Quad Cinema</v>
      </c>
      <c r="D155" s="79" t="str">
        <f>IFERROR(__xludf.DUMMYFUNCTION("""COMPUTED_VALUE"""),"Amex Gold")</f>
        <v>Amex Gold</v>
      </c>
      <c r="E155" s="79" t="str">
        <f>IFERROR(__xludf.DUMMYFUNCTION("""COMPUTED_VALUE"""),"Entertainment")</f>
        <v>Entertainment</v>
      </c>
      <c r="F155" s="79" t="str">
        <f>IFERROR(__xludf.DUMMYFUNCTION("""COMPUTED_VALUE"""),"Gil")</f>
        <v>Gil</v>
      </c>
      <c r="G155" s="107">
        <f t="shared" si="1"/>
        <v>18.19</v>
      </c>
      <c r="H155" s="108" t="str">
        <f t="shared" si="2"/>
        <v>Mar</v>
      </c>
    </row>
    <row r="156">
      <c r="A156" s="106">
        <f>IFERROR(__xludf.DUMMYFUNCTION("""COMPUTED_VALUE"""),45370.0)</f>
        <v>45370</v>
      </c>
      <c r="B156" s="103">
        <f>IFERROR(__xludf.DUMMYFUNCTION("""COMPUTED_VALUE"""),34.0)</f>
        <v>34</v>
      </c>
      <c r="C156" s="79" t="str">
        <f>IFERROR(__xludf.DUMMYFUNCTION("""COMPUTED_VALUE"""),"Paris Theater")</f>
        <v>Paris Theater</v>
      </c>
      <c r="D156" s="79" t="str">
        <f>IFERROR(__xludf.DUMMYFUNCTION("""COMPUTED_VALUE"""),"Amex Gold")</f>
        <v>Amex Gold</v>
      </c>
      <c r="E156" s="79" t="str">
        <f>IFERROR(__xludf.DUMMYFUNCTION("""COMPUTED_VALUE"""),"Entertainment")</f>
        <v>Entertainment</v>
      </c>
      <c r="F156" s="79" t="str">
        <f>IFERROR(__xludf.DUMMYFUNCTION("""COMPUTED_VALUE"""),"Gil")</f>
        <v>Gil</v>
      </c>
      <c r="G156" s="107">
        <f t="shared" si="1"/>
        <v>17</v>
      </c>
      <c r="H156" s="108" t="str">
        <f t="shared" si="2"/>
        <v>Mar</v>
      </c>
    </row>
    <row r="157">
      <c r="A157" s="106">
        <f>IFERROR(__xludf.DUMMYFUNCTION("""COMPUTED_VALUE"""),45372.0)</f>
        <v>45372</v>
      </c>
      <c r="B157" s="103">
        <f>IFERROR(__xludf.DUMMYFUNCTION("""COMPUTED_VALUE"""),11.0)</f>
        <v>11</v>
      </c>
      <c r="C157" s="79" t="str">
        <f>IFERROR(__xludf.DUMMYFUNCTION("""COMPUTED_VALUE"""),"Quad Cinema")</f>
        <v>Quad Cinema</v>
      </c>
      <c r="D157" s="79" t="str">
        <f>IFERROR(__xludf.DUMMYFUNCTION("""COMPUTED_VALUE"""),"Amex Gold")</f>
        <v>Amex Gold</v>
      </c>
      <c r="E157" s="79" t="str">
        <f>IFERROR(__xludf.DUMMYFUNCTION("""COMPUTED_VALUE"""),"Entertainment")</f>
        <v>Entertainment</v>
      </c>
      <c r="F157" s="79" t="str">
        <f>IFERROR(__xludf.DUMMYFUNCTION("""COMPUTED_VALUE"""),"Gil")</f>
        <v>Gil</v>
      </c>
      <c r="G157" s="107">
        <f t="shared" si="1"/>
        <v>5.5</v>
      </c>
      <c r="H157" s="108" t="str">
        <f t="shared" si="2"/>
        <v>Mar</v>
      </c>
    </row>
    <row r="158">
      <c r="A158" s="106">
        <f>IFERROR(__xludf.DUMMYFUNCTION("""COMPUTED_VALUE"""),45352.0)</f>
        <v>45352</v>
      </c>
      <c r="B158" s="103">
        <f>IFERROR(__xludf.DUMMYFUNCTION("""COMPUTED_VALUE"""),2700.0)</f>
        <v>2700</v>
      </c>
      <c r="C158" s="79" t="str">
        <f>IFERROR(__xludf.DUMMYFUNCTION("""COMPUTED_VALUE"""),"March Rent")</f>
        <v>March Rent</v>
      </c>
      <c r="D158" s="79" t="str">
        <f>IFERROR(__xludf.DUMMYFUNCTION("""COMPUTED_VALUE"""),"Rent")</f>
        <v>Rent</v>
      </c>
      <c r="E158" s="79" t="str">
        <f>IFERROR(__xludf.DUMMYFUNCTION("""COMPUTED_VALUE"""),"Rent")</f>
        <v>Rent</v>
      </c>
      <c r="F158" s="79" t="str">
        <f>IFERROR(__xludf.DUMMYFUNCTION("""COMPUTED_VALUE"""),"Shaeffer")</f>
        <v>Shaeffer</v>
      </c>
      <c r="G158" s="107">
        <f t="shared" si="1"/>
        <v>1350</v>
      </c>
      <c r="H158" s="108" t="str">
        <f t="shared" si="2"/>
        <v>Mar</v>
      </c>
    </row>
    <row r="159">
      <c r="A159" s="106">
        <f>IFERROR(__xludf.DUMMYFUNCTION("""COMPUTED_VALUE"""),45373.0)</f>
        <v>45373</v>
      </c>
      <c r="B159" s="103">
        <f>IFERROR(__xludf.DUMMYFUNCTION("""COMPUTED_VALUE"""),19.61)</f>
        <v>19.61</v>
      </c>
      <c r="C159" s="79" t="str">
        <f>IFERROR(__xludf.DUMMYFUNCTION("""COMPUTED_VALUE"""),"Lucia of Soho")</f>
        <v>Lucia of Soho</v>
      </c>
      <c r="D159" s="79" t="str">
        <f>IFERROR(__xludf.DUMMYFUNCTION("""COMPUTED_VALUE"""),"Amex Gold")</f>
        <v>Amex Gold</v>
      </c>
      <c r="E159" s="79" t="str">
        <f>IFERROR(__xludf.DUMMYFUNCTION("""COMPUTED_VALUE"""),"Meals")</f>
        <v>Meals</v>
      </c>
      <c r="F159" s="79" t="str">
        <f>IFERROR(__xludf.DUMMYFUNCTION("""COMPUTED_VALUE"""),"Gil")</f>
        <v>Gil</v>
      </c>
      <c r="G159" s="107">
        <f t="shared" si="1"/>
        <v>9.805</v>
      </c>
      <c r="H159" s="108" t="str">
        <f t="shared" si="2"/>
        <v>Mar</v>
      </c>
    </row>
    <row r="160">
      <c r="A160" s="106">
        <f>IFERROR(__xludf.DUMMYFUNCTION("""COMPUTED_VALUE"""),45374.0)</f>
        <v>45374</v>
      </c>
      <c r="B160" s="103">
        <f>IFERROR(__xludf.DUMMYFUNCTION("""COMPUTED_VALUE"""),143.02)</f>
        <v>143.02</v>
      </c>
      <c r="C160" s="79" t="str">
        <f>IFERROR(__xludf.DUMMYFUNCTION("""COMPUTED_VALUE"""),"Connolly's")</f>
        <v>Connolly's</v>
      </c>
      <c r="D160" s="79" t="str">
        <f>IFERROR(__xludf.DUMMYFUNCTION("""COMPUTED_VALUE"""),"Amex Gold")</f>
        <v>Amex Gold</v>
      </c>
      <c r="E160" s="79" t="str">
        <f>IFERROR(__xludf.DUMMYFUNCTION("""COMPUTED_VALUE"""),"Meals")</f>
        <v>Meals</v>
      </c>
      <c r="F160" s="79" t="str">
        <f>IFERROR(__xludf.DUMMYFUNCTION("""COMPUTED_VALUE"""),"Gil")</f>
        <v>Gil</v>
      </c>
      <c r="G160" s="107">
        <f t="shared" si="1"/>
        <v>71.51</v>
      </c>
      <c r="H160" s="108" t="str">
        <f t="shared" si="2"/>
        <v>Mar</v>
      </c>
    </row>
    <row r="161">
      <c r="A161" s="106">
        <f>IFERROR(__xludf.DUMMYFUNCTION("""COMPUTED_VALUE"""),45373.0)</f>
        <v>45373</v>
      </c>
      <c r="B161" s="103">
        <f>IFERROR(__xludf.DUMMYFUNCTION("""COMPUTED_VALUE"""),25.95)</f>
        <v>25.95</v>
      </c>
      <c r="C161" s="79" t="str">
        <f>IFERROR(__xludf.DUMMYFUNCTION("""COMPUTED_VALUE"""),"Mr. Lemon")</f>
        <v>Mr. Lemon</v>
      </c>
      <c r="D161" s="79" t="str">
        <f>IFERROR(__xludf.DUMMYFUNCTION("""COMPUTED_VALUE"""),"Amex Blue")</f>
        <v>Amex Blue</v>
      </c>
      <c r="E161" s="79" t="str">
        <f>IFERROR(__xludf.DUMMYFUNCTION("""COMPUTED_VALUE"""),"Groceries")</f>
        <v>Groceries</v>
      </c>
      <c r="F161" s="79" t="str">
        <f>IFERROR(__xludf.DUMMYFUNCTION("""COMPUTED_VALUE"""),"Gil")</f>
        <v>Gil</v>
      </c>
      <c r="G161" s="107">
        <f t="shared" si="1"/>
        <v>12.975</v>
      </c>
      <c r="H161" s="108" t="str">
        <f t="shared" si="2"/>
        <v>Mar</v>
      </c>
    </row>
    <row r="162">
      <c r="A162" s="106">
        <f>IFERROR(__xludf.DUMMYFUNCTION("""COMPUTED_VALUE"""),45373.0)</f>
        <v>45373</v>
      </c>
      <c r="B162" s="103">
        <f>IFERROR(__xludf.DUMMYFUNCTION("""COMPUTED_VALUE"""),34.82)</f>
        <v>34.82</v>
      </c>
      <c r="C162" s="79" t="str">
        <f>IFERROR(__xludf.DUMMYFUNCTION("""COMPUTED_VALUE"""),"Irving Bottle")</f>
        <v>Irving Bottle</v>
      </c>
      <c r="D162" s="79" t="str">
        <f>IFERROR(__xludf.DUMMYFUNCTION("""COMPUTED_VALUE"""),"Amex Blue")</f>
        <v>Amex Blue</v>
      </c>
      <c r="E162" s="79" t="str">
        <f>IFERROR(__xludf.DUMMYFUNCTION("""COMPUTED_VALUE"""),"Alcohol/Weed")</f>
        <v>Alcohol/Weed</v>
      </c>
      <c r="F162" s="79" t="str">
        <f>IFERROR(__xludf.DUMMYFUNCTION("""COMPUTED_VALUE"""),"Gil")</f>
        <v>Gil</v>
      </c>
      <c r="G162" s="107">
        <f t="shared" si="1"/>
        <v>17.41</v>
      </c>
      <c r="H162" s="108" t="str">
        <f t="shared" si="2"/>
        <v>Mar</v>
      </c>
    </row>
    <row r="163">
      <c r="A163" s="106">
        <f>IFERROR(__xludf.DUMMYFUNCTION("""COMPUTED_VALUE"""),45374.0)</f>
        <v>45374</v>
      </c>
      <c r="B163" s="103">
        <f>IFERROR(__xludf.DUMMYFUNCTION("""COMPUTED_VALUE"""),13.68)</f>
        <v>13.68</v>
      </c>
      <c r="C163" s="79" t="str">
        <f>IFERROR(__xludf.DUMMYFUNCTION("""COMPUTED_VALUE"""),"Ernest Klein Deli - 6th Ave")</f>
        <v>Ernest Klein Deli - 6th Ave</v>
      </c>
      <c r="D163" s="79" t="str">
        <f>IFERROR(__xludf.DUMMYFUNCTION("""COMPUTED_VALUE"""),"Amex Blue")</f>
        <v>Amex Blue</v>
      </c>
      <c r="E163" s="79" t="str">
        <f>IFERROR(__xludf.DUMMYFUNCTION("""COMPUTED_VALUE"""),"Entertainment")</f>
        <v>Entertainment</v>
      </c>
      <c r="F163" s="79" t="str">
        <f>IFERROR(__xludf.DUMMYFUNCTION("""COMPUTED_VALUE"""),"Gil")</f>
        <v>Gil</v>
      </c>
      <c r="G163" s="107">
        <f t="shared" si="1"/>
        <v>6.84</v>
      </c>
      <c r="H163" s="108" t="str">
        <f t="shared" si="2"/>
        <v>Mar</v>
      </c>
    </row>
    <row r="164">
      <c r="A164" s="106">
        <f>IFERROR(__xludf.DUMMYFUNCTION("""COMPUTED_VALUE"""),45374.0)</f>
        <v>45374</v>
      </c>
      <c r="B164" s="103">
        <f>IFERROR(__xludf.DUMMYFUNCTION("""COMPUTED_VALUE"""),61.98)</f>
        <v>61.98</v>
      </c>
      <c r="C164" s="79" t="str">
        <f>IFERROR(__xludf.DUMMYFUNCTION("""COMPUTED_VALUE"""),"cablevision")</f>
        <v>cablevision</v>
      </c>
      <c r="D164" s="79" t="str">
        <f>IFERROR(__xludf.DUMMYFUNCTION("""COMPUTED_VALUE"""),"Amex Delta Skymiles")</f>
        <v>Amex Delta Skymiles</v>
      </c>
      <c r="E164" s="79" t="str">
        <f>IFERROR(__xludf.DUMMYFUNCTION("""COMPUTED_VALUE"""),"Internet")</f>
        <v>Internet</v>
      </c>
      <c r="F164" s="79" t="str">
        <f>IFERROR(__xludf.DUMMYFUNCTION("""COMPUTED_VALUE"""),"Shaeffer")</f>
        <v>Shaeffer</v>
      </c>
      <c r="G164" s="107">
        <f t="shared" si="1"/>
        <v>30.99</v>
      </c>
      <c r="H164" s="108" t="str">
        <f t="shared" si="2"/>
        <v>Mar</v>
      </c>
    </row>
    <row r="165">
      <c r="A165" s="106">
        <f>IFERROR(__xludf.DUMMYFUNCTION("""COMPUTED_VALUE"""),45366.0)</f>
        <v>45366</v>
      </c>
      <c r="B165" s="103">
        <f>IFERROR(__xludf.DUMMYFUNCTION("""COMPUTED_VALUE"""),50.0)</f>
        <v>50</v>
      </c>
      <c r="C165" s="79" t="str">
        <f>IFERROR(__xludf.DUMMYFUNCTION("""COMPUTED_VALUE"""),"laundry")</f>
        <v>laundry</v>
      </c>
      <c r="D165" s="79" t="str">
        <f>IFERROR(__xludf.DUMMYFUNCTION("""COMPUTED_VALUE"""),"Cash")</f>
        <v>Cash</v>
      </c>
      <c r="E165" s="79" t="str">
        <f>IFERROR(__xludf.DUMMYFUNCTION("""COMPUTED_VALUE"""),"Household")</f>
        <v>Household</v>
      </c>
      <c r="F165" s="79" t="str">
        <f>IFERROR(__xludf.DUMMYFUNCTION("""COMPUTED_VALUE"""),"Shaeffer")</f>
        <v>Shaeffer</v>
      </c>
      <c r="G165" s="107">
        <f t="shared" si="1"/>
        <v>25</v>
      </c>
      <c r="H165" s="108" t="str">
        <f t="shared" si="2"/>
        <v>Mar</v>
      </c>
    </row>
    <row r="166">
      <c r="A166" s="106">
        <f>IFERROR(__xludf.DUMMYFUNCTION("""COMPUTED_VALUE"""),45375.0)</f>
        <v>45375</v>
      </c>
      <c r="B166" s="103">
        <f>IFERROR(__xludf.DUMMYFUNCTION("""COMPUTED_VALUE"""),34.0)</f>
        <v>34</v>
      </c>
      <c r="C166" s="79" t="str">
        <f>IFERROR(__xludf.DUMMYFUNCTION("""COMPUTED_VALUE"""),"laundry")</f>
        <v>laundry</v>
      </c>
      <c r="D166" s="79" t="str">
        <f>IFERROR(__xludf.DUMMYFUNCTION("""COMPUTED_VALUE"""),"Cash")</f>
        <v>Cash</v>
      </c>
      <c r="E166" s="79" t="str">
        <f>IFERROR(__xludf.DUMMYFUNCTION("""COMPUTED_VALUE"""),"Household")</f>
        <v>Household</v>
      </c>
      <c r="F166" s="79" t="str">
        <f>IFERROR(__xludf.DUMMYFUNCTION("""COMPUTED_VALUE"""),"Shaeffer")</f>
        <v>Shaeffer</v>
      </c>
      <c r="G166" s="107">
        <f t="shared" si="1"/>
        <v>17</v>
      </c>
      <c r="H166" s="108" t="str">
        <f t="shared" si="2"/>
        <v>Mar</v>
      </c>
    </row>
    <row r="167">
      <c r="A167" s="106">
        <f>IFERROR(__xludf.DUMMYFUNCTION("""COMPUTED_VALUE"""),45376.0)</f>
        <v>45376</v>
      </c>
      <c r="B167" s="103">
        <f>IFERROR(__xludf.DUMMYFUNCTION("""COMPUTED_VALUE"""),105.39)</f>
        <v>105.39</v>
      </c>
      <c r="C167" s="79" t="str">
        <f>IFERROR(__xludf.DUMMYFUNCTION("""COMPUTED_VALUE"""),"Whole Foods - Amazon Prime")</f>
        <v>Whole Foods - Amazon Prime</v>
      </c>
      <c r="D167" s="79" t="str">
        <f>IFERROR(__xludf.DUMMYFUNCTION("""COMPUTED_VALUE"""),"Amazon Prime Chase")</f>
        <v>Amazon Prime Chase</v>
      </c>
      <c r="E167" s="79" t="str">
        <f>IFERROR(__xludf.DUMMYFUNCTION("""COMPUTED_VALUE"""),"Groceries")</f>
        <v>Groceries</v>
      </c>
      <c r="F167" s="79" t="str">
        <f>IFERROR(__xludf.DUMMYFUNCTION("""COMPUTED_VALUE"""),"Gil")</f>
        <v>Gil</v>
      </c>
      <c r="G167" s="107">
        <f t="shared" si="1"/>
        <v>52.695</v>
      </c>
      <c r="H167" s="108" t="str">
        <f t="shared" si="2"/>
        <v>Mar</v>
      </c>
    </row>
    <row r="168">
      <c r="A168" s="106">
        <f>IFERROR(__xludf.DUMMYFUNCTION("""COMPUTED_VALUE"""),45375.0)</f>
        <v>45375</v>
      </c>
      <c r="B168" s="103">
        <f>IFERROR(__xludf.DUMMYFUNCTION("""COMPUTED_VALUE"""),236.0)</f>
        <v>236</v>
      </c>
      <c r="C168" s="79" t="str">
        <f>IFERROR(__xludf.DUMMYFUNCTION("""COMPUTED_VALUE"""),"Butcher Box")</f>
        <v>Butcher Box</v>
      </c>
      <c r="D168" s="79" t="str">
        <f>IFERROR(__xludf.DUMMYFUNCTION("""COMPUTED_VALUE"""),"Amazon Prime Chase")</f>
        <v>Amazon Prime Chase</v>
      </c>
      <c r="E168" s="79" t="str">
        <f>IFERROR(__xludf.DUMMYFUNCTION("""COMPUTED_VALUE"""),"Groceries")</f>
        <v>Groceries</v>
      </c>
      <c r="F168" s="79" t="str">
        <f>IFERROR(__xludf.DUMMYFUNCTION("""COMPUTED_VALUE"""),"Gil")</f>
        <v>Gil</v>
      </c>
      <c r="G168" s="107">
        <f t="shared" si="1"/>
        <v>118</v>
      </c>
      <c r="H168" s="108" t="str">
        <f t="shared" si="2"/>
        <v>Mar</v>
      </c>
    </row>
    <row r="169">
      <c r="A169" s="106">
        <f>IFERROR(__xludf.DUMMYFUNCTION("""COMPUTED_VALUE"""),45378.0)</f>
        <v>45378</v>
      </c>
      <c r="B169" s="103">
        <f>IFERROR(__xludf.DUMMYFUNCTION("""COMPUTED_VALUE"""),104.39)</f>
        <v>104.39</v>
      </c>
      <c r="C169" s="79" t="str">
        <f>IFERROR(__xludf.DUMMYFUNCTION("""COMPUTED_VALUE"""),"Khe-Yo")</f>
        <v>Khe-Yo</v>
      </c>
      <c r="D169" s="79" t="str">
        <f>IFERROR(__xludf.DUMMYFUNCTION("""COMPUTED_VALUE"""),"Amex Gold")</f>
        <v>Amex Gold</v>
      </c>
      <c r="E169" s="79" t="str">
        <f>IFERROR(__xludf.DUMMYFUNCTION("""COMPUTED_VALUE"""),"Meals")</f>
        <v>Meals</v>
      </c>
      <c r="F169" s="79" t="str">
        <f>IFERROR(__xludf.DUMMYFUNCTION("""COMPUTED_VALUE"""),"Gil")</f>
        <v>Gil</v>
      </c>
      <c r="G169" s="107">
        <f t="shared" si="1"/>
        <v>52.195</v>
      </c>
      <c r="H169" s="108" t="str">
        <f t="shared" si="2"/>
        <v>Mar</v>
      </c>
    </row>
    <row r="170">
      <c r="A170" s="106">
        <f>IFERROR(__xludf.DUMMYFUNCTION("""COMPUTED_VALUE"""),45378.0)</f>
        <v>45378</v>
      </c>
      <c r="B170" s="103">
        <f>IFERROR(__xludf.DUMMYFUNCTION("""COMPUTED_VALUE"""),12.34)</f>
        <v>12.34</v>
      </c>
      <c r="C170" s="79" t="str">
        <f>IFERROR(__xludf.DUMMYFUNCTION("""COMPUTED_VALUE"""),"Eataly")</f>
        <v>Eataly</v>
      </c>
      <c r="D170" s="79" t="str">
        <f>IFERROR(__xludf.DUMMYFUNCTION("""COMPUTED_VALUE"""),"Amex Blue")</f>
        <v>Amex Blue</v>
      </c>
      <c r="E170" s="79" t="str">
        <f>IFERROR(__xludf.DUMMYFUNCTION("""COMPUTED_VALUE"""),"Groceries")</f>
        <v>Groceries</v>
      </c>
      <c r="F170" s="79" t="str">
        <f>IFERROR(__xludf.DUMMYFUNCTION("""COMPUTED_VALUE"""),"Gil")</f>
        <v>Gil</v>
      </c>
      <c r="G170" s="107">
        <f t="shared" si="1"/>
        <v>6.17</v>
      </c>
      <c r="H170" s="108" t="str">
        <f t="shared" si="2"/>
        <v>Mar</v>
      </c>
    </row>
    <row r="171">
      <c r="A171" s="106">
        <f>IFERROR(__xludf.DUMMYFUNCTION("""COMPUTED_VALUE"""),45379.0)</f>
        <v>45379</v>
      </c>
      <c r="B171" s="103">
        <f>IFERROR(__xludf.DUMMYFUNCTION("""COMPUTED_VALUE"""),30.23)</f>
        <v>30.23</v>
      </c>
      <c r="C171" s="79" t="str">
        <f>IFERROR(__xludf.DUMMYFUNCTION("""COMPUTED_VALUE"""),"Whole Foods")</f>
        <v>Whole Foods</v>
      </c>
      <c r="D171" s="79" t="str">
        <f>IFERROR(__xludf.DUMMYFUNCTION("""COMPUTED_VALUE"""),"Amex Blue")</f>
        <v>Amex Blue</v>
      </c>
      <c r="E171" s="79" t="str">
        <f>IFERROR(__xludf.DUMMYFUNCTION("""COMPUTED_VALUE"""),"Groceries")</f>
        <v>Groceries</v>
      </c>
      <c r="F171" s="79" t="str">
        <f>IFERROR(__xludf.DUMMYFUNCTION("""COMPUTED_VALUE"""),"Gil")</f>
        <v>Gil</v>
      </c>
      <c r="G171" s="107">
        <f t="shared" si="1"/>
        <v>15.115</v>
      </c>
      <c r="H171" s="108" t="str">
        <f t="shared" si="2"/>
        <v>Mar</v>
      </c>
    </row>
    <row r="172">
      <c r="A172" s="106">
        <f>IFERROR(__xludf.DUMMYFUNCTION("""COMPUTED_VALUE"""),45379.0)</f>
        <v>45379</v>
      </c>
      <c r="B172" s="103">
        <f>IFERROR(__xludf.DUMMYFUNCTION("""COMPUTED_VALUE"""),51.4)</f>
        <v>51.4</v>
      </c>
      <c r="C172" s="79" t="str">
        <f>IFERROR(__xludf.DUMMYFUNCTION("""COMPUTED_VALUE"""),"National Grid")</f>
        <v>National Grid</v>
      </c>
      <c r="D172" s="79" t="str">
        <f>IFERROR(__xludf.DUMMYFUNCTION("""COMPUTED_VALUE"""),"Checking")</f>
        <v>Checking</v>
      </c>
      <c r="E172" s="79" t="str">
        <f>IFERROR(__xludf.DUMMYFUNCTION("""COMPUTED_VALUE"""),"Utilities")</f>
        <v>Utilities</v>
      </c>
      <c r="F172" s="79" t="str">
        <f>IFERROR(__xludf.DUMMYFUNCTION("""COMPUTED_VALUE"""),"Gil")</f>
        <v>Gil</v>
      </c>
      <c r="G172" s="107">
        <f t="shared" si="1"/>
        <v>25.7</v>
      </c>
      <c r="H172" s="108" t="str">
        <f t="shared" si="2"/>
        <v>Mar</v>
      </c>
    </row>
    <row r="173">
      <c r="A173" s="106">
        <f>IFERROR(__xludf.DUMMYFUNCTION("""COMPUTED_VALUE"""),45380.0)</f>
        <v>45380</v>
      </c>
      <c r="B173" s="103">
        <f>IFERROR(__xludf.DUMMYFUNCTION("""COMPUTED_VALUE"""),22.49)</f>
        <v>22.49</v>
      </c>
      <c r="C173" s="79" t="str">
        <f>IFERROR(__xludf.DUMMYFUNCTION("""COMPUTED_VALUE"""),"Dickson's")</f>
        <v>Dickson's</v>
      </c>
      <c r="D173" s="79" t="str">
        <f>IFERROR(__xludf.DUMMYFUNCTION("""COMPUTED_VALUE"""),"Amex Blue")</f>
        <v>Amex Blue</v>
      </c>
      <c r="E173" s="79" t="str">
        <f>IFERROR(__xludf.DUMMYFUNCTION("""COMPUTED_VALUE"""),"Groceries")</f>
        <v>Groceries</v>
      </c>
      <c r="F173" s="79" t="str">
        <f>IFERROR(__xludf.DUMMYFUNCTION("""COMPUTED_VALUE"""),"Gil")</f>
        <v>Gil</v>
      </c>
      <c r="G173" s="107">
        <f t="shared" si="1"/>
        <v>11.245</v>
      </c>
      <c r="H173" s="108" t="str">
        <f t="shared" si="2"/>
        <v>Mar</v>
      </c>
    </row>
    <row r="174">
      <c r="A174" s="106">
        <f>IFERROR(__xludf.DUMMYFUNCTION("""COMPUTED_VALUE"""),45380.0)</f>
        <v>45380</v>
      </c>
      <c r="B174" s="103">
        <f>IFERROR(__xludf.DUMMYFUNCTION("""COMPUTED_VALUE"""),49.5)</f>
        <v>49.5</v>
      </c>
      <c r="C174" s="79" t="str">
        <f>IFERROR(__xludf.DUMMYFUNCTION("""COMPUTED_VALUE"""),"ATG")</f>
        <v>ATG</v>
      </c>
      <c r="D174" s="79" t="str">
        <f>IFERROR(__xludf.DUMMYFUNCTION("""COMPUTED_VALUE"""),"Other")</f>
        <v>Other</v>
      </c>
      <c r="E174" s="79" t="str">
        <f>IFERROR(__xludf.DUMMYFUNCTION("""COMPUTED_VALUE"""),"Subscriptions")</f>
        <v>Subscriptions</v>
      </c>
      <c r="F174" s="79" t="str">
        <f>IFERROR(__xludf.DUMMYFUNCTION("""COMPUTED_VALUE"""),"Gil")</f>
        <v>Gil</v>
      </c>
      <c r="G174" s="107">
        <f t="shared" si="1"/>
        <v>24.75</v>
      </c>
      <c r="H174" s="108" t="str">
        <f t="shared" si="2"/>
        <v>Mar</v>
      </c>
    </row>
    <row r="175">
      <c r="A175" s="106">
        <f>IFERROR(__xludf.DUMMYFUNCTION("""COMPUTED_VALUE"""),45382.0)</f>
        <v>45382</v>
      </c>
      <c r="B175" s="103">
        <f>IFERROR(__xludf.DUMMYFUNCTION("""COMPUTED_VALUE"""),41.3)</f>
        <v>41.3</v>
      </c>
      <c r="C175" s="79" t="str">
        <f>IFERROR(__xludf.DUMMYFUNCTION("""COMPUTED_VALUE"""),"Kato Sake Works")</f>
        <v>Kato Sake Works</v>
      </c>
      <c r="D175" s="79" t="str">
        <f>IFERROR(__xludf.DUMMYFUNCTION("""COMPUTED_VALUE"""),"Amex Gold")</f>
        <v>Amex Gold</v>
      </c>
      <c r="E175" s="79" t="str">
        <f>IFERROR(__xludf.DUMMYFUNCTION("""COMPUTED_VALUE"""),"Alcohol/Weed")</f>
        <v>Alcohol/Weed</v>
      </c>
      <c r="F175" s="79" t="str">
        <f>IFERROR(__xludf.DUMMYFUNCTION("""COMPUTED_VALUE"""),"Gil")</f>
        <v>Gil</v>
      </c>
      <c r="G175" s="107">
        <f t="shared" si="1"/>
        <v>20.65</v>
      </c>
      <c r="H175" s="108" t="str">
        <f t="shared" si="2"/>
        <v>Mar</v>
      </c>
    </row>
    <row r="176">
      <c r="A176" s="106">
        <f>IFERROR(__xludf.DUMMYFUNCTION("""COMPUTED_VALUE"""),45383.0)</f>
        <v>45383</v>
      </c>
      <c r="B176" s="103">
        <f>IFERROR(__xludf.DUMMYFUNCTION("""COMPUTED_VALUE"""),154.81)</f>
        <v>154.81</v>
      </c>
      <c r="C176" s="79" t="str">
        <f>IFERROR(__xludf.DUMMYFUNCTION("""COMPUTED_VALUE"""),"Gotham")</f>
        <v>Gotham</v>
      </c>
      <c r="D176" s="79" t="str">
        <f>IFERROR(__xludf.DUMMYFUNCTION("""COMPUTED_VALUE"""),"Cash")</f>
        <v>Cash</v>
      </c>
      <c r="E176" s="79" t="str">
        <f>IFERROR(__xludf.DUMMYFUNCTION("""COMPUTED_VALUE"""),"Alcohol/Weed")</f>
        <v>Alcohol/Weed</v>
      </c>
      <c r="F176" s="79" t="str">
        <f>IFERROR(__xludf.DUMMYFUNCTION("""COMPUTED_VALUE"""),"Gil")</f>
        <v>Gil</v>
      </c>
      <c r="G176" s="107">
        <f t="shared" si="1"/>
        <v>77.405</v>
      </c>
      <c r="H176" s="108" t="str">
        <f t="shared" si="2"/>
        <v>Apr</v>
      </c>
    </row>
    <row r="177">
      <c r="A177" s="106">
        <f>IFERROR(__xludf.DUMMYFUNCTION("""COMPUTED_VALUE"""),45382.0)</f>
        <v>45382</v>
      </c>
      <c r="B177" s="103">
        <f>IFERROR(__xludf.DUMMYFUNCTION("""COMPUTED_VALUE"""),10.53)</f>
        <v>10.53</v>
      </c>
      <c r="C177" s="79" t="str">
        <f>IFERROR(__xludf.DUMMYFUNCTION("""COMPUTED_VALUE"""),"Bel-Fries")</f>
        <v>Bel-Fries</v>
      </c>
      <c r="D177" s="79" t="str">
        <f>IFERROR(__xludf.DUMMYFUNCTION("""COMPUTED_VALUE"""),"Amex Gold")</f>
        <v>Amex Gold</v>
      </c>
      <c r="E177" s="79" t="str">
        <f>IFERROR(__xludf.DUMMYFUNCTION("""COMPUTED_VALUE"""),"Meals")</f>
        <v>Meals</v>
      </c>
      <c r="F177" s="79" t="str">
        <f>IFERROR(__xludf.DUMMYFUNCTION("""COMPUTED_VALUE"""),"Gil")</f>
        <v>Gil</v>
      </c>
      <c r="G177" s="107">
        <f t="shared" si="1"/>
        <v>5.265</v>
      </c>
      <c r="H177" s="108" t="str">
        <f t="shared" si="2"/>
        <v>Mar</v>
      </c>
    </row>
    <row r="178">
      <c r="A178" s="106">
        <f>IFERROR(__xludf.DUMMYFUNCTION("""COMPUTED_VALUE"""),45383.0)</f>
        <v>45383</v>
      </c>
      <c r="B178" s="103">
        <f>IFERROR(__xludf.DUMMYFUNCTION("""COMPUTED_VALUE"""),2700.0)</f>
        <v>2700</v>
      </c>
      <c r="C178" s="79" t="str">
        <f>IFERROR(__xludf.DUMMYFUNCTION("""COMPUTED_VALUE"""),"April rent")</f>
        <v>April rent</v>
      </c>
      <c r="D178" s="79" t="str">
        <f>IFERROR(__xludf.DUMMYFUNCTION("""COMPUTED_VALUE"""),"Cash")</f>
        <v>Cash</v>
      </c>
      <c r="E178" s="79" t="str">
        <f>IFERROR(__xludf.DUMMYFUNCTION("""COMPUTED_VALUE"""),"Rent")</f>
        <v>Rent</v>
      </c>
      <c r="F178" s="79" t="str">
        <f>IFERROR(__xludf.DUMMYFUNCTION("""COMPUTED_VALUE"""),"Shaeffer")</f>
        <v>Shaeffer</v>
      </c>
      <c r="G178" s="107">
        <f t="shared" si="1"/>
        <v>1350</v>
      </c>
      <c r="H178" s="108" t="str">
        <f t="shared" si="2"/>
        <v>Apr</v>
      </c>
    </row>
    <row r="179">
      <c r="A179" s="106">
        <f>IFERROR(__xludf.DUMMYFUNCTION("""COMPUTED_VALUE"""),45383.0)</f>
        <v>45383</v>
      </c>
      <c r="B179" s="103">
        <f>IFERROR(__xludf.DUMMYFUNCTION("""COMPUTED_VALUE"""),161.25)</f>
        <v>161.25</v>
      </c>
      <c r="C179" s="79" t="str">
        <f>IFERROR(__xludf.DUMMYFUNCTION("""COMPUTED_VALUE"""),"Storage Unit- April")</f>
        <v>Storage Unit- April</v>
      </c>
      <c r="D179" s="79" t="str">
        <f>IFERROR(__xludf.DUMMYFUNCTION("""COMPUTED_VALUE"""),"Cash")</f>
        <v>Cash</v>
      </c>
      <c r="E179" s="79" t="str">
        <f>IFERROR(__xludf.DUMMYFUNCTION("""COMPUTED_VALUE"""),"Storage")</f>
        <v>Storage</v>
      </c>
      <c r="F179" s="79" t="str">
        <f>IFERROR(__xludf.DUMMYFUNCTION("""COMPUTED_VALUE"""),"Shaeffer")</f>
        <v>Shaeffer</v>
      </c>
      <c r="G179" s="107">
        <f t="shared" si="1"/>
        <v>80.625</v>
      </c>
      <c r="H179" s="108" t="str">
        <f t="shared" si="2"/>
        <v>Apr</v>
      </c>
    </row>
    <row r="180">
      <c r="A180" s="106">
        <f>IFERROR(__xludf.DUMMYFUNCTION("""COMPUTED_VALUE"""),45383.0)</f>
        <v>45383</v>
      </c>
      <c r="B180" s="103">
        <f>IFERROR(__xludf.DUMMYFUNCTION("""COMPUTED_VALUE"""),860.68)</f>
        <v>860.68</v>
      </c>
      <c r="C180" s="79" t="str">
        <f>IFERROR(__xludf.DUMMYFUNCTION("""COMPUTED_VALUE"""),"Healthfirst")</f>
        <v>Healthfirst</v>
      </c>
      <c r="D180" s="79" t="str">
        <f>IFERROR(__xludf.DUMMYFUNCTION("""COMPUTED_VALUE"""),"Amazon Prime Chase")</f>
        <v>Amazon Prime Chase</v>
      </c>
      <c r="E180" s="79" t="str">
        <f>IFERROR(__xludf.DUMMYFUNCTION("""COMPUTED_VALUE"""),"Insurance")</f>
        <v>Insurance</v>
      </c>
      <c r="F180" s="79" t="str">
        <f>IFERROR(__xludf.DUMMYFUNCTION("""COMPUTED_VALUE"""),"Gil")</f>
        <v>Gil</v>
      </c>
      <c r="G180" s="107">
        <f t="shared" si="1"/>
        <v>430.34</v>
      </c>
      <c r="H180" s="108" t="str">
        <f t="shared" si="2"/>
        <v>Apr</v>
      </c>
    </row>
    <row r="181">
      <c r="A181" s="106">
        <f>IFERROR(__xludf.DUMMYFUNCTION("""COMPUTED_VALUE"""),45383.0)</f>
        <v>45383</v>
      </c>
      <c r="B181" s="103">
        <f>IFERROR(__xludf.DUMMYFUNCTION("""COMPUTED_VALUE"""),46.81)</f>
        <v>46.81</v>
      </c>
      <c r="C181" s="79" t="str">
        <f>IFERROR(__xludf.DUMMYFUNCTION("""COMPUTED_VALUE"""),"Ulta Beauty - Peach &amp; Lily Glass Skin Moisturizer")</f>
        <v>Ulta Beauty - Peach &amp; Lily Glass Skin Moisturizer</v>
      </c>
      <c r="D181" s="79" t="str">
        <f>IFERROR(__xludf.DUMMYFUNCTION("""COMPUTED_VALUE"""),"Wells Fargo")</f>
        <v>Wells Fargo</v>
      </c>
      <c r="E181" s="79" t="str">
        <f>IFERROR(__xludf.DUMMYFUNCTION("""COMPUTED_VALUE"""),"Personal")</f>
        <v>Personal</v>
      </c>
      <c r="F181" s="79" t="str">
        <f>IFERROR(__xludf.DUMMYFUNCTION("""COMPUTED_VALUE"""),"Gil")</f>
        <v>Gil</v>
      </c>
      <c r="G181" s="107">
        <f t="shared" si="1"/>
        <v>23.405</v>
      </c>
      <c r="H181" s="108" t="str">
        <f t="shared" si="2"/>
        <v>Apr</v>
      </c>
    </row>
    <row r="182">
      <c r="A182" s="106">
        <f>IFERROR(__xludf.DUMMYFUNCTION("""COMPUTED_VALUE"""),45383.0)</f>
        <v>45383</v>
      </c>
      <c r="B182" s="103">
        <f>IFERROR(__xludf.DUMMYFUNCTION("""COMPUTED_VALUE"""),31.43)</f>
        <v>31.43</v>
      </c>
      <c r="C182" s="79" t="str">
        <f>IFERROR(__xludf.DUMMYFUNCTION("""COMPUTED_VALUE"""),"Whole Foods")</f>
        <v>Whole Foods</v>
      </c>
      <c r="D182" s="79" t="str">
        <f>IFERROR(__xludf.DUMMYFUNCTION("""COMPUTED_VALUE"""),"Amex Blue")</f>
        <v>Amex Blue</v>
      </c>
      <c r="E182" s="79" t="str">
        <f>IFERROR(__xludf.DUMMYFUNCTION("""COMPUTED_VALUE"""),"Groceries")</f>
        <v>Groceries</v>
      </c>
      <c r="F182" s="79" t="str">
        <f>IFERROR(__xludf.DUMMYFUNCTION("""COMPUTED_VALUE"""),"Gil")</f>
        <v>Gil</v>
      </c>
      <c r="G182" s="107">
        <f t="shared" si="1"/>
        <v>15.715</v>
      </c>
      <c r="H182" s="108" t="str">
        <f t="shared" si="2"/>
        <v>Apr</v>
      </c>
    </row>
    <row r="183">
      <c r="A183" s="106">
        <f>IFERROR(__xludf.DUMMYFUNCTION("""COMPUTED_VALUE"""),45382.0)</f>
        <v>45382</v>
      </c>
      <c r="B183" s="103">
        <f>IFERROR(__xludf.DUMMYFUNCTION("""COMPUTED_VALUE"""),138.88)</f>
        <v>138.88</v>
      </c>
      <c r="C183" s="79" t="str">
        <f>IFERROR(__xludf.DUMMYFUNCTION("""COMPUTED_VALUE"""),"ConEd")</f>
        <v>ConEd</v>
      </c>
      <c r="D183" s="79" t="str">
        <f>IFERROR(__xludf.DUMMYFUNCTION("""COMPUTED_VALUE"""),"Checking")</f>
        <v>Checking</v>
      </c>
      <c r="E183" s="79" t="str">
        <f>IFERROR(__xludf.DUMMYFUNCTION("""COMPUTED_VALUE"""),"Utilities")</f>
        <v>Utilities</v>
      </c>
      <c r="F183" s="79" t="str">
        <f>IFERROR(__xludf.DUMMYFUNCTION("""COMPUTED_VALUE"""),"Gil")</f>
        <v>Gil</v>
      </c>
      <c r="G183" s="107">
        <f t="shared" si="1"/>
        <v>69.44</v>
      </c>
      <c r="H183" s="108" t="str">
        <f t="shared" si="2"/>
        <v>Mar</v>
      </c>
    </row>
    <row r="184">
      <c r="A184" s="106">
        <f>IFERROR(__xludf.DUMMYFUNCTION("""COMPUTED_VALUE"""),45384.0)</f>
        <v>45384</v>
      </c>
      <c r="B184" s="103">
        <f>IFERROR(__xludf.DUMMYFUNCTION("""COMPUTED_VALUE"""),42.04)</f>
        <v>42.04</v>
      </c>
      <c r="C184" s="79" t="str">
        <f>IFERROR(__xludf.DUMMYFUNCTION("""COMPUTED_VALUE"""),"Whole Foods")</f>
        <v>Whole Foods</v>
      </c>
      <c r="D184" s="79" t="str">
        <f>IFERROR(__xludf.DUMMYFUNCTION("""COMPUTED_VALUE"""),"Amex Blue")</f>
        <v>Amex Blue</v>
      </c>
      <c r="E184" s="79" t="str">
        <f>IFERROR(__xludf.DUMMYFUNCTION("""COMPUTED_VALUE"""),"Groceries")</f>
        <v>Groceries</v>
      </c>
      <c r="F184" s="79" t="str">
        <f>IFERROR(__xludf.DUMMYFUNCTION("""COMPUTED_VALUE"""),"Gil")</f>
        <v>Gil</v>
      </c>
      <c r="G184" s="107">
        <f t="shared" si="1"/>
        <v>21.02</v>
      </c>
      <c r="H184" s="108" t="str">
        <f t="shared" si="2"/>
        <v>Apr</v>
      </c>
    </row>
    <row r="185">
      <c r="A185" s="106">
        <f>IFERROR(__xludf.DUMMYFUNCTION("""COMPUTED_VALUE"""),45389.0)</f>
        <v>45389</v>
      </c>
      <c r="B185" s="103">
        <f>IFERROR(__xludf.DUMMYFUNCTION("""COMPUTED_VALUE"""),39.29)</f>
        <v>39.29</v>
      </c>
      <c r="C185" s="79" t="str">
        <f>IFERROR(__xludf.DUMMYFUNCTION("""COMPUTED_VALUE"""),"La Cantine")</f>
        <v>La Cantine</v>
      </c>
      <c r="D185" s="79" t="str">
        <f>IFERROR(__xludf.DUMMYFUNCTION("""COMPUTED_VALUE"""),"Amex Gold")</f>
        <v>Amex Gold</v>
      </c>
      <c r="E185" s="79" t="str">
        <f>IFERROR(__xludf.DUMMYFUNCTION("""COMPUTED_VALUE"""),"Meals")</f>
        <v>Meals</v>
      </c>
      <c r="F185" s="79" t="str">
        <f>IFERROR(__xludf.DUMMYFUNCTION("""COMPUTED_VALUE"""),"Gil")</f>
        <v>Gil</v>
      </c>
      <c r="G185" s="107">
        <f t="shared" si="1"/>
        <v>19.645</v>
      </c>
      <c r="H185" s="108" t="str">
        <f t="shared" si="2"/>
        <v>Apr</v>
      </c>
    </row>
    <row r="186">
      <c r="A186" s="106">
        <f>IFERROR(__xludf.DUMMYFUNCTION("""COMPUTED_VALUE"""),45388.0)</f>
        <v>45388</v>
      </c>
      <c r="B186" s="103">
        <f>IFERROR(__xludf.DUMMYFUNCTION("""COMPUTED_VALUE"""),41.43)</f>
        <v>41.43</v>
      </c>
      <c r="C186" s="79" t="str">
        <f>IFERROR(__xludf.DUMMYFUNCTION("""COMPUTED_VALUE"""),"Kato Sake Works")</f>
        <v>Kato Sake Works</v>
      </c>
      <c r="D186" s="79" t="str">
        <f>IFERROR(__xludf.DUMMYFUNCTION("""COMPUTED_VALUE"""),"Amex Gold")</f>
        <v>Amex Gold</v>
      </c>
      <c r="E186" s="79" t="str">
        <f>IFERROR(__xludf.DUMMYFUNCTION("""COMPUTED_VALUE"""),"Alcohol/Weed")</f>
        <v>Alcohol/Weed</v>
      </c>
      <c r="F186" s="79" t="str">
        <f>IFERROR(__xludf.DUMMYFUNCTION("""COMPUTED_VALUE"""),"Gil")</f>
        <v>Gil</v>
      </c>
      <c r="G186" s="107">
        <f t="shared" si="1"/>
        <v>20.715</v>
      </c>
      <c r="H186" s="108" t="str">
        <f t="shared" si="2"/>
        <v>Apr</v>
      </c>
    </row>
    <row r="187">
      <c r="A187" s="106">
        <f>IFERROR(__xludf.DUMMYFUNCTION("""COMPUTED_VALUE"""),45387.0)</f>
        <v>45387</v>
      </c>
      <c r="B187" s="103">
        <f>IFERROR(__xludf.DUMMYFUNCTION("""COMPUTED_VALUE"""),130.65)</f>
        <v>130.65</v>
      </c>
      <c r="C187" s="79" t="str">
        <f>IFERROR(__xludf.DUMMYFUNCTION("""COMPUTED_VALUE"""),"Canal Bulbs and Parts")</f>
        <v>Canal Bulbs and Parts</v>
      </c>
      <c r="D187" s="79" t="str">
        <f>IFERROR(__xludf.DUMMYFUNCTION("""COMPUTED_VALUE"""),"Amex Gold")</f>
        <v>Amex Gold</v>
      </c>
      <c r="E187" s="79" t="str">
        <f>IFERROR(__xludf.DUMMYFUNCTION("""COMPUTED_VALUE"""),"Household")</f>
        <v>Household</v>
      </c>
      <c r="F187" s="79" t="str">
        <f>IFERROR(__xludf.DUMMYFUNCTION("""COMPUTED_VALUE"""),"Gil")</f>
        <v>Gil</v>
      </c>
      <c r="G187" s="107">
        <f t="shared" si="1"/>
        <v>65.325</v>
      </c>
      <c r="H187" s="108" t="str">
        <f t="shared" si="2"/>
        <v>Apr</v>
      </c>
    </row>
    <row r="188">
      <c r="A188" s="106">
        <f>IFERROR(__xludf.DUMMYFUNCTION("""COMPUTED_VALUE"""),45382.0)</f>
        <v>45382</v>
      </c>
      <c r="B188" s="103">
        <f>IFERROR(__xludf.DUMMYFUNCTION("""COMPUTED_VALUE"""),40.8)</f>
        <v>40.8</v>
      </c>
      <c r="C188" s="79" t="str">
        <f>IFERROR(__xludf.DUMMYFUNCTION("""COMPUTED_VALUE"""),"Abraço")</f>
        <v>Abraço</v>
      </c>
      <c r="D188" s="79" t="str">
        <f>IFERROR(__xludf.DUMMYFUNCTION("""COMPUTED_VALUE"""),"Amex Gold")</f>
        <v>Amex Gold</v>
      </c>
      <c r="E188" s="79" t="str">
        <f>IFERROR(__xludf.DUMMYFUNCTION("""COMPUTED_VALUE"""),"Meals")</f>
        <v>Meals</v>
      </c>
      <c r="F188" s="79" t="str">
        <f>IFERROR(__xludf.DUMMYFUNCTION("""COMPUTED_VALUE"""),"Gil")</f>
        <v>Gil</v>
      </c>
      <c r="G188" s="107">
        <f t="shared" si="1"/>
        <v>20.4</v>
      </c>
      <c r="H188" s="108" t="str">
        <f t="shared" si="2"/>
        <v>Mar</v>
      </c>
    </row>
    <row r="189">
      <c r="A189" s="106">
        <f>IFERROR(__xludf.DUMMYFUNCTION("""COMPUTED_VALUE"""),45382.0)</f>
        <v>45382</v>
      </c>
      <c r="B189" s="103">
        <f>IFERROR(__xludf.DUMMYFUNCTION("""COMPUTED_VALUE"""),41.43)</f>
        <v>41.43</v>
      </c>
      <c r="C189" s="79" t="str">
        <f>IFERROR(__xludf.DUMMYFUNCTION("""COMPUTED_VALUE"""),"Kato Sake Works")</f>
        <v>Kato Sake Works</v>
      </c>
      <c r="D189" s="79" t="str">
        <f>IFERROR(__xludf.DUMMYFUNCTION("""COMPUTED_VALUE"""),"Amex Gold")</f>
        <v>Amex Gold</v>
      </c>
      <c r="E189" s="79" t="str">
        <f>IFERROR(__xludf.DUMMYFUNCTION("""COMPUTED_VALUE"""),"Alcohol/Weed")</f>
        <v>Alcohol/Weed</v>
      </c>
      <c r="F189" s="79" t="str">
        <f>IFERROR(__xludf.DUMMYFUNCTION("""COMPUTED_VALUE"""),"Gil")</f>
        <v>Gil</v>
      </c>
      <c r="G189" s="107">
        <f t="shared" si="1"/>
        <v>20.715</v>
      </c>
      <c r="H189" s="108" t="str">
        <f t="shared" si="2"/>
        <v>Mar</v>
      </c>
    </row>
    <row r="190">
      <c r="A190" s="106">
        <f>IFERROR(__xludf.DUMMYFUNCTION("""COMPUTED_VALUE"""),45389.0)</f>
        <v>45389</v>
      </c>
      <c r="B190" s="103">
        <f>IFERROR(__xludf.DUMMYFUNCTION("""COMPUTED_VALUE"""),11.75)</f>
        <v>11.75</v>
      </c>
      <c r="C190" s="79" t="str">
        <f>IFERROR(__xludf.DUMMYFUNCTION("""COMPUTED_VALUE"""),"La Cantine")</f>
        <v>La Cantine</v>
      </c>
      <c r="D190" s="79" t="str">
        <f>IFERROR(__xludf.DUMMYFUNCTION("""COMPUTED_VALUE"""),"Amex Blue")</f>
        <v>Amex Blue</v>
      </c>
      <c r="E190" s="79" t="str">
        <f>IFERROR(__xludf.DUMMYFUNCTION("""COMPUTED_VALUE"""),"Meals")</f>
        <v>Meals</v>
      </c>
      <c r="F190" s="79" t="str">
        <f>IFERROR(__xludf.DUMMYFUNCTION("""COMPUTED_VALUE"""),"Gil")</f>
        <v>Gil</v>
      </c>
      <c r="G190" s="107">
        <f t="shared" si="1"/>
        <v>5.875</v>
      </c>
      <c r="H190" s="108" t="str">
        <f t="shared" si="2"/>
        <v>Apr</v>
      </c>
    </row>
    <row r="191">
      <c r="A191" s="106">
        <f>IFERROR(__xludf.DUMMYFUNCTION("""COMPUTED_VALUE"""),45388.0)</f>
        <v>45388</v>
      </c>
      <c r="B191" s="103">
        <f>IFERROR(__xludf.DUMMYFUNCTION("""COMPUTED_VALUE"""),33.96)</f>
        <v>33.96</v>
      </c>
      <c r="C191" s="79" t="str">
        <f>IFERROR(__xludf.DUMMYFUNCTION("""COMPUTED_VALUE"""),"Mr. Lemon")</f>
        <v>Mr. Lemon</v>
      </c>
      <c r="D191" s="79" t="str">
        <f>IFERROR(__xludf.DUMMYFUNCTION("""COMPUTED_VALUE"""),"Amex Blue")</f>
        <v>Amex Blue</v>
      </c>
      <c r="E191" s="79" t="str">
        <f>IFERROR(__xludf.DUMMYFUNCTION("""COMPUTED_VALUE"""),"Groceries")</f>
        <v>Groceries</v>
      </c>
      <c r="F191" s="79" t="str">
        <f>IFERROR(__xludf.DUMMYFUNCTION("""COMPUTED_VALUE"""),"Gil")</f>
        <v>Gil</v>
      </c>
      <c r="G191" s="107">
        <f t="shared" si="1"/>
        <v>16.98</v>
      </c>
      <c r="H191" s="108" t="str">
        <f t="shared" si="2"/>
        <v>Apr</v>
      </c>
    </row>
    <row r="192">
      <c r="A192" s="106">
        <f>IFERROR(__xludf.DUMMYFUNCTION("""COMPUTED_VALUE"""),45388.0)</f>
        <v>45388</v>
      </c>
      <c r="B192" s="103">
        <f>IFERROR(__xludf.DUMMYFUNCTION("""COMPUTED_VALUE"""),64.2)</f>
        <v>64.2</v>
      </c>
      <c r="C192" s="79" t="str">
        <f>IFERROR(__xludf.DUMMYFUNCTION("""COMPUTED_VALUE"""),"Irving Bottle")</f>
        <v>Irving Bottle</v>
      </c>
      <c r="D192" s="79" t="str">
        <f>IFERROR(__xludf.DUMMYFUNCTION("""COMPUTED_VALUE"""),"Amex Blue")</f>
        <v>Amex Blue</v>
      </c>
      <c r="E192" s="79" t="str">
        <f>IFERROR(__xludf.DUMMYFUNCTION("""COMPUTED_VALUE"""),"Alcohol/Weed")</f>
        <v>Alcohol/Weed</v>
      </c>
      <c r="F192" s="79" t="str">
        <f>IFERROR(__xludf.DUMMYFUNCTION("""COMPUTED_VALUE"""),"Gil")</f>
        <v>Gil</v>
      </c>
      <c r="G192" s="107">
        <f t="shared" si="1"/>
        <v>32.1</v>
      </c>
      <c r="H192" s="108" t="str">
        <f t="shared" si="2"/>
        <v>Apr</v>
      </c>
    </row>
    <row r="193">
      <c r="A193" s="106">
        <f>IFERROR(__xludf.DUMMYFUNCTION("""COMPUTED_VALUE"""),45388.0)</f>
        <v>45388</v>
      </c>
      <c r="B193" s="103">
        <f>IFERROR(__xludf.DUMMYFUNCTION("""COMPUTED_VALUE"""),16.99)</f>
        <v>16.99</v>
      </c>
      <c r="C193" s="79" t="str">
        <f>IFERROR(__xludf.DUMMYFUNCTION("""COMPUTED_VALUE"""),"Spotify")</f>
        <v>Spotify</v>
      </c>
      <c r="D193" s="79" t="str">
        <f>IFERROR(__xludf.DUMMYFUNCTION("""COMPUTED_VALUE"""),"Amex Blue")</f>
        <v>Amex Blue</v>
      </c>
      <c r="E193" s="79" t="str">
        <f>IFERROR(__xludf.DUMMYFUNCTION("""COMPUTED_VALUE"""),"Subscriptions")</f>
        <v>Subscriptions</v>
      </c>
      <c r="F193" s="79" t="str">
        <f>IFERROR(__xludf.DUMMYFUNCTION("""COMPUTED_VALUE"""),"Gil")</f>
        <v>Gil</v>
      </c>
      <c r="G193" s="107">
        <f t="shared" si="1"/>
        <v>8.495</v>
      </c>
      <c r="H193" s="108" t="str">
        <f t="shared" si="2"/>
        <v>Apr</v>
      </c>
    </row>
    <row r="194">
      <c r="A194" s="106">
        <f>IFERROR(__xludf.DUMMYFUNCTION("""COMPUTED_VALUE"""),45388.0)</f>
        <v>45388</v>
      </c>
      <c r="B194" s="103">
        <f>IFERROR(__xludf.DUMMYFUNCTION("""COMPUTED_VALUE"""),10.46)</f>
        <v>10.46</v>
      </c>
      <c r="C194" s="79" t="str">
        <f>IFERROR(__xludf.DUMMYFUNCTION("""COMPUTED_VALUE"""),"Whole Foods")</f>
        <v>Whole Foods</v>
      </c>
      <c r="D194" s="79" t="str">
        <f>IFERROR(__xludf.DUMMYFUNCTION("""COMPUTED_VALUE"""),"Amex Blue")</f>
        <v>Amex Blue</v>
      </c>
      <c r="E194" s="79" t="str">
        <f>IFERROR(__xludf.DUMMYFUNCTION("""COMPUTED_VALUE"""),"Groceries")</f>
        <v>Groceries</v>
      </c>
      <c r="F194" s="79" t="str">
        <f>IFERROR(__xludf.DUMMYFUNCTION("""COMPUTED_VALUE"""),"Gil")</f>
        <v>Gil</v>
      </c>
      <c r="G194" s="107">
        <f t="shared" si="1"/>
        <v>5.23</v>
      </c>
      <c r="H194" s="108" t="str">
        <f t="shared" si="2"/>
        <v>Apr</v>
      </c>
    </row>
    <row r="195">
      <c r="A195" s="106">
        <f>IFERROR(__xludf.DUMMYFUNCTION("""COMPUTED_VALUE"""),45386.0)</f>
        <v>45386</v>
      </c>
      <c r="B195" s="103">
        <f>IFERROR(__xludf.DUMMYFUNCTION("""COMPUTED_VALUE"""),10.98)</f>
        <v>10.98</v>
      </c>
      <c r="C195" s="79" t="str">
        <f>IFERROR(__xludf.DUMMYFUNCTION("""COMPUTED_VALUE"""),"Mr. Lemon")</f>
        <v>Mr. Lemon</v>
      </c>
      <c r="D195" s="79" t="str">
        <f>IFERROR(__xludf.DUMMYFUNCTION("""COMPUTED_VALUE"""),"Amex Blue")</f>
        <v>Amex Blue</v>
      </c>
      <c r="E195" s="79" t="str">
        <f>IFERROR(__xludf.DUMMYFUNCTION("""COMPUTED_VALUE"""),"Groceries")</f>
        <v>Groceries</v>
      </c>
      <c r="F195" s="79" t="str">
        <f>IFERROR(__xludf.DUMMYFUNCTION("""COMPUTED_VALUE"""),"Gil")</f>
        <v>Gil</v>
      </c>
      <c r="G195" s="107">
        <f t="shared" si="1"/>
        <v>5.49</v>
      </c>
      <c r="H195" s="108" t="str">
        <f t="shared" si="2"/>
        <v>Apr</v>
      </c>
    </row>
    <row r="196">
      <c r="A196" s="106">
        <f>IFERROR(__xludf.DUMMYFUNCTION("""COMPUTED_VALUE"""),45389.0)</f>
        <v>45389</v>
      </c>
      <c r="B196" s="103">
        <f>IFERROR(__xludf.DUMMYFUNCTION("""COMPUTED_VALUE"""),83.18)</f>
        <v>83.18</v>
      </c>
      <c r="C196" s="79" t="str">
        <f>IFERROR(__xludf.DUMMYFUNCTION("""COMPUTED_VALUE"""),"Brew Inn")</f>
        <v>Brew Inn</v>
      </c>
      <c r="D196" s="79" t="str">
        <f>IFERROR(__xludf.DUMMYFUNCTION("""COMPUTED_VALUE"""),"Amex Gold")</f>
        <v>Amex Gold</v>
      </c>
      <c r="E196" s="79" t="str">
        <f>IFERROR(__xludf.DUMMYFUNCTION("""COMPUTED_VALUE"""),"Meals")</f>
        <v>Meals</v>
      </c>
      <c r="F196" s="79" t="str">
        <f>IFERROR(__xludf.DUMMYFUNCTION("""COMPUTED_VALUE"""),"Gil")</f>
        <v>Gil</v>
      </c>
      <c r="G196" s="107">
        <f t="shared" si="1"/>
        <v>41.59</v>
      </c>
      <c r="H196" s="108" t="str">
        <f t="shared" si="2"/>
        <v>Apr</v>
      </c>
    </row>
    <row r="197">
      <c r="A197" s="106">
        <f>IFERROR(__xludf.DUMMYFUNCTION("""COMPUTED_VALUE"""),45390.0)</f>
        <v>45390</v>
      </c>
      <c r="B197" s="103">
        <f>IFERROR(__xludf.DUMMYFUNCTION("""COMPUTED_VALUE"""),22.75)</f>
        <v>22.75</v>
      </c>
      <c r="C197" s="79" t="str">
        <f>IFERROR(__xludf.DUMMYFUNCTION("""COMPUTED_VALUE"""),"Whole Foods")</f>
        <v>Whole Foods</v>
      </c>
      <c r="D197" s="79" t="str">
        <f>IFERROR(__xludf.DUMMYFUNCTION("""COMPUTED_VALUE"""),"Amex Blue")</f>
        <v>Amex Blue</v>
      </c>
      <c r="E197" s="79" t="str">
        <f>IFERROR(__xludf.DUMMYFUNCTION("""COMPUTED_VALUE"""),"Groceries")</f>
        <v>Groceries</v>
      </c>
      <c r="F197" s="79" t="str">
        <f>IFERROR(__xludf.DUMMYFUNCTION("""COMPUTED_VALUE"""),"Gil")</f>
        <v>Gil</v>
      </c>
      <c r="G197" s="107">
        <f t="shared" si="1"/>
        <v>11.375</v>
      </c>
      <c r="H197" s="108" t="str">
        <f t="shared" si="2"/>
        <v>Apr</v>
      </c>
    </row>
    <row r="198">
      <c r="A198" s="106">
        <f>IFERROR(__xludf.DUMMYFUNCTION("""COMPUTED_VALUE"""),45390.0)</f>
        <v>45390</v>
      </c>
      <c r="B198" s="103">
        <f>IFERROR(__xludf.DUMMYFUNCTION("""COMPUTED_VALUE"""),45.0)</f>
        <v>45</v>
      </c>
      <c r="C198" s="79" t="str">
        <f>IFERROR(__xludf.DUMMYFUNCTION("""COMPUTED_VALUE"""),"laundry")</f>
        <v>laundry</v>
      </c>
      <c r="D198" s="79" t="str">
        <f>IFERROR(__xludf.DUMMYFUNCTION("""COMPUTED_VALUE"""),"Cash")</f>
        <v>Cash</v>
      </c>
      <c r="E198" s="79" t="str">
        <f>IFERROR(__xludf.DUMMYFUNCTION("""COMPUTED_VALUE"""),"Household")</f>
        <v>Household</v>
      </c>
      <c r="F198" s="79" t="str">
        <f>IFERROR(__xludf.DUMMYFUNCTION("""COMPUTED_VALUE"""),"Shaeffer")</f>
        <v>Shaeffer</v>
      </c>
      <c r="G198" s="107">
        <f t="shared" si="1"/>
        <v>22.5</v>
      </c>
      <c r="H198" s="108" t="str">
        <f t="shared" si="2"/>
        <v>Apr</v>
      </c>
    </row>
    <row r="199">
      <c r="A199" s="106">
        <f>IFERROR(__xludf.DUMMYFUNCTION("""COMPUTED_VALUE"""),45392.0)</f>
        <v>45392</v>
      </c>
      <c r="B199" s="103">
        <f>IFERROR(__xludf.DUMMYFUNCTION("""COMPUTED_VALUE"""),16.48)</f>
        <v>16.48</v>
      </c>
      <c r="C199" s="79" t="str">
        <f>IFERROR(__xludf.DUMMYFUNCTION("""COMPUTED_VALUE"""),"Fresh Salt")</f>
        <v>Fresh Salt</v>
      </c>
      <c r="D199" s="79" t="str">
        <f>IFERROR(__xludf.DUMMYFUNCTION("""COMPUTED_VALUE"""),"Amex Gold")</f>
        <v>Amex Gold</v>
      </c>
      <c r="E199" s="79" t="str">
        <f>IFERROR(__xludf.DUMMYFUNCTION("""COMPUTED_VALUE"""),"Alcohol/Weed")</f>
        <v>Alcohol/Weed</v>
      </c>
      <c r="F199" s="79" t="str">
        <f>IFERROR(__xludf.DUMMYFUNCTION("""COMPUTED_VALUE"""),"Gil")</f>
        <v>Gil</v>
      </c>
      <c r="G199" s="107">
        <f t="shared" si="1"/>
        <v>8.24</v>
      </c>
      <c r="H199" s="108" t="str">
        <f t="shared" si="2"/>
        <v>Apr</v>
      </c>
    </row>
    <row r="200">
      <c r="A200" s="106">
        <f>IFERROR(__xludf.DUMMYFUNCTION("""COMPUTED_VALUE"""),45367.0)</f>
        <v>45367</v>
      </c>
      <c r="B200" s="103">
        <f>IFERROR(__xludf.DUMMYFUNCTION("""COMPUTED_VALUE"""),13.06)</f>
        <v>13.06</v>
      </c>
      <c r="C200" s="79" t="str">
        <f>IFERROR(__xludf.DUMMYFUNCTION("""COMPUTED_VALUE"""),"Birch Coffee - Chemex Filters")</f>
        <v>Birch Coffee - Chemex Filters</v>
      </c>
      <c r="D200" s="79" t="str">
        <f>IFERROR(__xludf.DUMMYFUNCTION("""COMPUTED_VALUE"""),"Amex Gold")</f>
        <v>Amex Gold</v>
      </c>
      <c r="E200" s="79" t="str">
        <f>IFERROR(__xludf.DUMMYFUNCTION("""COMPUTED_VALUE"""),"Household")</f>
        <v>Household</v>
      </c>
      <c r="F200" s="79" t="str">
        <f>IFERROR(__xludf.DUMMYFUNCTION("""COMPUTED_VALUE"""),"Gil")</f>
        <v>Gil</v>
      </c>
      <c r="G200" s="107">
        <f t="shared" si="1"/>
        <v>6.53</v>
      </c>
      <c r="H200" s="108" t="str">
        <f t="shared" si="2"/>
        <v>Mar</v>
      </c>
    </row>
    <row r="201">
      <c r="A201" s="106">
        <f>IFERROR(__xludf.DUMMYFUNCTION("""COMPUTED_VALUE"""),45373.0)</f>
        <v>45373</v>
      </c>
      <c r="B201" s="103">
        <f>IFERROR(__xludf.DUMMYFUNCTION("""COMPUTED_VALUE"""),104.11)</f>
        <v>104.11</v>
      </c>
      <c r="C201" s="79" t="str">
        <f>IFERROR(__xludf.DUMMYFUNCTION("""COMPUTED_VALUE"""),"Walker's")</f>
        <v>Walker's</v>
      </c>
      <c r="D201" s="79" t="str">
        <f>IFERROR(__xludf.DUMMYFUNCTION("""COMPUTED_VALUE"""),"Amex Gold")</f>
        <v>Amex Gold</v>
      </c>
      <c r="E201" s="79" t="str">
        <f>IFERROR(__xludf.DUMMYFUNCTION("""COMPUTED_VALUE"""),"Meals")</f>
        <v>Meals</v>
      </c>
      <c r="F201" s="79" t="str">
        <f>IFERROR(__xludf.DUMMYFUNCTION("""COMPUTED_VALUE"""),"Gil")</f>
        <v>Gil</v>
      </c>
      <c r="G201" s="107">
        <f t="shared" si="1"/>
        <v>52.055</v>
      </c>
      <c r="H201" s="108" t="str">
        <f t="shared" si="2"/>
        <v>Mar</v>
      </c>
    </row>
    <row r="202">
      <c r="A202" s="106">
        <f>IFERROR(__xludf.DUMMYFUNCTION("""COMPUTED_VALUE"""),45382.0)</f>
        <v>45382</v>
      </c>
      <c r="B202" s="103">
        <f>IFERROR(__xludf.DUMMYFUNCTION("""COMPUTED_VALUE"""),169.5)</f>
        <v>169.5</v>
      </c>
      <c r="C202" s="79" t="str">
        <f>IFERROR(__xludf.DUMMYFUNCTION("""COMPUTED_VALUE"""),"Amex Blue Expenses")</f>
        <v>Amex Blue Expenses</v>
      </c>
      <c r="D202" s="79" t="str">
        <f>IFERROR(__xludf.DUMMYFUNCTION("""COMPUTED_VALUE"""),"Shaeffer ONLY")</f>
        <v>Shaeffer ONLY</v>
      </c>
      <c r="E202" s="79"/>
      <c r="F202" s="79" t="str">
        <f>IFERROR(__xludf.DUMMYFUNCTION("""COMPUTED_VALUE"""),"Gil")</f>
        <v>Gil</v>
      </c>
      <c r="G202" s="107">
        <f t="shared" si="1"/>
        <v>84.75</v>
      </c>
      <c r="H202" s="108" t="str">
        <f t="shared" si="2"/>
        <v>Mar</v>
      </c>
    </row>
    <row r="203">
      <c r="A203" s="106">
        <f>IFERROR(__xludf.DUMMYFUNCTION("""COMPUTED_VALUE"""),45380.0)</f>
        <v>45380</v>
      </c>
      <c r="B203" s="103">
        <f>IFERROR(__xludf.DUMMYFUNCTION("""COMPUTED_VALUE"""),12.0)</f>
        <v>12</v>
      </c>
      <c r="C203" s="79" t="str">
        <f>IFERROR(__xludf.DUMMYFUNCTION("""COMPUTED_VALUE"""),"Our Daily Bread")</f>
        <v>Our Daily Bread</v>
      </c>
      <c r="D203" s="79" t="str">
        <f>IFERROR(__xludf.DUMMYFUNCTION("""COMPUTED_VALUE"""),"Amex Blue")</f>
        <v>Amex Blue</v>
      </c>
      <c r="E203" s="79" t="str">
        <f>IFERROR(__xludf.DUMMYFUNCTION("""COMPUTED_VALUE"""),"Groceries")</f>
        <v>Groceries</v>
      </c>
      <c r="F203" s="79" t="str">
        <f>IFERROR(__xludf.DUMMYFUNCTION("""COMPUTED_VALUE"""),"Gil")</f>
        <v>Gil</v>
      </c>
      <c r="G203" s="107">
        <f t="shared" si="1"/>
        <v>6</v>
      </c>
      <c r="H203" s="108" t="str">
        <f t="shared" si="2"/>
        <v>Mar</v>
      </c>
    </row>
    <row r="204">
      <c r="A204" s="106">
        <f>IFERROR(__xludf.DUMMYFUNCTION("""COMPUTED_VALUE"""),45379.0)</f>
        <v>45379</v>
      </c>
      <c r="B204" s="103">
        <f>IFERROR(__xludf.DUMMYFUNCTION("""COMPUTED_VALUE"""),16.86)</f>
        <v>16.86</v>
      </c>
      <c r="C204" s="79" t="str">
        <f>IFERROR(__xludf.DUMMYFUNCTION("""COMPUTED_VALUE"""),"Netflix")</f>
        <v>Netflix</v>
      </c>
      <c r="D204" s="79" t="str">
        <f>IFERROR(__xludf.DUMMYFUNCTION("""COMPUTED_VALUE"""),"Amex Blue")</f>
        <v>Amex Blue</v>
      </c>
      <c r="E204" s="79" t="str">
        <f>IFERROR(__xludf.DUMMYFUNCTION("""COMPUTED_VALUE"""),"Subscriptions")</f>
        <v>Subscriptions</v>
      </c>
      <c r="F204" s="79" t="str">
        <f>IFERROR(__xludf.DUMMYFUNCTION("""COMPUTED_VALUE"""),"Gil")</f>
        <v>Gil</v>
      </c>
      <c r="G204" s="107">
        <f t="shared" si="1"/>
        <v>8.43</v>
      </c>
      <c r="H204" s="108" t="str">
        <f t="shared" si="2"/>
        <v>Mar</v>
      </c>
    </row>
    <row r="205">
      <c r="A205" s="106">
        <f>IFERROR(__xludf.DUMMYFUNCTION("""COMPUTED_VALUE"""),45375.0)</f>
        <v>45375</v>
      </c>
      <c r="B205" s="103">
        <f>IFERROR(__xludf.DUMMYFUNCTION("""COMPUTED_VALUE"""),95.0)</f>
        <v>95</v>
      </c>
      <c r="C205" s="79" t="str">
        <f>IFERROR(__xludf.DUMMYFUNCTION("""COMPUTED_VALUE"""),"Annual Fee")</f>
        <v>Annual Fee</v>
      </c>
      <c r="D205" s="79" t="str">
        <f>IFERROR(__xludf.DUMMYFUNCTION("""COMPUTED_VALUE"""),"Amex Blue")</f>
        <v>Amex Blue</v>
      </c>
      <c r="E205" s="79" t="str">
        <f>IFERROR(__xludf.DUMMYFUNCTION("""COMPUTED_VALUE"""),"Other")</f>
        <v>Other</v>
      </c>
      <c r="F205" s="79" t="str">
        <f>IFERROR(__xludf.DUMMYFUNCTION("""COMPUTED_VALUE"""),"Gil")</f>
        <v>Gil</v>
      </c>
      <c r="G205" s="107">
        <f t="shared" si="1"/>
        <v>47.5</v>
      </c>
      <c r="H205" s="108" t="str">
        <f t="shared" si="2"/>
        <v>Mar</v>
      </c>
    </row>
    <row r="206">
      <c r="A206" s="106">
        <f>IFERROR(__xludf.DUMMYFUNCTION("""COMPUTED_VALUE"""),45372.0)</f>
        <v>45372</v>
      </c>
      <c r="B206" s="103">
        <f>IFERROR(__xludf.DUMMYFUNCTION("""COMPUTED_VALUE"""),10.87)</f>
        <v>10.87</v>
      </c>
      <c r="C206" s="79" t="str">
        <f>IFERROR(__xludf.DUMMYFUNCTION("""COMPUTED_VALUE"""),"Irving Bottle")</f>
        <v>Irving Bottle</v>
      </c>
      <c r="D206" s="79" t="str">
        <f>IFERROR(__xludf.DUMMYFUNCTION("""COMPUTED_VALUE"""),"Amex Blue")</f>
        <v>Amex Blue</v>
      </c>
      <c r="E206" s="79" t="str">
        <f>IFERROR(__xludf.DUMMYFUNCTION("""COMPUTED_VALUE"""),"Alcohol/Weed")</f>
        <v>Alcohol/Weed</v>
      </c>
      <c r="F206" s="79" t="str">
        <f>IFERROR(__xludf.DUMMYFUNCTION("""COMPUTED_VALUE"""),"Gil")</f>
        <v>Gil</v>
      </c>
      <c r="G206" s="107">
        <f t="shared" si="1"/>
        <v>5.435</v>
      </c>
      <c r="H206" s="108" t="str">
        <f t="shared" si="2"/>
        <v>Mar</v>
      </c>
    </row>
    <row r="207">
      <c r="A207" s="106">
        <f>IFERROR(__xludf.DUMMYFUNCTION("""COMPUTED_VALUE"""),45369.0)</f>
        <v>45369</v>
      </c>
      <c r="B207" s="103">
        <f>IFERROR(__xludf.DUMMYFUNCTION("""COMPUTED_VALUE"""),52.39)</f>
        <v>52.39</v>
      </c>
      <c r="C207" s="79" t="str">
        <f>IFERROR(__xludf.DUMMYFUNCTION("""COMPUTED_VALUE"""),"Whole Foods")</f>
        <v>Whole Foods</v>
      </c>
      <c r="D207" s="79" t="str">
        <f>IFERROR(__xludf.DUMMYFUNCTION("""COMPUTED_VALUE"""),"Amex Blue")</f>
        <v>Amex Blue</v>
      </c>
      <c r="E207" s="79" t="str">
        <f>IFERROR(__xludf.DUMMYFUNCTION("""COMPUTED_VALUE"""),"Groceries")</f>
        <v>Groceries</v>
      </c>
      <c r="F207" s="79" t="str">
        <f>IFERROR(__xludf.DUMMYFUNCTION("""COMPUTED_VALUE"""),"Gil")</f>
        <v>Gil</v>
      </c>
      <c r="G207" s="107">
        <f t="shared" si="1"/>
        <v>26.195</v>
      </c>
      <c r="H207" s="108" t="str">
        <f t="shared" si="2"/>
        <v>Mar</v>
      </c>
    </row>
    <row r="208">
      <c r="A208" s="106">
        <f>IFERROR(__xludf.DUMMYFUNCTION("""COMPUTED_VALUE"""),45359.0)</f>
        <v>45359</v>
      </c>
      <c r="B208" s="103">
        <f>IFERROR(__xludf.DUMMYFUNCTION("""COMPUTED_VALUE"""),10.17)</f>
        <v>10.17</v>
      </c>
      <c r="C208" s="79" t="str">
        <f>IFERROR(__xludf.DUMMYFUNCTION("""COMPUTED_VALUE"""),"Galaxy Deli")</f>
        <v>Galaxy Deli</v>
      </c>
      <c r="D208" s="79" t="str">
        <f>IFERROR(__xludf.DUMMYFUNCTION("""COMPUTED_VALUE"""),"Amex Blue")</f>
        <v>Amex Blue</v>
      </c>
      <c r="E208" s="79" t="str">
        <f>IFERROR(__xludf.DUMMYFUNCTION("""COMPUTED_VALUE"""),"Groceries")</f>
        <v>Groceries</v>
      </c>
      <c r="F208" s="79" t="str">
        <f>IFERROR(__xludf.DUMMYFUNCTION("""COMPUTED_VALUE"""),"Gil")</f>
        <v>Gil</v>
      </c>
      <c r="G208" s="107">
        <f t="shared" si="1"/>
        <v>5.085</v>
      </c>
      <c r="H208" s="108" t="str">
        <f t="shared" si="2"/>
        <v>Mar</v>
      </c>
    </row>
    <row r="209">
      <c r="A209" s="106">
        <f>IFERROR(__xludf.DUMMYFUNCTION("""COMPUTED_VALUE"""),45354.0)</f>
        <v>45354</v>
      </c>
      <c r="B209" s="103">
        <f>IFERROR(__xludf.DUMMYFUNCTION("""COMPUTED_VALUE"""),24.45)</f>
        <v>24.45</v>
      </c>
      <c r="C209" s="79" t="str">
        <f>IFERROR(__xludf.DUMMYFUNCTION("""COMPUTED_VALUE"""),"Mr. Lemon")</f>
        <v>Mr. Lemon</v>
      </c>
      <c r="D209" s="79" t="str">
        <f>IFERROR(__xludf.DUMMYFUNCTION("""COMPUTED_VALUE"""),"Amex Blue")</f>
        <v>Amex Blue</v>
      </c>
      <c r="E209" s="79" t="str">
        <f>IFERROR(__xludf.DUMMYFUNCTION("""COMPUTED_VALUE"""),"Groceries")</f>
        <v>Groceries</v>
      </c>
      <c r="F209" s="79" t="str">
        <f>IFERROR(__xludf.DUMMYFUNCTION("""COMPUTED_VALUE"""),"Gil")</f>
        <v>Gil</v>
      </c>
      <c r="G209" s="107">
        <f t="shared" si="1"/>
        <v>12.225</v>
      </c>
      <c r="H209" s="108" t="str">
        <f t="shared" si="2"/>
        <v>Mar</v>
      </c>
    </row>
    <row r="210">
      <c r="A210" s="106">
        <f>IFERROR(__xludf.DUMMYFUNCTION("""COMPUTED_VALUE"""),45369.0)</f>
        <v>45369</v>
      </c>
      <c r="B210" s="103">
        <f>IFERROR(__xludf.DUMMYFUNCTION("""COMPUTED_VALUE"""),16.32)</f>
        <v>16.32</v>
      </c>
      <c r="C210" s="79" t="str">
        <f>IFERROR(__xludf.DUMMYFUNCTION("""COMPUTED_VALUE"""),"Amazon Prime Subscription")</f>
        <v>Amazon Prime Subscription</v>
      </c>
      <c r="D210" s="79" t="str">
        <f>IFERROR(__xludf.DUMMYFUNCTION("""COMPUTED_VALUE"""),"Amazon Prime Chase")</f>
        <v>Amazon Prime Chase</v>
      </c>
      <c r="E210" s="79" t="str">
        <f>IFERROR(__xludf.DUMMYFUNCTION("""COMPUTED_VALUE"""),"Subscriptions")</f>
        <v>Subscriptions</v>
      </c>
      <c r="F210" s="79" t="str">
        <f>IFERROR(__xludf.DUMMYFUNCTION("""COMPUTED_VALUE"""),"Gil")</f>
        <v>Gil</v>
      </c>
      <c r="G210" s="107">
        <f t="shared" si="1"/>
        <v>8.16</v>
      </c>
      <c r="H210" s="108" t="str">
        <f t="shared" si="2"/>
        <v>Mar</v>
      </c>
    </row>
    <row r="211">
      <c r="A211" s="106">
        <f>IFERROR(__xludf.DUMMYFUNCTION("""COMPUTED_VALUE"""),45353.0)</f>
        <v>45353</v>
      </c>
      <c r="B211" s="103">
        <f>IFERROR(__xludf.DUMMYFUNCTION("""COMPUTED_VALUE"""),24.85)</f>
        <v>24.85</v>
      </c>
      <c r="C211" s="79" t="str">
        <f>IFERROR(__xludf.DUMMYFUNCTION("""COMPUTED_VALUE"""),"Amazon - Magnesium")</f>
        <v>Amazon - Magnesium</v>
      </c>
      <c r="D211" s="79" t="str">
        <f>IFERROR(__xludf.DUMMYFUNCTION("""COMPUTED_VALUE"""),"Amazon Prime Chase")</f>
        <v>Amazon Prime Chase</v>
      </c>
      <c r="E211" s="79" t="str">
        <f>IFERROR(__xludf.DUMMYFUNCTION("""COMPUTED_VALUE"""),"Household")</f>
        <v>Household</v>
      </c>
      <c r="F211" s="79" t="str">
        <f>IFERROR(__xludf.DUMMYFUNCTION("""COMPUTED_VALUE"""),"Gil")</f>
        <v>Gil</v>
      </c>
      <c r="G211" s="107">
        <f t="shared" si="1"/>
        <v>12.425</v>
      </c>
      <c r="H211" s="108" t="str">
        <f t="shared" si="2"/>
        <v>Mar</v>
      </c>
    </row>
    <row r="212">
      <c r="A212" s="106">
        <f>IFERROR(__xludf.DUMMYFUNCTION("""COMPUTED_VALUE"""),45365.0)</f>
        <v>45365</v>
      </c>
      <c r="B212" s="103">
        <f>IFERROR(__xludf.DUMMYFUNCTION("""COMPUTED_VALUE"""),26.29)</f>
        <v>26.29</v>
      </c>
      <c r="C212" s="79" t="str">
        <f>IFERROR(__xludf.DUMMYFUNCTION("""COMPUTED_VALUE"""),"uberEats - CapitalONE")</f>
        <v>uberEats - CapitalONE</v>
      </c>
      <c r="D212" s="79" t="str">
        <f>IFERROR(__xludf.DUMMYFUNCTION("""COMPUTED_VALUE"""),"Shaeffer ONLY")</f>
        <v>Shaeffer ONLY</v>
      </c>
      <c r="E212" s="79"/>
      <c r="F212" s="79" t="str">
        <f>IFERROR(__xludf.DUMMYFUNCTION("""COMPUTED_VALUE"""),"Gil")</f>
        <v>Gil</v>
      </c>
      <c r="G212" s="107">
        <f t="shared" si="1"/>
        <v>13.145</v>
      </c>
      <c r="H212" s="108" t="str">
        <f t="shared" si="2"/>
        <v>Mar</v>
      </c>
    </row>
    <row r="213">
      <c r="A213" s="106">
        <f>IFERROR(__xludf.DUMMYFUNCTION("""COMPUTED_VALUE"""),45395.0)</f>
        <v>45395</v>
      </c>
      <c r="B213" s="103">
        <f>IFERROR(__xludf.DUMMYFUNCTION("""COMPUTED_VALUE"""),-5.22)</f>
        <v>-5.22</v>
      </c>
      <c r="C213" s="79" t="str">
        <f>IFERROR(__xludf.DUMMYFUNCTION("""COMPUTED_VALUE"""),"Rewards Redemption")</f>
        <v>Rewards Redemption</v>
      </c>
      <c r="D213" s="79" t="str">
        <f>IFERROR(__xludf.DUMMYFUNCTION("""COMPUTED_VALUE"""),"Capital ONE")</f>
        <v>Capital ONE</v>
      </c>
      <c r="E213" s="79" t="str">
        <f>IFERROR(__xludf.DUMMYFUNCTION("""COMPUTED_VALUE"""),"Other")</f>
        <v>Other</v>
      </c>
      <c r="F213" s="79" t="str">
        <f>IFERROR(__xludf.DUMMYFUNCTION("""COMPUTED_VALUE"""),"Gil")</f>
        <v>Gil</v>
      </c>
      <c r="G213" s="107">
        <f t="shared" si="1"/>
        <v>-2.61</v>
      </c>
      <c r="H213" s="108" t="str">
        <f t="shared" si="2"/>
        <v>Apr</v>
      </c>
    </row>
    <row r="214">
      <c r="A214" s="106">
        <f>IFERROR(__xludf.DUMMYFUNCTION("""COMPUTED_VALUE"""),45361.0)</f>
        <v>45361</v>
      </c>
      <c r="B214" s="103">
        <f>IFERROR(__xludf.DUMMYFUNCTION("""COMPUTED_VALUE"""),5.22)</f>
        <v>5.22</v>
      </c>
      <c r="C214" s="79" t="str">
        <f>IFERROR(__xludf.DUMMYFUNCTION("""COMPUTED_VALUE"""),"Walgreens")</f>
        <v>Walgreens</v>
      </c>
      <c r="D214" s="79" t="str">
        <f>IFERROR(__xludf.DUMMYFUNCTION("""COMPUTED_VALUE"""),"Discover")</f>
        <v>Discover</v>
      </c>
      <c r="E214" s="79" t="str">
        <f>IFERROR(__xludf.DUMMYFUNCTION("""COMPUTED_VALUE"""),"Household")</f>
        <v>Household</v>
      </c>
      <c r="F214" s="79" t="str">
        <f>IFERROR(__xludf.DUMMYFUNCTION("""COMPUTED_VALUE"""),"Gil")</f>
        <v>Gil</v>
      </c>
      <c r="G214" s="107">
        <f t="shared" si="1"/>
        <v>2.61</v>
      </c>
      <c r="H214" s="108" t="str">
        <f t="shared" si="2"/>
        <v>Mar</v>
      </c>
    </row>
    <row r="215">
      <c r="A215" s="106">
        <f>IFERROR(__xludf.DUMMYFUNCTION("""COMPUTED_VALUE"""),45395.0)</f>
        <v>45395</v>
      </c>
      <c r="B215" s="103">
        <f>IFERROR(__xludf.DUMMYFUNCTION("""COMPUTED_VALUE"""),-1.35)</f>
        <v>-1.35</v>
      </c>
      <c r="C215" s="79" t="str">
        <f>IFERROR(__xludf.DUMMYFUNCTION("""COMPUTED_VALUE"""),"Cashback Redemption")</f>
        <v>Cashback Redemption</v>
      </c>
      <c r="D215" s="79" t="str">
        <f>IFERROR(__xludf.DUMMYFUNCTION("""COMPUTED_VALUE"""),"Discover")</f>
        <v>Discover</v>
      </c>
      <c r="E215" s="79" t="str">
        <f>IFERROR(__xludf.DUMMYFUNCTION("""COMPUTED_VALUE"""),"Other")</f>
        <v>Other</v>
      </c>
      <c r="F215" s="79" t="str">
        <f>IFERROR(__xludf.DUMMYFUNCTION("""COMPUTED_VALUE"""),"Gil")</f>
        <v>Gil</v>
      </c>
      <c r="G215" s="107">
        <f t="shared" si="1"/>
        <v>-0.675</v>
      </c>
      <c r="H215" s="108" t="str">
        <f t="shared" si="2"/>
        <v>Apr</v>
      </c>
    </row>
    <row r="216">
      <c r="A216" s="106">
        <f>IFERROR(__xludf.DUMMYFUNCTION("""COMPUTED_VALUE"""),45396.0)</f>
        <v>45396</v>
      </c>
      <c r="B216" s="103">
        <f>IFERROR(__xludf.DUMMYFUNCTION("""COMPUTED_VALUE"""),40.0)</f>
        <v>40</v>
      </c>
      <c r="C216" s="79" t="str">
        <f>IFERROR(__xludf.DUMMYFUNCTION("""COMPUTED_VALUE"""),"laundry")</f>
        <v>laundry</v>
      </c>
      <c r="D216" s="79" t="str">
        <f>IFERROR(__xludf.DUMMYFUNCTION("""COMPUTED_VALUE"""),"Cash")</f>
        <v>Cash</v>
      </c>
      <c r="E216" s="79" t="str">
        <f>IFERROR(__xludf.DUMMYFUNCTION("""COMPUTED_VALUE"""),"Household")</f>
        <v>Household</v>
      </c>
      <c r="F216" s="79" t="str">
        <f>IFERROR(__xludf.DUMMYFUNCTION("""COMPUTED_VALUE"""),"Shaeffer")</f>
        <v>Shaeffer</v>
      </c>
      <c r="G216" s="107">
        <f t="shared" si="1"/>
        <v>20</v>
      </c>
      <c r="H216" s="108" t="str">
        <f t="shared" si="2"/>
        <v>Apr</v>
      </c>
    </row>
    <row r="217">
      <c r="A217" s="106">
        <f>IFERROR(__xludf.DUMMYFUNCTION("""COMPUTED_VALUE"""),45397.0)</f>
        <v>45397</v>
      </c>
      <c r="B217" s="103">
        <f>IFERROR(__xludf.DUMMYFUNCTION("""COMPUTED_VALUE"""),42.99)</f>
        <v>42.99</v>
      </c>
      <c r="C217" s="79" t="str">
        <f>IFERROR(__xludf.DUMMYFUNCTION("""COMPUTED_VALUE"""),"Whole Foods")</f>
        <v>Whole Foods</v>
      </c>
      <c r="D217" s="79" t="str">
        <f>IFERROR(__xludf.DUMMYFUNCTION("""COMPUTED_VALUE"""),"Amex Blue")</f>
        <v>Amex Blue</v>
      </c>
      <c r="E217" s="79" t="str">
        <f>IFERROR(__xludf.DUMMYFUNCTION("""COMPUTED_VALUE"""),"Groceries")</f>
        <v>Groceries</v>
      </c>
      <c r="F217" s="79" t="str">
        <f>IFERROR(__xludf.DUMMYFUNCTION("""COMPUTED_VALUE"""),"Gil")</f>
        <v>Gil</v>
      </c>
      <c r="G217" s="107">
        <f t="shared" si="1"/>
        <v>21.495</v>
      </c>
      <c r="H217" s="108" t="str">
        <f t="shared" si="2"/>
        <v>Apr</v>
      </c>
    </row>
    <row r="218">
      <c r="A218" s="106">
        <f>IFERROR(__xludf.DUMMYFUNCTION("""COMPUTED_VALUE"""),45397.0)</f>
        <v>45397</v>
      </c>
      <c r="B218" s="103">
        <f>IFERROR(__xludf.DUMMYFUNCTION("""COMPUTED_VALUE"""),388.68)</f>
        <v>388.68</v>
      </c>
      <c r="C218" s="79" t="str">
        <f>IFERROR(__xludf.DUMMYFUNCTION("""COMPUTED_VALUE"""),"TurboTax Tax Preparation")</f>
        <v>TurboTax Tax Preparation</v>
      </c>
      <c r="D218" s="79" t="str">
        <f>IFERROR(__xludf.DUMMYFUNCTION("""COMPUTED_VALUE"""),"Wells Fargo")</f>
        <v>Wells Fargo</v>
      </c>
      <c r="E218" s="79" t="str">
        <f>IFERROR(__xludf.DUMMYFUNCTION("""COMPUTED_VALUE"""),"Other")</f>
        <v>Other</v>
      </c>
      <c r="F218" s="79" t="str">
        <f>IFERROR(__xludf.DUMMYFUNCTION("""COMPUTED_VALUE"""),"Gil")</f>
        <v>Gil</v>
      </c>
      <c r="G218" s="107">
        <f t="shared" si="1"/>
        <v>194.34</v>
      </c>
      <c r="H218" s="108" t="str">
        <f t="shared" si="2"/>
        <v>Apr</v>
      </c>
    </row>
    <row r="219">
      <c r="A219" s="106">
        <f>IFERROR(__xludf.DUMMYFUNCTION("""COMPUTED_VALUE"""),45399.0)</f>
        <v>45399</v>
      </c>
      <c r="B219" s="103">
        <f>IFERROR(__xludf.DUMMYFUNCTION("""COMPUTED_VALUE"""),72.18)</f>
        <v>72.18</v>
      </c>
      <c r="C219" s="79" t="str">
        <f>IFERROR(__xludf.DUMMYFUNCTION("""COMPUTED_VALUE"""),"Amazon S&amp;S - AF Drinks")</f>
        <v>Amazon S&amp;S - AF Drinks</v>
      </c>
      <c r="D219" s="79" t="str">
        <f>IFERROR(__xludf.DUMMYFUNCTION("""COMPUTED_VALUE"""),"Amazon Prime Chase")</f>
        <v>Amazon Prime Chase</v>
      </c>
      <c r="E219" s="79" t="str">
        <f>IFERROR(__xludf.DUMMYFUNCTION("""COMPUTED_VALUE"""),"Groceries")</f>
        <v>Groceries</v>
      </c>
      <c r="F219" s="79" t="str">
        <f>IFERROR(__xludf.DUMMYFUNCTION("""COMPUTED_VALUE"""),"Gil")</f>
        <v>Gil</v>
      </c>
      <c r="G219" s="107">
        <f t="shared" si="1"/>
        <v>36.09</v>
      </c>
      <c r="H219" s="108" t="str">
        <f t="shared" si="2"/>
        <v>Apr</v>
      </c>
    </row>
    <row r="220">
      <c r="A220" s="106">
        <f>IFERROR(__xludf.DUMMYFUNCTION("""COMPUTED_VALUE"""),45399.0)</f>
        <v>45399</v>
      </c>
      <c r="B220" s="103">
        <f>IFERROR(__xludf.DUMMYFUNCTION("""COMPUTED_VALUE"""),21.61)</f>
        <v>21.61</v>
      </c>
      <c r="C220" s="79" t="str">
        <f>IFERROR(__xludf.DUMMYFUNCTION("""COMPUTED_VALUE"""),"Amazon Studio Supplies - From March")</f>
        <v>Amazon Studio Supplies - From March</v>
      </c>
      <c r="D220" s="79" t="str">
        <f>IFERROR(__xludf.DUMMYFUNCTION("""COMPUTED_VALUE"""),"Shaeffer ONLY")</f>
        <v>Shaeffer ONLY</v>
      </c>
      <c r="E220" s="79"/>
      <c r="F220" s="79" t="str">
        <f>IFERROR(__xludf.DUMMYFUNCTION("""COMPUTED_VALUE"""),"Gil")</f>
        <v>Gil</v>
      </c>
      <c r="G220" s="107">
        <f t="shared" si="1"/>
        <v>10.805</v>
      </c>
      <c r="H220" s="108" t="str">
        <f t="shared" si="2"/>
        <v>Apr</v>
      </c>
    </row>
    <row r="221">
      <c r="A221" s="106">
        <f>IFERROR(__xludf.DUMMYFUNCTION("""COMPUTED_VALUE"""),45399.0)</f>
        <v>45399</v>
      </c>
      <c r="B221" s="103">
        <f>IFERROR(__xludf.DUMMYFUNCTION("""COMPUTED_VALUE"""),28.35)</f>
        <v>28.35</v>
      </c>
      <c r="C221" s="79" t="str">
        <f>IFERROR(__xludf.DUMMYFUNCTION("""COMPUTED_VALUE"""),"Amazon - Shaeffer's Protein Powder")</f>
        <v>Amazon - Shaeffer's Protein Powder</v>
      </c>
      <c r="D221" s="79" t="str">
        <f>IFERROR(__xludf.DUMMYFUNCTION("""COMPUTED_VALUE"""),"Shaeffer ONLY")</f>
        <v>Shaeffer ONLY</v>
      </c>
      <c r="E221" s="79"/>
      <c r="F221" s="79" t="str">
        <f>IFERROR(__xludf.DUMMYFUNCTION("""COMPUTED_VALUE"""),"Gil")</f>
        <v>Gil</v>
      </c>
      <c r="G221" s="107">
        <f t="shared" si="1"/>
        <v>14.175</v>
      </c>
      <c r="H221" s="108" t="str">
        <f t="shared" si="2"/>
        <v>Apr</v>
      </c>
    </row>
    <row r="222">
      <c r="A222" s="106">
        <f>IFERROR(__xludf.DUMMYFUNCTION("""COMPUTED_VALUE"""),45402.0)</f>
        <v>45402</v>
      </c>
      <c r="B222" s="103">
        <f>IFERROR(__xludf.DUMMYFUNCTION("""COMPUTED_VALUE"""),22.11)</f>
        <v>22.11</v>
      </c>
      <c r="C222" s="79" t="str">
        <f>IFERROR(__xludf.DUMMYFUNCTION("""COMPUTED_VALUE"""),"National Grid")</f>
        <v>National Grid</v>
      </c>
      <c r="D222" s="79" t="str">
        <f>IFERROR(__xludf.DUMMYFUNCTION("""COMPUTED_VALUE"""),"Checking")</f>
        <v>Checking</v>
      </c>
      <c r="E222" s="79" t="str">
        <f>IFERROR(__xludf.DUMMYFUNCTION("""COMPUTED_VALUE"""),"Utilities")</f>
        <v>Utilities</v>
      </c>
      <c r="F222" s="79" t="str">
        <f>IFERROR(__xludf.DUMMYFUNCTION("""COMPUTED_VALUE"""),"Gil")</f>
        <v>Gil</v>
      </c>
      <c r="G222" s="107">
        <f t="shared" si="1"/>
        <v>11.055</v>
      </c>
      <c r="H222" s="108" t="str">
        <f t="shared" si="2"/>
        <v>Apr</v>
      </c>
    </row>
    <row r="223">
      <c r="A223" s="106">
        <f>IFERROR(__xludf.DUMMYFUNCTION("""COMPUTED_VALUE"""),45402.0)</f>
        <v>45402</v>
      </c>
      <c r="B223" s="103">
        <f>IFERROR(__xludf.DUMMYFUNCTION("""COMPUTED_VALUE"""),171.43)</f>
        <v>171.43</v>
      </c>
      <c r="C223" s="79" t="str">
        <f>IFERROR(__xludf.DUMMYFUNCTION("""COMPUTED_VALUE"""),"T-mobile - March")</f>
        <v>T-mobile - March</v>
      </c>
      <c r="D223" s="79" t="str">
        <f>IFERROR(__xludf.DUMMYFUNCTION("""COMPUTED_VALUE"""),"Checking")</f>
        <v>Checking</v>
      </c>
      <c r="E223" s="79" t="str">
        <f>IFERROR(__xludf.DUMMYFUNCTION("""COMPUTED_VALUE"""),"Mobile Phone")</f>
        <v>Mobile Phone</v>
      </c>
      <c r="F223" s="79" t="str">
        <f>IFERROR(__xludf.DUMMYFUNCTION("""COMPUTED_VALUE"""),"Gil")</f>
        <v>Gil</v>
      </c>
      <c r="G223" s="107">
        <f t="shared" si="1"/>
        <v>85.715</v>
      </c>
      <c r="H223" s="108" t="str">
        <f t="shared" si="2"/>
        <v>Apr</v>
      </c>
    </row>
    <row r="224">
      <c r="A224" s="106">
        <f>IFERROR(__xludf.DUMMYFUNCTION("""COMPUTED_VALUE"""),45402.0)</f>
        <v>45402</v>
      </c>
      <c r="B224" s="103">
        <f>IFERROR(__xludf.DUMMYFUNCTION("""COMPUTED_VALUE"""),171.43)</f>
        <v>171.43</v>
      </c>
      <c r="C224" s="79" t="str">
        <f>IFERROR(__xludf.DUMMYFUNCTION("""COMPUTED_VALUE"""),"T-mobile - April")</f>
        <v>T-mobile - April</v>
      </c>
      <c r="D224" s="79" t="str">
        <f>IFERROR(__xludf.DUMMYFUNCTION("""COMPUTED_VALUE"""),"Checking")</f>
        <v>Checking</v>
      </c>
      <c r="E224" s="79" t="str">
        <f>IFERROR(__xludf.DUMMYFUNCTION("""COMPUTED_VALUE"""),"Mobile Phone")</f>
        <v>Mobile Phone</v>
      </c>
      <c r="F224" s="79" t="str">
        <f>IFERROR(__xludf.DUMMYFUNCTION("""COMPUTED_VALUE"""),"Gil")</f>
        <v>Gil</v>
      </c>
      <c r="G224" s="107">
        <f t="shared" si="1"/>
        <v>85.715</v>
      </c>
      <c r="H224" s="108" t="str">
        <f t="shared" si="2"/>
        <v>Apr</v>
      </c>
    </row>
    <row r="225">
      <c r="A225" s="106">
        <f>IFERROR(__xludf.DUMMYFUNCTION("""COMPUTED_VALUE"""),45400.0)</f>
        <v>45400</v>
      </c>
      <c r="B225" s="103">
        <f>IFERROR(__xludf.DUMMYFUNCTION("""COMPUTED_VALUE"""),109.75)</f>
        <v>109.75</v>
      </c>
      <c r="C225" s="79" t="str">
        <f>IFERROR(__xludf.DUMMYFUNCTION("""COMPUTED_VALUE"""),"Della's")</f>
        <v>Della's</v>
      </c>
      <c r="D225" s="79" t="str">
        <f>IFERROR(__xludf.DUMMYFUNCTION("""COMPUTED_VALUE"""),"Amex Gold")</f>
        <v>Amex Gold</v>
      </c>
      <c r="E225" s="79" t="str">
        <f>IFERROR(__xludf.DUMMYFUNCTION("""COMPUTED_VALUE"""),"Meals")</f>
        <v>Meals</v>
      </c>
      <c r="F225" s="79" t="str">
        <f>IFERROR(__xludf.DUMMYFUNCTION("""COMPUTED_VALUE"""),"Gil")</f>
        <v>Gil</v>
      </c>
      <c r="G225" s="107">
        <f t="shared" si="1"/>
        <v>54.875</v>
      </c>
      <c r="H225" s="108" t="str">
        <f t="shared" si="2"/>
        <v>Apr</v>
      </c>
    </row>
    <row r="226">
      <c r="A226" s="106">
        <f>IFERROR(__xludf.DUMMYFUNCTION("""COMPUTED_VALUE"""),45400.0)</f>
        <v>45400</v>
      </c>
      <c r="B226" s="103">
        <f>IFERROR(__xludf.DUMMYFUNCTION("""COMPUTED_VALUE"""),28.31)</f>
        <v>28.31</v>
      </c>
      <c r="C226" s="79" t="str">
        <f>IFERROR(__xludf.DUMMYFUNCTION("""COMPUTED_VALUE"""),"Frankly Wines")</f>
        <v>Frankly Wines</v>
      </c>
      <c r="D226" s="79" t="str">
        <f>IFERROR(__xludf.DUMMYFUNCTION("""COMPUTED_VALUE"""),"Amex Blue")</f>
        <v>Amex Blue</v>
      </c>
      <c r="E226" s="79" t="str">
        <f>IFERROR(__xludf.DUMMYFUNCTION("""COMPUTED_VALUE"""),"Alcohol/Weed")</f>
        <v>Alcohol/Weed</v>
      </c>
      <c r="F226" s="79" t="str">
        <f>IFERROR(__xludf.DUMMYFUNCTION("""COMPUTED_VALUE"""),"Gil")</f>
        <v>Gil</v>
      </c>
      <c r="G226" s="107">
        <f t="shared" si="1"/>
        <v>14.155</v>
      </c>
      <c r="H226" s="108" t="str">
        <f t="shared" si="2"/>
        <v>Apr</v>
      </c>
    </row>
    <row r="227">
      <c r="A227" s="106">
        <f>IFERROR(__xludf.DUMMYFUNCTION("""COMPUTED_VALUE"""),45406.0)</f>
        <v>45406</v>
      </c>
      <c r="B227" s="103">
        <f>IFERROR(__xludf.DUMMYFUNCTION("""COMPUTED_VALUE"""),24.46)</f>
        <v>24.46</v>
      </c>
      <c r="C227" s="79" t="str">
        <f>IFERROR(__xludf.DUMMYFUNCTION("""COMPUTED_VALUE"""),"Whole Foods")</f>
        <v>Whole Foods</v>
      </c>
      <c r="D227" s="79" t="str">
        <f>IFERROR(__xludf.DUMMYFUNCTION("""COMPUTED_VALUE"""),"Amex Blue")</f>
        <v>Amex Blue</v>
      </c>
      <c r="E227" s="79" t="str">
        <f>IFERROR(__xludf.DUMMYFUNCTION("""COMPUTED_VALUE"""),"Gifts/Donations")</f>
        <v>Gifts/Donations</v>
      </c>
      <c r="F227" s="79" t="str">
        <f>IFERROR(__xludf.DUMMYFUNCTION("""COMPUTED_VALUE"""),"Gil")</f>
        <v>Gil</v>
      </c>
      <c r="G227" s="107">
        <f t="shared" si="1"/>
        <v>12.23</v>
      </c>
      <c r="H227" s="108" t="str">
        <f t="shared" si="2"/>
        <v>Apr</v>
      </c>
    </row>
    <row r="228">
      <c r="A228" s="106">
        <f>IFERROR(__xludf.DUMMYFUNCTION("""COMPUTED_VALUE"""),45406.0)</f>
        <v>45406</v>
      </c>
      <c r="B228" s="103">
        <f>IFERROR(__xludf.DUMMYFUNCTION("""COMPUTED_VALUE"""),10.0)</f>
        <v>10</v>
      </c>
      <c r="C228" s="79" t="str">
        <f>IFERROR(__xludf.DUMMYFUNCTION("""COMPUTED_VALUE"""),"Venice Beach parking ")</f>
        <v>Venice Beach parking </v>
      </c>
      <c r="D228" s="79" t="str">
        <f>IFERROR(__xludf.DUMMYFUNCTION("""COMPUTED_VALUE"""),"Amex Gold")</f>
        <v>Amex Gold</v>
      </c>
      <c r="E228" s="79" t="str">
        <f>IFERROR(__xludf.DUMMYFUNCTION("""COMPUTED_VALUE"""),"Travel")</f>
        <v>Travel</v>
      </c>
      <c r="F228" s="79" t="str">
        <f>IFERROR(__xludf.DUMMYFUNCTION("""COMPUTED_VALUE"""),"Gil")</f>
        <v>Gil</v>
      </c>
      <c r="G228" s="107">
        <f t="shared" si="1"/>
        <v>5</v>
      </c>
      <c r="H228" s="108" t="str">
        <f t="shared" si="2"/>
        <v>Apr</v>
      </c>
    </row>
    <row r="229">
      <c r="A229" s="106">
        <f>IFERROR(__xludf.DUMMYFUNCTION("""COMPUTED_VALUE"""),45406.0)</f>
        <v>45406</v>
      </c>
      <c r="B229" s="103">
        <f>IFERROR(__xludf.DUMMYFUNCTION("""COMPUTED_VALUE"""),106.0)</f>
        <v>106</v>
      </c>
      <c r="C229" s="79" t="str">
        <f>IFERROR(__xludf.DUMMYFUNCTION("""COMPUTED_VALUE"""),"Baja Cantina")</f>
        <v>Baja Cantina</v>
      </c>
      <c r="D229" s="79" t="str">
        <f>IFERROR(__xludf.DUMMYFUNCTION("""COMPUTED_VALUE"""),"Wells Fargo")</f>
        <v>Wells Fargo</v>
      </c>
      <c r="E229" s="79" t="str">
        <f>IFERROR(__xludf.DUMMYFUNCTION("""COMPUTED_VALUE"""),"Travel")</f>
        <v>Travel</v>
      </c>
      <c r="F229" s="79" t="str">
        <f>IFERROR(__xludf.DUMMYFUNCTION("""COMPUTED_VALUE"""),"Gil")</f>
        <v>Gil</v>
      </c>
      <c r="G229" s="107">
        <f t="shared" si="1"/>
        <v>53</v>
      </c>
      <c r="H229" s="108" t="str">
        <f t="shared" si="2"/>
        <v>Apr</v>
      </c>
    </row>
    <row r="230">
      <c r="A230" s="106">
        <f>IFERROR(__xludf.DUMMYFUNCTION("""COMPUTED_VALUE"""),45408.0)</f>
        <v>45408</v>
      </c>
      <c r="B230" s="103">
        <f>IFERROR(__xludf.DUMMYFUNCTION("""COMPUTED_VALUE"""),42.34)</f>
        <v>42.34</v>
      </c>
      <c r="C230" s="79" t="str">
        <f>IFERROR(__xludf.DUMMYFUNCTION("""COMPUTED_VALUE"""),"Sapp Coffee Shop")</f>
        <v>Sapp Coffee Shop</v>
      </c>
      <c r="D230" s="79" t="str">
        <f>IFERROR(__xludf.DUMMYFUNCTION("""COMPUTED_VALUE"""),"Other")</f>
        <v>Other</v>
      </c>
      <c r="E230" s="79" t="str">
        <f>IFERROR(__xludf.DUMMYFUNCTION("""COMPUTED_VALUE"""),"Travel")</f>
        <v>Travel</v>
      </c>
      <c r="F230" s="79" t="str">
        <f>IFERROR(__xludf.DUMMYFUNCTION("""COMPUTED_VALUE"""),"Gil")</f>
        <v>Gil</v>
      </c>
      <c r="G230" s="107">
        <f t="shared" si="1"/>
        <v>21.17</v>
      </c>
      <c r="H230" s="108" t="str">
        <f t="shared" si="2"/>
        <v>Apr</v>
      </c>
    </row>
    <row r="231">
      <c r="A231" s="106">
        <f>IFERROR(__xludf.DUMMYFUNCTION("""COMPUTED_VALUE"""),45408.0)</f>
        <v>45408</v>
      </c>
      <c r="B231" s="103">
        <f>IFERROR(__xludf.DUMMYFUNCTION("""COMPUTED_VALUE"""),8.0)</f>
        <v>8</v>
      </c>
      <c r="C231" s="79" t="str">
        <f>IFERROR(__xludf.DUMMYFUNCTION("""COMPUTED_VALUE"""),"Sapp Coffee Shop Tip")</f>
        <v>Sapp Coffee Shop Tip</v>
      </c>
      <c r="D231" s="79" t="str">
        <f>IFERROR(__xludf.DUMMYFUNCTION("""COMPUTED_VALUE"""),"Cash")</f>
        <v>Cash</v>
      </c>
      <c r="E231" s="79" t="str">
        <f>IFERROR(__xludf.DUMMYFUNCTION("""COMPUTED_VALUE"""),"Travel")</f>
        <v>Travel</v>
      </c>
      <c r="F231" s="79" t="str">
        <f>IFERROR(__xludf.DUMMYFUNCTION("""COMPUTED_VALUE"""),"Gil")</f>
        <v>Gil</v>
      </c>
      <c r="G231" s="107">
        <f t="shared" si="1"/>
        <v>4</v>
      </c>
      <c r="H231" s="108" t="str">
        <f t="shared" si="2"/>
        <v>Apr</v>
      </c>
    </row>
    <row r="232">
      <c r="A232" s="106">
        <f>IFERROR(__xludf.DUMMYFUNCTION("""COMPUTED_VALUE"""),45409.0)</f>
        <v>45409</v>
      </c>
      <c r="B232" s="103">
        <f>IFERROR(__xludf.DUMMYFUNCTION("""COMPUTED_VALUE"""),56.0)</f>
        <v>56</v>
      </c>
      <c r="C232" s="79" t="str">
        <f>IFERROR(__xludf.DUMMYFUNCTION("""COMPUTED_VALUE"""),"Rebud")</f>
        <v>Rebud</v>
      </c>
      <c r="D232" s="79" t="str">
        <f>IFERROR(__xludf.DUMMYFUNCTION("""COMPUTED_VALUE"""),"Cash")</f>
        <v>Cash</v>
      </c>
      <c r="E232" s="79" t="str">
        <f>IFERROR(__xludf.DUMMYFUNCTION("""COMPUTED_VALUE"""),"Travel")</f>
        <v>Travel</v>
      </c>
      <c r="F232" s="79" t="str">
        <f>IFERROR(__xludf.DUMMYFUNCTION("""COMPUTED_VALUE"""),"Gil")</f>
        <v>Gil</v>
      </c>
      <c r="G232" s="107">
        <f t="shared" si="1"/>
        <v>28</v>
      </c>
      <c r="H232" s="108" t="str">
        <f t="shared" si="2"/>
        <v>Apr</v>
      </c>
    </row>
    <row r="233">
      <c r="A233" s="106">
        <f>IFERROR(__xludf.DUMMYFUNCTION("""COMPUTED_VALUE"""),45408.0)</f>
        <v>45408</v>
      </c>
      <c r="B233" s="103">
        <f>IFERROR(__xludf.DUMMYFUNCTION("""COMPUTED_VALUE"""),54.0)</f>
        <v>54</v>
      </c>
      <c r="C233" s="79" t="str">
        <f>IFERROR(__xludf.DUMMYFUNCTION("""COMPUTED_VALUE"""),"Akbar")</f>
        <v>Akbar</v>
      </c>
      <c r="D233" s="79" t="str">
        <f>IFERROR(__xludf.DUMMYFUNCTION("""COMPUTED_VALUE"""),"Amex Gold")</f>
        <v>Amex Gold</v>
      </c>
      <c r="E233" s="79" t="str">
        <f>IFERROR(__xludf.DUMMYFUNCTION("""COMPUTED_VALUE"""),"Travel")</f>
        <v>Travel</v>
      </c>
      <c r="F233" s="79" t="str">
        <f>IFERROR(__xludf.DUMMYFUNCTION("""COMPUTED_VALUE"""),"Gil")</f>
        <v>Gil</v>
      </c>
      <c r="G233" s="107">
        <f t="shared" si="1"/>
        <v>27</v>
      </c>
      <c r="H233" s="108" t="str">
        <f t="shared" si="2"/>
        <v>Apr</v>
      </c>
    </row>
    <row r="234">
      <c r="A234" s="106">
        <f>IFERROR(__xludf.DUMMYFUNCTION("""COMPUTED_VALUE"""),45410.0)</f>
        <v>45410</v>
      </c>
      <c r="B234" s="103">
        <f>IFERROR(__xludf.DUMMYFUNCTION("""COMPUTED_VALUE"""),16.86)</f>
        <v>16.86</v>
      </c>
      <c r="C234" s="79" t="str">
        <f>IFERROR(__xludf.DUMMYFUNCTION("""COMPUTED_VALUE"""),"Netflix ")</f>
        <v>Netflix </v>
      </c>
      <c r="D234" s="79" t="str">
        <f>IFERROR(__xludf.DUMMYFUNCTION("""COMPUTED_VALUE"""),"Amex Blue")</f>
        <v>Amex Blue</v>
      </c>
      <c r="E234" s="79" t="str">
        <f>IFERROR(__xludf.DUMMYFUNCTION("""COMPUTED_VALUE"""),"Subscriptions")</f>
        <v>Subscriptions</v>
      </c>
      <c r="F234" s="79" t="str">
        <f>IFERROR(__xludf.DUMMYFUNCTION("""COMPUTED_VALUE"""),"Gil")</f>
        <v>Gil</v>
      </c>
      <c r="G234" s="107">
        <f t="shared" si="1"/>
        <v>8.43</v>
      </c>
      <c r="H234" s="108" t="str">
        <f t="shared" si="2"/>
        <v>Apr</v>
      </c>
    </row>
    <row r="235">
      <c r="A235" s="106">
        <f>IFERROR(__xludf.DUMMYFUNCTION("""COMPUTED_VALUE"""),45411.0)</f>
        <v>45411</v>
      </c>
      <c r="B235" s="103">
        <f>IFERROR(__xludf.DUMMYFUNCTION("""COMPUTED_VALUE"""),49.5)</f>
        <v>49.5</v>
      </c>
      <c r="C235" s="79" t="str">
        <f>IFERROR(__xludf.DUMMYFUNCTION("""COMPUTED_VALUE"""),"ATG")</f>
        <v>ATG</v>
      </c>
      <c r="D235" s="79" t="str">
        <f>IFERROR(__xludf.DUMMYFUNCTION("""COMPUTED_VALUE"""),"Other")</f>
        <v>Other</v>
      </c>
      <c r="E235" s="79" t="str">
        <f>IFERROR(__xludf.DUMMYFUNCTION("""COMPUTED_VALUE"""),"Subscriptions")</f>
        <v>Subscriptions</v>
      </c>
      <c r="F235" s="79" t="str">
        <f>IFERROR(__xludf.DUMMYFUNCTION("""COMPUTED_VALUE"""),"Gil")</f>
        <v>Gil</v>
      </c>
      <c r="G235" s="107">
        <f t="shared" si="1"/>
        <v>24.75</v>
      </c>
      <c r="H235" s="108" t="str">
        <f t="shared" si="2"/>
        <v>Apr</v>
      </c>
    </row>
    <row r="236">
      <c r="A236" s="106">
        <f>IFERROR(__xludf.DUMMYFUNCTION("""COMPUTED_VALUE"""),45412.0)</f>
        <v>45412</v>
      </c>
      <c r="B236" s="103">
        <f>IFERROR(__xludf.DUMMYFUNCTION("""COMPUTED_VALUE"""),10.0)</f>
        <v>10</v>
      </c>
      <c r="C236" s="79" t="str">
        <f>IFERROR(__xludf.DUMMYFUNCTION("""COMPUTED_VALUE"""),"Mobil Gas")</f>
        <v>Mobil Gas</v>
      </c>
      <c r="D236" s="79" t="str">
        <f>IFERROR(__xludf.DUMMYFUNCTION("""COMPUTED_VALUE"""),"Other")</f>
        <v>Other</v>
      </c>
      <c r="E236" s="79" t="str">
        <f>IFERROR(__xludf.DUMMYFUNCTION("""COMPUTED_VALUE"""),"Travel")</f>
        <v>Travel</v>
      </c>
      <c r="F236" s="79" t="str">
        <f>IFERROR(__xludf.DUMMYFUNCTION("""COMPUTED_VALUE"""),"Gil")</f>
        <v>Gil</v>
      </c>
      <c r="G236" s="107">
        <f t="shared" si="1"/>
        <v>5</v>
      </c>
      <c r="H236" s="108" t="str">
        <f t="shared" si="2"/>
        <v>Apr</v>
      </c>
    </row>
    <row r="237">
      <c r="A237" s="106">
        <f>IFERROR(__xludf.DUMMYFUNCTION("""COMPUTED_VALUE"""),45409.0)</f>
        <v>45409</v>
      </c>
      <c r="B237" s="103">
        <f>IFERROR(__xludf.DUMMYFUNCTION("""COMPUTED_VALUE"""),123.75)</f>
        <v>123.75</v>
      </c>
      <c r="C237" s="79" t="str">
        <f>IFERROR(__xludf.DUMMYFUNCTION("""COMPUTED_VALUE"""),"Vinovore")</f>
        <v>Vinovore</v>
      </c>
      <c r="D237" s="79" t="str">
        <f>IFERROR(__xludf.DUMMYFUNCTION("""COMPUTED_VALUE"""),"Amex Blue")</f>
        <v>Amex Blue</v>
      </c>
      <c r="E237" s="79" t="str">
        <f>IFERROR(__xludf.DUMMYFUNCTION("""COMPUTED_VALUE"""),"Travel")</f>
        <v>Travel</v>
      </c>
      <c r="F237" s="79" t="str">
        <f>IFERROR(__xludf.DUMMYFUNCTION("""COMPUTED_VALUE"""),"Gil")</f>
        <v>Gil</v>
      </c>
      <c r="G237" s="107">
        <f t="shared" si="1"/>
        <v>61.875</v>
      </c>
      <c r="H237" s="108" t="str">
        <f t="shared" si="2"/>
        <v>Apr</v>
      </c>
    </row>
    <row r="238">
      <c r="A238" s="106">
        <f>IFERROR(__xludf.DUMMYFUNCTION("""COMPUTED_VALUE"""),45406.0)</f>
        <v>45406</v>
      </c>
      <c r="B238" s="103">
        <f>IFERROR(__xludf.DUMMYFUNCTION("""COMPUTED_VALUE"""),10.0)</f>
        <v>10</v>
      </c>
      <c r="C238" s="79" t="str">
        <f>IFERROR(__xludf.DUMMYFUNCTION("""COMPUTED_VALUE"""),"Taix Valet")</f>
        <v>Taix Valet</v>
      </c>
      <c r="D238" s="79" t="str">
        <f>IFERROR(__xludf.DUMMYFUNCTION("""COMPUTED_VALUE"""),"Cash")</f>
        <v>Cash</v>
      </c>
      <c r="E238" s="79" t="str">
        <f>IFERROR(__xludf.DUMMYFUNCTION("""COMPUTED_VALUE"""),"Travel")</f>
        <v>Travel</v>
      </c>
      <c r="F238" s="79" t="str">
        <f>IFERROR(__xludf.DUMMYFUNCTION("""COMPUTED_VALUE"""),"Gil")</f>
        <v>Gil</v>
      </c>
      <c r="G238" s="107">
        <f t="shared" si="1"/>
        <v>5</v>
      </c>
      <c r="H238" s="108" t="str">
        <f t="shared" si="2"/>
        <v>Apr</v>
      </c>
    </row>
    <row r="239">
      <c r="A239" s="106">
        <f>IFERROR(__xludf.DUMMYFUNCTION("""COMPUTED_VALUE"""),45410.0)</f>
        <v>45410</v>
      </c>
      <c r="B239" s="103">
        <f>IFERROR(__xludf.DUMMYFUNCTION("""COMPUTED_VALUE"""),59.89)</f>
        <v>59.89</v>
      </c>
      <c r="C239" s="79" t="str">
        <f>IFERROR(__xludf.DUMMYFUNCTION("""COMPUTED_VALUE"""),"La Cabanita")</f>
        <v>La Cabanita</v>
      </c>
      <c r="D239" s="79" t="str">
        <f>IFERROR(__xludf.DUMMYFUNCTION("""COMPUTED_VALUE"""),"Amex Gold")</f>
        <v>Amex Gold</v>
      </c>
      <c r="E239" s="79" t="str">
        <f>IFERROR(__xludf.DUMMYFUNCTION("""COMPUTED_VALUE"""),"Travel")</f>
        <v>Travel</v>
      </c>
      <c r="F239" s="79" t="str">
        <f>IFERROR(__xludf.DUMMYFUNCTION("""COMPUTED_VALUE"""),"Gil")</f>
        <v>Gil</v>
      </c>
      <c r="G239" s="107">
        <f t="shared" si="1"/>
        <v>29.945</v>
      </c>
      <c r="H239" s="108" t="str">
        <f t="shared" si="2"/>
        <v>Apr</v>
      </c>
    </row>
    <row r="240">
      <c r="A240" s="106">
        <f>IFERROR(__xludf.DUMMYFUNCTION("""COMPUTED_VALUE"""),45411.0)</f>
        <v>45411</v>
      </c>
      <c r="B240" s="103">
        <f>IFERROR(__xludf.DUMMYFUNCTION("""COMPUTED_VALUE"""),120.34)</f>
        <v>120.34</v>
      </c>
      <c r="C240" s="79" t="str">
        <f>IFERROR(__xludf.DUMMYFUNCTION("""COMPUTED_VALUE"""),"Green Street - Pasadena")</f>
        <v>Green Street - Pasadena</v>
      </c>
      <c r="D240" s="79" t="str">
        <f>IFERROR(__xludf.DUMMYFUNCTION("""COMPUTED_VALUE"""),"Amex Gold")</f>
        <v>Amex Gold</v>
      </c>
      <c r="E240" s="79" t="str">
        <f>IFERROR(__xludf.DUMMYFUNCTION("""COMPUTED_VALUE"""),"Travel")</f>
        <v>Travel</v>
      </c>
      <c r="F240" s="79" t="str">
        <f>IFERROR(__xludf.DUMMYFUNCTION("""COMPUTED_VALUE"""),"Gil")</f>
        <v>Gil</v>
      </c>
      <c r="G240" s="107">
        <f t="shared" si="1"/>
        <v>60.17</v>
      </c>
      <c r="H240" s="108" t="str">
        <f t="shared" si="2"/>
        <v>Apr</v>
      </c>
    </row>
    <row r="241">
      <c r="A241" s="106">
        <f>IFERROR(__xludf.DUMMYFUNCTION("""COMPUTED_VALUE"""),45412.0)</f>
        <v>45412</v>
      </c>
      <c r="B241" s="103">
        <f>IFERROR(__xludf.DUMMYFUNCTION("""COMPUTED_VALUE"""),48.68)</f>
        <v>48.68</v>
      </c>
      <c r="C241" s="79" t="str">
        <f>IFERROR(__xludf.DUMMYFUNCTION("""COMPUTED_VALUE"""),"Pann's")</f>
        <v>Pann's</v>
      </c>
      <c r="D241" s="79" t="str">
        <f>IFERROR(__xludf.DUMMYFUNCTION("""COMPUTED_VALUE"""),"Amex Gold")</f>
        <v>Amex Gold</v>
      </c>
      <c r="E241" s="79" t="str">
        <f>IFERROR(__xludf.DUMMYFUNCTION("""COMPUTED_VALUE"""),"Travel")</f>
        <v>Travel</v>
      </c>
      <c r="F241" s="79" t="str">
        <f>IFERROR(__xludf.DUMMYFUNCTION("""COMPUTED_VALUE"""),"Gil")</f>
        <v>Gil</v>
      </c>
      <c r="G241" s="107">
        <f t="shared" si="1"/>
        <v>24.34</v>
      </c>
      <c r="H241" s="108" t="str">
        <f t="shared" si="2"/>
        <v>Apr</v>
      </c>
    </row>
    <row r="242">
      <c r="A242" s="106">
        <f>IFERROR(__xludf.DUMMYFUNCTION("""COMPUTED_VALUE"""),45407.0)</f>
        <v>45407</v>
      </c>
      <c r="B242" s="103">
        <f>IFERROR(__xludf.DUMMYFUNCTION("""COMPUTED_VALUE"""),24.38)</f>
        <v>24.38</v>
      </c>
      <c r="C242" s="79" t="str">
        <f>IFERROR(__xludf.DUMMYFUNCTION("""COMPUTED_VALUE"""),"Swan Boats")</f>
        <v>Swan Boats</v>
      </c>
      <c r="D242" s="79" t="str">
        <f>IFERROR(__xludf.DUMMYFUNCTION("""COMPUTED_VALUE"""),"Wells Fargo")</f>
        <v>Wells Fargo</v>
      </c>
      <c r="E242" s="79" t="str">
        <f>IFERROR(__xludf.DUMMYFUNCTION("""COMPUTED_VALUE"""),"Travel")</f>
        <v>Travel</v>
      </c>
      <c r="F242" s="79" t="str">
        <f>IFERROR(__xludf.DUMMYFUNCTION("""COMPUTED_VALUE"""),"Gil")</f>
        <v>Gil</v>
      </c>
      <c r="G242" s="107">
        <f t="shared" si="1"/>
        <v>12.19</v>
      </c>
      <c r="H242" s="108" t="str">
        <f t="shared" si="2"/>
        <v>Apr</v>
      </c>
    </row>
    <row r="243">
      <c r="A243" s="106">
        <f>IFERROR(__xludf.DUMMYFUNCTION("""COMPUTED_VALUE"""),45406.0)</f>
        <v>45406</v>
      </c>
      <c r="B243" s="103">
        <f>IFERROR(__xludf.DUMMYFUNCTION("""COMPUTED_VALUE"""),42.61)</f>
        <v>42.61</v>
      </c>
      <c r="C243" s="79" t="str">
        <f>IFERROR(__xludf.DUMMYFUNCTION("""COMPUTED_VALUE"""),"Taix")</f>
        <v>Taix</v>
      </c>
      <c r="D243" s="79" t="str">
        <f>IFERROR(__xludf.DUMMYFUNCTION("""COMPUTED_VALUE"""),"Other")</f>
        <v>Other</v>
      </c>
      <c r="E243" s="79" t="str">
        <f>IFERROR(__xludf.DUMMYFUNCTION("""COMPUTED_VALUE"""),"Travel")</f>
        <v>Travel</v>
      </c>
      <c r="F243" s="79" t="str">
        <f>IFERROR(__xludf.DUMMYFUNCTION("""COMPUTED_VALUE"""),"Gil")</f>
        <v>Gil</v>
      </c>
      <c r="G243" s="107">
        <f t="shared" si="1"/>
        <v>21.305</v>
      </c>
      <c r="H243" s="108" t="str">
        <f t="shared" si="2"/>
        <v>Apr</v>
      </c>
    </row>
    <row r="244">
      <c r="A244" s="106">
        <f>IFERROR(__xludf.DUMMYFUNCTION("""COMPUTED_VALUE"""),45408.0)</f>
        <v>45408</v>
      </c>
      <c r="B244" s="103">
        <f>IFERROR(__xludf.DUMMYFUNCTION("""COMPUTED_VALUE"""),119.0)</f>
        <v>119</v>
      </c>
      <c r="C244" s="79" t="str">
        <f>IFERROR(__xludf.DUMMYFUNCTION("""COMPUTED_VALUE"""),"El Condor")</f>
        <v>El Condor</v>
      </c>
      <c r="D244" s="79" t="str">
        <f>IFERROR(__xludf.DUMMYFUNCTION("""COMPUTED_VALUE"""),"Amex Gold")</f>
        <v>Amex Gold</v>
      </c>
      <c r="E244" s="79" t="str">
        <f>IFERROR(__xludf.DUMMYFUNCTION("""COMPUTED_VALUE"""),"Travel")</f>
        <v>Travel</v>
      </c>
      <c r="F244" s="79" t="str">
        <f>IFERROR(__xludf.DUMMYFUNCTION("""COMPUTED_VALUE"""),"Gil")</f>
        <v>Gil</v>
      </c>
      <c r="G244" s="107">
        <f t="shared" si="1"/>
        <v>59.5</v>
      </c>
      <c r="H244" s="108" t="str">
        <f t="shared" si="2"/>
        <v>Apr</v>
      </c>
    </row>
    <row r="245">
      <c r="A245" s="106">
        <f>IFERROR(__xludf.DUMMYFUNCTION("""COMPUTED_VALUE"""),45409.0)</f>
        <v>45409</v>
      </c>
      <c r="B245" s="103">
        <f>IFERROR(__xludf.DUMMYFUNCTION("""COMPUTED_VALUE"""),69.0)</f>
        <v>69</v>
      </c>
      <c r="C245" s="79" t="str">
        <f>IFERROR(__xludf.DUMMYFUNCTION("""COMPUTED_VALUE"""),"Trader Joe's")</f>
        <v>Trader Joe's</v>
      </c>
      <c r="D245" s="79" t="str">
        <f>IFERROR(__xludf.DUMMYFUNCTION("""COMPUTED_VALUE"""),"Amex Blue")</f>
        <v>Amex Blue</v>
      </c>
      <c r="E245" s="79" t="str">
        <f>IFERROR(__xludf.DUMMYFUNCTION("""COMPUTED_VALUE"""),"Travel")</f>
        <v>Travel</v>
      </c>
      <c r="F245" s="79" t="str">
        <f>IFERROR(__xludf.DUMMYFUNCTION("""COMPUTED_VALUE"""),"Gil")</f>
        <v>Gil</v>
      </c>
      <c r="G245" s="107">
        <f t="shared" si="1"/>
        <v>34.5</v>
      </c>
      <c r="H245" s="108" t="str">
        <f t="shared" si="2"/>
        <v>Apr</v>
      </c>
    </row>
    <row r="246">
      <c r="A246" s="106">
        <f>IFERROR(__xludf.DUMMYFUNCTION("""COMPUTED_VALUE"""),45409.0)</f>
        <v>45409</v>
      </c>
      <c r="B246" s="103">
        <f>IFERROR(__xludf.DUMMYFUNCTION("""COMPUTED_VALUE"""),17.51)</f>
        <v>17.51</v>
      </c>
      <c r="C246" s="79" t="str">
        <f>IFERROR(__xludf.DUMMYFUNCTION("""COMPUTED_VALUE"""),"Ralph's")</f>
        <v>Ralph's</v>
      </c>
      <c r="D246" s="79" t="str">
        <f>IFERROR(__xludf.DUMMYFUNCTION("""COMPUTED_VALUE"""),"Amex Blue")</f>
        <v>Amex Blue</v>
      </c>
      <c r="E246" s="79" t="str">
        <f>IFERROR(__xludf.DUMMYFUNCTION("""COMPUTED_VALUE"""),"Travel")</f>
        <v>Travel</v>
      </c>
      <c r="F246" s="79" t="str">
        <f>IFERROR(__xludf.DUMMYFUNCTION("""COMPUTED_VALUE"""),"Gil")</f>
        <v>Gil</v>
      </c>
      <c r="G246" s="107">
        <f t="shared" si="1"/>
        <v>8.755</v>
      </c>
      <c r="H246" s="108" t="str">
        <f t="shared" si="2"/>
        <v>Apr</v>
      </c>
    </row>
    <row r="247">
      <c r="A247" s="106">
        <f>IFERROR(__xludf.DUMMYFUNCTION("""COMPUTED_VALUE"""),45411.0)</f>
        <v>45411</v>
      </c>
      <c r="B247" s="103">
        <f>IFERROR(__xludf.DUMMYFUNCTION("""COMPUTED_VALUE"""),19.66)</f>
        <v>19.66</v>
      </c>
      <c r="C247" s="79" t="str">
        <f>IFERROR(__xludf.DUMMYFUNCTION("""COMPUTED_VALUE"""),"Huntington Gardens Refreshments")</f>
        <v>Huntington Gardens Refreshments</v>
      </c>
      <c r="D247" s="79" t="str">
        <f>IFERROR(__xludf.DUMMYFUNCTION("""COMPUTED_VALUE"""),"Amex Gold")</f>
        <v>Amex Gold</v>
      </c>
      <c r="E247" s="79" t="str">
        <f>IFERROR(__xludf.DUMMYFUNCTION("""COMPUTED_VALUE"""),"Travel")</f>
        <v>Travel</v>
      </c>
      <c r="F247" s="79" t="str">
        <f>IFERROR(__xludf.DUMMYFUNCTION("""COMPUTED_VALUE"""),"Gil")</f>
        <v>Gil</v>
      </c>
      <c r="G247" s="107">
        <f t="shared" si="1"/>
        <v>9.83</v>
      </c>
      <c r="H247" s="108" t="str">
        <f t="shared" si="2"/>
        <v>Apr</v>
      </c>
    </row>
    <row r="248">
      <c r="A248" s="106">
        <f>IFERROR(__xludf.DUMMYFUNCTION("""COMPUTED_VALUE"""),45410.0)</f>
        <v>45410</v>
      </c>
      <c r="B248" s="103">
        <f>IFERROR(__xludf.DUMMYFUNCTION("""COMPUTED_VALUE"""),162.16)</f>
        <v>162.16</v>
      </c>
      <c r="C248" s="79" t="str">
        <f>IFERROR(__xludf.DUMMYFUNCTION("""COMPUTED_VALUE"""),"Carousel Restaurant")</f>
        <v>Carousel Restaurant</v>
      </c>
      <c r="D248" s="79" t="str">
        <f>IFERROR(__xludf.DUMMYFUNCTION("""COMPUTED_VALUE"""),"Amex Gold")</f>
        <v>Amex Gold</v>
      </c>
      <c r="E248" s="79" t="str">
        <f>IFERROR(__xludf.DUMMYFUNCTION("""COMPUTED_VALUE"""),"Travel")</f>
        <v>Travel</v>
      </c>
      <c r="F248" s="79" t="str">
        <f>IFERROR(__xludf.DUMMYFUNCTION("""COMPUTED_VALUE"""),"Gil")</f>
        <v>Gil</v>
      </c>
      <c r="G248" s="107">
        <f t="shared" si="1"/>
        <v>81.08</v>
      </c>
      <c r="H248" s="108" t="str">
        <f t="shared" si="2"/>
        <v>Apr</v>
      </c>
    </row>
    <row r="249">
      <c r="A249" s="106">
        <f>IFERROR(__xludf.DUMMYFUNCTION("""COMPUTED_VALUE"""),45413.0)</f>
        <v>45413</v>
      </c>
      <c r="B249" s="103">
        <f>IFERROR(__xludf.DUMMYFUNCTION("""COMPUTED_VALUE"""),860.68)</f>
        <v>860.68</v>
      </c>
      <c r="C249" s="79" t="str">
        <f>IFERROR(__xludf.DUMMYFUNCTION("""COMPUTED_VALUE"""),"Healthfirst")</f>
        <v>Healthfirst</v>
      </c>
      <c r="D249" s="79" t="str">
        <f>IFERROR(__xludf.DUMMYFUNCTION("""COMPUTED_VALUE"""),"Amazon Prime Chase")</f>
        <v>Amazon Prime Chase</v>
      </c>
      <c r="E249" s="79" t="str">
        <f>IFERROR(__xludf.DUMMYFUNCTION("""COMPUTED_VALUE"""),"Insurance")</f>
        <v>Insurance</v>
      </c>
      <c r="F249" s="79" t="str">
        <f>IFERROR(__xludf.DUMMYFUNCTION("""COMPUTED_VALUE"""),"Gil")</f>
        <v>Gil</v>
      </c>
      <c r="G249" s="107">
        <f t="shared" si="1"/>
        <v>430.34</v>
      </c>
      <c r="H249" s="108" t="str">
        <f t="shared" si="2"/>
        <v>May</v>
      </c>
    </row>
    <row r="250">
      <c r="A250" s="106">
        <f>IFERROR(__xludf.DUMMYFUNCTION("""COMPUTED_VALUE"""),45413.0)</f>
        <v>45413</v>
      </c>
      <c r="B250" s="103">
        <f>IFERROR(__xludf.DUMMYFUNCTION("""COMPUTED_VALUE"""),28.0)</f>
        <v>28</v>
      </c>
      <c r="C250" s="79" t="str">
        <f>IFERROR(__xludf.DUMMYFUNCTION("""COMPUTED_VALUE"""),"Bodhi Tree")</f>
        <v>Bodhi Tree</v>
      </c>
      <c r="D250" s="79" t="str">
        <f>IFERROR(__xludf.DUMMYFUNCTION("""COMPUTED_VALUE"""),"Cash")</f>
        <v>Cash</v>
      </c>
      <c r="E250" s="79" t="str">
        <f>IFERROR(__xludf.DUMMYFUNCTION("""COMPUTED_VALUE"""),"Groceries")</f>
        <v>Groceries</v>
      </c>
      <c r="F250" s="79" t="str">
        <f>IFERROR(__xludf.DUMMYFUNCTION("""COMPUTED_VALUE"""),"Gil")</f>
        <v>Gil</v>
      </c>
      <c r="G250" s="107">
        <f t="shared" si="1"/>
        <v>14</v>
      </c>
      <c r="H250" s="108" t="str">
        <f t="shared" si="2"/>
        <v>May</v>
      </c>
    </row>
    <row r="251">
      <c r="A251" s="106">
        <f>IFERROR(__xludf.DUMMYFUNCTION("""COMPUTED_VALUE"""),45413.0)</f>
        <v>45413</v>
      </c>
      <c r="B251" s="103">
        <f>IFERROR(__xludf.DUMMYFUNCTION("""COMPUTED_VALUE"""),9.97)</f>
        <v>9.97</v>
      </c>
      <c r="C251" s="79" t="str">
        <f>IFERROR(__xludf.DUMMYFUNCTION("""COMPUTED_VALUE"""),"Mr. Lemon")</f>
        <v>Mr. Lemon</v>
      </c>
      <c r="D251" s="79" t="str">
        <f>IFERROR(__xludf.DUMMYFUNCTION("""COMPUTED_VALUE"""),"Amex Blue")</f>
        <v>Amex Blue</v>
      </c>
      <c r="E251" s="79" t="str">
        <f>IFERROR(__xludf.DUMMYFUNCTION("""COMPUTED_VALUE"""),"Groceries")</f>
        <v>Groceries</v>
      </c>
      <c r="F251" s="79" t="str">
        <f>IFERROR(__xludf.DUMMYFUNCTION("""COMPUTED_VALUE"""),"Gil")</f>
        <v>Gil</v>
      </c>
      <c r="G251" s="107">
        <f t="shared" si="1"/>
        <v>4.985</v>
      </c>
      <c r="H251" s="108" t="str">
        <f t="shared" si="2"/>
        <v>May</v>
      </c>
    </row>
    <row r="252">
      <c r="A252" s="106">
        <f>IFERROR(__xludf.DUMMYFUNCTION("""COMPUTED_VALUE"""),45415.0)</f>
        <v>45415</v>
      </c>
      <c r="B252" s="103">
        <f>IFERROR(__xludf.DUMMYFUNCTION("""COMPUTED_VALUE"""),12.0)</f>
        <v>12</v>
      </c>
      <c r="C252" s="79" t="str">
        <f>IFERROR(__xludf.DUMMYFUNCTION("""COMPUTED_VALUE"""),"Our Daily Bread")</f>
        <v>Our Daily Bread</v>
      </c>
      <c r="D252" s="79" t="str">
        <f>IFERROR(__xludf.DUMMYFUNCTION("""COMPUTED_VALUE"""),"Amex Blue")</f>
        <v>Amex Blue</v>
      </c>
      <c r="E252" s="79" t="str">
        <f>IFERROR(__xludf.DUMMYFUNCTION("""COMPUTED_VALUE"""),"Groceries")</f>
        <v>Groceries</v>
      </c>
      <c r="F252" s="79" t="str">
        <f>IFERROR(__xludf.DUMMYFUNCTION("""COMPUTED_VALUE"""),"Gil")</f>
        <v>Gil</v>
      </c>
      <c r="G252" s="107">
        <f t="shared" si="1"/>
        <v>6</v>
      </c>
      <c r="H252" s="108" t="str">
        <f t="shared" si="2"/>
        <v>May</v>
      </c>
    </row>
    <row r="253">
      <c r="A253" s="106">
        <f>IFERROR(__xludf.DUMMYFUNCTION("""COMPUTED_VALUE"""),45415.0)</f>
        <v>45415</v>
      </c>
      <c r="B253" s="103">
        <f>IFERROR(__xludf.DUMMYFUNCTION("""COMPUTED_VALUE"""),7.8)</f>
        <v>7.8</v>
      </c>
      <c r="C253" s="79" t="str">
        <f>IFERROR(__xludf.DUMMYFUNCTION("""COMPUTED_VALUE"""),"Farmer's Market ")</f>
        <v>Farmer's Market </v>
      </c>
      <c r="D253" s="79" t="str">
        <f>IFERROR(__xludf.DUMMYFUNCTION("""COMPUTED_VALUE"""),"Cash")</f>
        <v>Cash</v>
      </c>
      <c r="E253" s="79" t="str">
        <f>IFERROR(__xludf.DUMMYFUNCTION("""COMPUTED_VALUE"""),"Groceries")</f>
        <v>Groceries</v>
      </c>
      <c r="F253" s="79" t="str">
        <f>IFERROR(__xludf.DUMMYFUNCTION("""COMPUTED_VALUE"""),"Gil")</f>
        <v>Gil</v>
      </c>
      <c r="G253" s="107">
        <f t="shared" si="1"/>
        <v>3.9</v>
      </c>
      <c r="H253" s="108" t="str">
        <f t="shared" si="2"/>
        <v>May</v>
      </c>
    </row>
    <row r="254">
      <c r="A254" s="106">
        <f>IFERROR(__xludf.DUMMYFUNCTION("""COMPUTED_VALUE"""),45415.0)</f>
        <v>45415</v>
      </c>
      <c r="B254" s="103">
        <f>IFERROR(__xludf.DUMMYFUNCTION("""COMPUTED_VALUE"""),33.17)</f>
        <v>33.17</v>
      </c>
      <c r="C254" s="79" t="str">
        <f>IFERROR(__xludf.DUMMYFUNCTION("""COMPUTED_VALUE"""),"Bar Sundown")</f>
        <v>Bar Sundown</v>
      </c>
      <c r="D254" s="79" t="str">
        <f>IFERROR(__xludf.DUMMYFUNCTION("""COMPUTED_VALUE"""),"Amex Gold")</f>
        <v>Amex Gold</v>
      </c>
      <c r="E254" s="79" t="str">
        <f>IFERROR(__xludf.DUMMYFUNCTION("""COMPUTED_VALUE"""),"Alcohol/Weed")</f>
        <v>Alcohol/Weed</v>
      </c>
      <c r="F254" s="79" t="str">
        <f>IFERROR(__xludf.DUMMYFUNCTION("""COMPUTED_VALUE"""),"Gil")</f>
        <v>Gil</v>
      </c>
      <c r="G254" s="107">
        <f t="shared" si="1"/>
        <v>16.585</v>
      </c>
      <c r="H254" s="108" t="str">
        <f t="shared" si="2"/>
        <v>May</v>
      </c>
    </row>
    <row r="255">
      <c r="A255" s="106">
        <f>IFERROR(__xludf.DUMMYFUNCTION("""COMPUTED_VALUE"""),45412.0)</f>
        <v>45412</v>
      </c>
      <c r="B255" s="103">
        <f>IFERROR(__xludf.DUMMYFUNCTION("""COMPUTED_VALUE"""),246.42)</f>
        <v>246.42</v>
      </c>
      <c r="C255" s="79" t="str">
        <f>IFERROR(__xludf.DUMMYFUNCTION("""COMPUTED_VALUE"""),"Thrifty Car Rental - Gas and Insurance")</f>
        <v>Thrifty Car Rental - Gas and Insurance</v>
      </c>
      <c r="D255" s="79" t="str">
        <f>IFERROR(__xludf.DUMMYFUNCTION("""COMPUTED_VALUE"""),"Amex Gold")</f>
        <v>Amex Gold</v>
      </c>
      <c r="E255" s="79" t="str">
        <f>IFERROR(__xludf.DUMMYFUNCTION("""COMPUTED_VALUE"""),"Travel")</f>
        <v>Travel</v>
      </c>
      <c r="F255" s="79" t="str">
        <f>IFERROR(__xludf.DUMMYFUNCTION("""COMPUTED_VALUE"""),"Gil")</f>
        <v>Gil</v>
      </c>
      <c r="G255" s="107">
        <f t="shared" si="1"/>
        <v>123.21</v>
      </c>
      <c r="H255" s="108" t="str">
        <f t="shared" si="2"/>
        <v>Apr</v>
      </c>
    </row>
    <row r="256">
      <c r="A256" s="106">
        <f>IFERROR(__xludf.DUMMYFUNCTION("""COMPUTED_VALUE"""),45401.0)</f>
        <v>45401</v>
      </c>
      <c r="B256" s="103">
        <f>IFERROR(__xludf.DUMMYFUNCTION("""COMPUTED_VALUE"""),17.46)</f>
        <v>17.46</v>
      </c>
      <c r="C256" s="79" t="str">
        <f>IFERROR(__xludf.DUMMYFUNCTION("""COMPUTED_VALUE"""),"Mr. Lemon")</f>
        <v>Mr. Lemon</v>
      </c>
      <c r="D256" s="79" t="str">
        <f>IFERROR(__xludf.DUMMYFUNCTION("""COMPUTED_VALUE"""),"Amex Gold")</f>
        <v>Amex Gold</v>
      </c>
      <c r="E256" s="79" t="str">
        <f>IFERROR(__xludf.DUMMYFUNCTION("""COMPUTED_VALUE"""),"Groceries")</f>
        <v>Groceries</v>
      </c>
      <c r="F256" s="79" t="str">
        <f>IFERROR(__xludf.DUMMYFUNCTION("""COMPUTED_VALUE"""),"Gil")</f>
        <v>Gil</v>
      </c>
      <c r="G256" s="107">
        <f t="shared" si="1"/>
        <v>8.73</v>
      </c>
      <c r="H256" s="108" t="str">
        <f t="shared" si="2"/>
        <v>Apr</v>
      </c>
    </row>
    <row r="257">
      <c r="A257" s="106">
        <f>IFERROR(__xludf.DUMMYFUNCTION("""COMPUTED_VALUE"""),45392.0)</f>
        <v>45392</v>
      </c>
      <c r="B257" s="103">
        <f>IFERROR(__xludf.DUMMYFUNCTION("""COMPUTED_VALUE"""),22.75)</f>
        <v>22.75</v>
      </c>
      <c r="C257" s="79" t="str">
        <f>IFERROR(__xludf.DUMMYFUNCTION("""COMPUTED_VALUE"""),"I'Milky")</f>
        <v>I'Milky</v>
      </c>
      <c r="D257" s="79" t="str">
        <f>IFERROR(__xludf.DUMMYFUNCTION("""COMPUTED_VALUE"""),"Amex Gold")</f>
        <v>Amex Gold</v>
      </c>
      <c r="E257" s="79" t="str">
        <f>IFERROR(__xludf.DUMMYFUNCTION("""COMPUTED_VALUE"""),"Meals")</f>
        <v>Meals</v>
      </c>
      <c r="F257" s="79" t="str">
        <f>IFERROR(__xludf.DUMMYFUNCTION("""COMPUTED_VALUE"""),"Gil")</f>
        <v>Gil</v>
      </c>
      <c r="G257" s="107">
        <f t="shared" si="1"/>
        <v>11.375</v>
      </c>
      <c r="H257" s="108" t="str">
        <f t="shared" si="2"/>
        <v>Apr</v>
      </c>
    </row>
    <row r="258">
      <c r="A258" s="106">
        <f>IFERROR(__xludf.DUMMYFUNCTION("""COMPUTED_VALUE"""),45389.0)</f>
        <v>45389</v>
      </c>
      <c r="B258" s="103">
        <f>IFERROR(__xludf.DUMMYFUNCTION("""COMPUTED_VALUE"""),10.17)</f>
        <v>10.17</v>
      </c>
      <c r="C258" s="79" t="str">
        <f>IFERROR(__xludf.DUMMYFUNCTION("""COMPUTED_VALUE"""),"Variety Coffee")</f>
        <v>Variety Coffee</v>
      </c>
      <c r="D258" s="79" t="str">
        <f>IFERROR(__xludf.DUMMYFUNCTION("""COMPUTED_VALUE"""),"Amex Gold")</f>
        <v>Amex Gold</v>
      </c>
      <c r="E258" s="79" t="str">
        <f>IFERROR(__xludf.DUMMYFUNCTION("""COMPUTED_VALUE"""),"Meals")</f>
        <v>Meals</v>
      </c>
      <c r="F258" s="79" t="str">
        <f>IFERROR(__xludf.DUMMYFUNCTION("""COMPUTED_VALUE"""),"Gil")</f>
        <v>Gil</v>
      </c>
      <c r="G258" s="107">
        <f t="shared" si="1"/>
        <v>5.085</v>
      </c>
      <c r="H258" s="108" t="str">
        <f t="shared" si="2"/>
        <v>Apr</v>
      </c>
    </row>
    <row r="259">
      <c r="A259" s="106">
        <f>IFERROR(__xludf.DUMMYFUNCTION("""COMPUTED_VALUE"""),45403.0)</f>
        <v>45403</v>
      </c>
      <c r="B259" s="103">
        <f>IFERROR(__xludf.DUMMYFUNCTION("""COMPUTED_VALUE"""),33.28)</f>
        <v>33.28</v>
      </c>
      <c r="C259" s="79" t="str">
        <f>IFERROR(__xludf.DUMMYFUNCTION("""COMPUTED_VALUE"""),"City Fresh")</f>
        <v>City Fresh</v>
      </c>
      <c r="D259" s="79" t="str">
        <f>IFERROR(__xludf.DUMMYFUNCTION("""COMPUTED_VALUE"""),"Amex Blue")</f>
        <v>Amex Blue</v>
      </c>
      <c r="E259" s="79" t="str">
        <f>IFERROR(__xludf.DUMMYFUNCTION("""COMPUTED_VALUE"""),"Household")</f>
        <v>Household</v>
      </c>
      <c r="F259" s="79" t="str">
        <f>IFERROR(__xludf.DUMMYFUNCTION("""COMPUTED_VALUE"""),"Gil")</f>
        <v>Gil</v>
      </c>
      <c r="G259" s="107">
        <f t="shared" si="1"/>
        <v>16.64</v>
      </c>
      <c r="H259" s="108" t="str">
        <f t="shared" si="2"/>
        <v>Apr</v>
      </c>
    </row>
    <row r="260">
      <c r="A260" s="106">
        <f>IFERROR(__xludf.DUMMYFUNCTION("""COMPUTED_VALUE"""),45394.0)</f>
        <v>45394</v>
      </c>
      <c r="B260" s="103">
        <f>IFERROR(__xludf.DUMMYFUNCTION("""COMPUTED_VALUE"""),21.61)</f>
        <v>21.61</v>
      </c>
      <c r="C260" s="79" t="str">
        <f>IFERROR(__xludf.DUMMYFUNCTION("""COMPUTED_VALUE"""),"Mr. Lemon")</f>
        <v>Mr. Lemon</v>
      </c>
      <c r="D260" s="79" t="str">
        <f>IFERROR(__xludf.DUMMYFUNCTION("""COMPUTED_VALUE"""),"Amex Blue")</f>
        <v>Amex Blue</v>
      </c>
      <c r="E260" s="79" t="str">
        <f>IFERROR(__xludf.DUMMYFUNCTION("""COMPUTED_VALUE"""),"Groceries")</f>
        <v>Groceries</v>
      </c>
      <c r="F260" s="79" t="str">
        <f>IFERROR(__xludf.DUMMYFUNCTION("""COMPUTED_VALUE"""),"Gil")</f>
        <v>Gil</v>
      </c>
      <c r="G260" s="107">
        <f t="shared" si="1"/>
        <v>10.805</v>
      </c>
      <c r="H260" s="108" t="str">
        <f t="shared" si="2"/>
        <v>Apr</v>
      </c>
    </row>
    <row r="261">
      <c r="A261" s="106">
        <f>IFERROR(__xludf.DUMMYFUNCTION("""COMPUTED_VALUE"""),45390.0)</f>
        <v>45390</v>
      </c>
      <c r="B261" s="103">
        <f>IFERROR(__xludf.DUMMYFUNCTION("""COMPUTED_VALUE"""),16.58)</f>
        <v>16.58</v>
      </c>
      <c r="C261" s="79" t="str">
        <f>IFERROR(__xludf.DUMMYFUNCTION("""COMPUTED_VALUE"""),"Amazon - Floor Lamps/Ceiling Hooks")</f>
        <v>Amazon - Floor Lamps/Ceiling Hooks</v>
      </c>
      <c r="D261" s="79" t="str">
        <f>IFERROR(__xludf.DUMMYFUNCTION("""COMPUTED_VALUE"""),"Amex Blue")</f>
        <v>Amex Blue</v>
      </c>
      <c r="E261" s="79" t="str">
        <f>IFERROR(__xludf.DUMMYFUNCTION("""COMPUTED_VALUE"""),"Household")</f>
        <v>Household</v>
      </c>
      <c r="F261" s="79" t="str">
        <f>IFERROR(__xludf.DUMMYFUNCTION("""COMPUTED_VALUE"""),"Gil")</f>
        <v>Gil</v>
      </c>
      <c r="G261" s="107">
        <f t="shared" si="1"/>
        <v>8.29</v>
      </c>
      <c r="H261" s="108" t="str">
        <f t="shared" si="2"/>
        <v>Apr</v>
      </c>
    </row>
    <row r="262">
      <c r="A262" s="106">
        <f>IFERROR(__xludf.DUMMYFUNCTION("""COMPUTED_VALUE"""),45389.0)</f>
        <v>45389</v>
      </c>
      <c r="B262" s="103">
        <f>IFERROR(__xludf.DUMMYFUNCTION("""COMPUTED_VALUE"""),72.0)</f>
        <v>72</v>
      </c>
      <c r="C262" s="79" t="str">
        <f>IFERROR(__xludf.DUMMYFUNCTION("""COMPUTED_VALUE"""),"Brooklyn Dashi/Okume")</f>
        <v>Brooklyn Dashi/Okume</v>
      </c>
      <c r="D262" s="79" t="str">
        <f>IFERROR(__xludf.DUMMYFUNCTION("""COMPUTED_VALUE"""),"Amex Blue")</f>
        <v>Amex Blue</v>
      </c>
      <c r="E262" s="79" t="str">
        <f>IFERROR(__xludf.DUMMYFUNCTION("""COMPUTED_VALUE"""),"Groceries")</f>
        <v>Groceries</v>
      </c>
      <c r="F262" s="79" t="str">
        <f>IFERROR(__xludf.DUMMYFUNCTION("""COMPUTED_VALUE"""),"Gil")</f>
        <v>Gil</v>
      </c>
      <c r="G262" s="107">
        <f t="shared" si="1"/>
        <v>36</v>
      </c>
      <c r="H262" s="108" t="str">
        <f t="shared" si="2"/>
        <v>Apr</v>
      </c>
    </row>
    <row r="263">
      <c r="A263" s="106">
        <f>IFERROR(__xludf.DUMMYFUNCTION("""COMPUTED_VALUE"""),45392.0)</f>
        <v>45392</v>
      </c>
      <c r="B263" s="103">
        <f>IFERROR(__xludf.DUMMYFUNCTION("""COMPUTED_VALUE"""),16.0)</f>
        <v>16</v>
      </c>
      <c r="C263" s="79" t="str">
        <f>IFERROR(__xludf.DUMMYFUNCTION("""COMPUTED_VALUE"""),"NYC Ferry")</f>
        <v>NYC Ferry</v>
      </c>
      <c r="D263" s="79" t="str">
        <f>IFERROR(__xludf.DUMMYFUNCTION("""COMPUTED_VALUE"""),"Amex Blue")</f>
        <v>Amex Blue</v>
      </c>
      <c r="E263" s="79" t="str">
        <f>IFERROR(__xludf.DUMMYFUNCTION("""COMPUTED_VALUE"""),"Transportation")</f>
        <v>Transportation</v>
      </c>
      <c r="F263" s="79" t="str">
        <f>IFERROR(__xludf.DUMMYFUNCTION("""COMPUTED_VALUE"""),"Gil")</f>
        <v>Gil</v>
      </c>
      <c r="G263" s="107">
        <f t="shared" si="1"/>
        <v>8</v>
      </c>
      <c r="H263" s="108" t="str">
        <f t="shared" si="2"/>
        <v>Apr</v>
      </c>
    </row>
    <row r="264">
      <c r="A264" s="106">
        <f>IFERROR(__xludf.DUMMYFUNCTION("""COMPUTED_VALUE"""),45394.0)</f>
        <v>45394</v>
      </c>
      <c r="B264" s="103">
        <f>IFERROR(__xludf.DUMMYFUNCTION("""COMPUTED_VALUE"""),14.98)</f>
        <v>14.98</v>
      </c>
      <c r="C264" s="79" t="str">
        <f>IFERROR(__xludf.DUMMYFUNCTION("""COMPUTED_VALUE"""),"Mr. Lemon")</f>
        <v>Mr. Lemon</v>
      </c>
      <c r="D264" s="79" t="str">
        <f>IFERROR(__xludf.DUMMYFUNCTION("""COMPUTED_VALUE"""),"Amex Blue")</f>
        <v>Amex Blue</v>
      </c>
      <c r="E264" s="79" t="str">
        <f>IFERROR(__xludf.DUMMYFUNCTION("""COMPUTED_VALUE"""),"Groceries")</f>
        <v>Groceries</v>
      </c>
      <c r="F264" s="79" t="str">
        <f>IFERROR(__xludf.DUMMYFUNCTION("""COMPUTED_VALUE"""),"Gil")</f>
        <v>Gil</v>
      </c>
      <c r="G264" s="107">
        <f t="shared" si="1"/>
        <v>7.49</v>
      </c>
      <c r="H264" s="108" t="str">
        <f t="shared" si="2"/>
        <v>Apr</v>
      </c>
    </row>
    <row r="265">
      <c r="A265" s="106">
        <f>IFERROR(__xludf.DUMMYFUNCTION("""COMPUTED_VALUE"""),45412.0)</f>
        <v>45412</v>
      </c>
      <c r="B265" s="103">
        <f>IFERROR(__xludf.DUMMYFUNCTION("""COMPUTED_VALUE"""),116.8)</f>
        <v>116.8</v>
      </c>
      <c r="C265" s="79" t="str">
        <f>IFERROR(__xludf.DUMMYFUNCTION("""COMPUTED_VALUE"""),"AMEX Blue MTA and PP")</f>
        <v>AMEX Blue MTA and PP</v>
      </c>
      <c r="D265" s="79" t="str">
        <f>IFERROR(__xludf.DUMMYFUNCTION("""COMPUTED_VALUE"""),"Shaeffer ONLY")</f>
        <v>Shaeffer ONLY</v>
      </c>
      <c r="E265" s="79"/>
      <c r="F265" s="79" t="str">
        <f>IFERROR(__xludf.DUMMYFUNCTION("""COMPUTED_VALUE"""),"Gil")</f>
        <v>Gil</v>
      </c>
      <c r="G265" s="107">
        <f t="shared" si="1"/>
        <v>58.4</v>
      </c>
      <c r="H265" s="108" t="str">
        <f t="shared" si="2"/>
        <v>Apr</v>
      </c>
    </row>
    <row r="266">
      <c r="A266" s="106">
        <f>IFERROR(__xludf.DUMMYFUNCTION("""COMPUTED_VALUE"""),45388.0)</f>
        <v>45388</v>
      </c>
      <c r="B266" s="103">
        <f>IFERROR(__xludf.DUMMYFUNCTION("""COMPUTED_VALUE"""),11.92)</f>
        <v>11.92</v>
      </c>
      <c r="C266" s="79" t="str">
        <f>IFERROR(__xludf.DUMMYFUNCTION("""COMPUTED_VALUE"""),"Formaggio Essex")</f>
        <v>Formaggio Essex</v>
      </c>
      <c r="D266" s="79" t="str">
        <f>IFERROR(__xludf.DUMMYFUNCTION("""COMPUTED_VALUE"""),"Shaeffer ONLY")</f>
        <v>Shaeffer ONLY</v>
      </c>
      <c r="E266" s="79"/>
      <c r="F266" s="79" t="str">
        <f>IFERROR(__xludf.DUMMYFUNCTION("""COMPUTED_VALUE"""),"Gil")</f>
        <v>Gil</v>
      </c>
      <c r="G266" s="107">
        <f t="shared" si="1"/>
        <v>5.96</v>
      </c>
      <c r="H266" s="108" t="str">
        <f t="shared" si="2"/>
        <v>Apr</v>
      </c>
    </row>
    <row r="267">
      <c r="A267" s="106">
        <f>IFERROR(__xludf.DUMMYFUNCTION("""COMPUTED_VALUE"""),45384.0)</f>
        <v>45384</v>
      </c>
      <c r="B267" s="103">
        <f>IFERROR(__xludf.DUMMYFUNCTION("""COMPUTED_VALUE"""),14.65)</f>
        <v>14.65</v>
      </c>
      <c r="C267" s="79" t="str">
        <f>IFERROR(__xludf.DUMMYFUNCTION("""COMPUTED_VALUE"""),"Amazon S&amp;S - Jarrow B12")</f>
        <v>Amazon S&amp;S - Jarrow B12</v>
      </c>
      <c r="D267" s="79" t="str">
        <f>IFERROR(__xludf.DUMMYFUNCTION("""COMPUTED_VALUE"""),"Amazon Prime Chase")</f>
        <v>Amazon Prime Chase</v>
      </c>
      <c r="E267" s="79" t="str">
        <f>IFERROR(__xludf.DUMMYFUNCTION("""COMPUTED_VALUE"""),"Household")</f>
        <v>Household</v>
      </c>
      <c r="F267" s="79" t="str">
        <f>IFERROR(__xludf.DUMMYFUNCTION("""COMPUTED_VALUE"""),"Gil")</f>
        <v>Gil</v>
      </c>
      <c r="G267" s="107">
        <f t="shared" si="1"/>
        <v>7.325</v>
      </c>
      <c r="H267" s="108" t="str">
        <f t="shared" si="2"/>
        <v>Apr</v>
      </c>
    </row>
    <row r="268">
      <c r="A268" s="106">
        <f>IFERROR(__xludf.DUMMYFUNCTION("""COMPUTED_VALUE"""),45384.0)</f>
        <v>45384</v>
      </c>
      <c r="B268" s="103">
        <f>IFERROR(__xludf.DUMMYFUNCTION("""COMPUTED_VALUE"""),16.99)</f>
        <v>16.99</v>
      </c>
      <c r="C268" s="79" t="str">
        <f>IFERROR(__xludf.DUMMYFUNCTION("""COMPUTED_VALUE"""),"Amazon S&amp;S - Yondu")</f>
        <v>Amazon S&amp;S - Yondu</v>
      </c>
      <c r="D268" s="79" t="str">
        <f>IFERROR(__xludf.DUMMYFUNCTION("""COMPUTED_VALUE"""),"Amazon Prime Chase")</f>
        <v>Amazon Prime Chase</v>
      </c>
      <c r="E268" s="79" t="str">
        <f>IFERROR(__xludf.DUMMYFUNCTION("""COMPUTED_VALUE"""),"Groceries")</f>
        <v>Groceries</v>
      </c>
      <c r="F268" s="79" t="str">
        <f>IFERROR(__xludf.DUMMYFUNCTION("""COMPUTED_VALUE"""),"Gil")</f>
        <v>Gil</v>
      </c>
      <c r="G268" s="107">
        <f t="shared" si="1"/>
        <v>8.495</v>
      </c>
      <c r="H268" s="108" t="str">
        <f t="shared" si="2"/>
        <v>Apr</v>
      </c>
    </row>
    <row r="269">
      <c r="A269" s="106">
        <f>IFERROR(__xludf.DUMMYFUNCTION("""COMPUTED_VALUE"""),45384.0)</f>
        <v>45384</v>
      </c>
      <c r="B269" s="103">
        <f>IFERROR(__xludf.DUMMYFUNCTION("""COMPUTED_VALUE"""),18.65)</f>
        <v>18.65</v>
      </c>
      <c r="C269" s="79" t="str">
        <f>IFERROR(__xludf.DUMMYFUNCTION("""COMPUTED_VALUE"""),"Amazon S&amp;S - Belmont Peanuts")</f>
        <v>Amazon S&amp;S - Belmont Peanuts</v>
      </c>
      <c r="D269" s="79" t="str">
        <f>IFERROR(__xludf.DUMMYFUNCTION("""COMPUTED_VALUE"""),"Amazon Prime Chase")</f>
        <v>Amazon Prime Chase</v>
      </c>
      <c r="E269" s="79" t="str">
        <f>IFERROR(__xludf.DUMMYFUNCTION("""COMPUTED_VALUE"""),"Groceries")</f>
        <v>Groceries</v>
      </c>
      <c r="F269" s="79" t="str">
        <f>IFERROR(__xludf.DUMMYFUNCTION("""COMPUTED_VALUE"""),"Gil")</f>
        <v>Gil</v>
      </c>
      <c r="G269" s="107">
        <f t="shared" si="1"/>
        <v>9.325</v>
      </c>
      <c r="H269" s="108" t="str">
        <f t="shared" si="2"/>
        <v>Apr</v>
      </c>
    </row>
    <row r="270">
      <c r="A270" s="106">
        <f>IFERROR(__xludf.DUMMYFUNCTION("""COMPUTED_VALUE"""),45384.0)</f>
        <v>45384</v>
      </c>
      <c r="B270" s="103">
        <f>IFERROR(__xludf.DUMMYFUNCTION("""COMPUTED_VALUE"""),24.85)</f>
        <v>24.85</v>
      </c>
      <c r="C270" s="79" t="str">
        <f>IFERROR(__xludf.DUMMYFUNCTION("""COMPUTED_VALUE"""),"Amazon S&amp;S - Magnesium")</f>
        <v>Amazon S&amp;S - Magnesium</v>
      </c>
      <c r="D270" s="79" t="str">
        <f>IFERROR(__xludf.DUMMYFUNCTION("""COMPUTED_VALUE"""),"Amazon Prime Chase")</f>
        <v>Amazon Prime Chase</v>
      </c>
      <c r="E270" s="79" t="str">
        <f>IFERROR(__xludf.DUMMYFUNCTION("""COMPUTED_VALUE"""),"Groceries")</f>
        <v>Groceries</v>
      </c>
      <c r="F270" s="79" t="str">
        <f>IFERROR(__xludf.DUMMYFUNCTION("""COMPUTED_VALUE"""),"Gil")</f>
        <v>Gil</v>
      </c>
      <c r="G270" s="107">
        <f t="shared" si="1"/>
        <v>12.425</v>
      </c>
      <c r="H270" s="108" t="str">
        <f t="shared" si="2"/>
        <v>Apr</v>
      </c>
    </row>
    <row r="271">
      <c r="A271" s="106">
        <f>IFERROR(__xludf.DUMMYFUNCTION("""COMPUTED_VALUE"""),45384.0)</f>
        <v>45384</v>
      </c>
      <c r="B271" s="103">
        <f>IFERROR(__xludf.DUMMYFUNCTION("""COMPUTED_VALUE"""),16.53)</f>
        <v>16.53</v>
      </c>
      <c r="C271" s="79" t="str">
        <f>IFERROR(__xludf.DUMMYFUNCTION("""COMPUTED_VALUE"""),"Amazon S&amp;S - V60 Filters")</f>
        <v>Amazon S&amp;S - V60 Filters</v>
      </c>
      <c r="D271" s="79" t="str">
        <f>IFERROR(__xludf.DUMMYFUNCTION("""COMPUTED_VALUE"""),"Amazon Prime Chase")</f>
        <v>Amazon Prime Chase</v>
      </c>
      <c r="E271" s="79" t="str">
        <f>IFERROR(__xludf.DUMMYFUNCTION("""COMPUTED_VALUE"""),"Household")</f>
        <v>Household</v>
      </c>
      <c r="F271" s="79" t="str">
        <f>IFERROR(__xludf.DUMMYFUNCTION("""COMPUTED_VALUE"""),"Shaeffer")</f>
        <v>Shaeffer</v>
      </c>
      <c r="G271" s="107">
        <f t="shared" si="1"/>
        <v>8.265</v>
      </c>
      <c r="H271" s="108" t="str">
        <f t="shared" si="2"/>
        <v>Apr</v>
      </c>
    </row>
    <row r="272">
      <c r="A272" s="106">
        <f>IFERROR(__xludf.DUMMYFUNCTION("""COMPUTED_VALUE"""),45384.0)</f>
        <v>45384</v>
      </c>
      <c r="B272" s="103">
        <f>IFERROR(__xludf.DUMMYFUNCTION("""COMPUTED_VALUE"""),23.0)</f>
        <v>23</v>
      </c>
      <c r="C272" s="79" t="str">
        <f>IFERROR(__xludf.DUMMYFUNCTION("""COMPUTED_VALUE"""),"Lemonade")</f>
        <v>Lemonade</v>
      </c>
      <c r="D272" s="79" t="str">
        <f>IFERROR(__xludf.DUMMYFUNCTION("""COMPUTED_VALUE"""),"Amazon Prime Chase")</f>
        <v>Amazon Prime Chase</v>
      </c>
      <c r="E272" s="79" t="str">
        <f>IFERROR(__xludf.DUMMYFUNCTION("""COMPUTED_VALUE"""),"Insurance")</f>
        <v>Insurance</v>
      </c>
      <c r="F272" s="79" t="str">
        <f>IFERROR(__xludf.DUMMYFUNCTION("""COMPUTED_VALUE"""),"Gil")</f>
        <v>Gil</v>
      </c>
      <c r="G272" s="107">
        <f t="shared" si="1"/>
        <v>11.5</v>
      </c>
      <c r="H272" s="108" t="str">
        <f t="shared" si="2"/>
        <v>Apr</v>
      </c>
    </row>
    <row r="273">
      <c r="A273" s="106">
        <f>IFERROR(__xludf.DUMMYFUNCTION("""COMPUTED_VALUE"""),45391.0)</f>
        <v>45391</v>
      </c>
      <c r="B273" s="103">
        <f>IFERROR(__xludf.DUMMYFUNCTION("""COMPUTED_VALUE"""),1.62)</f>
        <v>1.62</v>
      </c>
      <c r="C273" s="79" t="str">
        <f>IFERROR(__xludf.DUMMYFUNCTION("""COMPUTED_VALUE"""),"HP Instant Ink")</f>
        <v>HP Instant Ink</v>
      </c>
      <c r="D273" s="79" t="str">
        <f>IFERROR(__xludf.DUMMYFUNCTION("""COMPUTED_VALUE"""),"Amazon Prime Chase")</f>
        <v>Amazon Prime Chase</v>
      </c>
      <c r="E273" s="79" t="str">
        <f>IFERROR(__xludf.DUMMYFUNCTION("""COMPUTED_VALUE"""),"Household")</f>
        <v>Household</v>
      </c>
      <c r="F273" s="79" t="str">
        <f>IFERROR(__xludf.DUMMYFUNCTION("""COMPUTED_VALUE"""),"Gil")</f>
        <v>Gil</v>
      </c>
      <c r="G273" s="107">
        <f t="shared" si="1"/>
        <v>0.81</v>
      </c>
      <c r="H273" s="108" t="str">
        <f t="shared" si="2"/>
        <v>Apr</v>
      </c>
    </row>
    <row r="274">
      <c r="A274" s="106">
        <f>IFERROR(__xludf.DUMMYFUNCTION("""COMPUTED_VALUE"""),45398.0)</f>
        <v>45398</v>
      </c>
      <c r="B274" s="103">
        <f>IFERROR(__xludf.DUMMYFUNCTION("""COMPUTED_VALUE"""),25.81)</f>
        <v>25.81</v>
      </c>
      <c r="C274" s="79" t="str">
        <f>IFERROR(__xludf.DUMMYFUNCTION("""COMPUTED_VALUE"""),"Amazon S&amp;S - San Pelligrino")</f>
        <v>Amazon S&amp;S - San Pelligrino</v>
      </c>
      <c r="D274" s="79" t="str">
        <f>IFERROR(__xludf.DUMMYFUNCTION("""COMPUTED_VALUE"""),"Amazon Prime Chase")</f>
        <v>Amazon Prime Chase</v>
      </c>
      <c r="E274" s="79" t="str">
        <f>IFERROR(__xludf.DUMMYFUNCTION("""COMPUTED_VALUE"""),"Groceries")</f>
        <v>Groceries</v>
      </c>
      <c r="F274" s="79" t="str">
        <f>IFERROR(__xludf.DUMMYFUNCTION("""COMPUTED_VALUE"""),"Gil")</f>
        <v>Gil</v>
      </c>
      <c r="G274" s="107">
        <f t="shared" si="1"/>
        <v>12.905</v>
      </c>
      <c r="H274" s="108" t="str">
        <f t="shared" si="2"/>
        <v>Apr</v>
      </c>
    </row>
    <row r="275">
      <c r="A275" s="106">
        <f>IFERROR(__xludf.DUMMYFUNCTION("""COMPUTED_VALUE"""),45400.0)</f>
        <v>45400</v>
      </c>
      <c r="B275" s="103">
        <f>IFERROR(__xludf.DUMMYFUNCTION("""COMPUTED_VALUE"""),16.32)</f>
        <v>16.32</v>
      </c>
      <c r="C275" s="79" t="str">
        <f>IFERROR(__xludf.DUMMYFUNCTION("""COMPUTED_VALUE"""),"Amazon Prime Subscription")</f>
        <v>Amazon Prime Subscription</v>
      </c>
      <c r="D275" s="79" t="str">
        <f>IFERROR(__xludf.DUMMYFUNCTION("""COMPUTED_VALUE"""),"Amazon Prime Chase")</f>
        <v>Amazon Prime Chase</v>
      </c>
      <c r="E275" s="79" t="str">
        <f>IFERROR(__xludf.DUMMYFUNCTION("""COMPUTED_VALUE"""),"Subscriptions")</f>
        <v>Subscriptions</v>
      </c>
      <c r="F275" s="79" t="str">
        <f>IFERROR(__xludf.DUMMYFUNCTION("""COMPUTED_VALUE"""),"Gil")</f>
        <v>Gil</v>
      </c>
      <c r="G275" s="107">
        <f t="shared" si="1"/>
        <v>8.16</v>
      </c>
      <c r="H275" s="108" t="str">
        <f t="shared" si="2"/>
        <v>Apr</v>
      </c>
    </row>
    <row r="276">
      <c r="A276" s="106">
        <f>IFERROR(__xludf.DUMMYFUNCTION("""COMPUTED_VALUE"""),45417.0)</f>
        <v>45417</v>
      </c>
      <c r="B276" s="103">
        <f>IFERROR(__xludf.DUMMYFUNCTION("""COMPUTED_VALUE"""),11.98)</f>
        <v>11.98</v>
      </c>
      <c r="C276" s="79" t="str">
        <f>IFERROR(__xludf.DUMMYFUNCTION("""COMPUTED_VALUE"""),"Mr. Lemon")</f>
        <v>Mr. Lemon</v>
      </c>
      <c r="D276" s="79" t="str">
        <f>IFERROR(__xludf.DUMMYFUNCTION("""COMPUTED_VALUE"""),"Amex Blue")</f>
        <v>Amex Blue</v>
      </c>
      <c r="E276" s="79" t="str">
        <f>IFERROR(__xludf.DUMMYFUNCTION("""COMPUTED_VALUE"""),"Groceries")</f>
        <v>Groceries</v>
      </c>
      <c r="F276" s="79" t="str">
        <f>IFERROR(__xludf.DUMMYFUNCTION("""COMPUTED_VALUE"""),"Gil")</f>
        <v>Gil</v>
      </c>
      <c r="G276" s="107">
        <f t="shared" si="1"/>
        <v>5.99</v>
      </c>
      <c r="H276" s="108" t="str">
        <f t="shared" si="2"/>
        <v>May</v>
      </c>
    </row>
    <row r="277">
      <c r="A277" s="106">
        <f>IFERROR(__xludf.DUMMYFUNCTION("""COMPUTED_VALUE"""),45417.0)</f>
        <v>45417</v>
      </c>
      <c r="B277" s="103">
        <f>IFERROR(__xludf.DUMMYFUNCTION("""COMPUTED_VALUE"""),13.5)</f>
        <v>13.5</v>
      </c>
      <c r="C277" s="79" t="str">
        <f>IFERROR(__xludf.DUMMYFUNCTION("""COMPUTED_VALUE"""),"Ten Ren Tea")</f>
        <v>Ten Ren Tea</v>
      </c>
      <c r="D277" s="79" t="str">
        <f>IFERROR(__xludf.DUMMYFUNCTION("""COMPUTED_VALUE"""),"Amex Gold")</f>
        <v>Amex Gold</v>
      </c>
      <c r="E277" s="79" t="str">
        <f>IFERROR(__xludf.DUMMYFUNCTION("""COMPUTED_VALUE"""),"Meals")</f>
        <v>Meals</v>
      </c>
      <c r="F277" s="79" t="str">
        <f>IFERROR(__xludf.DUMMYFUNCTION("""COMPUTED_VALUE"""),"Gil")</f>
        <v>Gil</v>
      </c>
      <c r="G277" s="107">
        <f t="shared" si="1"/>
        <v>6.75</v>
      </c>
      <c r="H277" s="108" t="str">
        <f t="shared" si="2"/>
        <v>May</v>
      </c>
    </row>
    <row r="278">
      <c r="A278" s="106">
        <f>IFERROR(__xludf.DUMMYFUNCTION("""COMPUTED_VALUE"""),45417.0)</f>
        <v>45417</v>
      </c>
      <c r="B278" s="103">
        <f>IFERROR(__xludf.DUMMYFUNCTION("""COMPUTED_VALUE"""),37.84)</f>
        <v>37.84</v>
      </c>
      <c r="C278" s="79" t="str">
        <f>IFERROR(__xludf.DUMMYFUNCTION("""COMPUTED_VALUE"""),"Whole Foods")</f>
        <v>Whole Foods</v>
      </c>
      <c r="D278" s="79" t="str">
        <f>IFERROR(__xludf.DUMMYFUNCTION("""COMPUTED_VALUE"""),"Amex Blue")</f>
        <v>Amex Blue</v>
      </c>
      <c r="E278" s="79" t="str">
        <f>IFERROR(__xludf.DUMMYFUNCTION("""COMPUTED_VALUE"""),"Groceries")</f>
        <v>Groceries</v>
      </c>
      <c r="F278" s="79" t="str">
        <f>IFERROR(__xludf.DUMMYFUNCTION("""COMPUTED_VALUE"""),"Gil")</f>
        <v>Gil</v>
      </c>
      <c r="G278" s="107">
        <f t="shared" si="1"/>
        <v>18.92</v>
      </c>
      <c r="H278" s="108" t="str">
        <f t="shared" si="2"/>
        <v>May</v>
      </c>
    </row>
    <row r="279">
      <c r="A279" s="106">
        <f>IFERROR(__xludf.DUMMYFUNCTION("""COMPUTED_VALUE"""),45404.0)</f>
        <v>45404</v>
      </c>
      <c r="B279" s="103">
        <f>IFERROR(__xludf.DUMMYFUNCTION("""COMPUTED_VALUE"""),62.0)</f>
        <v>62</v>
      </c>
      <c r="C279" s="79" t="str">
        <f>IFERROR(__xludf.DUMMYFUNCTION("""COMPUTED_VALUE"""),"Optimum")</f>
        <v>Optimum</v>
      </c>
      <c r="D279" s="79" t="str">
        <f>IFERROR(__xludf.DUMMYFUNCTION("""COMPUTED_VALUE"""),"Amex Delta Skymiles")</f>
        <v>Amex Delta Skymiles</v>
      </c>
      <c r="E279" s="79" t="str">
        <f>IFERROR(__xludf.DUMMYFUNCTION("""COMPUTED_VALUE"""),"Internet")</f>
        <v>Internet</v>
      </c>
      <c r="F279" s="79" t="str">
        <f>IFERROR(__xludf.DUMMYFUNCTION("""COMPUTED_VALUE"""),"Shaeffer")</f>
        <v>Shaeffer</v>
      </c>
      <c r="G279" s="107">
        <f t="shared" si="1"/>
        <v>31</v>
      </c>
      <c r="H279" s="108" t="str">
        <f t="shared" si="2"/>
        <v>Apr</v>
      </c>
    </row>
    <row r="280">
      <c r="A280" s="106">
        <f>IFERROR(__xludf.DUMMYFUNCTION("""COMPUTED_VALUE"""),45414.0)</f>
        <v>45414</v>
      </c>
      <c r="B280" s="103">
        <f>IFERROR(__xludf.DUMMYFUNCTION("""COMPUTED_VALUE"""),2700.0)</f>
        <v>2700</v>
      </c>
      <c r="C280" s="79" t="str">
        <f>IFERROR(__xludf.DUMMYFUNCTION("""COMPUTED_VALUE"""),"May Rent")</f>
        <v>May Rent</v>
      </c>
      <c r="D280" s="79" t="str">
        <f>IFERROR(__xludf.DUMMYFUNCTION("""COMPUTED_VALUE"""),"Checking")</f>
        <v>Checking</v>
      </c>
      <c r="E280" s="79" t="str">
        <f>IFERROR(__xludf.DUMMYFUNCTION("""COMPUTED_VALUE"""),"Rent")</f>
        <v>Rent</v>
      </c>
      <c r="F280" s="79" t="str">
        <f>IFERROR(__xludf.DUMMYFUNCTION("""COMPUTED_VALUE"""),"Shaeffer")</f>
        <v>Shaeffer</v>
      </c>
      <c r="G280" s="107">
        <f t="shared" si="1"/>
        <v>1350</v>
      </c>
      <c r="H280" s="108" t="str">
        <f t="shared" si="2"/>
        <v>May</v>
      </c>
    </row>
    <row r="281">
      <c r="A281" s="106">
        <f>IFERROR(__xludf.DUMMYFUNCTION("""COMPUTED_VALUE"""),45414.0)</f>
        <v>45414</v>
      </c>
      <c r="B281" s="103">
        <f>IFERROR(__xludf.DUMMYFUNCTION("""COMPUTED_VALUE"""),161.25)</f>
        <v>161.25</v>
      </c>
      <c r="C281" s="79" t="str">
        <f>IFERROR(__xludf.DUMMYFUNCTION("""COMPUTED_VALUE"""),"Storage Unit")</f>
        <v>Storage Unit</v>
      </c>
      <c r="D281" s="79" t="str">
        <f>IFERROR(__xludf.DUMMYFUNCTION("""COMPUTED_VALUE"""),"Checking")</f>
        <v>Checking</v>
      </c>
      <c r="E281" s="79" t="str">
        <f>IFERROR(__xludf.DUMMYFUNCTION("""COMPUTED_VALUE"""),"Storage")</f>
        <v>Storage</v>
      </c>
      <c r="F281" s="79" t="str">
        <f>IFERROR(__xludf.DUMMYFUNCTION("""COMPUTED_VALUE"""),"Shaeffer")</f>
        <v>Shaeffer</v>
      </c>
      <c r="G281" s="107">
        <f t="shared" si="1"/>
        <v>80.625</v>
      </c>
      <c r="H281" s="108" t="str">
        <f t="shared" si="2"/>
        <v>May</v>
      </c>
    </row>
    <row r="282">
      <c r="A282" s="106">
        <f>IFERROR(__xludf.DUMMYFUNCTION("""COMPUTED_VALUE"""),45401.0)</f>
        <v>45401</v>
      </c>
      <c r="B282" s="103">
        <f>IFERROR(__xludf.DUMMYFUNCTION("""COMPUTED_VALUE"""),7.99)</f>
        <v>7.99</v>
      </c>
      <c r="C282" s="79" t="str">
        <f>IFERROR(__xludf.DUMMYFUNCTION("""COMPUTED_VALUE"""),"Hulu")</f>
        <v>Hulu</v>
      </c>
      <c r="D282" s="79" t="str">
        <f>IFERROR(__xludf.DUMMYFUNCTION("""COMPUTED_VALUE"""),"Chase Reserve")</f>
        <v>Chase Reserve</v>
      </c>
      <c r="E282" s="79" t="str">
        <f>IFERROR(__xludf.DUMMYFUNCTION("""COMPUTED_VALUE"""),"Subscriptions")</f>
        <v>Subscriptions</v>
      </c>
      <c r="F282" s="79" t="str">
        <f>IFERROR(__xludf.DUMMYFUNCTION("""COMPUTED_VALUE"""),"Shaeffer")</f>
        <v>Shaeffer</v>
      </c>
      <c r="G282" s="107">
        <f t="shared" si="1"/>
        <v>3.995</v>
      </c>
      <c r="H282" s="108" t="str">
        <f t="shared" si="2"/>
        <v>Apr</v>
      </c>
    </row>
    <row r="283">
      <c r="A283" s="106">
        <f>IFERROR(__xludf.DUMMYFUNCTION("""COMPUTED_VALUE"""),45401.0)</f>
        <v>45401</v>
      </c>
      <c r="B283" s="103">
        <f>IFERROR(__xludf.DUMMYFUNCTION("""COMPUTED_VALUE"""),50.0)</f>
        <v>50</v>
      </c>
      <c r="C283" s="79" t="str">
        <f>IFERROR(__xludf.DUMMYFUNCTION("""COMPUTED_VALUE"""),"Lyft - home from K&amp;T's wedding")</f>
        <v>Lyft - home from K&amp;T's wedding</v>
      </c>
      <c r="D283" s="79" t="str">
        <f>IFERROR(__xludf.DUMMYFUNCTION("""COMPUTED_VALUE"""),"Chase Reserve")</f>
        <v>Chase Reserve</v>
      </c>
      <c r="E283" s="79" t="str">
        <f>IFERROR(__xludf.DUMMYFUNCTION("""COMPUTED_VALUE"""),"Transportation")</f>
        <v>Transportation</v>
      </c>
      <c r="F283" s="79" t="str">
        <f>IFERROR(__xludf.DUMMYFUNCTION("""COMPUTED_VALUE"""),"Shaeffer")</f>
        <v>Shaeffer</v>
      </c>
      <c r="G283" s="107">
        <f t="shared" si="1"/>
        <v>25</v>
      </c>
      <c r="H283" s="108" t="str">
        <f t="shared" si="2"/>
        <v>Apr</v>
      </c>
    </row>
    <row r="284">
      <c r="A284" s="106">
        <f>IFERROR(__xludf.DUMMYFUNCTION("""COMPUTED_VALUE"""),45400.0)</f>
        <v>45400</v>
      </c>
      <c r="B284" s="103">
        <f>IFERROR(__xludf.DUMMYFUNCTION("""COMPUTED_VALUE"""),49.76)</f>
        <v>49.76</v>
      </c>
      <c r="C284" s="79" t="str">
        <f>IFERROR(__xludf.DUMMYFUNCTION("""COMPUTED_VALUE"""),"Flamingo Estate")</f>
        <v>Flamingo Estate</v>
      </c>
      <c r="D284" s="79" t="str">
        <f>IFERROR(__xludf.DUMMYFUNCTION("""COMPUTED_VALUE"""),"Jet Blue")</f>
        <v>Jet Blue</v>
      </c>
      <c r="E284" s="79" t="str">
        <f>IFERROR(__xludf.DUMMYFUNCTION("""COMPUTED_VALUE"""),"Household")</f>
        <v>Household</v>
      </c>
      <c r="F284" s="79" t="str">
        <f>IFERROR(__xludf.DUMMYFUNCTION("""COMPUTED_VALUE"""),"Shaeffer")</f>
        <v>Shaeffer</v>
      </c>
      <c r="G284" s="107">
        <f t="shared" si="1"/>
        <v>24.88</v>
      </c>
      <c r="H284" s="108" t="str">
        <f t="shared" si="2"/>
        <v>Apr</v>
      </c>
    </row>
    <row r="285">
      <c r="A285" s="106">
        <f>IFERROR(__xludf.DUMMYFUNCTION("""COMPUTED_VALUE"""),45418.0)</f>
        <v>45418</v>
      </c>
      <c r="B285" s="103">
        <f>IFERROR(__xludf.DUMMYFUNCTION("""COMPUTED_VALUE"""),72.48)</f>
        <v>72.48</v>
      </c>
      <c r="C285" s="79" t="str">
        <f>IFERROR(__xludf.DUMMYFUNCTION("""COMPUTED_VALUE"""),"Kalustyan's")</f>
        <v>Kalustyan's</v>
      </c>
      <c r="D285" s="79" t="str">
        <f>IFERROR(__xludf.DUMMYFUNCTION("""COMPUTED_VALUE"""),"Cash")</f>
        <v>Cash</v>
      </c>
      <c r="E285" s="79" t="str">
        <f>IFERROR(__xludf.DUMMYFUNCTION("""COMPUTED_VALUE"""),"Groceries")</f>
        <v>Groceries</v>
      </c>
      <c r="F285" s="79" t="str">
        <f>IFERROR(__xludf.DUMMYFUNCTION("""COMPUTED_VALUE"""),"Gil")</f>
        <v>Gil</v>
      </c>
      <c r="G285" s="107">
        <f t="shared" si="1"/>
        <v>36.24</v>
      </c>
      <c r="H285" s="108" t="str">
        <f t="shared" si="2"/>
        <v>May</v>
      </c>
    </row>
    <row r="286">
      <c r="A286" s="106">
        <f>IFERROR(__xludf.DUMMYFUNCTION("""COMPUTED_VALUE"""),45417.0)</f>
        <v>45417</v>
      </c>
      <c r="B286" s="103">
        <f>IFERROR(__xludf.DUMMYFUNCTION("""COMPUTED_VALUE"""),18.51)</f>
        <v>18.51</v>
      </c>
      <c r="C286" s="79" t="str">
        <f>IFERROR(__xludf.DUMMYFUNCTION("""COMPUTED_VALUE"""),"Gelateria Gentile")</f>
        <v>Gelateria Gentile</v>
      </c>
      <c r="D286" s="79" t="str">
        <f>IFERROR(__xludf.DUMMYFUNCTION("""COMPUTED_VALUE"""),"Amex Gold")</f>
        <v>Amex Gold</v>
      </c>
      <c r="E286" s="79" t="str">
        <f>IFERROR(__xludf.DUMMYFUNCTION("""COMPUTED_VALUE"""),"Meals")</f>
        <v>Meals</v>
      </c>
      <c r="F286" s="79" t="str">
        <f>IFERROR(__xludf.DUMMYFUNCTION("""COMPUTED_VALUE"""),"Gil")</f>
        <v>Gil</v>
      </c>
      <c r="G286" s="107">
        <f t="shared" si="1"/>
        <v>9.255</v>
      </c>
      <c r="H286" s="108" t="str">
        <f t="shared" si="2"/>
        <v>May</v>
      </c>
    </row>
    <row r="287">
      <c r="A287" s="106">
        <f>IFERROR(__xludf.DUMMYFUNCTION("""COMPUTED_VALUE"""),45420.0)</f>
        <v>45420</v>
      </c>
      <c r="B287" s="103">
        <f>IFERROR(__xludf.DUMMYFUNCTION("""COMPUTED_VALUE"""),88.0)</f>
        <v>88</v>
      </c>
      <c r="C287" s="79" t="str">
        <f>IFERROR(__xludf.DUMMYFUNCTION("""COMPUTED_VALUE"""),"Altreno")</f>
        <v>Altreno</v>
      </c>
      <c r="D287" s="79" t="str">
        <f>IFERROR(__xludf.DUMMYFUNCTION("""COMPUTED_VALUE"""),"Checking")</f>
        <v>Checking</v>
      </c>
      <c r="E287" s="79" t="str">
        <f>IFERROR(__xludf.DUMMYFUNCTION("""COMPUTED_VALUE"""),"Personal")</f>
        <v>Personal</v>
      </c>
      <c r="F287" s="79" t="str">
        <f>IFERROR(__xludf.DUMMYFUNCTION("""COMPUTED_VALUE"""),"Gil")</f>
        <v>Gil</v>
      </c>
      <c r="G287" s="107">
        <f t="shared" si="1"/>
        <v>44</v>
      </c>
      <c r="H287" s="108" t="str">
        <f t="shared" si="2"/>
        <v>May</v>
      </c>
    </row>
    <row r="288">
      <c r="A288" s="106">
        <f>IFERROR(__xludf.DUMMYFUNCTION("""COMPUTED_VALUE"""),45422.0)</f>
        <v>45422</v>
      </c>
      <c r="B288" s="103">
        <f>IFERROR(__xludf.DUMMYFUNCTION("""COMPUTED_VALUE"""),22.99)</f>
        <v>22.99</v>
      </c>
      <c r="C288" s="79" t="str">
        <f>IFERROR(__xludf.DUMMYFUNCTION("""COMPUTED_VALUE"""),"YouTube Premium Family Plan")</f>
        <v>YouTube Premium Family Plan</v>
      </c>
      <c r="D288" s="79" t="str">
        <f>IFERROR(__xludf.DUMMYFUNCTION("""COMPUTED_VALUE"""),"Other")</f>
        <v>Other</v>
      </c>
      <c r="E288" s="79" t="str">
        <f>IFERROR(__xludf.DUMMYFUNCTION("""COMPUTED_VALUE"""),"Subscriptions")</f>
        <v>Subscriptions</v>
      </c>
      <c r="F288" s="79" t="str">
        <f>IFERROR(__xludf.DUMMYFUNCTION("""COMPUTED_VALUE"""),"Gil")</f>
        <v>Gil</v>
      </c>
      <c r="G288" s="107">
        <f t="shared" si="1"/>
        <v>11.495</v>
      </c>
      <c r="H288" s="108" t="str">
        <f t="shared" si="2"/>
        <v>May</v>
      </c>
    </row>
    <row r="289">
      <c r="A289" s="106">
        <f>IFERROR(__xludf.DUMMYFUNCTION("""COMPUTED_VALUE"""),45422.0)</f>
        <v>45422</v>
      </c>
      <c r="B289" s="103">
        <f>IFERROR(__xludf.DUMMYFUNCTION("""COMPUTED_VALUE"""),79.04)</f>
        <v>79.04</v>
      </c>
      <c r="C289" s="79" t="str">
        <f>IFERROR(__xludf.DUMMYFUNCTION("""COMPUTED_VALUE"""),"Dickson's")</f>
        <v>Dickson's</v>
      </c>
      <c r="D289" s="79" t="str">
        <f>IFERROR(__xludf.DUMMYFUNCTION("""COMPUTED_VALUE"""),"Amex Blue")</f>
        <v>Amex Blue</v>
      </c>
      <c r="E289" s="79" t="str">
        <f>IFERROR(__xludf.DUMMYFUNCTION("""COMPUTED_VALUE"""),"Groceries")</f>
        <v>Groceries</v>
      </c>
      <c r="F289" s="79" t="str">
        <f>IFERROR(__xludf.DUMMYFUNCTION("""COMPUTED_VALUE"""),"Gil")</f>
        <v>Gil</v>
      </c>
      <c r="G289" s="107">
        <f t="shared" si="1"/>
        <v>39.52</v>
      </c>
      <c r="H289" s="108" t="str">
        <f t="shared" si="2"/>
        <v>May</v>
      </c>
    </row>
    <row r="290">
      <c r="A290" s="106">
        <f>IFERROR(__xludf.DUMMYFUNCTION("""COMPUTED_VALUE"""),45425.0)</f>
        <v>45425</v>
      </c>
      <c r="B290" s="103">
        <f>IFERROR(__xludf.DUMMYFUNCTION("""COMPUTED_VALUE"""),136.0)</f>
        <v>136</v>
      </c>
      <c r="C290" s="79" t="str">
        <f>IFERROR(__xludf.DUMMYFUNCTION("""COMPUTED_VALUE"""),"Amtrak - Hudson to NYC")</f>
        <v>Amtrak - Hudson to NYC</v>
      </c>
      <c r="D290" s="79" t="str">
        <f>IFERROR(__xludf.DUMMYFUNCTION("""COMPUTED_VALUE"""),"Other")</f>
        <v>Other</v>
      </c>
      <c r="E290" s="79" t="str">
        <f>IFERROR(__xludf.DUMMYFUNCTION("""COMPUTED_VALUE"""),"Travel")</f>
        <v>Travel</v>
      </c>
      <c r="F290" s="79" t="str">
        <f>IFERROR(__xludf.DUMMYFUNCTION("""COMPUTED_VALUE"""),"Gil")</f>
        <v>Gil</v>
      </c>
      <c r="G290" s="107">
        <f t="shared" si="1"/>
        <v>68</v>
      </c>
      <c r="H290" s="108" t="str">
        <f t="shared" si="2"/>
        <v>May</v>
      </c>
    </row>
    <row r="291">
      <c r="A291" s="106">
        <f>IFERROR(__xludf.DUMMYFUNCTION("""COMPUTED_VALUE"""),45425.0)</f>
        <v>45425</v>
      </c>
      <c r="B291" s="103">
        <f>IFERROR(__xludf.DUMMYFUNCTION("""COMPUTED_VALUE"""),28.74)</f>
        <v>28.74</v>
      </c>
      <c r="C291" s="79" t="str">
        <f>IFERROR(__xludf.DUMMYFUNCTION("""COMPUTED_VALUE"""),"Whole Foods")</f>
        <v>Whole Foods</v>
      </c>
      <c r="D291" s="79" t="str">
        <f>IFERROR(__xludf.DUMMYFUNCTION("""COMPUTED_VALUE"""),"Amex Blue")</f>
        <v>Amex Blue</v>
      </c>
      <c r="E291" s="79" t="str">
        <f>IFERROR(__xludf.DUMMYFUNCTION("""COMPUTED_VALUE"""),"Groceries")</f>
        <v>Groceries</v>
      </c>
      <c r="F291" s="79" t="str">
        <f>IFERROR(__xludf.DUMMYFUNCTION("""COMPUTED_VALUE"""),"Gil")</f>
        <v>Gil</v>
      </c>
      <c r="G291" s="107">
        <f t="shared" si="1"/>
        <v>14.37</v>
      </c>
      <c r="H291" s="108" t="str">
        <f t="shared" si="2"/>
        <v>May</v>
      </c>
    </row>
    <row r="292">
      <c r="A292" s="106">
        <f>IFERROR(__xludf.DUMMYFUNCTION("""COMPUTED_VALUE"""),45419.0)</f>
        <v>45419</v>
      </c>
      <c r="B292" s="103">
        <f>IFERROR(__xludf.DUMMYFUNCTION("""COMPUTED_VALUE"""),40.0)</f>
        <v>40</v>
      </c>
      <c r="C292" s="79" t="str">
        <f>IFERROR(__xludf.DUMMYFUNCTION("""COMPUTED_VALUE"""),"Laundry - Flor")</f>
        <v>Laundry - Flor</v>
      </c>
      <c r="D292" s="79" t="str">
        <f>IFERROR(__xludf.DUMMYFUNCTION("""COMPUTED_VALUE"""),"Cash")</f>
        <v>Cash</v>
      </c>
      <c r="E292" s="79" t="str">
        <f>IFERROR(__xludf.DUMMYFUNCTION("""COMPUTED_VALUE"""),"Household")</f>
        <v>Household</v>
      </c>
      <c r="F292" s="79" t="str">
        <f>IFERROR(__xludf.DUMMYFUNCTION("""COMPUTED_VALUE"""),"Gil")</f>
        <v>Gil</v>
      </c>
      <c r="G292" s="107">
        <f t="shared" si="1"/>
        <v>20</v>
      </c>
      <c r="H292" s="108" t="str">
        <f t="shared" si="2"/>
        <v>May</v>
      </c>
    </row>
    <row r="293">
      <c r="A293" s="106">
        <f>IFERROR(__xludf.DUMMYFUNCTION("""COMPUTED_VALUE"""),45427.0)</f>
        <v>45427</v>
      </c>
      <c r="B293" s="103">
        <f>IFERROR(__xludf.DUMMYFUNCTION("""COMPUTED_VALUE"""),37.99)</f>
        <v>37.99</v>
      </c>
      <c r="C293" s="79" t="str">
        <f>IFERROR(__xludf.DUMMYFUNCTION("""COMPUTED_VALUE"""),"Amazon Purchase - Shaeffer April")</f>
        <v>Amazon Purchase - Shaeffer April</v>
      </c>
      <c r="D293" s="79" t="str">
        <f>IFERROR(__xludf.DUMMYFUNCTION("""COMPUTED_VALUE"""),"Shaeffer ONLY")</f>
        <v>Shaeffer ONLY</v>
      </c>
      <c r="E293" s="79"/>
      <c r="F293" s="79" t="str">
        <f>IFERROR(__xludf.DUMMYFUNCTION("""COMPUTED_VALUE"""),"Gil")</f>
        <v>Gil</v>
      </c>
      <c r="G293" s="107">
        <f t="shared" si="1"/>
        <v>18.995</v>
      </c>
      <c r="H293" s="108" t="str">
        <f t="shared" si="2"/>
        <v>May</v>
      </c>
    </row>
    <row r="294">
      <c r="A294" s="106">
        <f>IFERROR(__xludf.DUMMYFUNCTION("""COMPUTED_VALUE"""),45427.0)</f>
        <v>45427</v>
      </c>
      <c r="B294" s="103">
        <f>IFERROR(__xludf.DUMMYFUNCTION("""COMPUTED_VALUE"""),30.4)</f>
        <v>30.4</v>
      </c>
      <c r="C294" s="79" t="str">
        <f>IFERROR(__xludf.DUMMYFUNCTION("""COMPUTED_VALUE"""),"Amazon Purchase - Shaeffer April ")</f>
        <v>Amazon Purchase - Shaeffer April </v>
      </c>
      <c r="D294" s="79" t="str">
        <f>IFERROR(__xludf.DUMMYFUNCTION("""COMPUTED_VALUE"""),"Shaeffer ONLY")</f>
        <v>Shaeffer ONLY</v>
      </c>
      <c r="E294" s="79"/>
      <c r="F294" s="79" t="str">
        <f>IFERROR(__xludf.DUMMYFUNCTION("""COMPUTED_VALUE"""),"Gil")</f>
        <v>Gil</v>
      </c>
      <c r="G294" s="107">
        <f t="shared" si="1"/>
        <v>15.2</v>
      </c>
      <c r="H294" s="108" t="str">
        <f t="shared" si="2"/>
        <v>May</v>
      </c>
    </row>
    <row r="295">
      <c r="A295" s="106">
        <f>IFERROR(__xludf.DUMMYFUNCTION("""COMPUTED_VALUE"""),45429.0)</f>
        <v>45429</v>
      </c>
      <c r="B295" s="103">
        <f>IFERROR(__xludf.DUMMYFUNCTION("""COMPUTED_VALUE"""),56.0)</f>
        <v>56</v>
      </c>
      <c r="C295" s="79" t="str">
        <f>IFERROR(__xludf.DUMMYFUNCTION("""COMPUTED_VALUE"""),"Amtrak Change ")</f>
        <v>Amtrak Change </v>
      </c>
      <c r="D295" s="79" t="str">
        <f>IFERROR(__xludf.DUMMYFUNCTION("""COMPUTED_VALUE"""),"Other")</f>
        <v>Other</v>
      </c>
      <c r="E295" s="79" t="str">
        <f>IFERROR(__xludf.DUMMYFUNCTION("""COMPUTED_VALUE"""),"Travel")</f>
        <v>Travel</v>
      </c>
      <c r="F295" s="79" t="str">
        <f>IFERROR(__xludf.DUMMYFUNCTION("""COMPUTED_VALUE"""),"Gil")</f>
        <v>Gil</v>
      </c>
      <c r="G295" s="107">
        <f t="shared" si="1"/>
        <v>28</v>
      </c>
      <c r="H295" s="108" t="str">
        <f t="shared" si="2"/>
        <v>May</v>
      </c>
    </row>
    <row r="296">
      <c r="A296" s="106">
        <f>IFERROR(__xludf.DUMMYFUNCTION("""COMPUTED_VALUE"""),45429.0)</f>
        <v>45429</v>
      </c>
      <c r="B296" s="103">
        <f>IFERROR(__xludf.DUMMYFUNCTION("""COMPUTED_VALUE"""),25.76)</f>
        <v>25.76</v>
      </c>
      <c r="C296" s="79" t="str">
        <f>IFERROR(__xludf.DUMMYFUNCTION("""COMPUTED_VALUE"""),"Maki Maki")</f>
        <v>Maki Maki</v>
      </c>
      <c r="D296" s="79" t="str">
        <f>IFERROR(__xludf.DUMMYFUNCTION("""COMPUTED_VALUE"""),"Capital ONE")</f>
        <v>Capital ONE</v>
      </c>
      <c r="E296" s="79" t="str">
        <f>IFERROR(__xludf.DUMMYFUNCTION("""COMPUTED_VALUE"""),"Meals")</f>
        <v>Meals</v>
      </c>
      <c r="F296" s="79" t="str">
        <f>IFERROR(__xludf.DUMMYFUNCTION("""COMPUTED_VALUE"""),"Gil")</f>
        <v>Gil</v>
      </c>
      <c r="G296" s="107">
        <f t="shared" si="1"/>
        <v>12.88</v>
      </c>
      <c r="H296" s="108" t="str">
        <f t="shared" si="2"/>
        <v>May</v>
      </c>
    </row>
    <row r="297">
      <c r="A297" s="106">
        <f>IFERROR(__xludf.DUMMYFUNCTION("""COMPUTED_VALUE"""),45429.0)</f>
        <v>45429</v>
      </c>
      <c r="B297" s="103">
        <f>IFERROR(__xludf.DUMMYFUNCTION("""COMPUTED_VALUE"""),18.0)</f>
        <v>18</v>
      </c>
      <c r="C297" s="79" t="str">
        <f>IFERROR(__xludf.DUMMYFUNCTION("""COMPUTED_VALUE"""),"Il laboratorio del gelato")</f>
        <v>Il laboratorio del gelato</v>
      </c>
      <c r="D297" s="79" t="str">
        <f>IFERROR(__xludf.DUMMYFUNCTION("""COMPUTED_VALUE"""),"Amex Gold")</f>
        <v>Amex Gold</v>
      </c>
      <c r="E297" s="79" t="str">
        <f>IFERROR(__xludf.DUMMYFUNCTION("""COMPUTED_VALUE"""),"Meals")</f>
        <v>Meals</v>
      </c>
      <c r="F297" s="79" t="str">
        <f>IFERROR(__xludf.DUMMYFUNCTION("""COMPUTED_VALUE"""),"Gil")</f>
        <v>Gil</v>
      </c>
      <c r="G297" s="107">
        <f t="shared" si="1"/>
        <v>9</v>
      </c>
      <c r="H297" s="108" t="str">
        <f t="shared" si="2"/>
        <v>May</v>
      </c>
    </row>
    <row r="298">
      <c r="A298" s="106">
        <f>IFERROR(__xludf.DUMMYFUNCTION("""COMPUTED_VALUE"""),45430.0)</f>
        <v>45430</v>
      </c>
      <c r="B298" s="103">
        <f>IFERROR(__xludf.DUMMYFUNCTION("""COMPUTED_VALUE"""),240.17)</f>
        <v>240.17</v>
      </c>
      <c r="C298" s="79" t="str">
        <f>IFERROR(__xludf.DUMMYFUNCTION("""COMPUTED_VALUE"""),"Kitty's - Hudson")</f>
        <v>Kitty's - Hudson</v>
      </c>
      <c r="D298" s="79" t="str">
        <f>IFERROR(__xludf.DUMMYFUNCTION("""COMPUTED_VALUE"""),"Amex Gold")</f>
        <v>Amex Gold</v>
      </c>
      <c r="E298" s="79" t="str">
        <f>IFERROR(__xludf.DUMMYFUNCTION("""COMPUTED_VALUE"""),"Travel")</f>
        <v>Travel</v>
      </c>
      <c r="F298" s="79" t="str">
        <f>IFERROR(__xludf.DUMMYFUNCTION("""COMPUTED_VALUE"""),"Gil")</f>
        <v>Gil</v>
      </c>
      <c r="G298" s="107">
        <f t="shared" si="1"/>
        <v>120.085</v>
      </c>
      <c r="H298" s="108" t="str">
        <f t="shared" si="2"/>
        <v>May</v>
      </c>
    </row>
    <row r="299">
      <c r="A299" s="106">
        <f>IFERROR(__xludf.DUMMYFUNCTION("""COMPUTED_VALUE"""),45431.0)</f>
        <v>45431</v>
      </c>
      <c r="B299" s="103">
        <f>IFERROR(__xludf.DUMMYFUNCTION("""COMPUTED_VALUE"""),171.42)</f>
        <v>171.42</v>
      </c>
      <c r="C299" s="79" t="str">
        <f>IFERROR(__xludf.DUMMYFUNCTION("""COMPUTED_VALUE"""),"T-Mobile")</f>
        <v>T-Mobile</v>
      </c>
      <c r="D299" s="79" t="str">
        <f>IFERROR(__xludf.DUMMYFUNCTION("""COMPUTED_VALUE"""),"Checking")</f>
        <v>Checking</v>
      </c>
      <c r="E299" s="79" t="str">
        <f>IFERROR(__xludf.DUMMYFUNCTION("""COMPUTED_VALUE"""),"Mobile Phone")</f>
        <v>Mobile Phone</v>
      </c>
      <c r="F299" s="79" t="str">
        <f>IFERROR(__xludf.DUMMYFUNCTION("""COMPUTED_VALUE"""),"Gil")</f>
        <v>Gil</v>
      </c>
      <c r="G299" s="107">
        <f t="shared" si="1"/>
        <v>85.71</v>
      </c>
      <c r="H299" s="108" t="str">
        <f t="shared" si="2"/>
        <v>May</v>
      </c>
    </row>
    <row r="300">
      <c r="A300" s="106">
        <f>IFERROR(__xludf.DUMMYFUNCTION("""COMPUTED_VALUE"""),45432.0)</f>
        <v>45432</v>
      </c>
      <c r="B300" s="103">
        <f>IFERROR(__xludf.DUMMYFUNCTION("""COMPUTED_VALUE"""),79.0)</f>
        <v>79</v>
      </c>
      <c r="C300" s="79" t="str">
        <f>IFERROR(__xludf.DUMMYFUNCTION("""COMPUTED_VALUE"""),"Elsa's")</f>
        <v>Elsa's</v>
      </c>
      <c r="D300" s="79" t="str">
        <f>IFERROR(__xludf.DUMMYFUNCTION("""COMPUTED_VALUE"""),"Cash")</f>
        <v>Cash</v>
      </c>
      <c r="E300" s="79" t="str">
        <f>IFERROR(__xludf.DUMMYFUNCTION("""COMPUTED_VALUE"""),"Alcohol/Weed")</f>
        <v>Alcohol/Weed</v>
      </c>
      <c r="F300" s="79" t="str">
        <f>IFERROR(__xludf.DUMMYFUNCTION("""COMPUTED_VALUE"""),"Gil")</f>
        <v>Gil</v>
      </c>
      <c r="G300" s="107">
        <f t="shared" si="1"/>
        <v>39.5</v>
      </c>
      <c r="H300" s="108" t="str">
        <f t="shared" si="2"/>
        <v>May</v>
      </c>
    </row>
    <row r="301">
      <c r="A301" s="106">
        <f>IFERROR(__xludf.DUMMYFUNCTION("""COMPUTED_VALUE"""),45429.0)</f>
        <v>45429</v>
      </c>
      <c r="B301" s="103">
        <f>IFERROR(__xludf.DUMMYFUNCTION("""COMPUTED_VALUE"""),53.85)</f>
        <v>53.85</v>
      </c>
      <c r="C301" s="79" t="str">
        <f>IFERROR(__xludf.DUMMYFUNCTION("""COMPUTED_VALUE"""),"Gotham")</f>
        <v>Gotham</v>
      </c>
      <c r="D301" s="79" t="str">
        <f>IFERROR(__xludf.DUMMYFUNCTION("""COMPUTED_VALUE"""),"Checking")</f>
        <v>Checking</v>
      </c>
      <c r="E301" s="79" t="str">
        <f>IFERROR(__xludf.DUMMYFUNCTION("""COMPUTED_VALUE"""),"Alcohol/Weed")</f>
        <v>Alcohol/Weed</v>
      </c>
      <c r="F301" s="79" t="str">
        <f>IFERROR(__xludf.DUMMYFUNCTION("""COMPUTED_VALUE"""),"Gil")</f>
        <v>Gil</v>
      </c>
      <c r="G301" s="107">
        <f t="shared" si="1"/>
        <v>26.925</v>
      </c>
      <c r="H301" s="108" t="str">
        <f t="shared" si="2"/>
        <v>May</v>
      </c>
    </row>
    <row r="302">
      <c r="A302" s="106">
        <f>IFERROR(__xludf.DUMMYFUNCTION("""COMPUTED_VALUE"""),45432.0)</f>
        <v>45432</v>
      </c>
      <c r="B302" s="103">
        <f>IFERROR(__xludf.DUMMYFUNCTION("""COMPUTED_VALUE"""),88.34)</f>
        <v>88.34</v>
      </c>
      <c r="C302" s="79" t="str">
        <f>IFERROR(__xludf.DUMMYFUNCTION("""COMPUTED_VALUE"""),"Coned")</f>
        <v>Coned</v>
      </c>
      <c r="D302" s="79" t="str">
        <f>IFERROR(__xludf.DUMMYFUNCTION("""COMPUTED_VALUE"""),"Checking")</f>
        <v>Checking</v>
      </c>
      <c r="E302" s="79" t="str">
        <f>IFERROR(__xludf.DUMMYFUNCTION("""COMPUTED_VALUE"""),"Utilities")</f>
        <v>Utilities</v>
      </c>
      <c r="F302" s="79" t="str">
        <f>IFERROR(__xludf.DUMMYFUNCTION("""COMPUTED_VALUE"""),"Gil")</f>
        <v>Gil</v>
      </c>
      <c r="G302" s="107">
        <f t="shared" si="1"/>
        <v>44.17</v>
      </c>
      <c r="H302" s="108" t="str">
        <f t="shared" si="2"/>
        <v>May</v>
      </c>
    </row>
    <row r="303">
      <c r="A303" s="106">
        <f>IFERROR(__xludf.DUMMYFUNCTION("""COMPUTED_VALUE"""),45432.0)</f>
        <v>45432</v>
      </c>
      <c r="B303" s="103">
        <f>IFERROR(__xludf.DUMMYFUNCTION("""COMPUTED_VALUE"""),20.47)</f>
        <v>20.47</v>
      </c>
      <c r="C303" s="79" t="str">
        <f>IFERROR(__xludf.DUMMYFUNCTION("""COMPUTED_VALUE"""),"National Grid")</f>
        <v>National Grid</v>
      </c>
      <c r="D303" s="79" t="str">
        <f>IFERROR(__xludf.DUMMYFUNCTION("""COMPUTED_VALUE"""),"Checking")</f>
        <v>Checking</v>
      </c>
      <c r="E303" s="79" t="str">
        <f>IFERROR(__xludf.DUMMYFUNCTION("""COMPUTED_VALUE"""),"Utilities")</f>
        <v>Utilities</v>
      </c>
      <c r="F303" s="79" t="str">
        <f>IFERROR(__xludf.DUMMYFUNCTION("""COMPUTED_VALUE"""),"Gil")</f>
        <v>Gil</v>
      </c>
      <c r="G303" s="107">
        <f t="shared" si="1"/>
        <v>10.235</v>
      </c>
      <c r="H303" s="108" t="str">
        <f t="shared" si="2"/>
        <v>May</v>
      </c>
    </row>
    <row r="304">
      <c r="A304" s="106">
        <f>IFERROR(__xludf.DUMMYFUNCTION("""COMPUTED_VALUE"""),45422.0)</f>
        <v>45422</v>
      </c>
      <c r="B304" s="103">
        <f>IFERROR(__xludf.DUMMYFUNCTION("""COMPUTED_VALUE"""),10.88)</f>
        <v>10.88</v>
      </c>
      <c r="C304" s="79" t="str">
        <f>IFERROR(__xludf.DUMMYFUNCTION("""COMPUTED_VALUE"""),"YouTube Premium")</f>
        <v>YouTube Premium</v>
      </c>
      <c r="D304" s="79" t="str">
        <f>IFERROR(__xludf.DUMMYFUNCTION("""COMPUTED_VALUE"""),"Other")</f>
        <v>Other</v>
      </c>
      <c r="E304" s="79" t="str">
        <f>IFERROR(__xludf.DUMMYFUNCTION("""COMPUTED_VALUE"""),"Subscriptions")</f>
        <v>Subscriptions</v>
      </c>
      <c r="F304" s="79" t="str">
        <f>IFERROR(__xludf.DUMMYFUNCTION("""COMPUTED_VALUE"""),"Gil")</f>
        <v>Gil</v>
      </c>
      <c r="G304" s="107">
        <f t="shared" si="1"/>
        <v>5.44</v>
      </c>
      <c r="H304" s="108" t="str">
        <f t="shared" si="2"/>
        <v>May</v>
      </c>
    </row>
    <row r="305">
      <c r="A305" s="106">
        <f>IFERROR(__xludf.DUMMYFUNCTION("""COMPUTED_VALUE"""),45434.0)</f>
        <v>45434</v>
      </c>
      <c r="B305" s="103">
        <f>IFERROR(__xludf.DUMMYFUNCTION("""COMPUTED_VALUE"""),17.98)</f>
        <v>17.98</v>
      </c>
      <c r="C305" s="79" t="str">
        <f>IFERROR(__xludf.DUMMYFUNCTION("""COMPUTED_VALUE"""),"Mr. Lemon")</f>
        <v>Mr. Lemon</v>
      </c>
      <c r="D305" s="79" t="str">
        <f>IFERROR(__xludf.DUMMYFUNCTION("""COMPUTED_VALUE"""),"Amex Blue")</f>
        <v>Amex Blue</v>
      </c>
      <c r="E305" s="79" t="str">
        <f>IFERROR(__xludf.DUMMYFUNCTION("""COMPUTED_VALUE"""),"Groceries")</f>
        <v>Groceries</v>
      </c>
      <c r="F305" s="79" t="str">
        <f>IFERROR(__xludf.DUMMYFUNCTION("""COMPUTED_VALUE"""),"Gil")</f>
        <v>Gil</v>
      </c>
      <c r="G305" s="107">
        <f t="shared" si="1"/>
        <v>8.99</v>
      </c>
      <c r="H305" s="108" t="str">
        <f t="shared" si="2"/>
        <v>May</v>
      </c>
    </row>
    <row r="306">
      <c r="A306" s="106">
        <f>IFERROR(__xludf.DUMMYFUNCTION("""COMPUTED_VALUE"""),45434.0)</f>
        <v>45434</v>
      </c>
      <c r="B306" s="103">
        <f>IFERROR(__xludf.DUMMYFUNCTION("""COMPUTED_VALUE"""),71.0)</f>
        <v>71</v>
      </c>
      <c r="C306" s="79" t="str">
        <f>IFERROR(__xludf.DUMMYFUNCTION("""COMPUTED_VALUE"""),"Bill's Burger")</f>
        <v>Bill's Burger</v>
      </c>
      <c r="D306" s="79" t="str">
        <f>IFERROR(__xludf.DUMMYFUNCTION("""COMPUTED_VALUE"""),"Cash")</f>
        <v>Cash</v>
      </c>
      <c r="E306" s="79" t="str">
        <f>IFERROR(__xludf.DUMMYFUNCTION("""COMPUTED_VALUE"""),"Meals")</f>
        <v>Meals</v>
      </c>
      <c r="F306" s="79" t="str">
        <f>IFERROR(__xludf.DUMMYFUNCTION("""COMPUTED_VALUE"""),"Gil")</f>
        <v>Gil</v>
      </c>
      <c r="G306" s="107">
        <f t="shared" si="1"/>
        <v>35.5</v>
      </c>
      <c r="H306" s="108" t="str">
        <f t="shared" si="2"/>
        <v>May</v>
      </c>
    </row>
    <row r="307">
      <c r="A307" s="106">
        <f>IFERROR(__xludf.DUMMYFUNCTION("""COMPUTED_VALUE"""),45435.0)</f>
        <v>45435</v>
      </c>
      <c r="B307" s="103">
        <f>IFERROR(__xludf.DUMMYFUNCTION("""COMPUTED_VALUE"""),44.47)</f>
        <v>44.47</v>
      </c>
      <c r="C307" s="79" t="str">
        <f>IFERROR(__xludf.DUMMYFUNCTION("""COMPUTED_VALUE"""),"Whole Foods")</f>
        <v>Whole Foods</v>
      </c>
      <c r="D307" s="79" t="str">
        <f>IFERROR(__xludf.DUMMYFUNCTION("""COMPUTED_VALUE"""),"Amex Blue")</f>
        <v>Amex Blue</v>
      </c>
      <c r="E307" s="79" t="str">
        <f>IFERROR(__xludf.DUMMYFUNCTION("""COMPUTED_VALUE"""),"Groceries")</f>
        <v>Groceries</v>
      </c>
      <c r="F307" s="79" t="str">
        <f>IFERROR(__xludf.DUMMYFUNCTION("""COMPUTED_VALUE"""),"Gil")</f>
        <v>Gil</v>
      </c>
      <c r="G307" s="107">
        <f t="shared" si="1"/>
        <v>22.235</v>
      </c>
      <c r="H307" s="108" t="str">
        <f t="shared" si="2"/>
        <v>May</v>
      </c>
    </row>
    <row r="308">
      <c r="A308" s="106">
        <f>IFERROR(__xludf.DUMMYFUNCTION("""COMPUTED_VALUE"""),45435.0)</f>
        <v>45435</v>
      </c>
      <c r="B308" s="103">
        <f>IFERROR(__xludf.DUMMYFUNCTION("""COMPUTED_VALUE"""),9.84)</f>
        <v>9.84</v>
      </c>
      <c r="C308" s="79" t="str">
        <f>IFERROR(__xludf.DUMMYFUNCTION("""COMPUTED_VALUE"""),"Whole Foods")</f>
        <v>Whole Foods</v>
      </c>
      <c r="D308" s="79" t="str">
        <f>IFERROR(__xludf.DUMMYFUNCTION("""COMPUTED_VALUE"""),"Amex Blue")</f>
        <v>Amex Blue</v>
      </c>
      <c r="E308" s="79" t="str">
        <f>IFERROR(__xludf.DUMMYFUNCTION("""COMPUTED_VALUE"""),"Groceries")</f>
        <v>Groceries</v>
      </c>
      <c r="F308" s="79" t="str">
        <f>IFERROR(__xludf.DUMMYFUNCTION("""COMPUTED_VALUE"""),"Gil")</f>
        <v>Gil</v>
      </c>
      <c r="G308" s="107">
        <f t="shared" si="1"/>
        <v>4.92</v>
      </c>
      <c r="H308" s="108" t="str">
        <f t="shared" si="2"/>
        <v>May</v>
      </c>
    </row>
    <row r="309">
      <c r="A309" s="106">
        <f>IFERROR(__xludf.DUMMYFUNCTION("""COMPUTED_VALUE"""),45436.0)</f>
        <v>45436</v>
      </c>
      <c r="B309" s="103">
        <f>IFERROR(__xludf.DUMMYFUNCTION("""COMPUTED_VALUE"""),150.15)</f>
        <v>150.15</v>
      </c>
      <c r="C309" s="79" t="str">
        <f>IFERROR(__xludf.DUMMYFUNCTION("""COMPUTED_VALUE"""),"Turk's Inn")</f>
        <v>Turk's Inn</v>
      </c>
      <c r="D309" s="79" t="str">
        <f>IFERROR(__xludf.DUMMYFUNCTION("""COMPUTED_VALUE"""),"Amex Gold")</f>
        <v>Amex Gold</v>
      </c>
      <c r="E309" s="79" t="str">
        <f>IFERROR(__xludf.DUMMYFUNCTION("""COMPUTED_VALUE"""),"Meals")</f>
        <v>Meals</v>
      </c>
      <c r="F309" s="79" t="str">
        <f>IFERROR(__xludf.DUMMYFUNCTION("""COMPUTED_VALUE"""),"Gil")</f>
        <v>Gil</v>
      </c>
      <c r="G309" s="107">
        <f t="shared" si="1"/>
        <v>75.075</v>
      </c>
      <c r="H309" s="108" t="str">
        <f t="shared" si="2"/>
        <v>May</v>
      </c>
    </row>
    <row r="310">
      <c r="A310" s="106">
        <f>IFERROR(__xludf.DUMMYFUNCTION("""COMPUTED_VALUE"""),45436.0)</f>
        <v>45436</v>
      </c>
      <c r="B310" s="103">
        <f>IFERROR(__xludf.DUMMYFUNCTION("""COMPUTED_VALUE"""),36.0)</f>
        <v>36</v>
      </c>
      <c r="C310" s="79" t="str">
        <f>IFERROR(__xludf.DUMMYFUNCTION("""COMPUTED_VALUE"""),"Sundown")</f>
        <v>Sundown</v>
      </c>
      <c r="D310" s="79" t="str">
        <f>IFERROR(__xludf.DUMMYFUNCTION("""COMPUTED_VALUE"""),"Amex Gold")</f>
        <v>Amex Gold</v>
      </c>
      <c r="E310" s="79" t="str">
        <f>IFERROR(__xludf.DUMMYFUNCTION("""COMPUTED_VALUE"""),"Alcohol/Weed")</f>
        <v>Alcohol/Weed</v>
      </c>
      <c r="F310" s="79" t="str">
        <f>IFERROR(__xludf.DUMMYFUNCTION("""COMPUTED_VALUE"""),"Gil")</f>
        <v>Gil</v>
      </c>
      <c r="G310" s="107">
        <f t="shared" si="1"/>
        <v>18</v>
      </c>
      <c r="H310" s="108" t="str">
        <f t="shared" si="2"/>
        <v>May</v>
      </c>
    </row>
    <row r="311">
      <c r="A311" s="106">
        <f>IFERROR(__xludf.DUMMYFUNCTION("""COMPUTED_VALUE"""),45437.0)</f>
        <v>45437</v>
      </c>
      <c r="B311" s="103">
        <f>IFERROR(__xludf.DUMMYFUNCTION("""COMPUTED_VALUE"""),70.97)</f>
        <v>70.97</v>
      </c>
      <c r="C311" s="79" t="str">
        <f>IFERROR(__xludf.DUMMYFUNCTION("""COMPUTED_VALUE"""),"La Cantine")</f>
        <v>La Cantine</v>
      </c>
      <c r="D311" s="79" t="str">
        <f>IFERROR(__xludf.DUMMYFUNCTION("""COMPUTED_VALUE"""),"Amex Gold")</f>
        <v>Amex Gold</v>
      </c>
      <c r="E311" s="79" t="str">
        <f>IFERROR(__xludf.DUMMYFUNCTION("""COMPUTED_VALUE"""),"Meals")</f>
        <v>Meals</v>
      </c>
      <c r="F311" s="79" t="str">
        <f>IFERROR(__xludf.DUMMYFUNCTION("""COMPUTED_VALUE"""),"Gil")</f>
        <v>Gil</v>
      </c>
      <c r="G311" s="107">
        <f t="shared" si="1"/>
        <v>35.485</v>
      </c>
      <c r="H311" s="108" t="str">
        <f t="shared" si="2"/>
        <v>May</v>
      </c>
    </row>
    <row r="312">
      <c r="A312" s="106">
        <f>IFERROR(__xludf.DUMMYFUNCTION("""COMPUTED_VALUE"""),45438.0)</f>
        <v>45438</v>
      </c>
      <c r="B312" s="103">
        <f>IFERROR(__xludf.DUMMYFUNCTION("""COMPUTED_VALUE"""),12.2)</f>
        <v>12.2</v>
      </c>
      <c r="C312" s="79" t="str">
        <f>IFERROR(__xludf.DUMMYFUNCTION("""COMPUTED_VALUE"""),"Paloma Coffee")</f>
        <v>Paloma Coffee</v>
      </c>
      <c r="D312" s="79" t="str">
        <f>IFERROR(__xludf.DUMMYFUNCTION("""COMPUTED_VALUE"""),"Amex Gold")</f>
        <v>Amex Gold</v>
      </c>
      <c r="E312" s="79" t="str">
        <f>IFERROR(__xludf.DUMMYFUNCTION("""COMPUTED_VALUE"""),"Meals")</f>
        <v>Meals</v>
      </c>
      <c r="F312" s="79" t="str">
        <f>IFERROR(__xludf.DUMMYFUNCTION("""COMPUTED_VALUE"""),"Gil")</f>
        <v>Gil</v>
      </c>
      <c r="G312" s="107">
        <f t="shared" si="1"/>
        <v>6.1</v>
      </c>
      <c r="H312" s="108" t="str">
        <f t="shared" si="2"/>
        <v>May</v>
      </c>
    </row>
    <row r="313">
      <c r="A313" s="106">
        <f>IFERROR(__xludf.DUMMYFUNCTION("""COMPUTED_VALUE"""),45438.0)</f>
        <v>45438</v>
      </c>
      <c r="B313" s="103">
        <f>IFERROR(__xludf.DUMMYFUNCTION("""COMPUTED_VALUE"""),51.49)</f>
        <v>51.49</v>
      </c>
      <c r="C313" s="79" t="str">
        <f>IFERROR(__xludf.DUMMYFUNCTION("""COMPUTED_VALUE"""),"Edy's Grocery")</f>
        <v>Edy's Grocery</v>
      </c>
      <c r="D313" s="79" t="str">
        <f>IFERROR(__xludf.DUMMYFUNCTION("""COMPUTED_VALUE"""),"Amex Gold")</f>
        <v>Amex Gold</v>
      </c>
      <c r="E313" s="79" t="str">
        <f>IFERROR(__xludf.DUMMYFUNCTION("""COMPUTED_VALUE"""),"Meals")</f>
        <v>Meals</v>
      </c>
      <c r="F313" s="79" t="str">
        <f>IFERROR(__xludf.DUMMYFUNCTION("""COMPUTED_VALUE"""),"Gil")</f>
        <v>Gil</v>
      </c>
      <c r="G313" s="107">
        <f t="shared" si="1"/>
        <v>25.745</v>
      </c>
      <c r="H313" s="108" t="str">
        <f t="shared" si="2"/>
        <v>May</v>
      </c>
    </row>
    <row r="314">
      <c r="A314" s="106">
        <f>IFERROR(__xludf.DUMMYFUNCTION("""COMPUTED_VALUE"""),45439.0)</f>
        <v>45439</v>
      </c>
      <c r="B314" s="103">
        <f>IFERROR(__xludf.DUMMYFUNCTION("""COMPUTED_VALUE"""),49.07)</f>
        <v>49.07</v>
      </c>
      <c r="C314" s="79" t="str">
        <f>IFERROR(__xludf.DUMMYFUNCTION("""COMPUTED_VALUE"""),"Otto's Shrunken Head")</f>
        <v>Otto's Shrunken Head</v>
      </c>
      <c r="D314" s="79" t="str">
        <f>IFERROR(__xludf.DUMMYFUNCTION("""COMPUTED_VALUE"""),"Amex Gold")</f>
        <v>Amex Gold</v>
      </c>
      <c r="E314" s="79" t="str">
        <f>IFERROR(__xludf.DUMMYFUNCTION("""COMPUTED_VALUE"""),"Alcohol/Weed")</f>
        <v>Alcohol/Weed</v>
      </c>
      <c r="F314" s="79" t="str">
        <f>IFERROR(__xludf.DUMMYFUNCTION("""COMPUTED_VALUE"""),"Gil")</f>
        <v>Gil</v>
      </c>
      <c r="G314" s="107">
        <f t="shared" si="1"/>
        <v>24.535</v>
      </c>
      <c r="H314" s="108" t="str">
        <f t="shared" si="2"/>
        <v>May</v>
      </c>
    </row>
    <row r="315">
      <c r="A315" s="106">
        <f>IFERROR(__xludf.DUMMYFUNCTION("""COMPUTED_VALUE"""),45440.0)</f>
        <v>45440</v>
      </c>
      <c r="B315" s="103">
        <f>IFERROR(__xludf.DUMMYFUNCTION("""COMPUTED_VALUE"""),16.86)</f>
        <v>16.86</v>
      </c>
      <c r="C315" s="79" t="str">
        <f>IFERROR(__xludf.DUMMYFUNCTION("""COMPUTED_VALUE"""),"Netflix")</f>
        <v>Netflix</v>
      </c>
      <c r="D315" s="79" t="str">
        <f>IFERROR(__xludf.DUMMYFUNCTION("""COMPUTED_VALUE"""),"Amex Blue")</f>
        <v>Amex Blue</v>
      </c>
      <c r="E315" s="79" t="str">
        <f>IFERROR(__xludf.DUMMYFUNCTION("""COMPUTED_VALUE"""),"Subscriptions")</f>
        <v>Subscriptions</v>
      </c>
      <c r="F315" s="79" t="str">
        <f>IFERROR(__xludf.DUMMYFUNCTION("""COMPUTED_VALUE"""),"Gil")</f>
        <v>Gil</v>
      </c>
      <c r="G315" s="107">
        <f t="shared" si="1"/>
        <v>8.43</v>
      </c>
      <c r="H315" s="108" t="str">
        <f t="shared" si="2"/>
        <v>May</v>
      </c>
    </row>
    <row r="316">
      <c r="A316" s="106">
        <f>IFERROR(__xludf.DUMMYFUNCTION("""COMPUTED_VALUE"""),45440.0)</f>
        <v>45440</v>
      </c>
      <c r="B316" s="103">
        <f>IFERROR(__xludf.DUMMYFUNCTION("""COMPUTED_VALUE"""),28.48)</f>
        <v>28.48</v>
      </c>
      <c r="C316" s="79" t="str">
        <f>IFERROR(__xludf.DUMMYFUNCTION("""COMPUTED_VALUE"""),"Whole Foods")</f>
        <v>Whole Foods</v>
      </c>
      <c r="D316" s="79" t="str">
        <f>IFERROR(__xludf.DUMMYFUNCTION("""COMPUTED_VALUE"""),"Amex Blue")</f>
        <v>Amex Blue</v>
      </c>
      <c r="E316" s="79" t="str">
        <f>IFERROR(__xludf.DUMMYFUNCTION("""COMPUTED_VALUE"""),"Groceries")</f>
        <v>Groceries</v>
      </c>
      <c r="F316" s="79" t="str">
        <f>IFERROR(__xludf.DUMMYFUNCTION("""COMPUTED_VALUE"""),"Gil")</f>
        <v>Gil</v>
      </c>
      <c r="G316" s="107">
        <f t="shared" si="1"/>
        <v>14.24</v>
      </c>
      <c r="H316" s="108" t="str">
        <f t="shared" si="2"/>
        <v>May</v>
      </c>
    </row>
    <row r="317">
      <c r="A317" s="106">
        <f>IFERROR(__xludf.DUMMYFUNCTION("""COMPUTED_VALUE"""),45438.0)</f>
        <v>45438</v>
      </c>
      <c r="B317" s="103">
        <f>IFERROR(__xludf.DUMMYFUNCTION("""COMPUTED_VALUE"""),20.0)</f>
        <v>20</v>
      </c>
      <c r="C317" s="79" t="str">
        <f>IFERROR(__xludf.DUMMYFUNCTION("""COMPUTED_VALUE"""),"Big T-shirts")</f>
        <v>Big T-shirts</v>
      </c>
      <c r="D317" s="79" t="str">
        <f>IFERROR(__xludf.DUMMYFUNCTION("""COMPUTED_VALUE"""),"Shaeffer ONLY")</f>
        <v>Shaeffer ONLY</v>
      </c>
      <c r="E317" s="79"/>
      <c r="F317" s="79" t="str">
        <f>IFERROR(__xludf.DUMMYFUNCTION("""COMPUTED_VALUE"""),"Gil")</f>
        <v>Gil</v>
      </c>
      <c r="G317" s="107">
        <f t="shared" si="1"/>
        <v>10</v>
      </c>
      <c r="H317" s="108" t="str">
        <f t="shared" si="2"/>
        <v>May</v>
      </c>
    </row>
    <row r="318">
      <c r="A318" s="106">
        <f>IFERROR(__xludf.DUMMYFUNCTION("""COMPUTED_VALUE"""),45444.0)</f>
        <v>45444</v>
      </c>
      <c r="B318" s="103">
        <f>IFERROR(__xludf.DUMMYFUNCTION("""COMPUTED_VALUE"""),90.58)</f>
        <v>90.58</v>
      </c>
      <c r="C318" s="79" t="str">
        <f>IFERROR(__xludf.DUMMYFUNCTION("""COMPUTED_VALUE"""),"Coned")</f>
        <v>Coned</v>
      </c>
      <c r="D318" s="79" t="str">
        <f>IFERROR(__xludf.DUMMYFUNCTION("""COMPUTED_VALUE"""),"Checking")</f>
        <v>Checking</v>
      </c>
      <c r="E318" s="79" t="str">
        <f>IFERROR(__xludf.DUMMYFUNCTION("""COMPUTED_VALUE"""),"Utilities")</f>
        <v>Utilities</v>
      </c>
      <c r="F318" s="79" t="str">
        <f>IFERROR(__xludf.DUMMYFUNCTION("""COMPUTED_VALUE"""),"Gil")</f>
        <v>Gil</v>
      </c>
      <c r="G318" s="107">
        <f t="shared" si="1"/>
        <v>45.29</v>
      </c>
      <c r="H318" s="108" t="str">
        <f t="shared" si="2"/>
        <v>Jun</v>
      </c>
    </row>
    <row r="319">
      <c r="A319" s="106">
        <f>IFERROR(__xludf.DUMMYFUNCTION("""COMPUTED_VALUE"""),45434.0)</f>
        <v>45434</v>
      </c>
      <c r="B319" s="103">
        <f>IFERROR(__xludf.DUMMYFUNCTION("""COMPUTED_VALUE"""),61.98)</f>
        <v>61.98</v>
      </c>
      <c r="C319" s="79" t="str">
        <f>IFERROR(__xludf.DUMMYFUNCTION("""COMPUTED_VALUE"""),"Optimum")</f>
        <v>Optimum</v>
      </c>
      <c r="D319" s="79" t="str">
        <f>IFERROR(__xludf.DUMMYFUNCTION("""COMPUTED_VALUE"""),"Amex Delta Skymiles")</f>
        <v>Amex Delta Skymiles</v>
      </c>
      <c r="E319" s="79" t="str">
        <f>IFERROR(__xludf.DUMMYFUNCTION("""COMPUTED_VALUE"""),"Internet")</f>
        <v>Internet</v>
      </c>
      <c r="F319" s="79" t="str">
        <f>IFERROR(__xludf.DUMMYFUNCTION("""COMPUTED_VALUE"""),"Shaeffer")</f>
        <v>Shaeffer</v>
      </c>
      <c r="G319" s="107">
        <f t="shared" si="1"/>
        <v>30.99</v>
      </c>
      <c r="H319" s="108" t="str">
        <f t="shared" si="2"/>
        <v>May</v>
      </c>
    </row>
    <row r="320">
      <c r="A320" s="106">
        <f>IFERROR(__xludf.DUMMYFUNCTION("""COMPUTED_VALUE"""),45436.0)</f>
        <v>45436</v>
      </c>
      <c r="B320" s="103">
        <f>IFERROR(__xludf.DUMMYFUNCTION("""COMPUTED_VALUE"""),56.72)</f>
        <v>56.72</v>
      </c>
      <c r="C320" s="79" t="str">
        <f>IFERROR(__xludf.DUMMYFUNCTION("""COMPUTED_VALUE"""),"Movie tickets - Furiosa")</f>
        <v>Movie tickets - Furiosa</v>
      </c>
      <c r="D320" s="79" t="str">
        <f>IFERROR(__xludf.DUMMYFUNCTION("""COMPUTED_VALUE"""),"Other")</f>
        <v>Other</v>
      </c>
      <c r="E320" s="79" t="str">
        <f>IFERROR(__xludf.DUMMYFUNCTION("""COMPUTED_VALUE"""),"Entertainment")</f>
        <v>Entertainment</v>
      </c>
      <c r="F320" s="79" t="str">
        <f>IFERROR(__xludf.DUMMYFUNCTION("""COMPUTED_VALUE"""),"Shaeffer")</f>
        <v>Shaeffer</v>
      </c>
      <c r="G320" s="107">
        <f t="shared" si="1"/>
        <v>28.36</v>
      </c>
      <c r="H320" s="108" t="str">
        <f t="shared" si="2"/>
        <v>May</v>
      </c>
    </row>
    <row r="321">
      <c r="A321" s="106">
        <f>IFERROR(__xludf.DUMMYFUNCTION("""COMPUTED_VALUE"""),45422.0)</f>
        <v>45422</v>
      </c>
      <c r="B321" s="103">
        <f>IFERROR(__xludf.DUMMYFUNCTION("""COMPUTED_VALUE"""),47.63)</f>
        <v>47.63</v>
      </c>
      <c r="C321" s="79" t="str">
        <f>IFERROR(__xludf.DUMMYFUNCTION("""COMPUTED_VALUE"""),"Amazon - Karcher Window Cleaner")</f>
        <v>Amazon - Karcher Window Cleaner</v>
      </c>
      <c r="D321" s="79" t="str">
        <f>IFERROR(__xludf.DUMMYFUNCTION("""COMPUTED_VALUE"""),"Amex Gold")</f>
        <v>Amex Gold</v>
      </c>
      <c r="E321" s="79" t="str">
        <f>IFERROR(__xludf.DUMMYFUNCTION("""COMPUTED_VALUE"""),"Household")</f>
        <v>Household</v>
      </c>
      <c r="F321" s="79" t="str">
        <f>IFERROR(__xludf.DUMMYFUNCTION("""COMPUTED_VALUE"""),"Gil")</f>
        <v>Gil</v>
      </c>
      <c r="G321" s="107">
        <f t="shared" si="1"/>
        <v>23.815</v>
      </c>
      <c r="H321" s="108" t="str">
        <f t="shared" si="2"/>
        <v>May</v>
      </c>
    </row>
    <row r="322">
      <c r="A322" s="106">
        <f>IFERROR(__xludf.DUMMYFUNCTION("""COMPUTED_VALUE"""),45414.0)</f>
        <v>45414</v>
      </c>
      <c r="B322" s="103">
        <f>IFERROR(__xludf.DUMMYFUNCTION("""COMPUTED_VALUE"""),161.25)</f>
        <v>161.25</v>
      </c>
      <c r="C322" s="79" t="str">
        <f>IFERROR(__xludf.DUMMYFUNCTION("""COMPUTED_VALUE"""),"Storage Unit 2")</f>
        <v>Storage Unit 2</v>
      </c>
      <c r="D322" s="79" t="str">
        <f>IFERROR(__xludf.DUMMYFUNCTION("""COMPUTED_VALUE"""),"Checking")</f>
        <v>Checking</v>
      </c>
      <c r="E322" s="79" t="str">
        <f>IFERROR(__xludf.DUMMYFUNCTION("""COMPUTED_VALUE"""),"Storage")</f>
        <v>Storage</v>
      </c>
      <c r="F322" s="79" t="str">
        <f>IFERROR(__xludf.DUMMYFUNCTION("""COMPUTED_VALUE"""),"Shaeffer")</f>
        <v>Shaeffer</v>
      </c>
      <c r="G322" s="107">
        <f t="shared" si="1"/>
        <v>80.625</v>
      </c>
      <c r="H322" s="108" t="str">
        <f t="shared" si="2"/>
        <v>May</v>
      </c>
    </row>
    <row r="323">
      <c r="A323" s="106">
        <f>IFERROR(__xludf.DUMMYFUNCTION("""COMPUTED_VALUE"""),45424.0)</f>
        <v>45424</v>
      </c>
      <c r="B323" s="103">
        <f>IFERROR(__xludf.DUMMYFUNCTION("""COMPUTED_VALUE"""),89.0)</f>
        <v>89</v>
      </c>
      <c r="C323" s="79" t="str">
        <f>IFERROR(__xludf.DUMMYFUNCTION("""COMPUTED_VALUE"""),"Oh Mary Ticket")</f>
        <v>Oh Mary Ticket</v>
      </c>
      <c r="D323" s="79" t="str">
        <f>IFERROR(__xludf.DUMMYFUNCTION("""COMPUTED_VALUE"""),"Shaeffer ONLY")</f>
        <v>Shaeffer ONLY</v>
      </c>
      <c r="E323" s="79"/>
      <c r="F323" s="79" t="str">
        <f>IFERROR(__xludf.DUMMYFUNCTION("""COMPUTED_VALUE"""),"Gil")</f>
        <v>Gil</v>
      </c>
      <c r="G323" s="107">
        <f t="shared" si="1"/>
        <v>44.5</v>
      </c>
      <c r="H323" s="108" t="str">
        <f t="shared" si="2"/>
        <v>May</v>
      </c>
    </row>
    <row r="324">
      <c r="A324" s="106">
        <f>IFERROR(__xludf.DUMMYFUNCTION("""COMPUTED_VALUE"""),45436.0)</f>
        <v>45436</v>
      </c>
      <c r="B324" s="103">
        <f>IFERROR(__xludf.DUMMYFUNCTION("""COMPUTED_VALUE"""),30.0)</f>
        <v>30</v>
      </c>
      <c r="C324" s="79" t="str">
        <f>IFERROR(__xludf.DUMMYFUNCTION("""COMPUTED_VALUE"""),"Laundry")</f>
        <v>Laundry</v>
      </c>
      <c r="D324" s="79" t="str">
        <f>IFERROR(__xludf.DUMMYFUNCTION("""COMPUTED_VALUE"""),"Checking")</f>
        <v>Checking</v>
      </c>
      <c r="E324" s="79" t="str">
        <f>IFERROR(__xludf.DUMMYFUNCTION("""COMPUTED_VALUE"""),"Household")</f>
        <v>Household</v>
      </c>
      <c r="F324" s="79" t="str">
        <f>IFERROR(__xludf.DUMMYFUNCTION("""COMPUTED_VALUE"""),"Shaeffer")</f>
        <v>Shaeffer</v>
      </c>
      <c r="G324" s="107">
        <f t="shared" si="1"/>
        <v>15</v>
      </c>
      <c r="H324" s="108" t="str">
        <f t="shared" si="2"/>
        <v>May</v>
      </c>
    </row>
    <row r="325">
      <c r="A325" s="106">
        <f>IFERROR(__xludf.DUMMYFUNCTION("""COMPUTED_VALUE"""),45436.0)</f>
        <v>45436</v>
      </c>
      <c r="B325" s="103">
        <f>IFERROR(__xludf.DUMMYFUNCTION("""COMPUTED_VALUE"""),35.0)</f>
        <v>35</v>
      </c>
      <c r="C325" s="79" t="str">
        <f>IFERROR(__xludf.DUMMYFUNCTION("""COMPUTED_VALUE"""),"Farmers Market")</f>
        <v>Farmers Market</v>
      </c>
      <c r="D325" s="79" t="str">
        <f>IFERROR(__xludf.DUMMYFUNCTION("""COMPUTED_VALUE"""),"Cash")</f>
        <v>Cash</v>
      </c>
      <c r="E325" s="79" t="str">
        <f>IFERROR(__xludf.DUMMYFUNCTION("""COMPUTED_VALUE"""),"Groceries")</f>
        <v>Groceries</v>
      </c>
      <c r="F325" s="79" t="str">
        <f>IFERROR(__xludf.DUMMYFUNCTION("""COMPUTED_VALUE"""),"Shaeffer")</f>
        <v>Shaeffer</v>
      </c>
      <c r="G325" s="107">
        <f t="shared" si="1"/>
        <v>17.5</v>
      </c>
      <c r="H325" s="108" t="str">
        <f t="shared" si="2"/>
        <v>May</v>
      </c>
    </row>
    <row r="326">
      <c r="A326" s="106">
        <f>IFERROR(__xludf.DUMMYFUNCTION("""COMPUTED_VALUE"""),45424.0)</f>
        <v>45424</v>
      </c>
      <c r="B326" s="103">
        <f>IFERROR(__xludf.DUMMYFUNCTION("""COMPUTED_VALUE"""),43.53)</f>
        <v>43.53</v>
      </c>
      <c r="C326" s="79" t="str">
        <f>IFERROR(__xludf.DUMMYFUNCTION("""COMPUTED_VALUE"""),"Irving Bottle")</f>
        <v>Irving Bottle</v>
      </c>
      <c r="D326" s="79" t="str">
        <f>IFERROR(__xludf.DUMMYFUNCTION("""COMPUTED_VALUE"""),"Amex Gold")</f>
        <v>Amex Gold</v>
      </c>
      <c r="E326" s="79" t="str">
        <f>IFERROR(__xludf.DUMMYFUNCTION("""COMPUTED_VALUE"""),"Alcohol/Weed")</f>
        <v>Alcohol/Weed</v>
      </c>
      <c r="F326" s="79" t="str">
        <f>IFERROR(__xludf.DUMMYFUNCTION("""COMPUTED_VALUE"""),"Gil")</f>
        <v>Gil</v>
      </c>
      <c r="G326" s="107">
        <f t="shared" si="1"/>
        <v>21.765</v>
      </c>
      <c r="H326" s="108" t="str">
        <f t="shared" si="2"/>
        <v>May</v>
      </c>
    </row>
    <row r="327">
      <c r="A327" s="106">
        <f>IFERROR(__xludf.DUMMYFUNCTION("""COMPUTED_VALUE"""),45431.0)</f>
        <v>45431</v>
      </c>
      <c r="B327" s="103">
        <f>IFERROR(__xludf.DUMMYFUNCTION("""COMPUTED_VALUE"""),7.99)</f>
        <v>7.99</v>
      </c>
      <c r="C327" s="79" t="str">
        <f>IFERROR(__xludf.DUMMYFUNCTION("""COMPUTED_VALUE"""),"hulu")</f>
        <v>hulu</v>
      </c>
      <c r="D327" s="79" t="str">
        <f>IFERROR(__xludf.DUMMYFUNCTION("""COMPUTED_VALUE"""),"Chase Reserve")</f>
        <v>Chase Reserve</v>
      </c>
      <c r="E327" s="79" t="str">
        <f>IFERROR(__xludf.DUMMYFUNCTION("""COMPUTED_VALUE"""),"Subscriptions")</f>
        <v>Subscriptions</v>
      </c>
      <c r="F327" s="79" t="str">
        <f>IFERROR(__xludf.DUMMYFUNCTION("""COMPUTED_VALUE"""),"Shaeffer")</f>
        <v>Shaeffer</v>
      </c>
      <c r="G327" s="107">
        <f t="shared" si="1"/>
        <v>3.995</v>
      </c>
      <c r="H327" s="108" t="str">
        <f t="shared" si="2"/>
        <v>May</v>
      </c>
    </row>
    <row r="328">
      <c r="A328" s="106">
        <f>IFERROR(__xludf.DUMMYFUNCTION("""COMPUTED_VALUE"""),45437.0)</f>
        <v>45437</v>
      </c>
      <c r="B328" s="103">
        <f>IFERROR(__xludf.DUMMYFUNCTION("""COMPUTED_VALUE"""),42.5)</f>
        <v>42.5</v>
      </c>
      <c r="C328" s="79" t="str">
        <f>IFERROR(__xludf.DUMMYFUNCTION("""COMPUTED_VALUE"""),"The Bush")</f>
        <v>The Bush</v>
      </c>
      <c r="D328" s="79" t="str">
        <f>IFERROR(__xludf.DUMMYFUNCTION("""COMPUTED_VALUE"""),"Chase Reserve")</f>
        <v>Chase Reserve</v>
      </c>
      <c r="E328" s="79" t="str">
        <f>IFERROR(__xludf.DUMMYFUNCTION("""COMPUTED_VALUE"""),"Entertainment")</f>
        <v>Entertainment</v>
      </c>
      <c r="F328" s="79" t="str">
        <f>IFERROR(__xludf.DUMMYFUNCTION("""COMPUTED_VALUE"""),"Shaeffer")</f>
        <v>Shaeffer</v>
      </c>
      <c r="G328" s="107">
        <f t="shared" si="1"/>
        <v>21.25</v>
      </c>
      <c r="H328" s="108" t="str">
        <f t="shared" si="2"/>
        <v>May</v>
      </c>
    </row>
    <row r="329">
      <c r="A329" s="106">
        <f>IFERROR(__xludf.DUMMYFUNCTION("""COMPUTED_VALUE"""),45442.0)</f>
        <v>45442</v>
      </c>
      <c r="B329" s="103">
        <f>IFERROR(__xludf.DUMMYFUNCTION("""COMPUTED_VALUE"""),142.3)</f>
        <v>142.3</v>
      </c>
      <c r="C329" s="79" t="str">
        <f>IFERROR(__xludf.DUMMYFUNCTION("""COMPUTED_VALUE"""),"Shaeffer Amex Blue Purchases - MTA Planned Parenthood")</f>
        <v>Shaeffer Amex Blue Purchases - MTA Planned Parenthood</v>
      </c>
      <c r="D329" s="79" t="str">
        <f>IFERROR(__xludf.DUMMYFUNCTION("""COMPUTED_VALUE"""),"Shaeffer ONLY")</f>
        <v>Shaeffer ONLY</v>
      </c>
      <c r="E329" s="79"/>
      <c r="F329" s="79" t="str">
        <f>IFERROR(__xludf.DUMMYFUNCTION("""COMPUTED_VALUE"""),"Gil")</f>
        <v>Gil</v>
      </c>
      <c r="G329" s="107">
        <f t="shared" si="1"/>
        <v>71.15</v>
      </c>
      <c r="H329" s="108" t="str">
        <f t="shared" si="2"/>
        <v>May</v>
      </c>
    </row>
    <row r="330">
      <c r="A330" s="106">
        <f>IFERROR(__xludf.DUMMYFUNCTION("""COMPUTED_VALUE"""),45419.0)</f>
        <v>45419</v>
      </c>
      <c r="B330" s="103">
        <f>IFERROR(__xludf.DUMMYFUNCTION("""COMPUTED_VALUE"""),16.99)</f>
        <v>16.99</v>
      </c>
      <c r="C330" s="79" t="str">
        <f>IFERROR(__xludf.DUMMYFUNCTION("""COMPUTED_VALUE"""),"Spotify")</f>
        <v>Spotify</v>
      </c>
      <c r="D330" s="79" t="str">
        <f>IFERROR(__xludf.DUMMYFUNCTION("""COMPUTED_VALUE"""),"Amex Blue")</f>
        <v>Amex Blue</v>
      </c>
      <c r="E330" s="79" t="str">
        <f>IFERROR(__xludf.DUMMYFUNCTION("""COMPUTED_VALUE"""),"Subscriptions")</f>
        <v>Subscriptions</v>
      </c>
      <c r="F330" s="79" t="str">
        <f>IFERROR(__xludf.DUMMYFUNCTION("""COMPUTED_VALUE"""),"Gil")</f>
        <v>Gil</v>
      </c>
      <c r="G330" s="107">
        <f t="shared" si="1"/>
        <v>8.495</v>
      </c>
      <c r="H330" s="108" t="str">
        <f t="shared" si="2"/>
        <v>May</v>
      </c>
    </row>
    <row r="331">
      <c r="A331" s="106">
        <f>IFERROR(__xludf.DUMMYFUNCTION("""COMPUTED_VALUE"""),45441.0)</f>
        <v>45441</v>
      </c>
      <c r="B331" s="103">
        <f>IFERROR(__xludf.DUMMYFUNCTION("""COMPUTED_VALUE"""),25.82)</f>
        <v>25.82</v>
      </c>
      <c r="C331" s="79" t="str">
        <f>IFERROR(__xludf.DUMMYFUNCTION("""COMPUTED_VALUE"""),"Whole Foods")</f>
        <v>Whole Foods</v>
      </c>
      <c r="D331" s="79" t="str">
        <f>IFERROR(__xludf.DUMMYFUNCTION("""COMPUTED_VALUE"""),"Amex Blue")</f>
        <v>Amex Blue</v>
      </c>
      <c r="E331" s="79" t="str">
        <f>IFERROR(__xludf.DUMMYFUNCTION("""COMPUTED_VALUE"""),"Groceries")</f>
        <v>Groceries</v>
      </c>
      <c r="F331" s="79" t="str">
        <f>IFERROR(__xludf.DUMMYFUNCTION("""COMPUTED_VALUE"""),"Gil")</f>
        <v>Gil</v>
      </c>
      <c r="G331" s="107">
        <f t="shared" si="1"/>
        <v>12.91</v>
      </c>
      <c r="H331" s="108" t="str">
        <f t="shared" si="2"/>
        <v>May</v>
      </c>
    </row>
    <row r="332">
      <c r="A332" s="106">
        <f>IFERROR(__xludf.DUMMYFUNCTION("""COMPUTED_VALUE"""),45441.0)</f>
        <v>45441</v>
      </c>
      <c r="B332" s="103">
        <f>IFERROR(__xludf.DUMMYFUNCTION("""COMPUTED_VALUE"""),49.5)</f>
        <v>49.5</v>
      </c>
      <c r="C332" s="79" t="str">
        <f>IFERROR(__xludf.DUMMYFUNCTION("""COMPUTED_VALUE"""),"ATG - Knees Over Toes")</f>
        <v>ATG - Knees Over Toes</v>
      </c>
      <c r="D332" s="79" t="str">
        <f>IFERROR(__xludf.DUMMYFUNCTION("""COMPUTED_VALUE"""),"Other")</f>
        <v>Other</v>
      </c>
      <c r="E332" s="79" t="str">
        <f>IFERROR(__xludf.DUMMYFUNCTION("""COMPUTED_VALUE"""),"Subscriptions")</f>
        <v>Subscriptions</v>
      </c>
      <c r="F332" s="79" t="str">
        <f>IFERROR(__xludf.DUMMYFUNCTION("""COMPUTED_VALUE"""),"Gil")</f>
        <v>Gil</v>
      </c>
      <c r="G332" s="107">
        <f t="shared" si="1"/>
        <v>24.75</v>
      </c>
      <c r="H332" s="108" t="str">
        <f t="shared" si="2"/>
        <v>May</v>
      </c>
    </row>
    <row r="333">
      <c r="A333" s="106">
        <f>IFERROR(__xludf.DUMMYFUNCTION("""COMPUTED_VALUE"""),45444.0)</f>
        <v>45444</v>
      </c>
      <c r="B333" s="103">
        <f>IFERROR(__xludf.DUMMYFUNCTION("""COMPUTED_VALUE"""),44.5)</f>
        <v>44.5</v>
      </c>
      <c r="C333" s="79" t="str">
        <f>IFERROR(__xludf.DUMMYFUNCTION("""COMPUTED_VALUE"""),"Karen Black- PS1")</f>
        <v>Karen Black- PS1</v>
      </c>
      <c r="D333" s="79" t="str">
        <f>IFERROR(__xludf.DUMMYFUNCTION("""COMPUTED_VALUE"""),"Other")</f>
        <v>Other</v>
      </c>
      <c r="E333" s="79" t="str">
        <f>IFERROR(__xludf.DUMMYFUNCTION("""COMPUTED_VALUE"""),"Entertainment")</f>
        <v>Entertainment</v>
      </c>
      <c r="F333" s="79" t="str">
        <f>IFERROR(__xludf.DUMMYFUNCTION("""COMPUTED_VALUE"""),"Shaeffer")</f>
        <v>Shaeffer</v>
      </c>
      <c r="G333" s="107">
        <f t="shared" si="1"/>
        <v>22.25</v>
      </c>
      <c r="H333" s="108" t="str">
        <f t="shared" si="2"/>
        <v>Jun</v>
      </c>
    </row>
    <row r="334">
      <c r="A334" s="106">
        <f>IFERROR(__xludf.DUMMYFUNCTION("""COMPUTED_VALUE"""),45444.0)</f>
        <v>45444</v>
      </c>
      <c r="B334" s="103">
        <f>IFERROR(__xludf.DUMMYFUNCTION("""COMPUTED_VALUE"""),860.68)</f>
        <v>860.68</v>
      </c>
      <c r="C334" s="79" t="str">
        <f>IFERROR(__xludf.DUMMYFUNCTION("""COMPUTED_VALUE"""),"Healthfirst")</f>
        <v>Healthfirst</v>
      </c>
      <c r="D334" s="79" t="str">
        <f>IFERROR(__xludf.DUMMYFUNCTION("""COMPUTED_VALUE"""),"Amazon Prime Chase")</f>
        <v>Amazon Prime Chase</v>
      </c>
      <c r="E334" s="79" t="str">
        <f>IFERROR(__xludf.DUMMYFUNCTION("""COMPUTED_VALUE"""),"Insurance")</f>
        <v>Insurance</v>
      </c>
      <c r="F334" s="79" t="str">
        <f>IFERROR(__xludf.DUMMYFUNCTION("""COMPUTED_VALUE"""),"Gil")</f>
        <v>Gil</v>
      </c>
      <c r="G334" s="107">
        <f t="shared" si="1"/>
        <v>430.34</v>
      </c>
      <c r="H334" s="108" t="str">
        <f t="shared" si="2"/>
        <v>Jun</v>
      </c>
    </row>
    <row r="335">
      <c r="A335" s="106">
        <f>IFERROR(__xludf.DUMMYFUNCTION("""COMPUTED_VALUE"""),45414.0)</f>
        <v>45414</v>
      </c>
      <c r="B335" s="103">
        <f>IFERROR(__xludf.DUMMYFUNCTION("""COMPUTED_VALUE"""),23.0)</f>
        <v>23</v>
      </c>
      <c r="C335" s="79" t="str">
        <f>IFERROR(__xludf.DUMMYFUNCTION("""COMPUTED_VALUE"""),"Lemonade")</f>
        <v>Lemonade</v>
      </c>
      <c r="D335" s="79" t="str">
        <f>IFERROR(__xludf.DUMMYFUNCTION("""COMPUTED_VALUE"""),"Amazon Prime Chase")</f>
        <v>Amazon Prime Chase</v>
      </c>
      <c r="E335" s="79" t="str">
        <f>IFERROR(__xludf.DUMMYFUNCTION("""COMPUTED_VALUE"""),"Insurance")</f>
        <v>Insurance</v>
      </c>
      <c r="F335" s="79" t="str">
        <f>IFERROR(__xludf.DUMMYFUNCTION("""COMPUTED_VALUE"""),"Shaeffer")</f>
        <v>Shaeffer</v>
      </c>
      <c r="G335" s="107">
        <f t="shared" si="1"/>
        <v>11.5</v>
      </c>
      <c r="H335" s="108" t="str">
        <f t="shared" si="2"/>
        <v>May</v>
      </c>
    </row>
    <row r="336">
      <c r="A336" s="106">
        <f>IFERROR(__xludf.DUMMYFUNCTION("""COMPUTED_VALUE"""),45418.0)</f>
        <v>45418</v>
      </c>
      <c r="B336" s="103">
        <f>IFERROR(__xludf.DUMMYFUNCTION("""COMPUTED_VALUE"""),25.81)</f>
        <v>25.81</v>
      </c>
      <c r="C336" s="79" t="str">
        <f>IFERROR(__xludf.DUMMYFUNCTION("""COMPUTED_VALUE"""),"Amazon S&amp;S - San Pelligrino")</f>
        <v>Amazon S&amp;S - San Pelligrino</v>
      </c>
      <c r="D336" s="79" t="str">
        <f>IFERROR(__xludf.DUMMYFUNCTION("""COMPUTED_VALUE"""),"Amazon Prime Chase")</f>
        <v>Amazon Prime Chase</v>
      </c>
      <c r="E336" s="79" t="str">
        <f>IFERROR(__xludf.DUMMYFUNCTION("""COMPUTED_VALUE"""),"Household")</f>
        <v>Household</v>
      </c>
      <c r="F336" s="79" t="str">
        <f>IFERROR(__xludf.DUMMYFUNCTION("""COMPUTED_VALUE"""),"Gil")</f>
        <v>Gil</v>
      </c>
      <c r="G336" s="107">
        <f t="shared" si="1"/>
        <v>12.905</v>
      </c>
      <c r="H336" s="108" t="str">
        <f t="shared" si="2"/>
        <v>May</v>
      </c>
    </row>
    <row r="337">
      <c r="A337" s="106">
        <f>IFERROR(__xludf.DUMMYFUNCTION("""COMPUTED_VALUE"""),45421.0)</f>
        <v>45421</v>
      </c>
      <c r="B337" s="103">
        <f>IFERROR(__xludf.DUMMYFUNCTION("""COMPUTED_VALUE"""),1.62)</f>
        <v>1.62</v>
      </c>
      <c r="C337" s="79" t="str">
        <f>IFERROR(__xludf.DUMMYFUNCTION("""COMPUTED_VALUE"""),"HP Instant Ink")</f>
        <v>HP Instant Ink</v>
      </c>
      <c r="D337" s="79" t="str">
        <f>IFERROR(__xludf.DUMMYFUNCTION("""COMPUTED_VALUE"""),"Amazon Prime Chase")</f>
        <v>Amazon Prime Chase</v>
      </c>
      <c r="E337" s="79" t="str">
        <f>IFERROR(__xludf.DUMMYFUNCTION("""COMPUTED_VALUE"""),"Household")</f>
        <v>Household</v>
      </c>
      <c r="F337" s="79" t="str">
        <f>IFERROR(__xludf.DUMMYFUNCTION("""COMPUTED_VALUE"""),"Gil")</f>
        <v>Gil</v>
      </c>
      <c r="G337" s="107">
        <f t="shared" si="1"/>
        <v>0.81</v>
      </c>
      <c r="H337" s="108" t="str">
        <f t="shared" si="2"/>
        <v>May</v>
      </c>
    </row>
    <row r="338">
      <c r="A338" s="106">
        <f>IFERROR(__xludf.DUMMYFUNCTION("""COMPUTED_VALUE"""),45427.0)</f>
        <v>45427</v>
      </c>
      <c r="B338" s="103">
        <f>IFERROR(__xludf.DUMMYFUNCTION("""COMPUTED_VALUE"""),32.54)</f>
        <v>32.54</v>
      </c>
      <c r="C338" s="79" t="str">
        <f>IFERROR(__xludf.DUMMYFUNCTION("""COMPUTED_VALUE"""),"Whole Foods - Amazon Prime Pickup")</f>
        <v>Whole Foods - Amazon Prime Pickup</v>
      </c>
      <c r="D338" s="79" t="str">
        <f>IFERROR(__xludf.DUMMYFUNCTION("""COMPUTED_VALUE"""),"Amazon Prime Chase")</f>
        <v>Amazon Prime Chase</v>
      </c>
      <c r="E338" s="79" t="str">
        <f>IFERROR(__xludf.DUMMYFUNCTION("""COMPUTED_VALUE"""),"Groceries")</f>
        <v>Groceries</v>
      </c>
      <c r="F338" s="79" t="str">
        <f>IFERROR(__xludf.DUMMYFUNCTION("""COMPUTED_VALUE"""),"Gil")</f>
        <v>Gil</v>
      </c>
      <c r="G338" s="107">
        <f t="shared" si="1"/>
        <v>16.27</v>
      </c>
      <c r="H338" s="108" t="str">
        <f t="shared" si="2"/>
        <v>May</v>
      </c>
    </row>
    <row r="339">
      <c r="A339" s="106">
        <f>IFERROR(__xludf.DUMMYFUNCTION("""COMPUTED_VALUE"""),45429.0)</f>
        <v>45429</v>
      </c>
      <c r="B339" s="103">
        <f>IFERROR(__xludf.DUMMYFUNCTION("""COMPUTED_VALUE"""),22.55)</f>
        <v>22.55</v>
      </c>
      <c r="C339" s="79" t="str">
        <f>IFERROR(__xludf.DUMMYFUNCTION("""COMPUTED_VALUE"""),"Amazon - Hydro Flask Bowl")</f>
        <v>Amazon - Hydro Flask Bowl</v>
      </c>
      <c r="D339" s="79" t="str">
        <f>IFERROR(__xludf.DUMMYFUNCTION("""COMPUTED_VALUE"""),"Amazon Prime Chase")</f>
        <v>Amazon Prime Chase</v>
      </c>
      <c r="E339" s="79" t="str">
        <f>IFERROR(__xludf.DUMMYFUNCTION("""COMPUTED_VALUE"""),"Household")</f>
        <v>Household</v>
      </c>
      <c r="F339" s="79" t="str">
        <f>IFERROR(__xludf.DUMMYFUNCTION("""COMPUTED_VALUE"""),"Gil")</f>
        <v>Gil</v>
      </c>
      <c r="G339" s="107">
        <f t="shared" si="1"/>
        <v>11.275</v>
      </c>
      <c r="H339" s="108" t="str">
        <f t="shared" si="2"/>
        <v>May</v>
      </c>
    </row>
    <row r="340">
      <c r="A340" s="106">
        <f>IFERROR(__xludf.DUMMYFUNCTION("""COMPUTED_VALUE"""),45461.0)</f>
        <v>45461</v>
      </c>
      <c r="B340" s="103">
        <f>IFERROR(__xludf.DUMMYFUNCTION("""COMPUTED_VALUE"""),16.32)</f>
        <v>16.32</v>
      </c>
      <c r="C340" s="79" t="str">
        <f>IFERROR(__xludf.DUMMYFUNCTION("""COMPUTED_VALUE"""),"Amazon Prime Subscription")</f>
        <v>Amazon Prime Subscription</v>
      </c>
      <c r="D340" s="79" t="str">
        <f>IFERROR(__xludf.DUMMYFUNCTION("""COMPUTED_VALUE"""),"Amazon Prime Chase")</f>
        <v>Amazon Prime Chase</v>
      </c>
      <c r="E340" s="79" t="str">
        <f>IFERROR(__xludf.DUMMYFUNCTION("""COMPUTED_VALUE"""),"Subscriptions")</f>
        <v>Subscriptions</v>
      </c>
      <c r="F340" s="79" t="str">
        <f>IFERROR(__xludf.DUMMYFUNCTION("""COMPUTED_VALUE"""),"Gil")</f>
        <v>Gil</v>
      </c>
      <c r="G340" s="107">
        <f t="shared" si="1"/>
        <v>8.16</v>
      </c>
      <c r="H340" s="108" t="str">
        <f t="shared" si="2"/>
        <v>Jun</v>
      </c>
    </row>
    <row r="341">
      <c r="A341" s="106">
        <f>IFERROR(__xludf.DUMMYFUNCTION("""COMPUTED_VALUE"""),45444.0)</f>
        <v>45444</v>
      </c>
      <c r="B341" s="103">
        <f>IFERROR(__xludf.DUMMYFUNCTION("""COMPUTED_VALUE"""),25.81)</f>
        <v>25.81</v>
      </c>
      <c r="C341" s="79" t="str">
        <f>IFERROR(__xludf.DUMMYFUNCTION("""COMPUTED_VALUE"""),"Amazon S&amp;S - San Pelligrino - added to June not entered in May")</f>
        <v>Amazon S&amp;S - San Pelligrino - added to June not entered in May</v>
      </c>
      <c r="D341" s="79" t="str">
        <f>IFERROR(__xludf.DUMMYFUNCTION("""COMPUTED_VALUE"""),"Amazon Prime Chase")</f>
        <v>Amazon Prime Chase</v>
      </c>
      <c r="E341" s="79" t="str">
        <f>IFERROR(__xludf.DUMMYFUNCTION("""COMPUTED_VALUE"""),"Groceries")</f>
        <v>Groceries</v>
      </c>
      <c r="F341" s="79" t="str">
        <f>IFERROR(__xludf.DUMMYFUNCTION("""COMPUTED_VALUE"""),"Gil")</f>
        <v>Gil</v>
      </c>
      <c r="G341" s="107">
        <f t="shared" si="1"/>
        <v>12.905</v>
      </c>
      <c r="H341" s="108" t="str">
        <f t="shared" si="2"/>
        <v>Jun</v>
      </c>
    </row>
    <row r="342">
      <c r="A342" s="106">
        <f>IFERROR(__xludf.DUMMYFUNCTION("""COMPUTED_VALUE"""),45444.0)</f>
        <v>45444</v>
      </c>
      <c r="B342" s="103">
        <f>IFERROR(__xludf.DUMMYFUNCTION("""COMPUTED_VALUE"""),24.79)</f>
        <v>24.79</v>
      </c>
      <c r="C342" s="79" t="str">
        <f>IFERROR(__xludf.DUMMYFUNCTION("""COMPUTED_VALUE"""),"Amazon S&amp;S - LaRoche Posay Sunscreen")</f>
        <v>Amazon S&amp;S - LaRoche Posay Sunscreen</v>
      </c>
      <c r="D342" s="79" t="str">
        <f>IFERROR(__xludf.DUMMYFUNCTION("""COMPUTED_VALUE"""),"Amazon Prime Chase")</f>
        <v>Amazon Prime Chase</v>
      </c>
      <c r="E342" s="79" t="str">
        <f>IFERROR(__xludf.DUMMYFUNCTION("""COMPUTED_VALUE"""),"Household")</f>
        <v>Household</v>
      </c>
      <c r="F342" s="79" t="str">
        <f>IFERROR(__xludf.DUMMYFUNCTION("""COMPUTED_VALUE"""),"Gil")</f>
        <v>Gil</v>
      </c>
      <c r="G342" s="107">
        <f t="shared" si="1"/>
        <v>12.395</v>
      </c>
      <c r="H342" s="108" t="str">
        <f t="shared" si="2"/>
        <v>Jun</v>
      </c>
    </row>
    <row r="343">
      <c r="A343" s="106">
        <f>IFERROR(__xludf.DUMMYFUNCTION("""COMPUTED_VALUE"""),45444.0)</f>
        <v>45444</v>
      </c>
      <c r="B343" s="103">
        <f>IFERROR(__xludf.DUMMYFUNCTION("""COMPUTED_VALUE"""),23.3)</f>
        <v>23.3</v>
      </c>
      <c r="C343" s="79" t="str">
        <f>IFERROR(__xludf.DUMMYFUNCTION("""COMPUTED_VALUE"""),"Amazon S&amp;S - Yuzu")</f>
        <v>Amazon S&amp;S - Yuzu</v>
      </c>
      <c r="D343" s="79" t="str">
        <f>IFERROR(__xludf.DUMMYFUNCTION("""COMPUTED_VALUE"""),"Amazon Prime Chase")</f>
        <v>Amazon Prime Chase</v>
      </c>
      <c r="E343" s="79" t="str">
        <f>IFERROR(__xludf.DUMMYFUNCTION("""COMPUTED_VALUE"""),"Groceries")</f>
        <v>Groceries</v>
      </c>
      <c r="F343" s="79" t="str">
        <f>IFERROR(__xludf.DUMMYFUNCTION("""COMPUTED_VALUE"""),"Gil")</f>
        <v>Gil</v>
      </c>
      <c r="G343" s="107">
        <f t="shared" si="1"/>
        <v>11.65</v>
      </c>
      <c r="H343" s="108" t="str">
        <f t="shared" si="2"/>
        <v>Jun</v>
      </c>
    </row>
    <row r="344">
      <c r="A344" s="106">
        <f>IFERROR(__xludf.DUMMYFUNCTION("""COMPUTED_VALUE"""),45444.0)</f>
        <v>45444</v>
      </c>
      <c r="B344" s="103">
        <f>IFERROR(__xludf.DUMMYFUNCTION("""COMPUTED_VALUE"""),18.65)</f>
        <v>18.65</v>
      </c>
      <c r="C344" s="79" t="str">
        <f>IFERROR(__xludf.DUMMYFUNCTION("""COMPUTED_VALUE"""),"Amazon S&amp;S - Belmont Peanuts")</f>
        <v>Amazon S&amp;S - Belmont Peanuts</v>
      </c>
      <c r="D344" s="79" t="str">
        <f>IFERROR(__xludf.DUMMYFUNCTION("""COMPUTED_VALUE"""),"Amazon Prime Chase")</f>
        <v>Amazon Prime Chase</v>
      </c>
      <c r="E344" s="79" t="str">
        <f>IFERROR(__xludf.DUMMYFUNCTION("""COMPUTED_VALUE"""),"Groceries")</f>
        <v>Groceries</v>
      </c>
      <c r="F344" s="79" t="str">
        <f>IFERROR(__xludf.DUMMYFUNCTION("""COMPUTED_VALUE"""),"Gil")</f>
        <v>Gil</v>
      </c>
      <c r="G344" s="107">
        <f t="shared" si="1"/>
        <v>9.325</v>
      </c>
      <c r="H344" s="108" t="str">
        <f t="shared" si="2"/>
        <v>Jun</v>
      </c>
    </row>
    <row r="345">
      <c r="A345" s="106">
        <f>IFERROR(__xludf.DUMMYFUNCTION("""COMPUTED_VALUE"""),45444.0)</f>
        <v>45444</v>
      </c>
      <c r="B345" s="103">
        <f>IFERROR(__xludf.DUMMYFUNCTION("""COMPUTED_VALUE"""),44.48)</f>
        <v>44.48</v>
      </c>
      <c r="C345" s="79" t="str">
        <f>IFERROR(__xludf.DUMMYFUNCTION("""COMPUTED_VALUE"""),"Amazon - Sunscreen")</f>
        <v>Amazon - Sunscreen</v>
      </c>
      <c r="D345" s="79" t="str">
        <f>IFERROR(__xludf.DUMMYFUNCTION("""COMPUTED_VALUE"""),"Amazon Prime Chase")</f>
        <v>Amazon Prime Chase</v>
      </c>
      <c r="E345" s="79" t="str">
        <f>IFERROR(__xludf.DUMMYFUNCTION("""COMPUTED_VALUE"""),"Personal")</f>
        <v>Personal</v>
      </c>
      <c r="F345" s="79" t="str">
        <f>IFERROR(__xludf.DUMMYFUNCTION("""COMPUTED_VALUE"""),"Gil")</f>
        <v>Gil</v>
      </c>
      <c r="G345" s="107">
        <f t="shared" si="1"/>
        <v>22.24</v>
      </c>
      <c r="H345" s="108" t="str">
        <f t="shared" si="2"/>
        <v>Jun</v>
      </c>
    </row>
    <row r="346">
      <c r="A346" s="106">
        <f>IFERROR(__xludf.DUMMYFUNCTION("""COMPUTED_VALUE"""),45444.0)</f>
        <v>45444</v>
      </c>
      <c r="B346" s="103">
        <f>IFERROR(__xludf.DUMMYFUNCTION("""COMPUTED_VALUE"""),28.42)</f>
        <v>28.42</v>
      </c>
      <c r="C346" s="79" t="str">
        <f>IFERROR(__xludf.DUMMYFUNCTION("""COMPUTED_VALUE"""),"Amazon S&amp;S - Paula's Choice Body Lotion")</f>
        <v>Amazon S&amp;S - Paula's Choice Body Lotion</v>
      </c>
      <c r="D346" s="79" t="str">
        <f>IFERROR(__xludf.DUMMYFUNCTION("""COMPUTED_VALUE"""),"Amazon Prime Chase")</f>
        <v>Amazon Prime Chase</v>
      </c>
      <c r="E346" s="79" t="str">
        <f>IFERROR(__xludf.DUMMYFUNCTION("""COMPUTED_VALUE"""),"Personal")</f>
        <v>Personal</v>
      </c>
      <c r="F346" s="79" t="str">
        <f>IFERROR(__xludf.DUMMYFUNCTION("""COMPUTED_VALUE"""),"Gil")</f>
        <v>Gil</v>
      </c>
      <c r="G346" s="107">
        <f t="shared" si="1"/>
        <v>14.21</v>
      </c>
      <c r="H346" s="108" t="str">
        <f t="shared" si="2"/>
        <v>Jun</v>
      </c>
    </row>
    <row r="347">
      <c r="A347" s="106">
        <f>IFERROR(__xludf.DUMMYFUNCTION("""COMPUTED_VALUE"""),45444.0)</f>
        <v>45444</v>
      </c>
      <c r="B347" s="103">
        <f>IFERROR(__xludf.DUMMYFUNCTION("""COMPUTED_VALUE"""),46.56)</f>
        <v>46.56</v>
      </c>
      <c r="C347" s="79" t="str">
        <f>IFERROR(__xludf.DUMMYFUNCTION("""COMPUTED_VALUE"""),"Amazon S&amp;S - Kadoya Sesame Oil")</f>
        <v>Amazon S&amp;S - Kadoya Sesame Oil</v>
      </c>
      <c r="D347" s="79" t="str">
        <f>IFERROR(__xludf.DUMMYFUNCTION("""COMPUTED_VALUE"""),"Amazon Prime Chase")</f>
        <v>Amazon Prime Chase</v>
      </c>
      <c r="E347" s="79" t="str">
        <f>IFERROR(__xludf.DUMMYFUNCTION("""COMPUTED_VALUE"""),"Groceries")</f>
        <v>Groceries</v>
      </c>
      <c r="F347" s="79" t="str">
        <f>IFERROR(__xludf.DUMMYFUNCTION("""COMPUTED_VALUE"""),"Gil")</f>
        <v>Gil</v>
      </c>
      <c r="G347" s="107">
        <f t="shared" si="1"/>
        <v>23.28</v>
      </c>
      <c r="H347" s="108" t="str">
        <f t="shared" si="2"/>
        <v>Jun</v>
      </c>
    </row>
    <row r="348">
      <c r="A348" s="106">
        <f>IFERROR(__xludf.DUMMYFUNCTION("""COMPUTED_VALUE"""),45444.0)</f>
        <v>45444</v>
      </c>
      <c r="B348" s="103">
        <f>IFERROR(__xludf.DUMMYFUNCTION("""COMPUTED_VALUE"""),6.35)</f>
        <v>6.35</v>
      </c>
      <c r="C348" s="79" t="str">
        <f>IFERROR(__xludf.DUMMYFUNCTION("""COMPUTED_VALUE"""),"Amazon S&amp;S - Sprouted Almonds")</f>
        <v>Amazon S&amp;S - Sprouted Almonds</v>
      </c>
      <c r="D348" s="79" t="str">
        <f>IFERROR(__xludf.DUMMYFUNCTION("""COMPUTED_VALUE"""),"Amazon Prime Chase")</f>
        <v>Amazon Prime Chase</v>
      </c>
      <c r="E348" s="79" t="str">
        <f>IFERROR(__xludf.DUMMYFUNCTION("""COMPUTED_VALUE"""),"Groceries")</f>
        <v>Groceries</v>
      </c>
      <c r="F348" s="79" t="str">
        <f>IFERROR(__xludf.DUMMYFUNCTION("""COMPUTED_VALUE"""),"Gil")</f>
        <v>Gil</v>
      </c>
      <c r="G348" s="107">
        <f t="shared" si="1"/>
        <v>3.175</v>
      </c>
      <c r="H348" s="108" t="str">
        <f t="shared" si="2"/>
        <v>Jun</v>
      </c>
    </row>
    <row r="349">
      <c r="A349" s="106">
        <f>IFERROR(__xludf.DUMMYFUNCTION("""COMPUTED_VALUE"""),45444.0)</f>
        <v>45444</v>
      </c>
      <c r="B349" s="103">
        <f>IFERROR(__xludf.DUMMYFUNCTION("""COMPUTED_VALUE"""),12.72)</f>
        <v>12.72</v>
      </c>
      <c r="C349" s="79" t="str">
        <f>IFERROR(__xludf.DUMMYFUNCTION("""COMPUTED_VALUE"""),"Amazon S&amp;S -  Viva Doria Hawaiian Red Alaea Sea Salt")</f>
        <v>Amazon S&amp;S -  Viva Doria Hawaiian Red Alaea Sea Salt</v>
      </c>
      <c r="D349" s="79" t="str">
        <f>IFERROR(__xludf.DUMMYFUNCTION("""COMPUTED_VALUE"""),"Amazon Prime Chase")</f>
        <v>Amazon Prime Chase</v>
      </c>
      <c r="E349" s="79" t="str">
        <f>IFERROR(__xludf.DUMMYFUNCTION("""COMPUTED_VALUE"""),"Groceries")</f>
        <v>Groceries</v>
      </c>
      <c r="F349" s="79" t="str">
        <f>IFERROR(__xludf.DUMMYFUNCTION("""COMPUTED_VALUE"""),"Gil")</f>
        <v>Gil</v>
      </c>
      <c r="G349" s="107">
        <f t="shared" si="1"/>
        <v>6.36</v>
      </c>
      <c r="H349" s="108" t="str">
        <f t="shared" si="2"/>
        <v>Jun</v>
      </c>
    </row>
    <row r="350">
      <c r="A350" s="106">
        <f>IFERROR(__xludf.DUMMYFUNCTION("""COMPUTED_VALUE"""),45444.0)</f>
        <v>45444</v>
      </c>
      <c r="B350" s="103">
        <f>IFERROR(__xludf.DUMMYFUNCTION("""COMPUTED_VALUE"""),42.49)</f>
        <v>42.49</v>
      </c>
      <c r="C350" s="79" t="str">
        <f>IFERROR(__xludf.DUMMYFUNCTION("""COMPUTED_VALUE"""),"Amazon S&amp;S - Baja Gold")</f>
        <v>Amazon S&amp;S - Baja Gold</v>
      </c>
      <c r="D350" s="79" t="str">
        <f>IFERROR(__xludf.DUMMYFUNCTION("""COMPUTED_VALUE"""),"Amazon Prime Chase")</f>
        <v>Amazon Prime Chase</v>
      </c>
      <c r="E350" s="79" t="str">
        <f>IFERROR(__xludf.DUMMYFUNCTION("""COMPUTED_VALUE"""),"Groceries")</f>
        <v>Groceries</v>
      </c>
      <c r="F350" s="79" t="str">
        <f>IFERROR(__xludf.DUMMYFUNCTION("""COMPUTED_VALUE"""),"Gil")</f>
        <v>Gil</v>
      </c>
      <c r="G350" s="107">
        <f t="shared" si="1"/>
        <v>21.245</v>
      </c>
      <c r="H350" s="108" t="str">
        <f t="shared" si="2"/>
        <v>Jun</v>
      </c>
    </row>
    <row r="351">
      <c r="A351" s="106">
        <f>IFERROR(__xludf.DUMMYFUNCTION("""COMPUTED_VALUE"""),45444.0)</f>
        <v>45444</v>
      </c>
      <c r="B351" s="103">
        <f>IFERROR(__xludf.DUMMYFUNCTION("""COMPUTED_VALUE"""),18.65)</f>
        <v>18.65</v>
      </c>
      <c r="C351" s="79" t="str">
        <f>IFERROR(__xludf.DUMMYFUNCTION("""COMPUTED_VALUE"""),"Amazon S&amp;S - Belmont Peanuts added to June not entered in May")</f>
        <v>Amazon S&amp;S - Belmont Peanuts added to June not entered in May</v>
      </c>
      <c r="D351" s="79" t="str">
        <f>IFERROR(__xludf.DUMMYFUNCTION("""COMPUTED_VALUE"""),"Amazon Prime Chase")</f>
        <v>Amazon Prime Chase</v>
      </c>
      <c r="E351" s="79" t="str">
        <f>IFERROR(__xludf.DUMMYFUNCTION("""COMPUTED_VALUE"""),"Groceries")</f>
        <v>Groceries</v>
      </c>
      <c r="F351" s="79" t="str">
        <f>IFERROR(__xludf.DUMMYFUNCTION("""COMPUTED_VALUE"""),"Shaeffer")</f>
        <v>Shaeffer</v>
      </c>
      <c r="G351" s="107">
        <f t="shared" si="1"/>
        <v>9.325</v>
      </c>
      <c r="H351" s="108" t="str">
        <f t="shared" si="2"/>
        <v>Jun</v>
      </c>
    </row>
    <row r="352">
      <c r="A352" s="106">
        <f>IFERROR(__xludf.DUMMYFUNCTION("""COMPUTED_VALUE"""),45444.0)</f>
        <v>45444</v>
      </c>
      <c r="B352" s="103">
        <f>IFERROR(__xludf.DUMMYFUNCTION("""COMPUTED_VALUE"""),2.0)</f>
        <v>2</v>
      </c>
      <c r="C352" s="79" t="str">
        <f>IFERROR(__xludf.DUMMYFUNCTION("""COMPUTED_VALUE"""),"Amazon S&amp;S - Sprouted Almonds")</f>
        <v>Amazon S&amp;S - Sprouted Almonds</v>
      </c>
      <c r="D352" s="79" t="str">
        <f>IFERROR(__xludf.DUMMYFUNCTION("""COMPUTED_VALUE"""),"Amazon Prime Chase")</f>
        <v>Amazon Prime Chase</v>
      </c>
      <c r="E352" s="79" t="str">
        <f>IFERROR(__xludf.DUMMYFUNCTION("""COMPUTED_VALUE"""),"Groceries")</f>
        <v>Groceries</v>
      </c>
      <c r="F352" s="79" t="str">
        <f>IFERROR(__xludf.DUMMYFUNCTION("""COMPUTED_VALUE"""),"Gil")</f>
        <v>Gil</v>
      </c>
      <c r="G352" s="107">
        <f t="shared" si="1"/>
        <v>1</v>
      </c>
      <c r="H352" s="108" t="str">
        <f t="shared" si="2"/>
        <v>Jun</v>
      </c>
    </row>
    <row r="353">
      <c r="A353" s="106">
        <f>IFERROR(__xludf.DUMMYFUNCTION("""COMPUTED_VALUE"""),45444.0)</f>
        <v>45444</v>
      </c>
      <c r="B353" s="103">
        <f>IFERROR(__xludf.DUMMYFUNCTION("""COMPUTED_VALUE"""),26.46)</f>
        <v>26.46</v>
      </c>
      <c r="C353" s="79" t="str">
        <f>IFERROR(__xludf.DUMMYFUNCTION("""COMPUTED_VALUE"""),"KraveBeauty")</f>
        <v>KraveBeauty</v>
      </c>
      <c r="D353" s="79" t="str">
        <f>IFERROR(__xludf.DUMMYFUNCTION("""COMPUTED_VALUE"""),"Amazon Prime Chase")</f>
        <v>Amazon Prime Chase</v>
      </c>
      <c r="E353" s="79" t="str">
        <f>IFERROR(__xludf.DUMMYFUNCTION("""COMPUTED_VALUE"""),"Personal")</f>
        <v>Personal</v>
      </c>
      <c r="F353" s="79" t="str">
        <f>IFERROR(__xludf.DUMMYFUNCTION("""COMPUTED_VALUE"""),"Gil")</f>
        <v>Gil</v>
      </c>
      <c r="G353" s="107">
        <f t="shared" si="1"/>
        <v>13.23</v>
      </c>
      <c r="H353" s="108" t="str">
        <f t="shared" si="2"/>
        <v>Jun</v>
      </c>
    </row>
    <row r="354">
      <c r="A354" s="106">
        <f>IFERROR(__xludf.DUMMYFUNCTION("""COMPUTED_VALUE"""),45444.0)</f>
        <v>45444</v>
      </c>
      <c r="B354" s="103">
        <f>IFERROR(__xludf.DUMMYFUNCTION("""COMPUTED_VALUE"""),16.32)</f>
        <v>16.32</v>
      </c>
      <c r="C354" s="79" t="str">
        <f>IFERROR(__xludf.DUMMYFUNCTION("""COMPUTED_VALUE"""),"Amazon Prime Subscription - May - not entered")</f>
        <v>Amazon Prime Subscription - May - not entered</v>
      </c>
      <c r="D354" s="79" t="str">
        <f>IFERROR(__xludf.DUMMYFUNCTION("""COMPUTED_VALUE"""),"Amazon Prime Chase")</f>
        <v>Amazon Prime Chase</v>
      </c>
      <c r="E354" s="79" t="str">
        <f>IFERROR(__xludf.DUMMYFUNCTION("""COMPUTED_VALUE"""),"Subscriptions")</f>
        <v>Subscriptions</v>
      </c>
      <c r="F354" s="79" t="str">
        <f>IFERROR(__xludf.DUMMYFUNCTION("""COMPUTED_VALUE"""),"Gil")</f>
        <v>Gil</v>
      </c>
      <c r="G354" s="107">
        <f t="shared" si="1"/>
        <v>8.16</v>
      </c>
      <c r="H354" s="108" t="str">
        <f t="shared" si="2"/>
        <v>Jun</v>
      </c>
    </row>
    <row r="355">
      <c r="A355" s="106">
        <f>IFERROR(__xludf.DUMMYFUNCTION("""COMPUTED_VALUE"""),45444.0)</f>
        <v>45444</v>
      </c>
      <c r="B355" s="103">
        <f>IFERROR(__xludf.DUMMYFUNCTION("""COMPUTED_VALUE"""),38.66)</f>
        <v>38.66</v>
      </c>
      <c r="C355" s="79" t="str">
        <f>IFERROR(__xludf.DUMMYFUNCTION("""COMPUTED_VALUE"""),"MoMA PS1 drinks")</f>
        <v>MoMA PS1 drinks</v>
      </c>
      <c r="D355" s="79" t="str">
        <f>IFERROR(__xludf.DUMMYFUNCTION("""COMPUTED_VALUE"""),"Amex Gold")</f>
        <v>Amex Gold</v>
      </c>
      <c r="E355" s="79" t="str">
        <f>IFERROR(__xludf.DUMMYFUNCTION("""COMPUTED_VALUE"""),"Alcohol/Weed")</f>
        <v>Alcohol/Weed</v>
      </c>
      <c r="F355" s="79" t="str">
        <f>IFERROR(__xludf.DUMMYFUNCTION("""COMPUTED_VALUE"""),"Gil")</f>
        <v>Gil</v>
      </c>
      <c r="G355" s="107">
        <f t="shared" si="1"/>
        <v>19.33</v>
      </c>
      <c r="H355" s="108" t="str">
        <f t="shared" si="2"/>
        <v>Jun</v>
      </c>
    </row>
    <row r="356">
      <c r="A356" s="106">
        <f>IFERROR(__xludf.DUMMYFUNCTION("""COMPUTED_VALUE"""),45442.0)</f>
        <v>45442</v>
      </c>
      <c r="B356" s="103">
        <f>IFERROR(__xludf.DUMMYFUNCTION("""COMPUTED_VALUE"""),271.32)</f>
        <v>271.32</v>
      </c>
      <c r="C356" s="79" t="str">
        <f>IFERROR(__xludf.DUMMYFUNCTION("""COMPUTED_VALUE"""),"Amazon Purchases for May")</f>
        <v>Amazon Purchases for May</v>
      </c>
      <c r="D356" s="79" t="str">
        <f>IFERROR(__xludf.DUMMYFUNCTION("""COMPUTED_VALUE"""),"Shaeffer ONLY")</f>
        <v>Shaeffer ONLY</v>
      </c>
      <c r="E356" s="79"/>
      <c r="F356" s="79" t="str">
        <f>IFERROR(__xludf.DUMMYFUNCTION("""COMPUTED_VALUE"""),"Gil")</f>
        <v>Gil</v>
      </c>
      <c r="G356" s="107">
        <f t="shared" si="1"/>
        <v>135.66</v>
      </c>
      <c r="H356" s="108" t="str">
        <f t="shared" si="2"/>
        <v>May</v>
      </c>
    </row>
    <row r="357">
      <c r="A357" s="106">
        <f>IFERROR(__xludf.DUMMYFUNCTION("""COMPUTED_VALUE"""),45435.0)</f>
        <v>45435</v>
      </c>
      <c r="B357" s="103">
        <f>IFERROR(__xludf.DUMMYFUNCTION("""COMPUTED_VALUE"""),68.6)</f>
        <v>68.6</v>
      </c>
      <c r="C357" s="79" t="str">
        <f>IFERROR(__xludf.DUMMYFUNCTION("""COMPUTED_VALUE"""),"Amazon - AF Drinks")</f>
        <v>Amazon - AF Drinks</v>
      </c>
      <c r="D357" s="79" t="str">
        <f>IFERROR(__xludf.DUMMYFUNCTION("""COMPUTED_VALUE"""),"Amazon Prime Chase")</f>
        <v>Amazon Prime Chase</v>
      </c>
      <c r="E357" s="79" t="str">
        <f>IFERROR(__xludf.DUMMYFUNCTION("""COMPUTED_VALUE"""),"Groceries")</f>
        <v>Groceries</v>
      </c>
      <c r="F357" s="79" t="str">
        <f>IFERROR(__xludf.DUMMYFUNCTION("""COMPUTED_VALUE"""),"Gil")</f>
        <v>Gil</v>
      </c>
      <c r="G357" s="107">
        <f t="shared" si="1"/>
        <v>34.3</v>
      </c>
      <c r="H357" s="108" t="str">
        <f t="shared" si="2"/>
        <v>May</v>
      </c>
    </row>
    <row r="358">
      <c r="A358" s="106">
        <f>IFERROR(__xludf.DUMMYFUNCTION("""COMPUTED_VALUE"""),45444.0)</f>
        <v>45444</v>
      </c>
      <c r="B358" s="103">
        <f>IFERROR(__xludf.DUMMYFUNCTION("""COMPUTED_VALUE"""),2700.0)</f>
        <v>2700</v>
      </c>
      <c r="C358" s="79" t="str">
        <f>IFERROR(__xludf.DUMMYFUNCTION("""COMPUTED_VALUE"""),"June rent")</f>
        <v>June rent</v>
      </c>
      <c r="D358" s="79" t="str">
        <f>IFERROR(__xludf.DUMMYFUNCTION("""COMPUTED_VALUE"""),"Checking")</f>
        <v>Checking</v>
      </c>
      <c r="E358" s="79" t="str">
        <f>IFERROR(__xludf.DUMMYFUNCTION("""COMPUTED_VALUE"""),"Rent")</f>
        <v>Rent</v>
      </c>
      <c r="F358" s="79" t="str">
        <f>IFERROR(__xludf.DUMMYFUNCTION("""COMPUTED_VALUE"""),"Shaeffer")</f>
        <v>Shaeffer</v>
      </c>
      <c r="G358" s="107">
        <f t="shared" si="1"/>
        <v>1350</v>
      </c>
      <c r="H358" s="108" t="str">
        <f t="shared" si="2"/>
        <v>Jun</v>
      </c>
    </row>
    <row r="359">
      <c r="A359" s="106">
        <f>IFERROR(__xludf.DUMMYFUNCTION("""COMPUTED_VALUE"""),45446.0)</f>
        <v>45446</v>
      </c>
      <c r="B359" s="103">
        <f>IFERROR(__xludf.DUMMYFUNCTION("""COMPUTED_VALUE"""),40.0)</f>
        <v>40</v>
      </c>
      <c r="C359" s="79" t="str">
        <f>IFERROR(__xludf.DUMMYFUNCTION("""COMPUTED_VALUE"""),"Laundry")</f>
        <v>Laundry</v>
      </c>
      <c r="D359" s="79" t="str">
        <f>IFERROR(__xludf.DUMMYFUNCTION("""COMPUTED_VALUE"""),"Checking")</f>
        <v>Checking</v>
      </c>
      <c r="E359" s="79" t="str">
        <f>IFERROR(__xludf.DUMMYFUNCTION("""COMPUTED_VALUE"""),"Household")</f>
        <v>Household</v>
      </c>
      <c r="F359" s="79" t="str">
        <f>IFERROR(__xludf.DUMMYFUNCTION("""COMPUTED_VALUE"""),"Shaeffer")</f>
        <v>Shaeffer</v>
      </c>
      <c r="G359" s="107">
        <f t="shared" si="1"/>
        <v>20</v>
      </c>
      <c r="H359" s="108" t="str">
        <f t="shared" si="2"/>
        <v>Jun</v>
      </c>
    </row>
    <row r="360">
      <c r="A360" s="106">
        <f>IFERROR(__xludf.DUMMYFUNCTION("""COMPUTED_VALUE"""),45447.0)</f>
        <v>45447</v>
      </c>
      <c r="B360" s="103">
        <f>IFERROR(__xludf.DUMMYFUNCTION("""COMPUTED_VALUE"""),18.3)</f>
        <v>18.3</v>
      </c>
      <c r="C360" s="79" t="str">
        <f>IFERROR(__xludf.DUMMYFUNCTION("""COMPUTED_VALUE"""),"Mr. Lemon")</f>
        <v>Mr. Lemon</v>
      </c>
      <c r="D360" s="79" t="str">
        <f>IFERROR(__xludf.DUMMYFUNCTION("""COMPUTED_VALUE"""),"Amex Blue")</f>
        <v>Amex Blue</v>
      </c>
      <c r="E360" s="79" t="str">
        <f>IFERROR(__xludf.DUMMYFUNCTION("""COMPUTED_VALUE"""),"Groceries")</f>
        <v>Groceries</v>
      </c>
      <c r="F360" s="79" t="str">
        <f>IFERROR(__xludf.DUMMYFUNCTION("""COMPUTED_VALUE"""),"Gil")</f>
        <v>Gil</v>
      </c>
      <c r="G360" s="107">
        <f t="shared" si="1"/>
        <v>9.15</v>
      </c>
      <c r="H360" s="108" t="str">
        <f t="shared" si="2"/>
        <v>Jun</v>
      </c>
    </row>
    <row r="361">
      <c r="A361" s="106">
        <f>IFERROR(__xludf.DUMMYFUNCTION("""COMPUTED_VALUE"""),45448.0)</f>
        <v>45448</v>
      </c>
      <c r="B361" s="103">
        <f>IFERROR(__xludf.DUMMYFUNCTION("""COMPUTED_VALUE"""),29.95)</f>
        <v>29.95</v>
      </c>
      <c r="C361" s="79" t="str">
        <f>IFERROR(__xludf.DUMMYFUNCTION("""COMPUTED_VALUE"""),"Whole Foods")</f>
        <v>Whole Foods</v>
      </c>
      <c r="D361" s="79" t="str">
        <f>IFERROR(__xludf.DUMMYFUNCTION("""COMPUTED_VALUE"""),"Amex Blue")</f>
        <v>Amex Blue</v>
      </c>
      <c r="E361" s="79" t="str">
        <f>IFERROR(__xludf.DUMMYFUNCTION("""COMPUTED_VALUE"""),"Groceries")</f>
        <v>Groceries</v>
      </c>
      <c r="F361" s="79" t="str">
        <f>IFERROR(__xludf.DUMMYFUNCTION("""COMPUTED_VALUE"""),"Gil")</f>
        <v>Gil</v>
      </c>
      <c r="G361" s="107">
        <f t="shared" si="1"/>
        <v>14.975</v>
      </c>
      <c r="H361" s="108" t="str">
        <f t="shared" si="2"/>
        <v>Jun</v>
      </c>
    </row>
    <row r="362">
      <c r="A362" s="106">
        <f>IFERROR(__xludf.DUMMYFUNCTION("""COMPUTED_VALUE"""),45449.0)</f>
        <v>45449</v>
      </c>
      <c r="B362" s="103">
        <f>IFERROR(__xludf.DUMMYFUNCTION("""COMPUTED_VALUE"""),16.99)</f>
        <v>16.99</v>
      </c>
      <c r="C362" s="79" t="str">
        <f>IFERROR(__xludf.DUMMYFUNCTION("""COMPUTED_VALUE"""),"Spotify")</f>
        <v>Spotify</v>
      </c>
      <c r="D362" s="79" t="str">
        <f>IFERROR(__xludf.DUMMYFUNCTION("""COMPUTED_VALUE"""),"Amex Blue")</f>
        <v>Amex Blue</v>
      </c>
      <c r="E362" s="79" t="str">
        <f>IFERROR(__xludf.DUMMYFUNCTION("""COMPUTED_VALUE"""),"Subscriptions")</f>
        <v>Subscriptions</v>
      </c>
      <c r="F362" s="79" t="str">
        <f>IFERROR(__xludf.DUMMYFUNCTION("""COMPUTED_VALUE"""),"Gil")</f>
        <v>Gil</v>
      </c>
      <c r="G362" s="107">
        <f t="shared" si="1"/>
        <v>8.495</v>
      </c>
      <c r="H362" s="108" t="str">
        <f t="shared" si="2"/>
        <v>Jun</v>
      </c>
    </row>
    <row r="363">
      <c r="A363" s="106">
        <f>IFERROR(__xludf.DUMMYFUNCTION("""COMPUTED_VALUE"""),45452.0)</f>
        <v>45452</v>
      </c>
      <c r="B363" s="103">
        <f>IFERROR(__xludf.DUMMYFUNCTION("""COMPUTED_VALUE"""),68.86)</f>
        <v>68.86</v>
      </c>
      <c r="C363" s="79" t="str">
        <f>IFERROR(__xludf.DUMMYFUNCTION("""COMPUTED_VALUE"""),"Brooklyn Ball Factory")</f>
        <v>Brooklyn Ball Factory</v>
      </c>
      <c r="D363" s="79" t="str">
        <f>IFERROR(__xludf.DUMMYFUNCTION("""COMPUTED_VALUE"""),"Amex Gold")</f>
        <v>Amex Gold</v>
      </c>
      <c r="E363" s="79" t="str">
        <f>IFERROR(__xludf.DUMMYFUNCTION("""COMPUTED_VALUE"""),"Meals")</f>
        <v>Meals</v>
      </c>
      <c r="F363" s="79" t="str">
        <f>IFERROR(__xludf.DUMMYFUNCTION("""COMPUTED_VALUE"""),"Gil")</f>
        <v>Gil</v>
      </c>
      <c r="G363" s="107">
        <f t="shared" si="1"/>
        <v>34.43</v>
      </c>
      <c r="H363" s="108" t="str">
        <f t="shared" si="2"/>
        <v>Jun</v>
      </c>
    </row>
    <row r="364">
      <c r="A364" s="106">
        <f>IFERROR(__xludf.DUMMYFUNCTION("""COMPUTED_VALUE"""),45453.0)</f>
        <v>45453</v>
      </c>
      <c r="B364" s="103">
        <f>IFERROR(__xludf.DUMMYFUNCTION("""COMPUTED_VALUE"""),61.94)</f>
        <v>61.94</v>
      </c>
      <c r="C364" s="79" t="str">
        <f>IFERROR(__xludf.DUMMYFUNCTION("""COMPUTED_VALUE"""),"AMC - Tribeca Film Festival - Tickets and snacks")</f>
        <v>AMC - Tribeca Film Festival - Tickets and snacks</v>
      </c>
      <c r="D364" s="79" t="str">
        <f>IFERROR(__xludf.DUMMYFUNCTION("""COMPUTED_VALUE"""),"Amex Gold")</f>
        <v>Amex Gold</v>
      </c>
      <c r="E364" s="79" t="str">
        <f>IFERROR(__xludf.DUMMYFUNCTION("""COMPUTED_VALUE"""),"Entertainment")</f>
        <v>Entertainment</v>
      </c>
      <c r="F364" s="79" t="str">
        <f>IFERROR(__xludf.DUMMYFUNCTION("""COMPUTED_VALUE"""),"Gil")</f>
        <v>Gil</v>
      </c>
      <c r="G364" s="107">
        <f t="shared" si="1"/>
        <v>30.97</v>
      </c>
      <c r="H364" s="108" t="str">
        <f t="shared" si="2"/>
        <v>Jun</v>
      </c>
    </row>
    <row r="365">
      <c r="A365" s="106">
        <f>IFERROR(__xludf.DUMMYFUNCTION("""COMPUTED_VALUE"""),45453.0)</f>
        <v>45453</v>
      </c>
      <c r="B365" s="103">
        <f>IFERROR(__xludf.DUMMYFUNCTION("""COMPUTED_VALUE"""),22.17)</f>
        <v>22.17</v>
      </c>
      <c r="C365" s="79" t="str">
        <f>IFERROR(__xludf.DUMMYFUNCTION("""COMPUTED_VALUE"""),"Birch Coffee")</f>
        <v>Birch Coffee</v>
      </c>
      <c r="D365" s="79" t="str">
        <f>IFERROR(__xludf.DUMMYFUNCTION("""COMPUTED_VALUE"""),"Amex Gold")</f>
        <v>Amex Gold</v>
      </c>
      <c r="E365" s="79" t="str">
        <f>IFERROR(__xludf.DUMMYFUNCTION("""COMPUTED_VALUE"""),"Groceries")</f>
        <v>Groceries</v>
      </c>
      <c r="F365" s="79" t="str">
        <f>IFERROR(__xludf.DUMMYFUNCTION("""COMPUTED_VALUE"""),"Gil")</f>
        <v>Gil</v>
      </c>
      <c r="G365" s="107">
        <f t="shared" si="1"/>
        <v>11.085</v>
      </c>
      <c r="H365" s="108" t="str">
        <f t="shared" si="2"/>
        <v>Jun</v>
      </c>
    </row>
    <row r="366">
      <c r="A366" s="106">
        <f>IFERROR(__xludf.DUMMYFUNCTION("""COMPUTED_VALUE"""),45453.0)</f>
        <v>45453</v>
      </c>
      <c r="B366" s="103">
        <f>IFERROR(__xludf.DUMMYFUNCTION("""COMPUTED_VALUE"""),23.99)</f>
        <v>23.99</v>
      </c>
      <c r="C366" s="79" t="str">
        <f>IFERROR(__xludf.DUMMYFUNCTION("""COMPUTED_VALUE"""),"Whole Foods")</f>
        <v>Whole Foods</v>
      </c>
      <c r="D366" s="79" t="str">
        <f>IFERROR(__xludf.DUMMYFUNCTION("""COMPUTED_VALUE"""),"Amex Blue")</f>
        <v>Amex Blue</v>
      </c>
      <c r="E366" s="79" t="str">
        <f>IFERROR(__xludf.DUMMYFUNCTION("""COMPUTED_VALUE"""),"Groceries")</f>
        <v>Groceries</v>
      </c>
      <c r="F366" s="79" t="str">
        <f>IFERROR(__xludf.DUMMYFUNCTION("""COMPUTED_VALUE"""),"Gil")</f>
        <v>Gil</v>
      </c>
      <c r="G366" s="107">
        <f t="shared" si="1"/>
        <v>11.995</v>
      </c>
      <c r="H366" s="108" t="str">
        <f t="shared" si="2"/>
        <v>Jun</v>
      </c>
    </row>
    <row r="367">
      <c r="A367" s="106">
        <f>IFERROR(__xludf.DUMMYFUNCTION("""COMPUTED_VALUE"""),45453.0)</f>
        <v>45453</v>
      </c>
      <c r="B367" s="103">
        <f>IFERROR(__xludf.DUMMYFUNCTION("""COMPUTED_VALUE"""),21.98)</f>
        <v>21.98</v>
      </c>
      <c r="C367" s="79" t="str">
        <f>IFERROR(__xludf.DUMMYFUNCTION("""COMPUTED_VALUE"""),"Mr. Lemon")</f>
        <v>Mr. Lemon</v>
      </c>
      <c r="D367" s="79" t="str">
        <f>IFERROR(__xludf.DUMMYFUNCTION("""COMPUTED_VALUE"""),"Amex Blue")</f>
        <v>Amex Blue</v>
      </c>
      <c r="E367" s="79" t="str">
        <f>IFERROR(__xludf.DUMMYFUNCTION("""COMPUTED_VALUE"""),"Groceries")</f>
        <v>Groceries</v>
      </c>
      <c r="F367" s="79" t="str">
        <f>IFERROR(__xludf.DUMMYFUNCTION("""COMPUTED_VALUE"""),"Gil")</f>
        <v>Gil</v>
      </c>
      <c r="G367" s="107">
        <f t="shared" si="1"/>
        <v>10.99</v>
      </c>
      <c r="H367" s="108" t="str">
        <f t="shared" si="2"/>
        <v>Jun</v>
      </c>
    </row>
    <row r="368">
      <c r="A368" s="106">
        <f>IFERROR(__xludf.DUMMYFUNCTION("""COMPUTED_VALUE"""),45454.0)</f>
        <v>45454</v>
      </c>
      <c r="B368" s="103">
        <f>IFERROR(__xludf.DUMMYFUNCTION("""COMPUTED_VALUE"""),13.41)</f>
        <v>13.41</v>
      </c>
      <c r="C368" s="79" t="str">
        <f>IFERROR(__xludf.DUMMYFUNCTION("""COMPUTED_VALUE"""),"Inca Chicken - Seamless")</f>
        <v>Inca Chicken - Seamless</v>
      </c>
      <c r="D368" s="79" t="str">
        <f>IFERROR(__xludf.DUMMYFUNCTION("""COMPUTED_VALUE"""),"Amex Gold")</f>
        <v>Amex Gold</v>
      </c>
      <c r="E368" s="79" t="str">
        <f>IFERROR(__xludf.DUMMYFUNCTION("""COMPUTED_VALUE"""),"Meals")</f>
        <v>Meals</v>
      </c>
      <c r="F368" s="79" t="str">
        <f>IFERROR(__xludf.DUMMYFUNCTION("""COMPUTED_VALUE"""),"Gil")</f>
        <v>Gil</v>
      </c>
      <c r="G368" s="107">
        <f t="shared" si="1"/>
        <v>6.705</v>
      </c>
      <c r="H368" s="108" t="str">
        <f t="shared" si="2"/>
        <v>Jun</v>
      </c>
    </row>
    <row r="369">
      <c r="A369" s="106">
        <f>IFERROR(__xludf.DUMMYFUNCTION("""COMPUTED_VALUE"""),45453.0)</f>
        <v>45453</v>
      </c>
      <c r="B369" s="103">
        <f>IFERROR(__xludf.DUMMYFUNCTION("""COMPUTED_VALUE"""),30.0)</f>
        <v>30</v>
      </c>
      <c r="C369" s="79" t="str">
        <f>IFERROR(__xludf.DUMMYFUNCTION("""COMPUTED_VALUE"""),"Laundry ")</f>
        <v>Laundry </v>
      </c>
      <c r="D369" s="79" t="str">
        <f>IFERROR(__xludf.DUMMYFUNCTION("""COMPUTED_VALUE"""),"Cash")</f>
        <v>Cash</v>
      </c>
      <c r="E369" s="79" t="str">
        <f>IFERROR(__xludf.DUMMYFUNCTION("""COMPUTED_VALUE"""),"Household")</f>
        <v>Household</v>
      </c>
      <c r="F369" s="79" t="str">
        <f>IFERROR(__xludf.DUMMYFUNCTION("""COMPUTED_VALUE"""),"Shaeffer")</f>
        <v>Shaeffer</v>
      </c>
      <c r="G369" s="107">
        <f t="shared" si="1"/>
        <v>15</v>
      </c>
      <c r="H369" s="108" t="str">
        <f t="shared" si="2"/>
        <v>Jun</v>
      </c>
    </row>
    <row r="370">
      <c r="A370" s="106">
        <f>IFERROR(__xludf.DUMMYFUNCTION("""COMPUTED_VALUE"""),45454.0)</f>
        <v>45454</v>
      </c>
      <c r="B370" s="103">
        <f>IFERROR(__xludf.DUMMYFUNCTION("""COMPUTED_VALUE"""),59.74)</f>
        <v>59.74</v>
      </c>
      <c r="C370" s="79" t="str">
        <f>IFERROR(__xludf.DUMMYFUNCTION("""COMPUTED_VALUE"""),"Kalustyans")</f>
        <v>Kalustyans</v>
      </c>
      <c r="D370" s="79" t="str">
        <f>IFERROR(__xludf.DUMMYFUNCTION("""COMPUTED_VALUE"""),"Amex Blue")</f>
        <v>Amex Blue</v>
      </c>
      <c r="E370" s="79" t="str">
        <f>IFERROR(__xludf.DUMMYFUNCTION("""COMPUTED_VALUE"""),"Groceries")</f>
        <v>Groceries</v>
      </c>
      <c r="F370" s="79" t="str">
        <f>IFERROR(__xludf.DUMMYFUNCTION("""COMPUTED_VALUE"""),"Shaeffer")</f>
        <v>Shaeffer</v>
      </c>
      <c r="G370" s="107">
        <f t="shared" si="1"/>
        <v>29.87</v>
      </c>
      <c r="H370" s="108" t="str">
        <f t="shared" si="2"/>
        <v>Jun</v>
      </c>
    </row>
    <row r="371">
      <c r="A371" s="106">
        <f>IFERROR(__xludf.DUMMYFUNCTION("""COMPUTED_VALUE"""),45455.0)</f>
        <v>45455</v>
      </c>
      <c r="B371" s="103">
        <f>IFERROR(__xludf.DUMMYFUNCTION("""COMPUTED_VALUE"""),54.32)</f>
        <v>54.32</v>
      </c>
      <c r="C371" s="79" t="str">
        <f>IFERROR(__xludf.DUMMYFUNCTION("""COMPUTED_VALUE"""),"Whole Foods")</f>
        <v>Whole Foods</v>
      </c>
      <c r="D371" s="79" t="str">
        <f>IFERROR(__xludf.DUMMYFUNCTION("""COMPUTED_VALUE"""),"Amex Blue")</f>
        <v>Amex Blue</v>
      </c>
      <c r="E371" s="79" t="str">
        <f>IFERROR(__xludf.DUMMYFUNCTION("""COMPUTED_VALUE"""),"Groceries")</f>
        <v>Groceries</v>
      </c>
      <c r="F371" s="79" t="str">
        <f>IFERROR(__xludf.DUMMYFUNCTION("""COMPUTED_VALUE"""),"Gil")</f>
        <v>Gil</v>
      </c>
      <c r="G371" s="107">
        <f t="shared" si="1"/>
        <v>27.16</v>
      </c>
      <c r="H371" s="108" t="str">
        <f t="shared" si="2"/>
        <v>Jun</v>
      </c>
    </row>
    <row r="372">
      <c r="A372" s="106">
        <f>IFERROR(__xludf.DUMMYFUNCTION("""COMPUTED_VALUE"""),45457.0)</f>
        <v>45457</v>
      </c>
      <c r="B372" s="103">
        <f>IFERROR(__xludf.DUMMYFUNCTION("""COMPUTED_VALUE"""),6.0)</f>
        <v>6</v>
      </c>
      <c r="C372" s="79" t="str">
        <f>IFERROR(__xludf.DUMMYFUNCTION("""COMPUTED_VALUE"""),"Our Daily Bread")</f>
        <v>Our Daily Bread</v>
      </c>
      <c r="D372" s="79" t="str">
        <f>IFERROR(__xludf.DUMMYFUNCTION("""COMPUTED_VALUE"""),"Amex Blue")</f>
        <v>Amex Blue</v>
      </c>
      <c r="E372" s="79" t="str">
        <f>IFERROR(__xludf.DUMMYFUNCTION("""COMPUTED_VALUE"""),"Groceries")</f>
        <v>Groceries</v>
      </c>
      <c r="F372" s="79" t="str">
        <f>IFERROR(__xludf.DUMMYFUNCTION("""COMPUTED_VALUE"""),"Gil")</f>
        <v>Gil</v>
      </c>
      <c r="G372" s="107">
        <f t="shared" si="1"/>
        <v>3</v>
      </c>
      <c r="H372" s="108" t="str">
        <f t="shared" si="2"/>
        <v>Jun</v>
      </c>
    </row>
    <row r="373">
      <c r="A373" s="106">
        <f>IFERROR(__xludf.DUMMYFUNCTION("""COMPUTED_VALUE"""),45457.0)</f>
        <v>45457</v>
      </c>
      <c r="B373" s="103">
        <f>IFERROR(__xludf.DUMMYFUNCTION("""COMPUTED_VALUE"""),62.0)</f>
        <v>62</v>
      </c>
      <c r="C373" s="79" t="str">
        <f>IFERROR(__xludf.DUMMYFUNCTION("""COMPUTED_VALUE"""),"Camporosso")</f>
        <v>Camporosso</v>
      </c>
      <c r="D373" s="79" t="str">
        <f>IFERROR(__xludf.DUMMYFUNCTION("""COMPUTED_VALUE"""),"Cash")</f>
        <v>Cash</v>
      </c>
      <c r="E373" s="79" t="str">
        <f>IFERROR(__xludf.DUMMYFUNCTION("""COMPUTED_VALUE"""),"Groceries")</f>
        <v>Groceries</v>
      </c>
      <c r="F373" s="79" t="str">
        <f>IFERROR(__xludf.DUMMYFUNCTION("""COMPUTED_VALUE"""),"Gil")</f>
        <v>Gil</v>
      </c>
      <c r="G373" s="107">
        <f t="shared" si="1"/>
        <v>31</v>
      </c>
      <c r="H373" s="108" t="str">
        <f t="shared" si="2"/>
        <v>Jun</v>
      </c>
    </row>
    <row r="374">
      <c r="A374" s="106">
        <f>IFERROR(__xludf.DUMMYFUNCTION("""COMPUTED_VALUE"""),45456.0)</f>
        <v>45456</v>
      </c>
      <c r="B374" s="103">
        <f>IFERROR(__xludf.DUMMYFUNCTION("""COMPUTED_VALUE"""),78.16)</f>
        <v>78.16</v>
      </c>
      <c r="C374" s="79" t="str">
        <f>IFERROR(__xludf.DUMMYFUNCTION("""COMPUTED_VALUE"""),"Milu")</f>
        <v>Milu</v>
      </c>
      <c r="D374" s="79" t="str">
        <f>IFERROR(__xludf.DUMMYFUNCTION("""COMPUTED_VALUE"""),"Amex Gold")</f>
        <v>Amex Gold</v>
      </c>
      <c r="E374" s="79" t="str">
        <f>IFERROR(__xludf.DUMMYFUNCTION("""COMPUTED_VALUE"""),"Meals")</f>
        <v>Meals</v>
      </c>
      <c r="F374" s="79" t="str">
        <f>IFERROR(__xludf.DUMMYFUNCTION("""COMPUTED_VALUE"""),"Gil")</f>
        <v>Gil</v>
      </c>
      <c r="G374" s="107">
        <f t="shared" si="1"/>
        <v>39.08</v>
      </c>
      <c r="H374" s="108" t="str">
        <f t="shared" si="2"/>
        <v>Jun</v>
      </c>
    </row>
    <row r="375">
      <c r="A375" s="106">
        <f>IFERROR(__xludf.DUMMYFUNCTION("""COMPUTED_VALUE"""),45461.0)</f>
        <v>45461</v>
      </c>
      <c r="B375" s="103">
        <f>IFERROR(__xludf.DUMMYFUNCTION("""COMPUTED_VALUE"""),161.5)</f>
        <v>161.5</v>
      </c>
      <c r="C375" s="79" t="str">
        <f>IFERROR(__xludf.DUMMYFUNCTION("""COMPUTED_VALUE"""),"LadyLand Festival - Saturday (AMEX Green card)")</f>
        <v>LadyLand Festival - Saturday (AMEX Green card)</v>
      </c>
      <c r="D375" s="79" t="str">
        <f>IFERROR(__xludf.DUMMYFUNCTION("""COMPUTED_VALUE"""),"Other")</f>
        <v>Other</v>
      </c>
      <c r="E375" s="79" t="str">
        <f>IFERROR(__xludf.DUMMYFUNCTION("""COMPUTED_VALUE"""),"Entertainment")</f>
        <v>Entertainment</v>
      </c>
      <c r="F375" s="79" t="str">
        <f>IFERROR(__xludf.DUMMYFUNCTION("""COMPUTED_VALUE"""),"Gil")</f>
        <v>Gil</v>
      </c>
      <c r="G375" s="107">
        <f t="shared" si="1"/>
        <v>80.75</v>
      </c>
      <c r="H375" s="108" t="str">
        <f t="shared" si="2"/>
        <v>Jun</v>
      </c>
    </row>
    <row r="376">
      <c r="A376" s="106">
        <f>IFERROR(__xludf.DUMMYFUNCTION("""COMPUTED_VALUE"""),45453.0)</f>
        <v>45453</v>
      </c>
      <c r="B376" s="103">
        <f>IFERROR(__xludf.DUMMYFUNCTION("""COMPUTED_VALUE"""),22.99)</f>
        <v>22.99</v>
      </c>
      <c r="C376" s="79" t="str">
        <f>IFERROR(__xludf.DUMMYFUNCTION("""COMPUTED_VALUE"""),"YouTube Premium - AMEX Delta")</f>
        <v>YouTube Premium - AMEX Delta</v>
      </c>
      <c r="D376" s="79" t="str">
        <f>IFERROR(__xludf.DUMMYFUNCTION("""COMPUTED_VALUE"""),"Other")</f>
        <v>Other</v>
      </c>
      <c r="E376" s="79" t="str">
        <f>IFERROR(__xludf.DUMMYFUNCTION("""COMPUTED_VALUE"""),"Subscriptions")</f>
        <v>Subscriptions</v>
      </c>
      <c r="F376" s="79" t="str">
        <f>IFERROR(__xludf.DUMMYFUNCTION("""COMPUTED_VALUE"""),"Gil")</f>
        <v>Gil</v>
      </c>
      <c r="G376" s="107">
        <f t="shared" si="1"/>
        <v>11.495</v>
      </c>
      <c r="H376" s="108" t="str">
        <f t="shared" si="2"/>
        <v>Jun</v>
      </c>
    </row>
    <row r="377">
      <c r="A377" s="106">
        <f>IFERROR(__xludf.DUMMYFUNCTION("""COMPUTED_VALUE"""),45462.0)</f>
        <v>45462</v>
      </c>
      <c r="B377" s="103">
        <f>IFERROR(__xludf.DUMMYFUNCTION("""COMPUTED_VALUE"""),174.75)</f>
        <v>174.75</v>
      </c>
      <c r="C377" s="79" t="str">
        <f>IFERROR(__xludf.DUMMYFUNCTION("""COMPUTED_VALUE"""),"T-Mobile")</f>
        <v>T-Mobile</v>
      </c>
      <c r="D377" s="79" t="str">
        <f>IFERROR(__xludf.DUMMYFUNCTION("""COMPUTED_VALUE"""),"Checking")</f>
        <v>Checking</v>
      </c>
      <c r="E377" s="79" t="str">
        <f>IFERROR(__xludf.DUMMYFUNCTION("""COMPUTED_VALUE"""),"Mobile Phone")</f>
        <v>Mobile Phone</v>
      </c>
      <c r="F377" s="79" t="str">
        <f>IFERROR(__xludf.DUMMYFUNCTION("""COMPUTED_VALUE"""),"Gil")</f>
        <v>Gil</v>
      </c>
      <c r="G377" s="107">
        <f t="shared" si="1"/>
        <v>87.375</v>
      </c>
      <c r="H377" s="108" t="str">
        <f t="shared" si="2"/>
        <v>Jun</v>
      </c>
    </row>
    <row r="378">
      <c r="A378" s="106">
        <f>IFERROR(__xludf.DUMMYFUNCTION("""COMPUTED_VALUE"""),45462.0)</f>
        <v>45462</v>
      </c>
      <c r="B378" s="103">
        <f>IFERROR(__xludf.DUMMYFUNCTION("""COMPUTED_VALUE"""),72.0)</f>
        <v>72</v>
      </c>
      <c r="C378" s="79" t="str">
        <f>IFERROR(__xludf.DUMMYFUNCTION("""COMPUTED_VALUE"""),"Farmer's Market - Quarton, Locust, Eckerton, Phillips")</f>
        <v>Farmer's Market - Quarton, Locust, Eckerton, Phillips</v>
      </c>
      <c r="D378" s="79" t="str">
        <f>IFERROR(__xludf.DUMMYFUNCTION("""COMPUTED_VALUE"""),"Cash")</f>
        <v>Cash</v>
      </c>
      <c r="E378" s="79" t="str">
        <f>IFERROR(__xludf.DUMMYFUNCTION("""COMPUTED_VALUE"""),"Groceries")</f>
        <v>Groceries</v>
      </c>
      <c r="F378" s="79" t="str">
        <f>IFERROR(__xludf.DUMMYFUNCTION("""COMPUTED_VALUE"""),"Gil")</f>
        <v>Gil</v>
      </c>
      <c r="G378" s="107">
        <f t="shared" si="1"/>
        <v>36</v>
      </c>
      <c r="H378" s="108" t="str">
        <f t="shared" si="2"/>
        <v>Jun</v>
      </c>
    </row>
    <row r="379">
      <c r="A379" s="106">
        <f>IFERROR(__xludf.DUMMYFUNCTION("""COMPUTED_VALUE"""),45462.0)</f>
        <v>45462</v>
      </c>
      <c r="B379" s="103">
        <f>IFERROR(__xludf.DUMMYFUNCTION("""COMPUTED_VALUE"""),14.17)</f>
        <v>14.17</v>
      </c>
      <c r="C379" s="79" t="str">
        <f>IFERROR(__xludf.DUMMYFUNCTION("""COMPUTED_VALUE"""),"Scarr's Pizza")</f>
        <v>Scarr's Pizza</v>
      </c>
      <c r="D379" s="79" t="str">
        <f>IFERROR(__xludf.DUMMYFUNCTION("""COMPUTED_VALUE"""),"Amex Gold")</f>
        <v>Amex Gold</v>
      </c>
      <c r="E379" s="79" t="str">
        <f>IFERROR(__xludf.DUMMYFUNCTION("""COMPUTED_VALUE"""),"Meals")</f>
        <v>Meals</v>
      </c>
      <c r="F379" s="79" t="str">
        <f>IFERROR(__xludf.DUMMYFUNCTION("""COMPUTED_VALUE"""),"Gil")</f>
        <v>Gil</v>
      </c>
      <c r="G379" s="107">
        <f t="shared" si="1"/>
        <v>7.085</v>
      </c>
      <c r="H379" s="108" t="str">
        <f t="shared" si="2"/>
        <v>Jun</v>
      </c>
    </row>
    <row r="380">
      <c r="A380" s="106">
        <f>IFERROR(__xludf.DUMMYFUNCTION("""COMPUTED_VALUE"""),45461.0)</f>
        <v>45461</v>
      </c>
      <c r="B380" s="103">
        <f>IFERROR(__xludf.DUMMYFUNCTION("""COMPUTED_VALUE"""),29.32)</f>
        <v>29.32</v>
      </c>
      <c r="C380" s="79" t="str">
        <f>IFERROR(__xludf.DUMMYFUNCTION("""COMPUTED_VALUE"""),"I'Milky")</f>
        <v>I'Milky</v>
      </c>
      <c r="D380" s="79" t="str">
        <f>IFERROR(__xludf.DUMMYFUNCTION("""COMPUTED_VALUE"""),"Capital ONE")</f>
        <v>Capital ONE</v>
      </c>
      <c r="E380" s="79" t="str">
        <f>IFERROR(__xludf.DUMMYFUNCTION("""COMPUTED_VALUE"""),"Meals")</f>
        <v>Meals</v>
      </c>
      <c r="F380" s="79" t="str">
        <f>IFERROR(__xludf.DUMMYFUNCTION("""COMPUTED_VALUE"""),"Gil")</f>
        <v>Gil</v>
      </c>
      <c r="G380" s="107">
        <f t="shared" si="1"/>
        <v>14.66</v>
      </c>
      <c r="H380" s="108" t="str">
        <f t="shared" si="2"/>
        <v>Jun</v>
      </c>
    </row>
    <row r="381">
      <c r="A381" s="106">
        <f>IFERROR(__xludf.DUMMYFUNCTION("""COMPUTED_VALUE"""),45462.0)</f>
        <v>45462</v>
      </c>
      <c r="B381" s="103">
        <f>IFERROR(__xludf.DUMMYFUNCTION("""COMPUTED_VALUE"""),49.34)</f>
        <v>49.34</v>
      </c>
      <c r="C381" s="79" t="str">
        <f>IFERROR(__xludf.DUMMYFUNCTION("""COMPUTED_VALUE"""),"Whole Foods")</f>
        <v>Whole Foods</v>
      </c>
      <c r="D381" s="79" t="str">
        <f>IFERROR(__xludf.DUMMYFUNCTION("""COMPUTED_VALUE"""),"Amex Blue")</f>
        <v>Amex Blue</v>
      </c>
      <c r="E381" s="79" t="str">
        <f>IFERROR(__xludf.DUMMYFUNCTION("""COMPUTED_VALUE"""),"Groceries")</f>
        <v>Groceries</v>
      </c>
      <c r="F381" s="79" t="str">
        <f>IFERROR(__xludf.DUMMYFUNCTION("""COMPUTED_VALUE"""),"Gil")</f>
        <v>Gil</v>
      </c>
      <c r="G381" s="107">
        <f t="shared" si="1"/>
        <v>24.67</v>
      </c>
      <c r="H381" s="108" t="str">
        <f t="shared" si="2"/>
        <v>Jun</v>
      </c>
    </row>
    <row r="382">
      <c r="A382" s="106">
        <f>IFERROR(__xludf.DUMMYFUNCTION("""COMPUTED_VALUE"""),45462.0)</f>
        <v>45462</v>
      </c>
      <c r="B382" s="103">
        <f>IFERROR(__xludf.DUMMYFUNCTION("""COMPUTED_VALUE"""),40.0)</f>
        <v>40</v>
      </c>
      <c r="C382" s="79" t="str">
        <f>IFERROR(__xludf.DUMMYFUNCTION("""COMPUTED_VALUE"""),"Laundry ")</f>
        <v>Laundry </v>
      </c>
      <c r="D382" s="79" t="str">
        <f>IFERROR(__xludf.DUMMYFUNCTION("""COMPUTED_VALUE"""),"Cash")</f>
        <v>Cash</v>
      </c>
      <c r="E382" s="79" t="str">
        <f>IFERROR(__xludf.DUMMYFUNCTION("""COMPUTED_VALUE"""),"Household")</f>
        <v>Household</v>
      </c>
      <c r="F382" s="79" t="str">
        <f>IFERROR(__xludf.DUMMYFUNCTION("""COMPUTED_VALUE"""),"Gil")</f>
        <v>Gil</v>
      </c>
      <c r="G382" s="107">
        <f t="shared" si="1"/>
        <v>20</v>
      </c>
      <c r="H382" s="108" t="str">
        <f t="shared" si="2"/>
        <v>Jun</v>
      </c>
    </row>
    <row r="383">
      <c r="A383" s="106">
        <f>IFERROR(__xludf.DUMMYFUNCTION("""COMPUTED_VALUE"""),45466.0)</f>
        <v>45466</v>
      </c>
      <c r="B383" s="103">
        <f>IFERROR(__xludf.DUMMYFUNCTION("""COMPUTED_VALUE"""),77.09)</f>
        <v>77.09</v>
      </c>
      <c r="C383" s="79" t="str">
        <f>IFERROR(__xludf.DUMMYFUNCTION("""COMPUTED_VALUE"""),"Golden Years")</f>
        <v>Golden Years</v>
      </c>
      <c r="D383" s="79" t="str">
        <f>IFERROR(__xludf.DUMMYFUNCTION("""COMPUTED_VALUE"""),"Amex Gold")</f>
        <v>Amex Gold</v>
      </c>
      <c r="E383" s="79" t="str">
        <f>IFERROR(__xludf.DUMMYFUNCTION("""COMPUTED_VALUE"""),"Alcohol/Weed")</f>
        <v>Alcohol/Weed</v>
      </c>
      <c r="F383" s="79" t="str">
        <f>IFERROR(__xludf.DUMMYFUNCTION("""COMPUTED_VALUE"""),"Gil")</f>
        <v>Gil</v>
      </c>
      <c r="G383" s="107">
        <f t="shared" si="1"/>
        <v>38.545</v>
      </c>
      <c r="H383" s="108" t="str">
        <f t="shared" si="2"/>
        <v>Jun</v>
      </c>
    </row>
    <row r="384">
      <c r="A384" s="106">
        <f>IFERROR(__xludf.DUMMYFUNCTION("""COMPUTED_VALUE"""),45466.0)</f>
        <v>45466</v>
      </c>
      <c r="B384" s="103">
        <f>IFERROR(__xludf.DUMMYFUNCTION("""COMPUTED_VALUE"""),51.61)</f>
        <v>51.61</v>
      </c>
      <c r="C384" s="79" t="str">
        <f>IFERROR(__xludf.DUMMYFUNCTION("""COMPUTED_VALUE"""),"Our Wicked Lady")</f>
        <v>Our Wicked Lady</v>
      </c>
      <c r="D384" s="79" t="str">
        <f>IFERROR(__xludf.DUMMYFUNCTION("""COMPUTED_VALUE"""),"Amex Gold")</f>
        <v>Amex Gold</v>
      </c>
      <c r="E384" s="79" t="str">
        <f>IFERROR(__xludf.DUMMYFUNCTION("""COMPUTED_VALUE"""),"Alcohol/Weed")</f>
        <v>Alcohol/Weed</v>
      </c>
      <c r="F384" s="79" t="str">
        <f>IFERROR(__xludf.DUMMYFUNCTION("""COMPUTED_VALUE"""),"Gil")</f>
        <v>Gil</v>
      </c>
      <c r="G384" s="107">
        <f t="shared" si="1"/>
        <v>25.805</v>
      </c>
      <c r="H384" s="108" t="str">
        <f t="shared" si="2"/>
        <v>Jun</v>
      </c>
    </row>
    <row r="385">
      <c r="A385" s="106">
        <f>IFERROR(__xludf.DUMMYFUNCTION("""COMPUTED_VALUE"""),45466.0)</f>
        <v>45466</v>
      </c>
      <c r="B385" s="103">
        <f>IFERROR(__xludf.DUMMYFUNCTION("""COMPUTED_VALUE"""),13.21)</f>
        <v>13.21</v>
      </c>
      <c r="C385" s="79" t="str">
        <f>IFERROR(__xludf.DUMMYFUNCTION("""COMPUTED_VALUE"""),"L-Mo Market")</f>
        <v>L-Mo Market</v>
      </c>
      <c r="D385" s="79" t="str">
        <f>IFERROR(__xludf.DUMMYFUNCTION("""COMPUTED_VALUE"""),"Amex Blue")</f>
        <v>Amex Blue</v>
      </c>
      <c r="E385" s="79" t="str">
        <f>IFERROR(__xludf.DUMMYFUNCTION("""COMPUTED_VALUE"""),"Groceries")</f>
        <v>Groceries</v>
      </c>
      <c r="F385" s="79" t="str">
        <f>IFERROR(__xludf.DUMMYFUNCTION("""COMPUTED_VALUE"""),"Gil")</f>
        <v>Gil</v>
      </c>
      <c r="G385" s="107">
        <f t="shared" si="1"/>
        <v>6.605</v>
      </c>
      <c r="H385" s="108" t="str">
        <f t="shared" si="2"/>
        <v>Jun</v>
      </c>
    </row>
    <row r="386">
      <c r="A386" s="106">
        <f>IFERROR(__xludf.DUMMYFUNCTION("""COMPUTED_VALUE"""),45466.0)</f>
        <v>45466</v>
      </c>
      <c r="B386" s="103">
        <f>IFERROR(__xludf.DUMMYFUNCTION("""COMPUTED_VALUE"""),26.0)</f>
        <v>26</v>
      </c>
      <c r="C386" s="79" t="str">
        <f>IFERROR(__xludf.DUMMYFUNCTION("""COMPUTED_VALUE"""),"Our Wicked Lady")</f>
        <v>Our Wicked Lady</v>
      </c>
      <c r="D386" s="79" t="str">
        <f>IFERROR(__xludf.DUMMYFUNCTION("""COMPUTED_VALUE"""),"Cash")</f>
        <v>Cash</v>
      </c>
      <c r="E386" s="79" t="str">
        <f>IFERROR(__xludf.DUMMYFUNCTION("""COMPUTED_VALUE"""),"Entertainment")</f>
        <v>Entertainment</v>
      </c>
      <c r="F386" s="79" t="str">
        <f>IFERROR(__xludf.DUMMYFUNCTION("""COMPUTED_VALUE"""),"Gil")</f>
        <v>Gil</v>
      </c>
      <c r="G386" s="107">
        <f t="shared" si="1"/>
        <v>13</v>
      </c>
      <c r="H386" s="108" t="str">
        <f t="shared" si="2"/>
        <v>Jun</v>
      </c>
    </row>
    <row r="387">
      <c r="A387" s="106">
        <f>IFERROR(__xludf.DUMMYFUNCTION("""COMPUTED_VALUE"""),45467.0)</f>
        <v>45467</v>
      </c>
      <c r="B387" s="103">
        <f>IFERROR(__xludf.DUMMYFUNCTION("""COMPUTED_VALUE"""),24.02)</f>
        <v>24.02</v>
      </c>
      <c r="C387" s="79" t="str">
        <f>IFERROR(__xludf.DUMMYFUNCTION("""COMPUTED_VALUE"""),"Whole Foods")</f>
        <v>Whole Foods</v>
      </c>
      <c r="D387" s="79" t="str">
        <f>IFERROR(__xludf.DUMMYFUNCTION("""COMPUTED_VALUE"""),"Amex Blue")</f>
        <v>Amex Blue</v>
      </c>
      <c r="E387" s="79" t="str">
        <f>IFERROR(__xludf.DUMMYFUNCTION("""COMPUTED_VALUE"""),"Groceries")</f>
        <v>Groceries</v>
      </c>
      <c r="F387" s="79" t="str">
        <f>IFERROR(__xludf.DUMMYFUNCTION("""COMPUTED_VALUE"""),"Gil")</f>
        <v>Gil</v>
      </c>
      <c r="G387" s="107">
        <f t="shared" si="1"/>
        <v>12.01</v>
      </c>
      <c r="H387" s="108" t="str">
        <f t="shared" si="2"/>
        <v>Jun</v>
      </c>
    </row>
    <row r="388">
      <c r="A388" s="106">
        <f>IFERROR(__xludf.DUMMYFUNCTION("""COMPUTED_VALUE"""),45468.0)</f>
        <v>45468</v>
      </c>
      <c r="B388" s="103">
        <f>IFERROR(__xludf.DUMMYFUNCTION("""COMPUTED_VALUE"""),16.93)</f>
        <v>16.93</v>
      </c>
      <c r="C388" s="79" t="str">
        <f>IFERROR(__xludf.DUMMYFUNCTION("""COMPUTED_VALUE"""),"Mr. Lemon")</f>
        <v>Mr. Lemon</v>
      </c>
      <c r="D388" s="79" t="str">
        <f>IFERROR(__xludf.DUMMYFUNCTION("""COMPUTED_VALUE"""),"Amex Blue")</f>
        <v>Amex Blue</v>
      </c>
      <c r="E388" s="79" t="str">
        <f>IFERROR(__xludf.DUMMYFUNCTION("""COMPUTED_VALUE"""),"Groceries")</f>
        <v>Groceries</v>
      </c>
      <c r="F388" s="79" t="str">
        <f>IFERROR(__xludf.DUMMYFUNCTION("""COMPUTED_VALUE"""),"Gil")</f>
        <v>Gil</v>
      </c>
      <c r="G388" s="107">
        <f t="shared" si="1"/>
        <v>8.465</v>
      </c>
      <c r="H388" s="108" t="str">
        <f t="shared" si="2"/>
        <v>Jun</v>
      </c>
    </row>
    <row r="389">
      <c r="A389" s="106">
        <f>IFERROR(__xludf.DUMMYFUNCTION("""COMPUTED_VALUE"""),45469.0)</f>
        <v>45469</v>
      </c>
      <c r="B389" s="103">
        <f>IFERROR(__xludf.DUMMYFUNCTION("""COMPUTED_VALUE"""),8.23)</f>
        <v>8.23</v>
      </c>
      <c r="C389" s="79" t="str">
        <f>IFERROR(__xludf.DUMMYFUNCTION("""COMPUTED_VALUE"""),"Whole Foods")</f>
        <v>Whole Foods</v>
      </c>
      <c r="D389" s="79" t="str">
        <f>IFERROR(__xludf.DUMMYFUNCTION("""COMPUTED_VALUE"""),"Amex Blue")</f>
        <v>Amex Blue</v>
      </c>
      <c r="E389" s="79" t="str">
        <f>IFERROR(__xludf.DUMMYFUNCTION("""COMPUTED_VALUE"""),"Groceries")</f>
        <v>Groceries</v>
      </c>
      <c r="F389" s="79" t="str">
        <f>IFERROR(__xludf.DUMMYFUNCTION("""COMPUTED_VALUE"""),"Gil")</f>
        <v>Gil</v>
      </c>
      <c r="G389" s="107">
        <f t="shared" si="1"/>
        <v>4.115</v>
      </c>
      <c r="H389" s="108" t="str">
        <f t="shared" si="2"/>
        <v>Jun</v>
      </c>
    </row>
    <row r="390">
      <c r="A390" s="106">
        <f>IFERROR(__xludf.DUMMYFUNCTION("""COMPUTED_VALUE"""),45471.0)</f>
        <v>45471</v>
      </c>
      <c r="B390" s="103">
        <f>IFERROR(__xludf.DUMMYFUNCTION("""COMPUTED_VALUE"""),16.86)</f>
        <v>16.86</v>
      </c>
      <c r="C390" s="79" t="str">
        <f>IFERROR(__xludf.DUMMYFUNCTION("""COMPUTED_VALUE"""),"Netflix")</f>
        <v>Netflix</v>
      </c>
      <c r="D390" s="79" t="str">
        <f>IFERROR(__xludf.DUMMYFUNCTION("""COMPUTED_VALUE"""),"Amex Blue")</f>
        <v>Amex Blue</v>
      </c>
      <c r="E390" s="79" t="str">
        <f>IFERROR(__xludf.DUMMYFUNCTION("""COMPUTED_VALUE"""),"Subscriptions")</f>
        <v>Subscriptions</v>
      </c>
      <c r="F390" s="79" t="str">
        <f>IFERROR(__xludf.DUMMYFUNCTION("""COMPUTED_VALUE"""),"Gil")</f>
        <v>Gil</v>
      </c>
      <c r="G390" s="107">
        <f t="shared" si="1"/>
        <v>8.43</v>
      </c>
      <c r="H390" s="108" t="str">
        <f t="shared" si="2"/>
        <v>Jun</v>
      </c>
    </row>
    <row r="391">
      <c r="A391" s="106">
        <f>IFERROR(__xludf.DUMMYFUNCTION("""COMPUTED_VALUE"""),45472.0)</f>
        <v>45472</v>
      </c>
      <c r="B391" s="103">
        <f>IFERROR(__xludf.DUMMYFUNCTION("""COMPUTED_VALUE"""),33.0)</f>
        <v>33</v>
      </c>
      <c r="C391" s="79" t="str">
        <f>IFERROR(__xludf.DUMMYFUNCTION("""COMPUTED_VALUE"""),"Farmer's Market - Camporosso")</f>
        <v>Farmer's Market - Camporosso</v>
      </c>
      <c r="D391" s="79" t="str">
        <f>IFERROR(__xludf.DUMMYFUNCTION("""COMPUTED_VALUE"""),"Cash")</f>
        <v>Cash</v>
      </c>
      <c r="E391" s="79" t="str">
        <f>IFERROR(__xludf.DUMMYFUNCTION("""COMPUTED_VALUE"""),"Groceries")</f>
        <v>Groceries</v>
      </c>
      <c r="F391" s="79" t="str">
        <f>IFERROR(__xludf.DUMMYFUNCTION("""COMPUTED_VALUE"""),"Gil")</f>
        <v>Gil</v>
      </c>
      <c r="G391" s="107">
        <f t="shared" si="1"/>
        <v>16.5</v>
      </c>
      <c r="H391" s="108" t="str">
        <f t="shared" si="2"/>
        <v>Jun</v>
      </c>
    </row>
    <row r="392">
      <c r="A392" s="106">
        <f>IFERROR(__xludf.DUMMYFUNCTION("""COMPUTED_VALUE"""),45471.0)</f>
        <v>45471</v>
      </c>
      <c r="B392" s="103">
        <f>IFERROR(__xludf.DUMMYFUNCTION("""COMPUTED_VALUE"""),6.0)</f>
        <v>6</v>
      </c>
      <c r="C392" s="79" t="str">
        <f>IFERROR(__xludf.DUMMYFUNCTION("""COMPUTED_VALUE"""),"Our Daily Bread ")</f>
        <v>Our Daily Bread </v>
      </c>
      <c r="D392" s="79" t="str">
        <f>IFERROR(__xludf.DUMMYFUNCTION("""COMPUTED_VALUE"""),"Amex Blue")</f>
        <v>Amex Blue</v>
      </c>
      <c r="E392" s="79" t="str">
        <f>IFERROR(__xludf.DUMMYFUNCTION("""COMPUTED_VALUE"""),"Groceries")</f>
        <v>Groceries</v>
      </c>
      <c r="F392" s="79" t="str">
        <f>IFERROR(__xludf.DUMMYFUNCTION("""COMPUTED_VALUE"""),"Gil")</f>
        <v>Gil</v>
      </c>
      <c r="G392" s="107">
        <f t="shared" si="1"/>
        <v>3</v>
      </c>
      <c r="H392" s="108" t="str">
        <f t="shared" si="2"/>
        <v>Jun</v>
      </c>
    </row>
    <row r="393">
      <c r="A393" s="106">
        <f>IFERROR(__xludf.DUMMYFUNCTION("""COMPUTED_VALUE"""),45472.0)</f>
        <v>45472</v>
      </c>
      <c r="B393" s="103">
        <f>IFERROR(__xludf.DUMMYFUNCTION("""COMPUTED_VALUE"""),55.5)</f>
        <v>55.5</v>
      </c>
      <c r="C393" s="79" t="str">
        <f>IFERROR(__xludf.DUMMYFUNCTION("""COMPUTED_VALUE"""),"Irving Bottle ")</f>
        <v>Irving Bottle </v>
      </c>
      <c r="D393" s="79" t="str">
        <f>IFERROR(__xludf.DUMMYFUNCTION("""COMPUTED_VALUE"""),"Amex Blue")</f>
        <v>Amex Blue</v>
      </c>
      <c r="E393" s="79" t="str">
        <f>IFERROR(__xludf.DUMMYFUNCTION("""COMPUTED_VALUE"""),"Alcohol/Weed")</f>
        <v>Alcohol/Weed</v>
      </c>
      <c r="F393" s="79" t="str">
        <f>IFERROR(__xludf.DUMMYFUNCTION("""COMPUTED_VALUE"""),"Gil")</f>
        <v>Gil</v>
      </c>
      <c r="G393" s="107">
        <f t="shared" si="1"/>
        <v>27.75</v>
      </c>
      <c r="H393" s="108" t="str">
        <f t="shared" si="2"/>
        <v>Jun</v>
      </c>
    </row>
    <row r="394">
      <c r="A394" s="106">
        <f>IFERROR(__xludf.DUMMYFUNCTION("""COMPUTED_VALUE"""),45473.0)</f>
        <v>45473</v>
      </c>
      <c r="B394" s="103">
        <f>IFERROR(__xludf.DUMMYFUNCTION("""COMPUTED_VALUE"""),40.6)</f>
        <v>40.6</v>
      </c>
      <c r="C394" s="79" t="str">
        <f>IFERROR(__xludf.DUMMYFUNCTION("""COMPUTED_VALUE"""),"Ladyland")</f>
        <v>Ladyland</v>
      </c>
      <c r="D394" s="79" t="str">
        <f>IFERROR(__xludf.DUMMYFUNCTION("""COMPUTED_VALUE"""),"Amex Gold")</f>
        <v>Amex Gold</v>
      </c>
      <c r="E394" s="79" t="str">
        <f>IFERROR(__xludf.DUMMYFUNCTION("""COMPUTED_VALUE"""),"Alcohol/Weed")</f>
        <v>Alcohol/Weed</v>
      </c>
      <c r="F394" s="79" t="str">
        <f>IFERROR(__xludf.DUMMYFUNCTION("""COMPUTED_VALUE"""),"Gil")</f>
        <v>Gil</v>
      </c>
      <c r="G394" s="107">
        <f t="shared" si="1"/>
        <v>20.3</v>
      </c>
      <c r="H394" s="108" t="str">
        <f t="shared" si="2"/>
        <v>Jun</v>
      </c>
    </row>
    <row r="395">
      <c r="A395" s="106">
        <f>IFERROR(__xludf.DUMMYFUNCTION("""COMPUTED_VALUE"""),45473.0)</f>
        <v>45473</v>
      </c>
      <c r="B395" s="103">
        <f>IFERROR(__xludf.DUMMYFUNCTION("""COMPUTED_VALUE"""),35.23)</f>
        <v>35.23</v>
      </c>
      <c r="C395" s="79" t="str">
        <f>IFERROR(__xludf.DUMMYFUNCTION("""COMPUTED_VALUE"""),"Noods 'n' Chill - Uber Eats")</f>
        <v>Noods 'n' Chill - Uber Eats</v>
      </c>
      <c r="D395" s="79" t="str">
        <f>IFERROR(__xludf.DUMMYFUNCTION("""COMPUTED_VALUE"""),"Capital ONE")</f>
        <v>Capital ONE</v>
      </c>
      <c r="E395" s="79" t="str">
        <f>IFERROR(__xludf.DUMMYFUNCTION("""COMPUTED_VALUE"""),"Meals")</f>
        <v>Meals</v>
      </c>
      <c r="F395" s="79" t="str">
        <f>IFERROR(__xludf.DUMMYFUNCTION("""COMPUTED_VALUE"""),"Gil")</f>
        <v>Gil</v>
      </c>
      <c r="G395" s="107">
        <f t="shared" si="1"/>
        <v>17.615</v>
      </c>
      <c r="H395" s="108" t="str">
        <f t="shared" si="2"/>
        <v>Jun</v>
      </c>
    </row>
    <row r="396">
      <c r="A396" s="106">
        <f>IFERROR(__xludf.DUMMYFUNCTION("""COMPUTED_VALUE"""),45474.0)</f>
        <v>45474</v>
      </c>
      <c r="B396" s="103">
        <f>IFERROR(__xludf.DUMMYFUNCTION("""COMPUTED_VALUE"""),860.68)</f>
        <v>860.68</v>
      </c>
      <c r="C396" s="79" t="str">
        <f>IFERROR(__xludf.DUMMYFUNCTION("""COMPUTED_VALUE"""),"Healthfirst")</f>
        <v>Healthfirst</v>
      </c>
      <c r="D396" s="79" t="str">
        <f>IFERROR(__xludf.DUMMYFUNCTION("""COMPUTED_VALUE"""),"Amazon Prime Chase")</f>
        <v>Amazon Prime Chase</v>
      </c>
      <c r="E396" s="79" t="str">
        <f>IFERROR(__xludf.DUMMYFUNCTION("""COMPUTED_VALUE"""),"Insurance")</f>
        <v>Insurance</v>
      </c>
      <c r="F396" s="79" t="str">
        <f>IFERROR(__xludf.DUMMYFUNCTION("""COMPUTED_VALUE"""),"Gil")</f>
        <v>Gil</v>
      </c>
      <c r="G396" s="107">
        <f t="shared" si="1"/>
        <v>430.34</v>
      </c>
      <c r="H396" s="108" t="str">
        <f t="shared" si="2"/>
        <v>Jul</v>
      </c>
    </row>
    <row r="397">
      <c r="A397" s="106">
        <f>IFERROR(__xludf.DUMMYFUNCTION("""COMPUTED_VALUE"""),45476.0)</f>
        <v>45476</v>
      </c>
      <c r="B397" s="103">
        <f>IFERROR(__xludf.DUMMYFUNCTION("""COMPUTED_VALUE"""),37.33)</f>
        <v>37.33</v>
      </c>
      <c r="C397" s="79" t="str">
        <f>IFERROR(__xludf.DUMMYFUNCTION("""COMPUTED_VALUE"""),"Whole Foods")</f>
        <v>Whole Foods</v>
      </c>
      <c r="D397" s="79" t="str">
        <f>IFERROR(__xludf.DUMMYFUNCTION("""COMPUTED_VALUE"""),"Amex Blue")</f>
        <v>Amex Blue</v>
      </c>
      <c r="E397" s="79" t="str">
        <f>IFERROR(__xludf.DUMMYFUNCTION("""COMPUTED_VALUE"""),"Groceries")</f>
        <v>Groceries</v>
      </c>
      <c r="F397" s="79" t="str">
        <f>IFERROR(__xludf.DUMMYFUNCTION("""COMPUTED_VALUE"""),"Gil")</f>
        <v>Gil</v>
      </c>
      <c r="G397" s="107">
        <f t="shared" si="1"/>
        <v>18.665</v>
      </c>
      <c r="H397" s="108" t="str">
        <f t="shared" si="2"/>
        <v>Jul</v>
      </c>
    </row>
    <row r="398">
      <c r="A398" s="106">
        <f>IFERROR(__xludf.DUMMYFUNCTION("""COMPUTED_VALUE"""),45477.0)</f>
        <v>45477</v>
      </c>
      <c r="B398" s="103">
        <f>IFERROR(__xludf.DUMMYFUNCTION("""COMPUTED_VALUE"""),114.63)</f>
        <v>114.63</v>
      </c>
      <c r="C398" s="79" t="str">
        <f>IFERROR(__xludf.DUMMYFUNCTION("""COMPUTED_VALUE"""),"The Hudson")</f>
        <v>The Hudson</v>
      </c>
      <c r="D398" s="79" t="str">
        <f>IFERROR(__xludf.DUMMYFUNCTION("""COMPUTED_VALUE"""),"Amex Gold")</f>
        <v>Amex Gold</v>
      </c>
      <c r="E398" s="79" t="str">
        <f>IFERROR(__xludf.DUMMYFUNCTION("""COMPUTED_VALUE"""),"Meals")</f>
        <v>Meals</v>
      </c>
      <c r="F398" s="79" t="str">
        <f>IFERROR(__xludf.DUMMYFUNCTION("""COMPUTED_VALUE"""),"Gil")</f>
        <v>Gil</v>
      </c>
      <c r="G398" s="107">
        <f t="shared" si="1"/>
        <v>57.315</v>
      </c>
      <c r="H398" s="108" t="str">
        <f t="shared" si="2"/>
        <v>Jul</v>
      </c>
    </row>
    <row r="399">
      <c r="A399" s="106">
        <f>IFERROR(__xludf.DUMMYFUNCTION("""COMPUTED_VALUE"""),45478.0)</f>
        <v>45478</v>
      </c>
      <c r="B399" s="103">
        <f>IFERROR(__xludf.DUMMYFUNCTION("""COMPUTED_VALUE"""),11.5)</f>
        <v>11.5</v>
      </c>
      <c r="C399" s="79" t="str">
        <f>IFERROR(__xludf.DUMMYFUNCTION("""COMPUTED_VALUE"""),"Cafe Volan")</f>
        <v>Cafe Volan</v>
      </c>
      <c r="D399" s="79" t="str">
        <f>IFERROR(__xludf.DUMMYFUNCTION("""COMPUTED_VALUE"""),"Amex Gold")</f>
        <v>Amex Gold</v>
      </c>
      <c r="E399" s="79" t="str">
        <f>IFERROR(__xludf.DUMMYFUNCTION("""COMPUTED_VALUE"""),"Meals")</f>
        <v>Meals</v>
      </c>
      <c r="F399" s="79" t="str">
        <f>IFERROR(__xludf.DUMMYFUNCTION("""COMPUTED_VALUE"""),"Gil")</f>
        <v>Gil</v>
      </c>
      <c r="G399" s="107">
        <f t="shared" si="1"/>
        <v>5.75</v>
      </c>
      <c r="H399" s="108" t="str">
        <f t="shared" si="2"/>
        <v>Jul</v>
      </c>
    </row>
    <row r="400">
      <c r="A400" s="106">
        <f>IFERROR(__xludf.DUMMYFUNCTION("""COMPUTED_VALUE"""),45478.0)</f>
        <v>45478</v>
      </c>
      <c r="B400" s="103">
        <f>IFERROR(__xludf.DUMMYFUNCTION("""COMPUTED_VALUE"""),12.0)</f>
        <v>12</v>
      </c>
      <c r="C400" s="79" t="str">
        <f>IFERROR(__xludf.DUMMYFUNCTION("""COMPUTED_VALUE"""),"Asbury Park Beach")</f>
        <v>Asbury Park Beach</v>
      </c>
      <c r="D400" s="79" t="str">
        <f>IFERROR(__xludf.DUMMYFUNCTION("""COMPUTED_VALUE"""),"Amex Blue")</f>
        <v>Amex Blue</v>
      </c>
      <c r="E400" s="79" t="str">
        <f>IFERROR(__xludf.DUMMYFUNCTION("""COMPUTED_VALUE"""),"Travel")</f>
        <v>Travel</v>
      </c>
      <c r="F400" s="79" t="str">
        <f>IFERROR(__xludf.DUMMYFUNCTION("""COMPUTED_VALUE"""),"Gil")</f>
        <v>Gil</v>
      </c>
      <c r="G400" s="107">
        <f t="shared" si="1"/>
        <v>6</v>
      </c>
      <c r="H400" s="108" t="str">
        <f t="shared" si="2"/>
        <v>Jul</v>
      </c>
    </row>
    <row r="401">
      <c r="A401" s="106">
        <f>IFERROR(__xludf.DUMMYFUNCTION("""COMPUTED_VALUE"""),45478.0)</f>
        <v>45478</v>
      </c>
      <c r="B401" s="103">
        <f>IFERROR(__xludf.DUMMYFUNCTION("""COMPUTED_VALUE"""),93.07)</f>
        <v>93.07</v>
      </c>
      <c r="C401" s="79" t="str">
        <f>IFERROR(__xludf.DUMMYFUNCTION("""COMPUTED_VALUE"""),"Asbury Ale House")</f>
        <v>Asbury Ale House</v>
      </c>
      <c r="D401" s="79" t="str">
        <f>IFERROR(__xludf.DUMMYFUNCTION("""COMPUTED_VALUE"""),"Amex Gold")</f>
        <v>Amex Gold</v>
      </c>
      <c r="E401" s="79" t="str">
        <f>IFERROR(__xludf.DUMMYFUNCTION("""COMPUTED_VALUE"""),"Travel")</f>
        <v>Travel</v>
      </c>
      <c r="F401" s="79" t="str">
        <f>IFERROR(__xludf.DUMMYFUNCTION("""COMPUTED_VALUE"""),"Gil")</f>
        <v>Gil</v>
      </c>
      <c r="G401" s="107">
        <f t="shared" si="1"/>
        <v>46.535</v>
      </c>
      <c r="H401" s="108" t="str">
        <f t="shared" si="2"/>
        <v>Jul</v>
      </c>
    </row>
    <row r="402">
      <c r="A402" s="106">
        <f>IFERROR(__xludf.DUMMYFUNCTION("""COMPUTED_VALUE"""),45465.0)</f>
        <v>45465</v>
      </c>
      <c r="B402" s="103">
        <f>IFERROR(__xludf.DUMMYFUNCTION("""COMPUTED_VALUE"""),61.98)</f>
        <v>61.98</v>
      </c>
      <c r="C402" s="79" t="str">
        <f>IFERROR(__xludf.DUMMYFUNCTION("""COMPUTED_VALUE"""),"Optimum")</f>
        <v>Optimum</v>
      </c>
      <c r="D402" s="79" t="str">
        <f>IFERROR(__xludf.DUMMYFUNCTION("""COMPUTED_VALUE"""),"Amex Delta Skymiles")</f>
        <v>Amex Delta Skymiles</v>
      </c>
      <c r="E402" s="79" t="str">
        <f>IFERROR(__xludf.DUMMYFUNCTION("""COMPUTED_VALUE"""),"Internet")</f>
        <v>Internet</v>
      </c>
      <c r="F402" s="79" t="str">
        <f>IFERROR(__xludf.DUMMYFUNCTION("""COMPUTED_VALUE"""),"Shaeffer")</f>
        <v>Shaeffer</v>
      </c>
      <c r="G402" s="107">
        <f t="shared" si="1"/>
        <v>30.99</v>
      </c>
      <c r="H402" s="108" t="str">
        <f t="shared" si="2"/>
        <v>Jun</v>
      </c>
    </row>
    <row r="403">
      <c r="A403" s="106">
        <f>IFERROR(__xludf.DUMMYFUNCTION("""COMPUTED_VALUE"""),45474.0)</f>
        <v>45474</v>
      </c>
      <c r="B403" s="103">
        <f>IFERROR(__xludf.DUMMYFUNCTION("""COMPUTED_VALUE"""),78.62)</f>
        <v>78.62</v>
      </c>
      <c r="C403" s="79" t="str">
        <f>IFERROR(__xludf.DUMMYFUNCTION("""COMPUTED_VALUE"""),"Governor's Tavern")</f>
        <v>Governor's Tavern</v>
      </c>
      <c r="D403" s="79" t="str">
        <f>IFERROR(__xludf.DUMMYFUNCTION("""COMPUTED_VALUE"""),"Jet Blue")</f>
        <v>Jet Blue</v>
      </c>
      <c r="E403" s="79" t="str">
        <f>IFERROR(__xludf.DUMMYFUNCTION("""COMPUTED_VALUE"""),"Travel")</f>
        <v>Travel</v>
      </c>
      <c r="F403" s="79" t="str">
        <f>IFERROR(__xludf.DUMMYFUNCTION("""COMPUTED_VALUE"""),"Shaeffer")</f>
        <v>Shaeffer</v>
      </c>
      <c r="G403" s="107">
        <f t="shared" si="1"/>
        <v>39.31</v>
      </c>
      <c r="H403" s="108" t="str">
        <f t="shared" si="2"/>
        <v>Jul</v>
      </c>
    </row>
    <row r="404">
      <c r="A404" s="106">
        <f>IFERROR(__xludf.DUMMYFUNCTION("""COMPUTED_VALUE"""),45479.0)</f>
        <v>45479</v>
      </c>
      <c r="B404" s="103">
        <f>IFERROR(__xludf.DUMMYFUNCTION("""COMPUTED_VALUE"""),58.76)</f>
        <v>58.76</v>
      </c>
      <c r="C404" s="79" t="str">
        <f>IFERROR(__xludf.DUMMYFUNCTION("""COMPUTED_VALUE"""),"Irving Wine")</f>
        <v>Irving Wine</v>
      </c>
      <c r="D404" s="79" t="str">
        <f>IFERROR(__xludf.DUMMYFUNCTION("""COMPUTED_VALUE"""),"Amex Blue")</f>
        <v>Amex Blue</v>
      </c>
      <c r="E404" s="79" t="str">
        <f>IFERROR(__xludf.DUMMYFUNCTION("""COMPUTED_VALUE"""),"Alcohol/Weed")</f>
        <v>Alcohol/Weed</v>
      </c>
      <c r="F404" s="79" t="str">
        <f>IFERROR(__xludf.DUMMYFUNCTION("""COMPUTED_VALUE"""),"Shaeffer")</f>
        <v>Shaeffer</v>
      </c>
      <c r="G404" s="107">
        <f t="shared" si="1"/>
        <v>29.38</v>
      </c>
      <c r="H404" s="108" t="str">
        <f t="shared" si="2"/>
        <v>Jul</v>
      </c>
    </row>
    <row r="405">
      <c r="A405" s="106">
        <f>IFERROR(__xludf.DUMMYFUNCTION("""COMPUTED_VALUE"""),45474.0)</f>
        <v>45474</v>
      </c>
      <c r="B405" s="103">
        <f>IFERROR(__xludf.DUMMYFUNCTION("""COMPUTED_VALUE"""),25.0)</f>
        <v>25</v>
      </c>
      <c r="C405" s="79" t="str">
        <f>IFERROR(__xludf.DUMMYFUNCTION("""COMPUTED_VALUE"""),"laundry")</f>
        <v>laundry</v>
      </c>
      <c r="D405" s="79" t="str">
        <f>IFERROR(__xludf.DUMMYFUNCTION("""COMPUTED_VALUE"""),"Cash")</f>
        <v>Cash</v>
      </c>
      <c r="E405" s="79" t="str">
        <f>IFERROR(__xludf.DUMMYFUNCTION("""COMPUTED_VALUE"""),"Household")</f>
        <v>Household</v>
      </c>
      <c r="F405" s="79" t="str">
        <f>IFERROR(__xludf.DUMMYFUNCTION("""COMPUTED_VALUE"""),"Shaeffer")</f>
        <v>Shaeffer</v>
      </c>
      <c r="G405" s="107">
        <f t="shared" si="1"/>
        <v>12.5</v>
      </c>
      <c r="H405" s="108" t="str">
        <f t="shared" si="2"/>
        <v>Jul</v>
      </c>
    </row>
    <row r="406">
      <c r="A406" s="106">
        <f>IFERROR(__xludf.DUMMYFUNCTION("""COMPUTED_VALUE"""),45474.0)</f>
        <v>45474</v>
      </c>
      <c r="B406" s="103">
        <f>IFERROR(__xludf.DUMMYFUNCTION("""COMPUTED_VALUE"""),2700.0)</f>
        <v>2700</v>
      </c>
      <c r="C406" s="79" t="str">
        <f>IFERROR(__xludf.DUMMYFUNCTION("""COMPUTED_VALUE"""),"July Rent")</f>
        <v>July Rent</v>
      </c>
      <c r="D406" s="79" t="str">
        <f>IFERROR(__xludf.DUMMYFUNCTION("""COMPUTED_VALUE"""),"Cash")</f>
        <v>Cash</v>
      </c>
      <c r="E406" s="79" t="str">
        <f>IFERROR(__xludf.DUMMYFUNCTION("""COMPUTED_VALUE"""),"Rent")</f>
        <v>Rent</v>
      </c>
      <c r="F406" s="79" t="str">
        <f>IFERROR(__xludf.DUMMYFUNCTION("""COMPUTED_VALUE"""),"Shaeffer")</f>
        <v>Shaeffer</v>
      </c>
      <c r="G406" s="107">
        <f t="shared" si="1"/>
        <v>1350</v>
      </c>
      <c r="H406" s="108" t="str">
        <f t="shared" si="2"/>
        <v>Jul</v>
      </c>
    </row>
    <row r="407">
      <c r="A407" s="106">
        <f>IFERROR(__xludf.DUMMYFUNCTION("""COMPUTED_VALUE"""),45449.0)</f>
        <v>45449</v>
      </c>
      <c r="B407" s="103">
        <f>IFERROR(__xludf.DUMMYFUNCTION("""COMPUTED_VALUE"""),42.38)</f>
        <v>42.38</v>
      </c>
      <c r="C407" s="79" t="str">
        <f>IFERROR(__xludf.DUMMYFUNCTION("""COMPUTED_VALUE"""),"Angelika ")</f>
        <v>Angelika </v>
      </c>
      <c r="D407" s="79" t="str">
        <f>IFERROR(__xludf.DUMMYFUNCTION("""COMPUTED_VALUE"""),"Chase Reserve")</f>
        <v>Chase Reserve</v>
      </c>
      <c r="E407" s="79" t="str">
        <f>IFERROR(__xludf.DUMMYFUNCTION("""COMPUTED_VALUE"""),"Entertainment")</f>
        <v>Entertainment</v>
      </c>
      <c r="F407" s="79" t="str">
        <f>IFERROR(__xludf.DUMMYFUNCTION("""COMPUTED_VALUE"""),"Shaeffer")</f>
        <v>Shaeffer</v>
      </c>
      <c r="G407" s="107">
        <f t="shared" si="1"/>
        <v>21.19</v>
      </c>
      <c r="H407" s="108" t="str">
        <f t="shared" si="2"/>
        <v>Jun</v>
      </c>
    </row>
    <row r="408">
      <c r="A408" s="106">
        <f>IFERROR(__xludf.DUMMYFUNCTION("""COMPUTED_VALUE"""),45456.0)</f>
        <v>45456</v>
      </c>
      <c r="B408" s="103">
        <f>IFERROR(__xludf.DUMMYFUNCTION("""COMPUTED_VALUE"""),53.91)</f>
        <v>53.91</v>
      </c>
      <c r="C408" s="79" t="str">
        <f>IFERROR(__xludf.DUMMYFUNCTION("""COMPUTED_VALUE"""),"Broken Hand Shaker")</f>
        <v>Broken Hand Shaker</v>
      </c>
      <c r="D408" s="79" t="str">
        <f>IFERROR(__xludf.DUMMYFUNCTION("""COMPUTED_VALUE"""),"Chase Reserve")</f>
        <v>Chase Reserve</v>
      </c>
      <c r="E408" s="79" t="str">
        <f>IFERROR(__xludf.DUMMYFUNCTION("""COMPUTED_VALUE"""),"Meals")</f>
        <v>Meals</v>
      </c>
      <c r="F408" s="79" t="str">
        <f>IFERROR(__xludf.DUMMYFUNCTION("""COMPUTED_VALUE"""),"Shaeffer")</f>
        <v>Shaeffer</v>
      </c>
      <c r="G408" s="107">
        <f t="shared" si="1"/>
        <v>26.955</v>
      </c>
      <c r="H408" s="108" t="str">
        <f t="shared" si="2"/>
        <v>Jun</v>
      </c>
    </row>
    <row r="409">
      <c r="A409" s="106">
        <f>IFERROR(__xludf.DUMMYFUNCTION("""COMPUTED_VALUE"""),45457.0)</f>
        <v>45457</v>
      </c>
      <c r="B409" s="103">
        <f>IFERROR(__xludf.DUMMYFUNCTION("""COMPUTED_VALUE"""),28.29)</f>
        <v>28.29</v>
      </c>
      <c r="C409" s="79" t="str">
        <f>IFERROR(__xludf.DUMMYFUNCTION("""COMPUTED_VALUE"""),"Irving Bottle")</f>
        <v>Irving Bottle</v>
      </c>
      <c r="D409" s="79" t="str">
        <f>IFERROR(__xludf.DUMMYFUNCTION("""COMPUTED_VALUE"""),"Chase Reserve")</f>
        <v>Chase Reserve</v>
      </c>
      <c r="E409" s="79" t="str">
        <f>IFERROR(__xludf.DUMMYFUNCTION("""COMPUTED_VALUE"""),"Alcohol/Weed")</f>
        <v>Alcohol/Weed</v>
      </c>
      <c r="F409" s="79" t="str">
        <f>IFERROR(__xludf.DUMMYFUNCTION("""COMPUTED_VALUE"""),"Shaeffer")</f>
        <v>Shaeffer</v>
      </c>
      <c r="G409" s="107">
        <f t="shared" si="1"/>
        <v>14.145</v>
      </c>
      <c r="H409" s="108" t="str">
        <f t="shared" si="2"/>
        <v>Jun</v>
      </c>
    </row>
    <row r="410">
      <c r="A410" s="106">
        <f>IFERROR(__xludf.DUMMYFUNCTION("""COMPUTED_VALUE"""),45462.0)</f>
        <v>45462</v>
      </c>
      <c r="B410" s="103">
        <f>IFERROR(__xludf.DUMMYFUNCTION("""COMPUTED_VALUE"""),7.99)</f>
        <v>7.99</v>
      </c>
      <c r="C410" s="79" t="str">
        <f>IFERROR(__xludf.DUMMYFUNCTION("""COMPUTED_VALUE"""),"Hulu")</f>
        <v>Hulu</v>
      </c>
      <c r="D410" s="79" t="str">
        <f>IFERROR(__xludf.DUMMYFUNCTION("""COMPUTED_VALUE"""),"Chase Reserve")</f>
        <v>Chase Reserve</v>
      </c>
      <c r="E410" s="79" t="str">
        <f>IFERROR(__xludf.DUMMYFUNCTION("""COMPUTED_VALUE"""),"Subscriptions")</f>
        <v>Subscriptions</v>
      </c>
      <c r="F410" s="79" t="str">
        <f>IFERROR(__xludf.DUMMYFUNCTION("""COMPUTED_VALUE"""),"Shaeffer")</f>
        <v>Shaeffer</v>
      </c>
      <c r="G410" s="107">
        <f t="shared" si="1"/>
        <v>3.995</v>
      </c>
      <c r="H410" s="108" t="str">
        <f t="shared" si="2"/>
        <v>Jun</v>
      </c>
    </row>
    <row r="411">
      <c r="A411" s="106">
        <f>IFERROR(__xludf.DUMMYFUNCTION("""COMPUTED_VALUE"""),45466.0)</f>
        <v>45466</v>
      </c>
      <c r="B411" s="103">
        <f>IFERROR(__xludf.DUMMYFUNCTION("""COMPUTED_VALUE"""),60.0)</f>
        <v>60</v>
      </c>
      <c r="C411" s="79" t="str">
        <f>IFERROR(__xludf.DUMMYFUNCTION("""COMPUTED_VALUE"""),"Juniors")</f>
        <v>Juniors</v>
      </c>
      <c r="D411" s="79" t="str">
        <f>IFERROR(__xludf.DUMMYFUNCTION("""COMPUTED_VALUE"""),"Chase Reserve")</f>
        <v>Chase Reserve</v>
      </c>
      <c r="E411" s="79" t="str">
        <f>IFERROR(__xludf.DUMMYFUNCTION("""COMPUTED_VALUE"""),"Meals")</f>
        <v>Meals</v>
      </c>
      <c r="F411" s="79" t="str">
        <f>IFERROR(__xludf.DUMMYFUNCTION("""COMPUTED_VALUE"""),"Shaeffer")</f>
        <v>Shaeffer</v>
      </c>
      <c r="G411" s="107">
        <f t="shared" si="1"/>
        <v>30</v>
      </c>
      <c r="H411" s="108" t="str">
        <f t="shared" si="2"/>
        <v>Jun</v>
      </c>
    </row>
    <row r="412">
      <c r="A412" s="106">
        <f>IFERROR(__xludf.DUMMYFUNCTION("""COMPUTED_VALUE"""),45468.0)</f>
        <v>45468</v>
      </c>
      <c r="B412" s="103">
        <f>IFERROR(__xludf.DUMMYFUNCTION("""COMPUTED_VALUE"""),788.76)</f>
        <v>788.76</v>
      </c>
      <c r="C412" s="79" t="str">
        <f>IFERROR(__xludf.DUMMYFUNCTION("""COMPUTED_VALUE"""),"FLights to AB")</f>
        <v>FLights to AB</v>
      </c>
      <c r="D412" s="79" t="str">
        <f>IFERROR(__xludf.DUMMYFUNCTION("""COMPUTED_VALUE"""),"Chase Reserve")</f>
        <v>Chase Reserve</v>
      </c>
      <c r="E412" s="79" t="str">
        <f>IFERROR(__xludf.DUMMYFUNCTION("""COMPUTED_VALUE"""),"Travel")</f>
        <v>Travel</v>
      </c>
      <c r="F412" s="79" t="str">
        <f>IFERROR(__xludf.DUMMYFUNCTION("""COMPUTED_VALUE"""),"Shaeffer")</f>
        <v>Shaeffer</v>
      </c>
      <c r="G412" s="107">
        <f t="shared" si="1"/>
        <v>394.38</v>
      </c>
      <c r="H412" s="108" t="str">
        <f t="shared" si="2"/>
        <v>Jun</v>
      </c>
    </row>
    <row r="413">
      <c r="A413" s="106">
        <f>IFERROR(__xludf.DUMMYFUNCTION("""COMPUTED_VALUE"""),45477.0)</f>
        <v>45477</v>
      </c>
      <c r="B413" s="103">
        <f>IFERROR(__xludf.DUMMYFUNCTION("""COMPUTED_VALUE"""),185.0)</f>
        <v>185</v>
      </c>
      <c r="C413" s="79" t="str">
        <f>IFERROR(__xludf.DUMMYFUNCTION("""COMPUTED_VALUE"""),"Quince")</f>
        <v>Quince</v>
      </c>
      <c r="D413" s="79" t="str">
        <f>IFERROR(__xludf.DUMMYFUNCTION("""COMPUTED_VALUE"""),"Chase Reserve")</f>
        <v>Chase Reserve</v>
      </c>
      <c r="E413" s="79" t="str">
        <f>IFERROR(__xludf.DUMMYFUNCTION("""COMPUTED_VALUE"""),"Household")</f>
        <v>Household</v>
      </c>
      <c r="F413" s="79" t="str">
        <f>IFERROR(__xludf.DUMMYFUNCTION("""COMPUTED_VALUE"""),"Shaeffer")</f>
        <v>Shaeffer</v>
      </c>
      <c r="G413" s="107">
        <f t="shared" si="1"/>
        <v>92.5</v>
      </c>
      <c r="H413" s="108" t="str">
        <f t="shared" si="2"/>
        <v>Jul</v>
      </c>
    </row>
    <row r="414">
      <c r="A414" s="106">
        <f>IFERROR(__xludf.DUMMYFUNCTION("""COMPUTED_VALUE"""),45479.0)</f>
        <v>45479</v>
      </c>
      <c r="B414" s="103">
        <f>IFERROR(__xludf.DUMMYFUNCTION("""COMPUTED_VALUE"""),271.35)</f>
        <v>271.35</v>
      </c>
      <c r="C414" s="79" t="str">
        <f>IFERROR(__xludf.DUMMYFUNCTION("""COMPUTED_VALUE"""),"Tourist - N Adams Hotel")</f>
        <v>Tourist - N Adams Hotel</v>
      </c>
      <c r="D414" s="79" t="str">
        <f>IFERROR(__xludf.DUMMYFUNCTION("""COMPUTED_VALUE"""),"Chase Reserve")</f>
        <v>Chase Reserve</v>
      </c>
      <c r="E414" s="79" t="str">
        <f>IFERROR(__xludf.DUMMYFUNCTION("""COMPUTED_VALUE"""),"Travel")</f>
        <v>Travel</v>
      </c>
      <c r="F414" s="79" t="str">
        <f>IFERROR(__xludf.DUMMYFUNCTION("""COMPUTED_VALUE"""),"Shaeffer")</f>
        <v>Shaeffer</v>
      </c>
      <c r="G414" s="107">
        <f t="shared" si="1"/>
        <v>135.675</v>
      </c>
      <c r="H414" s="108" t="str">
        <f t="shared" si="2"/>
        <v>Jul</v>
      </c>
    </row>
    <row r="415">
      <c r="A415" s="106">
        <f>IFERROR(__xludf.DUMMYFUNCTION("""COMPUTED_VALUE"""),45480.0)</f>
        <v>45480</v>
      </c>
      <c r="B415" s="103">
        <f>IFERROR(__xludf.DUMMYFUNCTION("""COMPUTED_VALUE"""),19.33)</f>
        <v>19.33</v>
      </c>
      <c r="C415" s="79" t="str">
        <f>IFERROR(__xludf.DUMMYFUNCTION("""COMPUTED_VALUE"""),"Bondi - Kakigori")</f>
        <v>Bondi - Kakigori</v>
      </c>
      <c r="D415" s="79" t="str">
        <f>IFERROR(__xludf.DUMMYFUNCTION("""COMPUTED_VALUE"""),"Amex Gold")</f>
        <v>Amex Gold</v>
      </c>
      <c r="E415" s="79" t="str">
        <f>IFERROR(__xludf.DUMMYFUNCTION("""COMPUTED_VALUE"""),"Meals")</f>
        <v>Meals</v>
      </c>
      <c r="F415" s="79" t="str">
        <f>IFERROR(__xludf.DUMMYFUNCTION("""COMPUTED_VALUE"""),"Gil")</f>
        <v>Gil</v>
      </c>
      <c r="G415" s="107">
        <f t="shared" si="1"/>
        <v>9.665</v>
      </c>
      <c r="H415" s="108" t="str">
        <f t="shared" si="2"/>
        <v>Jul</v>
      </c>
    </row>
    <row r="416">
      <c r="A416" s="106">
        <f>IFERROR(__xludf.DUMMYFUNCTION("""COMPUTED_VALUE"""),45480.0)</f>
        <v>45480</v>
      </c>
      <c r="B416" s="103">
        <f>IFERROR(__xludf.DUMMYFUNCTION("""COMPUTED_VALUE"""),101.26)</f>
        <v>101.26</v>
      </c>
      <c r="C416" s="79" t="str">
        <f>IFERROR(__xludf.DUMMYFUNCTION("""COMPUTED_VALUE"""),"Baby Blue's Luncheonette")</f>
        <v>Baby Blue's Luncheonette</v>
      </c>
      <c r="D416" s="79" t="str">
        <f>IFERROR(__xludf.DUMMYFUNCTION("""COMPUTED_VALUE"""),"Amex Gold")</f>
        <v>Amex Gold</v>
      </c>
      <c r="E416" s="79" t="str">
        <f>IFERROR(__xludf.DUMMYFUNCTION("""COMPUTED_VALUE"""),"Meals")</f>
        <v>Meals</v>
      </c>
      <c r="F416" s="79" t="str">
        <f>IFERROR(__xludf.DUMMYFUNCTION("""COMPUTED_VALUE"""),"Gil")</f>
        <v>Gil</v>
      </c>
      <c r="G416" s="107">
        <f t="shared" si="1"/>
        <v>50.63</v>
      </c>
      <c r="H416" s="108" t="str">
        <f t="shared" si="2"/>
        <v>Jul</v>
      </c>
    </row>
    <row r="417">
      <c r="A417" s="106">
        <f>IFERROR(__xludf.DUMMYFUNCTION("""COMPUTED_VALUE"""),45480.0)</f>
        <v>45480</v>
      </c>
      <c r="B417" s="103">
        <f>IFERROR(__xludf.DUMMYFUNCTION("""COMPUTED_VALUE"""),76.7)</f>
        <v>76.7</v>
      </c>
      <c r="C417" s="79" t="str">
        <f>IFERROR(__xludf.DUMMYFUNCTION("""COMPUTED_VALUE"""),"Whole Foods")</f>
        <v>Whole Foods</v>
      </c>
      <c r="D417" s="79" t="str">
        <f>IFERROR(__xludf.DUMMYFUNCTION("""COMPUTED_VALUE"""),"Amex Blue")</f>
        <v>Amex Blue</v>
      </c>
      <c r="E417" s="79" t="str">
        <f>IFERROR(__xludf.DUMMYFUNCTION("""COMPUTED_VALUE"""),"Groceries")</f>
        <v>Groceries</v>
      </c>
      <c r="F417" s="79" t="str">
        <f>IFERROR(__xludf.DUMMYFUNCTION("""COMPUTED_VALUE"""),"Gil")</f>
        <v>Gil</v>
      </c>
      <c r="G417" s="107">
        <f t="shared" si="1"/>
        <v>38.35</v>
      </c>
      <c r="H417" s="108" t="str">
        <f t="shared" si="2"/>
        <v>Jul</v>
      </c>
    </row>
    <row r="418">
      <c r="A418" s="106">
        <f>IFERROR(__xludf.DUMMYFUNCTION("""COMPUTED_VALUE"""),45480.0)</f>
        <v>45480</v>
      </c>
      <c r="B418" s="103">
        <f>IFERROR(__xludf.DUMMYFUNCTION("""COMPUTED_VALUE"""),40.0)</f>
        <v>40</v>
      </c>
      <c r="C418" s="79" t="str">
        <f>IFERROR(__xludf.DUMMYFUNCTION("""COMPUTED_VALUE"""),"Our Wicked Lady - Lydia Lunch")</f>
        <v>Our Wicked Lady - Lydia Lunch</v>
      </c>
      <c r="D418" s="79" t="str">
        <f>IFERROR(__xludf.DUMMYFUNCTION("""COMPUTED_VALUE"""),"Cash")</f>
        <v>Cash</v>
      </c>
      <c r="E418" s="79" t="str">
        <f>IFERROR(__xludf.DUMMYFUNCTION("""COMPUTED_VALUE"""),"Entertainment")</f>
        <v>Entertainment</v>
      </c>
      <c r="F418" s="79" t="str">
        <f>IFERROR(__xludf.DUMMYFUNCTION("""COMPUTED_VALUE"""),"Gil")</f>
        <v>Gil</v>
      </c>
      <c r="G418" s="107">
        <f t="shared" si="1"/>
        <v>20</v>
      </c>
      <c r="H418" s="108" t="str">
        <f t="shared" si="2"/>
        <v>Jul</v>
      </c>
    </row>
    <row r="419">
      <c r="A419" s="106">
        <f>IFERROR(__xludf.DUMMYFUNCTION("""COMPUTED_VALUE"""),45480.0)</f>
        <v>45480</v>
      </c>
      <c r="B419" s="103">
        <f>IFERROR(__xludf.DUMMYFUNCTION("""COMPUTED_VALUE"""),36.86)</f>
        <v>36.86</v>
      </c>
      <c r="C419" s="79" t="str">
        <f>IFERROR(__xludf.DUMMYFUNCTION("""COMPUTED_VALUE"""),"Our Wicked Lady")</f>
        <v>Our Wicked Lady</v>
      </c>
      <c r="D419" s="79" t="str">
        <f>IFERROR(__xludf.DUMMYFUNCTION("""COMPUTED_VALUE"""),"Amex Gold")</f>
        <v>Amex Gold</v>
      </c>
      <c r="E419" s="79" t="str">
        <f>IFERROR(__xludf.DUMMYFUNCTION("""COMPUTED_VALUE"""),"Alcohol/Weed")</f>
        <v>Alcohol/Weed</v>
      </c>
      <c r="F419" s="79" t="str">
        <f>IFERROR(__xludf.DUMMYFUNCTION("""COMPUTED_VALUE"""),"Gil")</f>
        <v>Gil</v>
      </c>
      <c r="G419" s="107">
        <f t="shared" si="1"/>
        <v>18.43</v>
      </c>
      <c r="H419" s="108" t="str">
        <f t="shared" si="2"/>
        <v>Jul</v>
      </c>
    </row>
    <row r="420">
      <c r="A420" s="106">
        <f>IFERROR(__xludf.DUMMYFUNCTION("""COMPUTED_VALUE"""),45450.0)</f>
        <v>45450</v>
      </c>
      <c r="B420" s="103">
        <f>IFERROR(__xludf.DUMMYFUNCTION("""COMPUTED_VALUE"""),10.0)</f>
        <v>10</v>
      </c>
      <c r="C420" s="79" t="str">
        <f>IFERROR(__xludf.DUMMYFUNCTION("""COMPUTED_VALUE"""),"Angelika - Popcorn")</f>
        <v>Angelika - Popcorn</v>
      </c>
      <c r="D420" s="79" t="str">
        <f>IFERROR(__xludf.DUMMYFUNCTION("""COMPUTED_VALUE"""),"Amex Gold")</f>
        <v>Amex Gold</v>
      </c>
      <c r="E420" s="79" t="str">
        <f>IFERROR(__xludf.DUMMYFUNCTION("""COMPUTED_VALUE"""),"Entertainment")</f>
        <v>Entertainment</v>
      </c>
      <c r="F420" s="79" t="str">
        <f>IFERROR(__xludf.DUMMYFUNCTION("""COMPUTED_VALUE"""),"Gil")</f>
        <v>Gil</v>
      </c>
      <c r="G420" s="107">
        <f t="shared" si="1"/>
        <v>5</v>
      </c>
      <c r="H420" s="108" t="str">
        <f t="shared" si="2"/>
        <v>Jun</v>
      </c>
    </row>
    <row r="421">
      <c r="A421" s="106">
        <f>IFERROR(__xludf.DUMMYFUNCTION("""COMPUTED_VALUE"""),45467.0)</f>
        <v>45467</v>
      </c>
      <c r="B421" s="103">
        <f>IFERROR(__xludf.DUMMYFUNCTION("""COMPUTED_VALUE"""),111.48)</f>
        <v>111.48</v>
      </c>
      <c r="C421" s="79" t="str">
        <f>IFERROR(__xludf.DUMMYFUNCTION("""COMPUTED_VALUE"""),"Coned")</f>
        <v>Coned</v>
      </c>
      <c r="D421" s="79" t="str">
        <f>IFERROR(__xludf.DUMMYFUNCTION("""COMPUTED_VALUE"""),"Checking")</f>
        <v>Checking</v>
      </c>
      <c r="E421" s="79" t="str">
        <f>IFERROR(__xludf.DUMMYFUNCTION("""COMPUTED_VALUE"""),"Utilities")</f>
        <v>Utilities</v>
      </c>
      <c r="F421" s="79" t="str">
        <f>IFERROR(__xludf.DUMMYFUNCTION("""COMPUTED_VALUE"""),"Gil")</f>
        <v>Gil</v>
      </c>
      <c r="G421" s="107">
        <f t="shared" si="1"/>
        <v>55.74</v>
      </c>
      <c r="H421" s="108" t="str">
        <f t="shared" si="2"/>
        <v>Jun</v>
      </c>
    </row>
    <row r="422">
      <c r="A422" s="106">
        <f>IFERROR(__xludf.DUMMYFUNCTION("""COMPUTED_VALUE"""),45473.0)</f>
        <v>45473</v>
      </c>
      <c r="B422" s="103">
        <f>IFERROR(__xludf.DUMMYFUNCTION("""COMPUTED_VALUE"""),23.82)</f>
        <v>23.82</v>
      </c>
      <c r="C422" s="79" t="str">
        <f>IFERROR(__xludf.DUMMYFUNCTION("""COMPUTED_VALUE"""),"National Grid")</f>
        <v>National Grid</v>
      </c>
      <c r="D422" s="79" t="str">
        <f>IFERROR(__xludf.DUMMYFUNCTION("""COMPUTED_VALUE"""),"Checking")</f>
        <v>Checking</v>
      </c>
      <c r="E422" s="79" t="str">
        <f>IFERROR(__xludf.DUMMYFUNCTION("""COMPUTED_VALUE"""),"Utilities")</f>
        <v>Utilities</v>
      </c>
      <c r="F422" s="79" t="str">
        <f>IFERROR(__xludf.DUMMYFUNCTION("""COMPUTED_VALUE"""),"Gil")</f>
        <v>Gil</v>
      </c>
      <c r="G422" s="107">
        <f t="shared" si="1"/>
        <v>11.91</v>
      </c>
      <c r="H422" s="108" t="str">
        <f t="shared" si="2"/>
        <v>Jun</v>
      </c>
    </row>
    <row r="423">
      <c r="A423" s="106">
        <f>IFERROR(__xludf.DUMMYFUNCTION("""COMPUTED_VALUE"""),45473.0)</f>
        <v>45473</v>
      </c>
      <c r="B423" s="103">
        <f>IFERROR(__xludf.DUMMYFUNCTION("""COMPUTED_VALUE"""),136.5)</f>
        <v>136.5</v>
      </c>
      <c r="C423" s="79" t="str">
        <f>IFERROR(__xludf.DUMMYFUNCTION("""COMPUTED_VALUE"""),"Amex Blue - Shaeffer Purchases - June '24")</f>
        <v>Amex Blue - Shaeffer Purchases - June '24</v>
      </c>
      <c r="D423" s="79" t="str">
        <f>IFERROR(__xludf.DUMMYFUNCTION("""COMPUTED_VALUE"""),"Shaeffer ONLY")</f>
        <v>Shaeffer ONLY</v>
      </c>
      <c r="E423" s="79"/>
      <c r="F423" s="79" t="str">
        <f>IFERROR(__xludf.DUMMYFUNCTION("""COMPUTED_VALUE"""),"Gil")</f>
        <v>Gil</v>
      </c>
      <c r="G423" s="107">
        <f t="shared" si="1"/>
        <v>68.25</v>
      </c>
      <c r="H423" s="108" t="str">
        <f t="shared" si="2"/>
        <v>Jun</v>
      </c>
    </row>
    <row r="424">
      <c r="A424" s="106">
        <f>IFERROR(__xludf.DUMMYFUNCTION("""COMPUTED_VALUE"""),45471.0)</f>
        <v>45471</v>
      </c>
      <c r="B424" s="103">
        <f>IFERROR(__xludf.DUMMYFUNCTION("""COMPUTED_VALUE"""),10.98)</f>
        <v>10.98</v>
      </c>
      <c r="C424" s="79" t="str">
        <f>IFERROR(__xludf.DUMMYFUNCTION("""COMPUTED_VALUE"""),"Mr. Lemon")</f>
        <v>Mr. Lemon</v>
      </c>
      <c r="D424" s="79" t="str">
        <f>IFERROR(__xludf.DUMMYFUNCTION("""COMPUTED_VALUE"""),"Amex Blue")</f>
        <v>Amex Blue</v>
      </c>
      <c r="E424" s="79" t="str">
        <f>IFERROR(__xludf.DUMMYFUNCTION("""COMPUTED_VALUE"""),"Groceries")</f>
        <v>Groceries</v>
      </c>
      <c r="F424" s="79" t="str">
        <f>IFERROR(__xludf.DUMMYFUNCTION("""COMPUTED_VALUE"""),"Gil")</f>
        <v>Gil</v>
      </c>
      <c r="G424" s="107">
        <f t="shared" si="1"/>
        <v>5.49</v>
      </c>
      <c r="H424" s="108" t="str">
        <f t="shared" si="2"/>
        <v>Jun</v>
      </c>
    </row>
    <row r="425">
      <c r="A425" s="106">
        <f>IFERROR(__xludf.DUMMYFUNCTION("""COMPUTED_VALUE"""),45467.0)</f>
        <v>45467</v>
      </c>
      <c r="B425" s="103">
        <f>IFERROR(__xludf.DUMMYFUNCTION("""COMPUTED_VALUE"""),40.5)</f>
        <v>40.5</v>
      </c>
      <c r="C425" s="79" t="str">
        <f>IFERROR(__xludf.DUMMYFUNCTION("""COMPUTED_VALUE"""),"Lani's Farm")</f>
        <v>Lani's Farm</v>
      </c>
      <c r="D425" s="79" t="str">
        <f>IFERROR(__xludf.DUMMYFUNCTION("""COMPUTED_VALUE"""),"Amex Blue")</f>
        <v>Amex Blue</v>
      </c>
      <c r="E425" s="79" t="str">
        <f>IFERROR(__xludf.DUMMYFUNCTION("""COMPUTED_VALUE"""),"Groceries")</f>
        <v>Groceries</v>
      </c>
      <c r="F425" s="79" t="str">
        <f>IFERROR(__xludf.DUMMYFUNCTION("""COMPUTED_VALUE"""),"Gil")</f>
        <v>Gil</v>
      </c>
      <c r="G425" s="107">
        <f t="shared" si="1"/>
        <v>20.25</v>
      </c>
      <c r="H425" s="108" t="str">
        <f t="shared" si="2"/>
        <v>Jun</v>
      </c>
    </row>
    <row r="426">
      <c r="A426" s="106">
        <f>IFERROR(__xludf.DUMMYFUNCTION("""COMPUTED_VALUE"""),45481.0)</f>
        <v>45481</v>
      </c>
      <c r="B426" s="103">
        <f>IFERROR(__xludf.DUMMYFUNCTION("""COMPUTED_VALUE"""),38.0)</f>
        <v>38</v>
      </c>
      <c r="C426" s="79" t="str">
        <f>IFERROR(__xludf.DUMMYFUNCTION("""COMPUTED_VALUE"""),"Lani's Farm")</f>
        <v>Lani's Farm</v>
      </c>
      <c r="D426" s="79" t="str">
        <f>IFERROR(__xludf.DUMMYFUNCTION("""COMPUTED_VALUE"""),"Cash")</f>
        <v>Cash</v>
      </c>
      <c r="E426" s="79" t="str">
        <f>IFERROR(__xludf.DUMMYFUNCTION("""COMPUTED_VALUE"""),"Groceries")</f>
        <v>Groceries</v>
      </c>
      <c r="F426" s="79" t="str">
        <f>IFERROR(__xludf.DUMMYFUNCTION("""COMPUTED_VALUE"""),"Gil")</f>
        <v>Gil</v>
      </c>
      <c r="G426" s="107">
        <f t="shared" si="1"/>
        <v>19</v>
      </c>
      <c r="H426" s="108" t="str">
        <f t="shared" si="2"/>
        <v>Jul</v>
      </c>
    </row>
    <row r="427">
      <c r="A427" s="106">
        <f>IFERROR(__xludf.DUMMYFUNCTION("""COMPUTED_VALUE"""),45481.0)</f>
        <v>45481</v>
      </c>
      <c r="B427" s="103">
        <f>IFERROR(__xludf.DUMMYFUNCTION("""COMPUTED_VALUE"""),10.0)</f>
        <v>10</v>
      </c>
      <c r="C427" s="79" t="str">
        <f>IFERROR(__xludf.DUMMYFUNCTION("""COMPUTED_VALUE"""),"Eckerton Farms")</f>
        <v>Eckerton Farms</v>
      </c>
      <c r="D427" s="79" t="str">
        <f>IFERROR(__xludf.DUMMYFUNCTION("""COMPUTED_VALUE"""),"Cash")</f>
        <v>Cash</v>
      </c>
      <c r="E427" s="79" t="str">
        <f>IFERROR(__xludf.DUMMYFUNCTION("""COMPUTED_VALUE"""),"Groceries")</f>
        <v>Groceries</v>
      </c>
      <c r="F427" s="79" t="str">
        <f>IFERROR(__xludf.DUMMYFUNCTION("""COMPUTED_VALUE"""),"Gil")</f>
        <v>Gil</v>
      </c>
      <c r="G427" s="107">
        <f t="shared" si="1"/>
        <v>5</v>
      </c>
      <c r="H427" s="108" t="str">
        <f t="shared" si="2"/>
        <v>Jul</v>
      </c>
    </row>
    <row r="428">
      <c r="A428" s="106">
        <f>IFERROR(__xludf.DUMMYFUNCTION("""COMPUTED_VALUE"""),45481.0)</f>
        <v>45481</v>
      </c>
      <c r="B428" s="103">
        <f>IFERROR(__xludf.DUMMYFUNCTION("""COMPUTED_VALUE"""),3.8)</f>
        <v>3.8</v>
      </c>
      <c r="C428" s="79" t="str">
        <f>IFERROR(__xludf.DUMMYFUNCTION("""COMPUTED_VALUE"""),"Ox Hollow Farm")</f>
        <v>Ox Hollow Farm</v>
      </c>
      <c r="D428" s="79" t="str">
        <f>IFERROR(__xludf.DUMMYFUNCTION("""COMPUTED_VALUE"""),"Cash")</f>
        <v>Cash</v>
      </c>
      <c r="E428" s="79" t="str">
        <f>IFERROR(__xludf.DUMMYFUNCTION("""COMPUTED_VALUE"""),"Groceries")</f>
        <v>Groceries</v>
      </c>
      <c r="F428" s="79" t="str">
        <f>IFERROR(__xludf.DUMMYFUNCTION("""COMPUTED_VALUE"""),"Gil")</f>
        <v>Gil</v>
      </c>
      <c r="G428" s="107">
        <f t="shared" si="1"/>
        <v>1.9</v>
      </c>
      <c r="H428" s="108" t="str">
        <f t="shared" si="2"/>
        <v>Jul</v>
      </c>
    </row>
    <row r="429">
      <c r="A429" s="106">
        <f>IFERROR(__xludf.DUMMYFUNCTION("""COMPUTED_VALUE"""),45465.0)</f>
        <v>45465</v>
      </c>
      <c r="B429" s="103">
        <f>IFERROR(__xludf.DUMMYFUNCTION("""COMPUTED_VALUE"""),3.99)</f>
        <v>3.99</v>
      </c>
      <c r="C429" s="79" t="str">
        <f>IFERROR(__xludf.DUMMYFUNCTION("""COMPUTED_VALUE"""),"Knickerbocker Fresh Mart")</f>
        <v>Knickerbocker Fresh Mart</v>
      </c>
      <c r="D429" s="79" t="str">
        <f>IFERROR(__xludf.DUMMYFUNCTION("""COMPUTED_VALUE"""),"Amex Blue")</f>
        <v>Amex Blue</v>
      </c>
      <c r="E429" s="79" t="str">
        <f>IFERROR(__xludf.DUMMYFUNCTION("""COMPUTED_VALUE"""),"Groceries")</f>
        <v>Groceries</v>
      </c>
      <c r="F429" s="79" t="str">
        <f>IFERROR(__xludf.DUMMYFUNCTION("""COMPUTED_VALUE"""),"Gil")</f>
        <v>Gil</v>
      </c>
      <c r="G429" s="107">
        <f t="shared" si="1"/>
        <v>1.995</v>
      </c>
      <c r="H429" s="108" t="str">
        <f t="shared" si="2"/>
        <v>Jun</v>
      </c>
    </row>
    <row r="430">
      <c r="A430" s="106">
        <f>IFERROR(__xludf.DUMMYFUNCTION("""COMPUTED_VALUE"""),45458.0)</f>
        <v>45458</v>
      </c>
      <c r="B430" s="103">
        <f>IFERROR(__xludf.DUMMYFUNCTION("""COMPUTED_VALUE"""),21.93)</f>
        <v>21.93</v>
      </c>
      <c r="C430" s="79" t="str">
        <f>IFERROR(__xludf.DUMMYFUNCTION("""COMPUTED_VALUE"""),"Mr. Lemon")</f>
        <v>Mr. Lemon</v>
      </c>
      <c r="D430" s="79" t="str">
        <f>IFERROR(__xludf.DUMMYFUNCTION("""COMPUTED_VALUE"""),"Amex Blue")</f>
        <v>Amex Blue</v>
      </c>
      <c r="E430" s="79" t="str">
        <f>IFERROR(__xludf.DUMMYFUNCTION("""COMPUTED_VALUE"""),"Groceries")</f>
        <v>Groceries</v>
      </c>
      <c r="F430" s="79" t="str">
        <f>IFERROR(__xludf.DUMMYFUNCTION("""COMPUTED_VALUE"""),"Gil")</f>
        <v>Gil</v>
      </c>
      <c r="G430" s="107">
        <f t="shared" si="1"/>
        <v>10.965</v>
      </c>
      <c r="H430" s="108" t="str">
        <f t="shared" si="2"/>
        <v>Jun</v>
      </c>
    </row>
    <row r="431">
      <c r="A431" s="106">
        <f>IFERROR(__xludf.DUMMYFUNCTION("""COMPUTED_VALUE"""),45450.0)</f>
        <v>45450</v>
      </c>
      <c r="B431" s="103">
        <f>IFERROR(__xludf.DUMMYFUNCTION("""COMPUTED_VALUE"""),8.71)</f>
        <v>8.71</v>
      </c>
      <c r="C431" s="79" t="str">
        <f>IFERROR(__xludf.DUMMYFUNCTION("""COMPUTED_VALUE"""),"CVS - Movie Snacks")</f>
        <v>CVS - Movie Snacks</v>
      </c>
      <c r="D431" s="79" t="str">
        <f>IFERROR(__xludf.DUMMYFUNCTION("""COMPUTED_VALUE"""),"Amex Blue")</f>
        <v>Amex Blue</v>
      </c>
      <c r="E431" s="79" t="str">
        <f>IFERROR(__xludf.DUMMYFUNCTION("""COMPUTED_VALUE"""),"Entertainment")</f>
        <v>Entertainment</v>
      </c>
      <c r="F431" s="79" t="str">
        <f>IFERROR(__xludf.DUMMYFUNCTION("""COMPUTED_VALUE"""),"Gil")</f>
        <v>Gil</v>
      </c>
      <c r="G431" s="107">
        <f t="shared" si="1"/>
        <v>4.355</v>
      </c>
      <c r="H431" s="108" t="str">
        <f t="shared" si="2"/>
        <v>Jun</v>
      </c>
    </row>
    <row r="432">
      <c r="A432" s="106">
        <f>IFERROR(__xludf.DUMMYFUNCTION("""COMPUTED_VALUE"""),45447.0)</f>
        <v>45447</v>
      </c>
      <c r="B432" s="103">
        <f>IFERROR(__xludf.DUMMYFUNCTION("""COMPUTED_VALUE"""),18.3)</f>
        <v>18.3</v>
      </c>
      <c r="C432" s="79" t="str">
        <f>IFERROR(__xludf.DUMMYFUNCTION("""COMPUTED_VALUE"""),"Mr. Lemon")</f>
        <v>Mr. Lemon</v>
      </c>
      <c r="D432" s="79" t="str">
        <f>IFERROR(__xludf.DUMMYFUNCTION("""COMPUTED_VALUE"""),"Amex Blue")</f>
        <v>Amex Blue</v>
      </c>
      <c r="E432" s="79" t="str">
        <f>IFERROR(__xludf.DUMMYFUNCTION("""COMPUTED_VALUE"""),"Groceries")</f>
        <v>Groceries</v>
      </c>
      <c r="F432" s="79" t="str">
        <f>IFERROR(__xludf.DUMMYFUNCTION("""COMPUTED_VALUE"""),"Gil")</f>
        <v>Gil</v>
      </c>
      <c r="G432" s="107">
        <f t="shared" si="1"/>
        <v>9.15</v>
      </c>
      <c r="H432" s="108" t="str">
        <f t="shared" si="2"/>
        <v>Jun</v>
      </c>
    </row>
    <row r="433">
      <c r="A433" s="106">
        <f>IFERROR(__xludf.DUMMYFUNCTION("""COMPUTED_VALUE"""),45445.0)</f>
        <v>45445</v>
      </c>
      <c r="B433" s="103">
        <f>IFERROR(__xludf.DUMMYFUNCTION("""COMPUTED_VALUE"""),28.95)</f>
        <v>28.95</v>
      </c>
      <c r="C433" s="79" t="str">
        <f>IFERROR(__xludf.DUMMYFUNCTION("""COMPUTED_VALUE"""),"Mr. Lemon")</f>
        <v>Mr. Lemon</v>
      </c>
      <c r="D433" s="79" t="str">
        <f>IFERROR(__xludf.DUMMYFUNCTION("""COMPUTED_VALUE"""),"Amex Blue")</f>
        <v>Amex Blue</v>
      </c>
      <c r="E433" s="79" t="str">
        <f>IFERROR(__xludf.DUMMYFUNCTION("""COMPUTED_VALUE"""),"Groceries")</f>
        <v>Groceries</v>
      </c>
      <c r="F433" s="79" t="str">
        <f>IFERROR(__xludf.DUMMYFUNCTION("""COMPUTED_VALUE"""),"Gil")</f>
        <v>Gil</v>
      </c>
      <c r="G433" s="107">
        <f t="shared" si="1"/>
        <v>14.475</v>
      </c>
      <c r="H433" s="108" t="str">
        <f t="shared" si="2"/>
        <v>Jun</v>
      </c>
    </row>
    <row r="434">
      <c r="A434" s="106">
        <f>IFERROR(__xludf.DUMMYFUNCTION("""COMPUTED_VALUE"""),45444.0)</f>
        <v>45444</v>
      </c>
      <c r="B434" s="103">
        <f>IFERROR(__xludf.DUMMYFUNCTION("""COMPUTED_VALUE"""),29.98)</f>
        <v>29.98</v>
      </c>
      <c r="C434" s="79" t="str">
        <f>IFERROR(__xludf.DUMMYFUNCTION("""COMPUTED_VALUE"""),"Whole Foods")</f>
        <v>Whole Foods</v>
      </c>
      <c r="D434" s="79" t="str">
        <f>IFERROR(__xludf.DUMMYFUNCTION("""COMPUTED_VALUE"""),"Amex Blue")</f>
        <v>Amex Blue</v>
      </c>
      <c r="E434" s="79" t="str">
        <f>IFERROR(__xludf.DUMMYFUNCTION("""COMPUTED_VALUE"""),"Groceries")</f>
        <v>Groceries</v>
      </c>
      <c r="F434" s="79" t="str">
        <f>IFERROR(__xludf.DUMMYFUNCTION("""COMPUTED_VALUE"""),"Gil")</f>
        <v>Gil</v>
      </c>
      <c r="G434" s="107">
        <f t="shared" si="1"/>
        <v>14.99</v>
      </c>
      <c r="H434" s="108" t="str">
        <f t="shared" si="2"/>
        <v>Jun</v>
      </c>
    </row>
    <row r="435">
      <c r="A435" s="106">
        <f>IFERROR(__xludf.DUMMYFUNCTION("""COMPUTED_VALUE"""),45472.0)</f>
        <v>45472</v>
      </c>
      <c r="B435" s="103">
        <f>IFERROR(__xludf.DUMMYFUNCTION("""COMPUTED_VALUE"""),49.5)</f>
        <v>49.5</v>
      </c>
      <c r="C435" s="79" t="str">
        <f>IFERROR(__xludf.DUMMYFUNCTION("""COMPUTED_VALUE"""),"ATG - Knees Over Toes")</f>
        <v>ATG - Knees Over Toes</v>
      </c>
      <c r="D435" s="79" t="str">
        <f>IFERROR(__xludf.DUMMYFUNCTION("""COMPUTED_VALUE"""),"Amex Blue")</f>
        <v>Amex Blue</v>
      </c>
      <c r="E435" s="79" t="str">
        <f>IFERROR(__xludf.DUMMYFUNCTION("""COMPUTED_VALUE"""),"Subscriptions")</f>
        <v>Subscriptions</v>
      </c>
      <c r="F435" s="79" t="str">
        <f>IFERROR(__xludf.DUMMYFUNCTION("""COMPUTED_VALUE"""),"Gil")</f>
        <v>Gil</v>
      </c>
      <c r="G435" s="107">
        <f t="shared" si="1"/>
        <v>24.75</v>
      </c>
      <c r="H435" s="108" t="str">
        <f t="shared" si="2"/>
        <v>Jun</v>
      </c>
    </row>
    <row r="436">
      <c r="A436" s="106">
        <f>IFERROR(__xludf.DUMMYFUNCTION("""COMPUTED_VALUE"""),45478.0)</f>
        <v>45478</v>
      </c>
      <c r="B436" s="103">
        <f>IFERROR(__xludf.DUMMYFUNCTION("""COMPUTED_VALUE"""),74.6)</f>
        <v>74.6</v>
      </c>
      <c r="C436" s="79" t="str">
        <f>IFERROR(__xludf.DUMMYFUNCTION("""COMPUTED_VALUE"""),"Amtrak - Asbury Park")</f>
        <v>Amtrak - Asbury Park</v>
      </c>
      <c r="D436" s="79" t="str">
        <f>IFERROR(__xludf.DUMMYFUNCTION("""COMPUTED_VALUE"""),"Wells Fargo")</f>
        <v>Wells Fargo</v>
      </c>
      <c r="E436" s="79" t="str">
        <f>IFERROR(__xludf.DUMMYFUNCTION("""COMPUTED_VALUE"""),"Travel")</f>
        <v>Travel</v>
      </c>
      <c r="F436" s="79" t="str">
        <f>IFERROR(__xludf.DUMMYFUNCTION("""COMPUTED_VALUE"""),"Gil")</f>
        <v>Gil</v>
      </c>
      <c r="G436" s="107">
        <f t="shared" si="1"/>
        <v>37.3</v>
      </c>
      <c r="H436" s="108" t="str">
        <f t="shared" si="2"/>
        <v>Jul</v>
      </c>
    </row>
    <row r="437">
      <c r="A437" s="106">
        <f>IFERROR(__xludf.DUMMYFUNCTION("""COMPUTED_VALUE"""),45473.0)</f>
        <v>45473</v>
      </c>
      <c r="B437" s="103">
        <f>IFERROR(__xludf.DUMMYFUNCTION("""COMPUTED_VALUE"""),-30.05)</f>
        <v>-30.05</v>
      </c>
      <c r="C437" s="79" t="str">
        <f>IFERROR(__xludf.DUMMYFUNCTION("""COMPUTED_VALUE"""),"CapitalONE Rewards")</f>
        <v>CapitalONE Rewards</v>
      </c>
      <c r="D437" s="79" t="str">
        <f>IFERROR(__xludf.DUMMYFUNCTION("""COMPUTED_VALUE"""),"Capital ONE")</f>
        <v>Capital ONE</v>
      </c>
      <c r="E437" s="79" t="str">
        <f>IFERROR(__xludf.DUMMYFUNCTION("""COMPUTED_VALUE"""),"Meals")</f>
        <v>Meals</v>
      </c>
      <c r="F437" s="79" t="str">
        <f>IFERROR(__xludf.DUMMYFUNCTION("""COMPUTED_VALUE"""),"Gil")</f>
        <v>Gil</v>
      </c>
      <c r="G437" s="107">
        <f t="shared" si="1"/>
        <v>-15.025</v>
      </c>
      <c r="H437" s="108" t="str">
        <f t="shared" si="2"/>
        <v>Jun</v>
      </c>
    </row>
    <row r="438">
      <c r="A438" s="106">
        <f>IFERROR(__xludf.DUMMYFUNCTION("""COMPUTED_VALUE"""),45445.0)</f>
        <v>45445</v>
      </c>
      <c r="B438" s="103">
        <f>IFERROR(__xludf.DUMMYFUNCTION("""COMPUTED_VALUE"""),23.0)</f>
        <v>23</v>
      </c>
      <c r="C438" s="79" t="str">
        <f>IFERROR(__xludf.DUMMYFUNCTION("""COMPUTED_VALUE"""),"Lemonade")</f>
        <v>Lemonade</v>
      </c>
      <c r="D438" s="79" t="str">
        <f>IFERROR(__xludf.DUMMYFUNCTION("""COMPUTED_VALUE"""),"Amazon Prime Chase")</f>
        <v>Amazon Prime Chase</v>
      </c>
      <c r="E438" s="79" t="str">
        <f>IFERROR(__xludf.DUMMYFUNCTION("""COMPUTED_VALUE"""),"Insurance")</f>
        <v>Insurance</v>
      </c>
      <c r="F438" s="79" t="str">
        <f>IFERROR(__xludf.DUMMYFUNCTION("""COMPUTED_VALUE"""),"Gil")</f>
        <v>Gil</v>
      </c>
      <c r="G438" s="107">
        <f t="shared" si="1"/>
        <v>11.5</v>
      </c>
      <c r="H438" s="108" t="str">
        <f t="shared" si="2"/>
        <v>Jun</v>
      </c>
    </row>
    <row r="439">
      <c r="A439" s="106">
        <f>IFERROR(__xludf.DUMMYFUNCTION("""COMPUTED_VALUE"""),45452.0)</f>
        <v>45452</v>
      </c>
      <c r="B439" s="103">
        <f>IFERROR(__xludf.DUMMYFUNCTION("""COMPUTED_VALUE"""),1.62)</f>
        <v>1.62</v>
      </c>
      <c r="C439" s="79" t="str">
        <f>IFERROR(__xludf.DUMMYFUNCTION("""COMPUTED_VALUE"""),"HP Instant Ink")</f>
        <v>HP Instant Ink</v>
      </c>
      <c r="D439" s="79" t="str">
        <f>IFERROR(__xludf.DUMMYFUNCTION("""COMPUTED_VALUE"""),"Amazon Prime Chase")</f>
        <v>Amazon Prime Chase</v>
      </c>
      <c r="E439" s="79" t="str">
        <f>IFERROR(__xludf.DUMMYFUNCTION("""COMPUTED_VALUE"""),"Subscriptions")</f>
        <v>Subscriptions</v>
      </c>
      <c r="F439" s="79" t="str">
        <f>IFERROR(__xludf.DUMMYFUNCTION("""COMPUTED_VALUE"""),"Gil")</f>
        <v>Gil</v>
      </c>
      <c r="G439" s="107">
        <f t="shared" si="1"/>
        <v>0.81</v>
      </c>
      <c r="H439" s="108" t="str">
        <f t="shared" si="2"/>
        <v>Jun</v>
      </c>
    </row>
    <row r="440">
      <c r="A440" s="106">
        <f>IFERROR(__xludf.DUMMYFUNCTION("""COMPUTED_VALUE"""),45457.0)</f>
        <v>45457</v>
      </c>
      <c r="B440" s="103">
        <f>IFERROR(__xludf.DUMMYFUNCTION("""COMPUTED_VALUE"""),24.6)</f>
        <v>24.6</v>
      </c>
      <c r="C440" s="79" t="str">
        <f>IFERROR(__xludf.DUMMYFUNCTION("""COMPUTED_VALUE"""),"Amazon - Yuzu")</f>
        <v>Amazon - Yuzu</v>
      </c>
      <c r="D440" s="79" t="str">
        <f>IFERROR(__xludf.DUMMYFUNCTION("""COMPUTED_VALUE"""),"Amazon Prime Chase")</f>
        <v>Amazon Prime Chase</v>
      </c>
      <c r="E440" s="79" t="str">
        <f>IFERROR(__xludf.DUMMYFUNCTION("""COMPUTED_VALUE"""),"Groceries")</f>
        <v>Groceries</v>
      </c>
      <c r="F440" s="79" t="str">
        <f>IFERROR(__xludf.DUMMYFUNCTION("""COMPUTED_VALUE"""),"Gil")</f>
        <v>Gil</v>
      </c>
      <c r="G440" s="107">
        <f t="shared" si="1"/>
        <v>12.3</v>
      </c>
      <c r="H440" s="108" t="str">
        <f t="shared" si="2"/>
        <v>Jun</v>
      </c>
    </row>
    <row r="441">
      <c r="A441" s="106">
        <f>IFERROR(__xludf.DUMMYFUNCTION("""COMPUTED_VALUE"""),45460.0)</f>
        <v>45460</v>
      </c>
      <c r="B441" s="103">
        <f>IFERROR(__xludf.DUMMYFUNCTION("""COMPUTED_VALUE"""),25.81)</f>
        <v>25.81</v>
      </c>
      <c r="C441" s="79" t="str">
        <f>IFERROR(__xludf.DUMMYFUNCTION("""COMPUTED_VALUE"""),"Amazon S&amp;S - San Pelligrino")</f>
        <v>Amazon S&amp;S - San Pelligrino</v>
      </c>
      <c r="D441" s="79" t="str">
        <f>IFERROR(__xludf.DUMMYFUNCTION("""COMPUTED_VALUE"""),"Amazon Prime Chase")</f>
        <v>Amazon Prime Chase</v>
      </c>
      <c r="E441" s="79" t="str">
        <f>IFERROR(__xludf.DUMMYFUNCTION("""COMPUTED_VALUE"""),"Groceries")</f>
        <v>Groceries</v>
      </c>
      <c r="F441" s="79" t="str">
        <f>IFERROR(__xludf.DUMMYFUNCTION("""COMPUTED_VALUE"""),"Gil")</f>
        <v>Gil</v>
      </c>
      <c r="G441" s="107">
        <f t="shared" si="1"/>
        <v>12.905</v>
      </c>
      <c r="H441" s="108" t="str">
        <f t="shared" si="2"/>
        <v>Jun</v>
      </c>
    </row>
    <row r="442">
      <c r="A442" s="106">
        <f>IFERROR(__xludf.DUMMYFUNCTION("""COMPUTED_VALUE"""),45458.0)</f>
        <v>45458</v>
      </c>
      <c r="B442" s="103">
        <f>IFERROR(__xludf.DUMMYFUNCTION("""COMPUTED_VALUE"""),27.08)</f>
        <v>27.08</v>
      </c>
      <c r="C442" s="79" t="str">
        <f>IFERROR(__xludf.DUMMYFUNCTION("""COMPUTED_VALUE"""),"Amazon - Viva Naturals Fish Oil Caps")</f>
        <v>Amazon - Viva Naturals Fish Oil Caps</v>
      </c>
      <c r="D442" s="79" t="str">
        <f>IFERROR(__xludf.DUMMYFUNCTION("""COMPUTED_VALUE"""),"Amazon Prime Chase")</f>
        <v>Amazon Prime Chase</v>
      </c>
      <c r="E442" s="79" t="str">
        <f>IFERROR(__xludf.DUMMYFUNCTION("""COMPUTED_VALUE"""),"Household")</f>
        <v>Household</v>
      </c>
      <c r="F442" s="102" t="str">
        <f>IFERROR(__xludf.DUMMYFUNCTION("""COMPUTED_VALUE"""),"Gil")</f>
        <v>Gil</v>
      </c>
      <c r="G442" s="107">
        <f t="shared" si="1"/>
        <v>13.54</v>
      </c>
      <c r="H442" s="108" t="str">
        <f t="shared" si="2"/>
        <v>Jun</v>
      </c>
    </row>
    <row r="443">
      <c r="A443" s="106">
        <f>IFERROR(__xludf.DUMMYFUNCTION("""COMPUTED_VALUE"""),45461.0)</f>
        <v>45461</v>
      </c>
      <c r="B443" s="103">
        <f>IFERROR(__xludf.DUMMYFUNCTION("""COMPUTED_VALUE"""),-29.43)</f>
        <v>-29.43</v>
      </c>
      <c r="C443" s="79" t="str">
        <f>IFERROR(__xludf.DUMMYFUNCTION("""COMPUTED_VALUE"""),"Amazon - Redemption Credit")</f>
        <v>Amazon - Redemption Credit</v>
      </c>
      <c r="D443" s="79" t="str">
        <f>IFERROR(__xludf.DUMMYFUNCTION("""COMPUTED_VALUE"""),"Amazon Prime Chase")</f>
        <v>Amazon Prime Chase</v>
      </c>
      <c r="E443" s="79" t="str">
        <f>IFERROR(__xludf.DUMMYFUNCTION("""COMPUTED_VALUE"""),"Household")</f>
        <v>Household</v>
      </c>
      <c r="F443" s="79" t="str">
        <f>IFERROR(__xludf.DUMMYFUNCTION("""COMPUTED_VALUE"""),"Gil")</f>
        <v>Gil</v>
      </c>
      <c r="G443" s="107">
        <f t="shared" si="1"/>
        <v>-14.715</v>
      </c>
      <c r="H443" s="108" t="str">
        <f t="shared" si="2"/>
        <v>Jun</v>
      </c>
    </row>
    <row r="444">
      <c r="A444" s="106">
        <f>IFERROR(__xludf.DUMMYFUNCTION("""COMPUTED_VALUE"""),45461.0)</f>
        <v>45461</v>
      </c>
      <c r="B444" s="103">
        <f>IFERROR(__xludf.DUMMYFUNCTION("""COMPUTED_VALUE"""),23.16)</f>
        <v>23.16</v>
      </c>
      <c r="C444" s="79" t="str">
        <f>IFERROR(__xludf.DUMMYFUNCTION("""COMPUTED_VALUE"""),"Amazon - Radical Fashion Exercises")</f>
        <v>Amazon - Radical Fashion Exercises</v>
      </c>
      <c r="D444" s="79" t="str">
        <f>IFERROR(__xludf.DUMMYFUNCTION("""COMPUTED_VALUE"""),"Amazon Prime Chase")</f>
        <v>Amazon Prime Chase</v>
      </c>
      <c r="E444" s="79" t="str">
        <f>IFERROR(__xludf.DUMMYFUNCTION("""COMPUTED_VALUE"""),"Personal")</f>
        <v>Personal</v>
      </c>
      <c r="F444" s="79" t="str">
        <f>IFERROR(__xludf.DUMMYFUNCTION("""COMPUTED_VALUE"""),"Gil")</f>
        <v>Gil</v>
      </c>
      <c r="G444" s="107">
        <f t="shared" si="1"/>
        <v>11.58</v>
      </c>
      <c r="H444" s="108" t="str">
        <f t="shared" si="2"/>
        <v>Jun</v>
      </c>
    </row>
    <row r="445">
      <c r="A445" s="106">
        <f>IFERROR(__xludf.DUMMYFUNCTION("""COMPUTED_VALUE"""),45461.0)</f>
        <v>45461</v>
      </c>
      <c r="B445" s="103">
        <f>IFERROR(__xludf.DUMMYFUNCTION("""COMPUTED_VALUE"""),16.32)</f>
        <v>16.32</v>
      </c>
      <c r="C445" s="79" t="str">
        <f>IFERROR(__xludf.DUMMYFUNCTION("""COMPUTED_VALUE"""),"Amazon Prime Membership")</f>
        <v>Amazon Prime Membership</v>
      </c>
      <c r="D445" s="79" t="str">
        <f>IFERROR(__xludf.DUMMYFUNCTION("""COMPUTED_VALUE"""),"Amazon Prime Chase")</f>
        <v>Amazon Prime Chase</v>
      </c>
      <c r="E445" s="79" t="str">
        <f>IFERROR(__xludf.DUMMYFUNCTION("""COMPUTED_VALUE"""),"Subscriptions")</f>
        <v>Subscriptions</v>
      </c>
      <c r="F445" s="79" t="str">
        <f>IFERROR(__xludf.DUMMYFUNCTION("""COMPUTED_VALUE"""),"Gil")</f>
        <v>Gil</v>
      </c>
      <c r="G445" s="107">
        <f t="shared" si="1"/>
        <v>8.16</v>
      </c>
      <c r="H445" s="108" t="str">
        <f t="shared" si="2"/>
        <v>Jun</v>
      </c>
    </row>
    <row r="446">
      <c r="A446" s="106">
        <f>IFERROR(__xludf.DUMMYFUNCTION("""COMPUTED_VALUE"""),45463.0)</f>
        <v>45463</v>
      </c>
      <c r="B446" s="103">
        <f>IFERROR(__xludf.DUMMYFUNCTION("""COMPUTED_VALUE"""),25.93)</f>
        <v>25.93</v>
      </c>
      <c r="C446" s="79" t="str">
        <f>IFERROR(__xludf.DUMMYFUNCTION("""COMPUTED_VALUE"""),"Amazon - HydroFlask Bowl")</f>
        <v>Amazon - HydroFlask Bowl</v>
      </c>
      <c r="D446" s="79" t="str">
        <f>IFERROR(__xludf.DUMMYFUNCTION("""COMPUTED_VALUE"""),"Amazon Prime Chase")</f>
        <v>Amazon Prime Chase</v>
      </c>
      <c r="E446" s="79" t="str">
        <f>IFERROR(__xludf.DUMMYFUNCTION("""COMPUTED_VALUE"""),"Household")</f>
        <v>Household</v>
      </c>
      <c r="F446" s="79" t="str">
        <f>IFERROR(__xludf.DUMMYFUNCTION("""COMPUTED_VALUE"""),"Gil")</f>
        <v>Gil</v>
      </c>
      <c r="G446" s="107">
        <f t="shared" si="1"/>
        <v>12.965</v>
      </c>
      <c r="H446" s="108" t="str">
        <f t="shared" si="2"/>
        <v>Jun</v>
      </c>
    </row>
    <row r="447">
      <c r="A447" s="106">
        <f>IFERROR(__xludf.DUMMYFUNCTION("""COMPUTED_VALUE"""),45493.0)</f>
        <v>45493</v>
      </c>
      <c r="B447" s="103">
        <f>IFERROR(__xludf.DUMMYFUNCTION("""COMPUTED_VALUE"""),6.57)</f>
        <v>6.57</v>
      </c>
      <c r="C447" s="79" t="str">
        <f>IFERROR(__xludf.DUMMYFUNCTION("""COMPUTED_VALUE"""),"Amazon - Weck Jar Lid Clips")</f>
        <v>Amazon - Weck Jar Lid Clips</v>
      </c>
      <c r="D447" s="79" t="str">
        <f>IFERROR(__xludf.DUMMYFUNCTION("""COMPUTED_VALUE"""),"Amazon Prime Chase")</f>
        <v>Amazon Prime Chase</v>
      </c>
      <c r="E447" s="79" t="str">
        <f>IFERROR(__xludf.DUMMYFUNCTION("""COMPUTED_VALUE"""),"Household")</f>
        <v>Household</v>
      </c>
      <c r="F447" s="79" t="str">
        <f>IFERROR(__xludf.DUMMYFUNCTION("""COMPUTED_VALUE"""),"Gil")</f>
        <v>Gil</v>
      </c>
      <c r="G447" s="107">
        <f t="shared" si="1"/>
        <v>3.285</v>
      </c>
      <c r="H447" s="108" t="str">
        <f t="shared" si="2"/>
        <v>Jul</v>
      </c>
    </row>
    <row r="448">
      <c r="A448" s="106">
        <f>IFERROR(__xludf.DUMMYFUNCTION("""COMPUTED_VALUE"""),45481.0)</f>
        <v>45481</v>
      </c>
      <c r="B448" s="103">
        <f>IFERROR(__xludf.DUMMYFUNCTION("""COMPUTED_VALUE"""),-36.25)</f>
        <v>-36.25</v>
      </c>
      <c r="C448" s="79" t="str">
        <f>IFERROR(__xludf.DUMMYFUNCTION("""COMPUTED_VALUE"""),"Amazon Redemption Credit")</f>
        <v>Amazon Redemption Credit</v>
      </c>
      <c r="D448" s="79" t="str">
        <f>IFERROR(__xludf.DUMMYFUNCTION("""COMPUTED_VALUE"""),"Amazon Prime Chase")</f>
        <v>Amazon Prime Chase</v>
      </c>
      <c r="E448" s="79" t="str">
        <f>IFERROR(__xludf.DUMMYFUNCTION("""COMPUTED_VALUE"""),"Household")</f>
        <v>Household</v>
      </c>
      <c r="F448" s="79" t="str">
        <f>IFERROR(__xludf.DUMMYFUNCTION("""COMPUTED_VALUE"""),"Gil")</f>
        <v>Gil</v>
      </c>
      <c r="G448" s="107">
        <f t="shared" si="1"/>
        <v>-18.125</v>
      </c>
      <c r="H448" s="108" t="str">
        <f t="shared" si="2"/>
        <v>Jul</v>
      </c>
    </row>
    <row r="449">
      <c r="A449" s="106">
        <f>IFERROR(__xludf.DUMMYFUNCTION("""COMPUTED_VALUE"""),45483.0)</f>
        <v>45483</v>
      </c>
      <c r="B449" s="103">
        <f>IFERROR(__xludf.DUMMYFUNCTION("""COMPUTED_VALUE"""),50.0)</f>
        <v>50</v>
      </c>
      <c r="C449" s="79" t="str">
        <f>IFERROR(__xludf.DUMMYFUNCTION("""COMPUTED_VALUE"""),"MassMoca")</f>
        <v>MassMoca</v>
      </c>
      <c r="D449" s="79" t="str">
        <f>IFERROR(__xludf.DUMMYFUNCTION("""COMPUTED_VALUE"""),"Chase Reserve")</f>
        <v>Chase Reserve</v>
      </c>
      <c r="E449" s="79" t="str">
        <f>IFERROR(__xludf.DUMMYFUNCTION("""COMPUTED_VALUE"""),"Entertainment")</f>
        <v>Entertainment</v>
      </c>
      <c r="F449" s="79" t="str">
        <f>IFERROR(__xludf.DUMMYFUNCTION("""COMPUTED_VALUE"""),"Shaeffer")</f>
        <v>Shaeffer</v>
      </c>
      <c r="G449" s="107">
        <f t="shared" si="1"/>
        <v>25</v>
      </c>
      <c r="H449" s="108" t="str">
        <f t="shared" si="2"/>
        <v>Jul</v>
      </c>
    </row>
    <row r="450">
      <c r="A450" s="106">
        <f>IFERROR(__xludf.DUMMYFUNCTION("""COMPUTED_VALUE"""),45483.0)</f>
        <v>45483</v>
      </c>
      <c r="B450" s="103">
        <f>IFERROR(__xludf.DUMMYFUNCTION("""COMPUTED_VALUE"""),19.0)</f>
        <v>19</v>
      </c>
      <c r="C450" s="79" t="str">
        <f>IFERROR(__xludf.DUMMYFUNCTION("""COMPUTED_VALUE"""),"Fernie Hotel")</f>
        <v>Fernie Hotel</v>
      </c>
      <c r="D450" s="79" t="str">
        <f>IFERROR(__xludf.DUMMYFUNCTION("""COMPUTED_VALUE"""),"Chase Reserve")</f>
        <v>Chase Reserve</v>
      </c>
      <c r="E450" s="79" t="str">
        <f>IFERROR(__xludf.DUMMYFUNCTION("""COMPUTED_VALUE"""),"Travel")</f>
        <v>Travel</v>
      </c>
      <c r="F450" s="79" t="str">
        <f>IFERROR(__xludf.DUMMYFUNCTION("""COMPUTED_VALUE"""),"Shaeffer")</f>
        <v>Shaeffer</v>
      </c>
      <c r="G450" s="107">
        <f t="shared" si="1"/>
        <v>9.5</v>
      </c>
      <c r="H450" s="108" t="str">
        <f t="shared" si="2"/>
        <v>Jul</v>
      </c>
    </row>
    <row r="451">
      <c r="A451" s="106">
        <f>IFERROR(__xludf.DUMMYFUNCTION("""COMPUTED_VALUE"""),45483.0)</f>
        <v>45483</v>
      </c>
      <c r="B451" s="103">
        <f>IFERROR(__xludf.DUMMYFUNCTION("""COMPUTED_VALUE"""),63.0)</f>
        <v>63</v>
      </c>
      <c r="C451" s="79" t="str">
        <f>IFERROR(__xludf.DUMMYFUNCTION("""COMPUTED_VALUE"""),"Misha")</f>
        <v>Misha</v>
      </c>
      <c r="D451" s="79" t="str">
        <f>IFERROR(__xludf.DUMMYFUNCTION("""COMPUTED_VALUE"""),"Cash")</f>
        <v>Cash</v>
      </c>
      <c r="E451" s="79" t="str">
        <f>IFERROR(__xludf.DUMMYFUNCTION("""COMPUTED_VALUE"""),"Alcohol/Weed")</f>
        <v>Alcohol/Weed</v>
      </c>
      <c r="F451" s="79" t="str">
        <f>IFERROR(__xludf.DUMMYFUNCTION("""COMPUTED_VALUE"""),"Shaeffer")</f>
        <v>Shaeffer</v>
      </c>
      <c r="G451" s="107">
        <f t="shared" si="1"/>
        <v>31.5</v>
      </c>
      <c r="H451" s="108" t="str">
        <f t="shared" si="2"/>
        <v>Jul</v>
      </c>
    </row>
    <row r="452">
      <c r="A452" s="106">
        <f>IFERROR(__xludf.DUMMYFUNCTION("""COMPUTED_VALUE"""),45485.0)</f>
        <v>45485</v>
      </c>
      <c r="B452" s="103">
        <f>IFERROR(__xludf.DUMMYFUNCTION("""COMPUTED_VALUE"""),11.0)</f>
        <v>11</v>
      </c>
      <c r="C452" s="79" t="str">
        <f>IFERROR(__xludf.DUMMYFUNCTION("""COMPUTED_VALUE"""),"Tunnel City Coffee")</f>
        <v>Tunnel City Coffee</v>
      </c>
      <c r="D452" s="79" t="str">
        <f>IFERROR(__xludf.DUMMYFUNCTION("""COMPUTED_VALUE"""),"Cash")</f>
        <v>Cash</v>
      </c>
      <c r="E452" s="79" t="str">
        <f>IFERROR(__xludf.DUMMYFUNCTION("""COMPUTED_VALUE"""),"Meals")</f>
        <v>Meals</v>
      </c>
      <c r="F452" s="79" t="str">
        <f>IFERROR(__xludf.DUMMYFUNCTION("""COMPUTED_VALUE"""),"Gil")</f>
        <v>Gil</v>
      </c>
      <c r="G452" s="107">
        <f t="shared" si="1"/>
        <v>5.5</v>
      </c>
      <c r="H452" s="108" t="str">
        <f t="shared" si="2"/>
        <v>Jul</v>
      </c>
    </row>
    <row r="453">
      <c r="A453" s="106">
        <f>IFERROR(__xludf.DUMMYFUNCTION("""COMPUTED_VALUE"""),45486.0)</f>
        <v>45486</v>
      </c>
      <c r="B453" s="103">
        <f>IFERROR(__xludf.DUMMYFUNCTION("""COMPUTED_VALUE"""),85.69)</f>
        <v>85.69</v>
      </c>
      <c r="C453" s="79" t="str">
        <f>IFERROR(__xludf.DUMMYFUNCTION("""COMPUTED_VALUE"""),"Chingon - North Adams")</f>
        <v>Chingon - North Adams</v>
      </c>
      <c r="D453" s="79" t="str">
        <f>IFERROR(__xludf.DUMMYFUNCTION("""COMPUTED_VALUE"""),"Amex Gold")</f>
        <v>Amex Gold</v>
      </c>
      <c r="E453" s="79" t="str">
        <f>IFERROR(__xludf.DUMMYFUNCTION("""COMPUTED_VALUE"""),"Travel")</f>
        <v>Travel</v>
      </c>
      <c r="F453" s="79" t="str">
        <f>IFERROR(__xludf.DUMMYFUNCTION("""COMPUTED_VALUE"""),"Gil")</f>
        <v>Gil</v>
      </c>
      <c r="G453" s="107">
        <f t="shared" si="1"/>
        <v>42.845</v>
      </c>
      <c r="H453" s="108" t="str">
        <f t="shared" si="2"/>
        <v>Jul</v>
      </c>
    </row>
    <row r="454">
      <c r="A454" s="106">
        <f>IFERROR(__xludf.DUMMYFUNCTION("""COMPUTED_VALUE"""),45487.0)</f>
        <v>45487</v>
      </c>
      <c r="B454" s="103">
        <f>IFERROR(__xludf.DUMMYFUNCTION("""COMPUTED_VALUE"""),7.99)</f>
        <v>7.99</v>
      </c>
      <c r="C454" s="79" t="str">
        <f>IFERROR(__xludf.DUMMYFUNCTION("""COMPUTED_VALUE"""),"Hawthorne Valley Farm Store")</f>
        <v>Hawthorne Valley Farm Store</v>
      </c>
      <c r="D454" s="79" t="str">
        <f>IFERROR(__xludf.DUMMYFUNCTION("""COMPUTED_VALUE"""),"Amex Blue")</f>
        <v>Amex Blue</v>
      </c>
      <c r="E454" s="79" t="str">
        <f>IFERROR(__xludf.DUMMYFUNCTION("""COMPUTED_VALUE"""),"Groceries")</f>
        <v>Groceries</v>
      </c>
      <c r="F454" s="79" t="str">
        <f>IFERROR(__xludf.DUMMYFUNCTION("""COMPUTED_VALUE"""),"Gil")</f>
        <v>Gil</v>
      </c>
      <c r="G454" s="107">
        <f t="shared" si="1"/>
        <v>3.995</v>
      </c>
      <c r="H454" s="108" t="str">
        <f t="shared" si="2"/>
        <v>Jul</v>
      </c>
    </row>
    <row r="455">
      <c r="A455" s="106">
        <f>IFERROR(__xludf.DUMMYFUNCTION("""COMPUTED_VALUE"""),45487.0)</f>
        <v>45487</v>
      </c>
      <c r="B455" s="103">
        <f>IFERROR(__xludf.DUMMYFUNCTION("""COMPUTED_VALUE"""),44.75)</f>
        <v>44.75</v>
      </c>
      <c r="C455" s="79" t="str">
        <f>IFERROR(__xludf.DUMMYFUNCTION("""COMPUTED_VALUE"""),"Hawthorne Valley Farm Store")</f>
        <v>Hawthorne Valley Farm Store</v>
      </c>
      <c r="D455" s="79" t="str">
        <f>IFERROR(__xludf.DUMMYFUNCTION("""COMPUTED_VALUE"""),"Amex Blue")</f>
        <v>Amex Blue</v>
      </c>
      <c r="E455" s="79" t="str">
        <f>IFERROR(__xludf.DUMMYFUNCTION("""COMPUTED_VALUE"""),"Groceries")</f>
        <v>Groceries</v>
      </c>
      <c r="F455" s="79" t="str">
        <f>IFERROR(__xludf.DUMMYFUNCTION("""COMPUTED_VALUE"""),"Gil")</f>
        <v>Gil</v>
      </c>
      <c r="G455" s="107">
        <f t="shared" si="1"/>
        <v>22.375</v>
      </c>
      <c r="H455" s="108" t="str">
        <f t="shared" si="2"/>
        <v>Jul</v>
      </c>
    </row>
    <row r="456">
      <c r="A456" s="106">
        <f>IFERROR(__xludf.DUMMYFUNCTION("""COMPUTED_VALUE"""),45486.0)</f>
        <v>45486</v>
      </c>
      <c r="B456" s="103">
        <f>IFERROR(__xludf.DUMMYFUNCTION("""COMPUTED_VALUE"""),37.4)</f>
        <v>37.4</v>
      </c>
      <c r="C456" s="79" t="str">
        <f>IFERROR(__xludf.DUMMYFUNCTION("""COMPUTED_VALUE"""),"Valero Gas Station - North Adams")</f>
        <v>Valero Gas Station - North Adams</v>
      </c>
      <c r="D456" s="79" t="str">
        <f>IFERROR(__xludf.DUMMYFUNCTION("""COMPUTED_VALUE"""),"Amex Blue")</f>
        <v>Amex Blue</v>
      </c>
      <c r="E456" s="79" t="str">
        <f>IFERROR(__xludf.DUMMYFUNCTION("""COMPUTED_VALUE"""),"Travel")</f>
        <v>Travel</v>
      </c>
      <c r="F456" s="79" t="str">
        <f>IFERROR(__xludf.DUMMYFUNCTION("""COMPUTED_VALUE"""),"Gil")</f>
        <v>Gil</v>
      </c>
      <c r="G456" s="107">
        <f t="shared" si="1"/>
        <v>18.7</v>
      </c>
      <c r="H456" s="108" t="str">
        <f t="shared" si="2"/>
        <v>Jul</v>
      </c>
    </row>
    <row r="457">
      <c r="A457" s="106">
        <f>IFERROR(__xludf.DUMMYFUNCTION("""COMPUTED_VALUE"""),45487.0)</f>
        <v>45487</v>
      </c>
      <c r="B457" s="103">
        <f>IFERROR(__xludf.DUMMYFUNCTION("""COMPUTED_VALUE"""),59.69)</f>
        <v>59.69</v>
      </c>
      <c r="C457" s="79" t="str">
        <f>IFERROR(__xludf.DUMMYFUNCTION("""COMPUTED_VALUE"""),"Our Daily Bread Deli")</f>
        <v>Our Daily Bread Deli</v>
      </c>
      <c r="D457" s="79" t="str">
        <f>IFERROR(__xludf.DUMMYFUNCTION("""COMPUTED_VALUE"""),"Amex Gold")</f>
        <v>Amex Gold</v>
      </c>
      <c r="E457" s="79" t="str">
        <f>IFERROR(__xludf.DUMMYFUNCTION("""COMPUTED_VALUE"""),"Travel")</f>
        <v>Travel</v>
      </c>
      <c r="F457" s="79" t="str">
        <f>IFERROR(__xludf.DUMMYFUNCTION("""COMPUTED_VALUE"""),"Gil")</f>
        <v>Gil</v>
      </c>
      <c r="G457" s="107">
        <f t="shared" si="1"/>
        <v>29.845</v>
      </c>
      <c r="H457" s="108" t="str">
        <f t="shared" si="2"/>
        <v>Jul</v>
      </c>
    </row>
    <row r="458">
      <c r="A458" s="106">
        <f>IFERROR(__xludf.DUMMYFUNCTION("""COMPUTED_VALUE"""),45487.0)</f>
        <v>45487</v>
      </c>
      <c r="B458" s="103">
        <f>IFERROR(__xludf.DUMMYFUNCTION("""COMPUTED_VALUE"""),24.0)</f>
        <v>24</v>
      </c>
      <c r="C458" s="79" t="str">
        <f>IFERROR(__xludf.DUMMYFUNCTION("""COMPUTED_VALUE"""),"BP Gas")</f>
        <v>BP Gas</v>
      </c>
      <c r="D458" s="79" t="str">
        <f>IFERROR(__xludf.DUMMYFUNCTION("""COMPUTED_VALUE"""),"Amex Blue")</f>
        <v>Amex Blue</v>
      </c>
      <c r="E458" s="79" t="str">
        <f>IFERROR(__xludf.DUMMYFUNCTION("""COMPUTED_VALUE"""),"Travel")</f>
        <v>Travel</v>
      </c>
      <c r="F458" s="79" t="str">
        <f>IFERROR(__xludf.DUMMYFUNCTION("""COMPUTED_VALUE"""),"Gil")</f>
        <v>Gil</v>
      </c>
      <c r="G458" s="107">
        <f t="shared" si="1"/>
        <v>12</v>
      </c>
      <c r="H458" s="108" t="str">
        <f t="shared" si="2"/>
        <v>Jul</v>
      </c>
    </row>
    <row r="459">
      <c r="A459" s="106">
        <f>IFERROR(__xludf.DUMMYFUNCTION("""COMPUTED_VALUE"""),45473.0)</f>
        <v>45473</v>
      </c>
      <c r="B459" s="103">
        <f>IFERROR(__xludf.DUMMYFUNCTION("""COMPUTED_VALUE"""),133.25)</f>
        <v>133.25</v>
      </c>
      <c r="C459" s="79" t="str">
        <f>IFERROR(__xludf.DUMMYFUNCTION("""COMPUTED_VALUE"""),"Amazon Purchases - June")</f>
        <v>Amazon Purchases - June</v>
      </c>
      <c r="D459" s="79" t="str">
        <f>IFERROR(__xludf.DUMMYFUNCTION("""COMPUTED_VALUE"""),"Shaeffer ONLY")</f>
        <v>Shaeffer ONLY</v>
      </c>
      <c r="E459" s="79"/>
      <c r="F459" s="79" t="str">
        <f>IFERROR(__xludf.DUMMYFUNCTION("""COMPUTED_VALUE"""),"Gil")</f>
        <v>Gil</v>
      </c>
      <c r="G459" s="107">
        <f t="shared" si="1"/>
        <v>66.625</v>
      </c>
      <c r="H459" s="108" t="str">
        <f t="shared" si="2"/>
        <v>Jun</v>
      </c>
    </row>
    <row r="460">
      <c r="A460" s="106">
        <f>IFERROR(__xludf.DUMMYFUNCTION("""COMPUTED_VALUE"""),45473.0)</f>
        <v>45473</v>
      </c>
      <c r="B460" s="103">
        <f>IFERROR(__xludf.DUMMYFUNCTION("""COMPUTED_VALUE"""),14.14)</f>
        <v>14.14</v>
      </c>
      <c r="C460" s="79" t="str">
        <f>IFERROR(__xludf.DUMMYFUNCTION("""COMPUTED_VALUE"""),"Amazon - Toothpaste")</f>
        <v>Amazon - Toothpaste</v>
      </c>
      <c r="D460" s="79" t="str">
        <f>IFERROR(__xludf.DUMMYFUNCTION("""COMPUTED_VALUE"""),"Amazon Prime Chase")</f>
        <v>Amazon Prime Chase</v>
      </c>
      <c r="E460" s="79" t="str">
        <f>IFERROR(__xludf.DUMMYFUNCTION("""COMPUTED_VALUE"""),"Household")</f>
        <v>Household</v>
      </c>
      <c r="F460" s="79" t="str">
        <f>IFERROR(__xludf.DUMMYFUNCTION("""COMPUTED_VALUE"""),"Gil")</f>
        <v>Gil</v>
      </c>
      <c r="G460" s="107">
        <f t="shared" si="1"/>
        <v>7.07</v>
      </c>
      <c r="H460" s="108" t="str">
        <f t="shared" si="2"/>
        <v>Jun</v>
      </c>
    </row>
    <row r="461">
      <c r="A461" s="106">
        <f>IFERROR(__xludf.DUMMYFUNCTION("""COMPUTED_VALUE"""),45489.0)</f>
        <v>45489</v>
      </c>
      <c r="B461" s="103">
        <f>IFERROR(__xludf.DUMMYFUNCTION("""COMPUTED_VALUE"""),28.6)</f>
        <v>28.6</v>
      </c>
      <c r="C461" s="79" t="str">
        <f>IFERROR(__xludf.DUMMYFUNCTION("""COMPUTED_VALUE"""),"Amazon Prime - Whole Foods ")</f>
        <v>Amazon Prime - Whole Foods </v>
      </c>
      <c r="D461" s="79" t="str">
        <f>IFERROR(__xludf.DUMMYFUNCTION("""COMPUTED_VALUE"""),"Amex Blue")</f>
        <v>Amex Blue</v>
      </c>
      <c r="E461" s="79" t="str">
        <f>IFERROR(__xludf.DUMMYFUNCTION("""COMPUTED_VALUE"""),"Groceries")</f>
        <v>Groceries</v>
      </c>
      <c r="F461" s="79" t="str">
        <f>IFERROR(__xludf.DUMMYFUNCTION("""COMPUTED_VALUE"""),"Gil")</f>
        <v>Gil</v>
      </c>
      <c r="G461" s="107">
        <f t="shared" si="1"/>
        <v>14.3</v>
      </c>
      <c r="H461" s="108" t="str">
        <f t="shared" si="2"/>
        <v>Jul</v>
      </c>
    </row>
    <row r="462">
      <c r="A462" s="106">
        <f>IFERROR(__xludf.DUMMYFUNCTION("""COMPUTED_VALUE"""),45489.0)</f>
        <v>45489</v>
      </c>
      <c r="B462" s="103">
        <f>IFERROR(__xludf.DUMMYFUNCTION("""COMPUTED_VALUE"""),10.9)</f>
        <v>10.9</v>
      </c>
      <c r="C462" s="79" t="str">
        <f>IFERROR(__xludf.DUMMYFUNCTION("""COMPUTED_VALUE"""),"Mr. Lemon")</f>
        <v>Mr. Lemon</v>
      </c>
      <c r="D462" s="79" t="str">
        <f>IFERROR(__xludf.DUMMYFUNCTION("""COMPUTED_VALUE"""),"Amex Blue")</f>
        <v>Amex Blue</v>
      </c>
      <c r="E462" s="79" t="str">
        <f>IFERROR(__xludf.DUMMYFUNCTION("""COMPUTED_VALUE"""),"Groceries")</f>
        <v>Groceries</v>
      </c>
      <c r="F462" s="79" t="str">
        <f>IFERROR(__xludf.DUMMYFUNCTION("""COMPUTED_VALUE"""),"Gil")</f>
        <v>Gil</v>
      </c>
      <c r="G462" s="107">
        <f t="shared" si="1"/>
        <v>5.45</v>
      </c>
      <c r="H462" s="108" t="str">
        <f t="shared" si="2"/>
        <v>Jul</v>
      </c>
    </row>
    <row r="463">
      <c r="A463" s="106">
        <f>IFERROR(__xludf.DUMMYFUNCTION("""COMPUTED_VALUE"""),45489.0)</f>
        <v>45489</v>
      </c>
      <c r="B463" s="103">
        <f>IFERROR(__xludf.DUMMYFUNCTION("""COMPUTED_VALUE"""),26.53)</f>
        <v>26.53</v>
      </c>
      <c r="C463" s="79" t="str">
        <f>IFERROR(__xludf.DUMMYFUNCTION("""COMPUTED_VALUE"""),"Whole Foods")</f>
        <v>Whole Foods</v>
      </c>
      <c r="D463" s="79" t="str">
        <f>IFERROR(__xludf.DUMMYFUNCTION("""COMPUTED_VALUE"""),"Amex Blue")</f>
        <v>Amex Blue</v>
      </c>
      <c r="E463" s="79" t="str">
        <f>IFERROR(__xludf.DUMMYFUNCTION("""COMPUTED_VALUE"""),"Groceries")</f>
        <v>Groceries</v>
      </c>
      <c r="F463" s="79" t="str">
        <f>IFERROR(__xludf.DUMMYFUNCTION("""COMPUTED_VALUE"""),"Gil")</f>
        <v>Gil</v>
      </c>
      <c r="G463" s="107">
        <f t="shared" si="1"/>
        <v>13.265</v>
      </c>
      <c r="H463" s="108" t="str">
        <f t="shared" si="2"/>
        <v>Jul</v>
      </c>
    </row>
    <row r="464">
      <c r="A464" s="106">
        <f>IFERROR(__xludf.DUMMYFUNCTION("""COMPUTED_VALUE"""),45492.0)</f>
        <v>45492</v>
      </c>
      <c r="B464" s="103">
        <f>IFERROR(__xludf.DUMMYFUNCTION("""COMPUTED_VALUE"""),12.0)</f>
        <v>12</v>
      </c>
      <c r="C464" s="79" t="str">
        <f>IFERROR(__xludf.DUMMYFUNCTION("""COMPUTED_VALUE"""),"Our Daily Bread")</f>
        <v>Our Daily Bread</v>
      </c>
      <c r="D464" s="79" t="str">
        <f>IFERROR(__xludf.DUMMYFUNCTION("""COMPUTED_VALUE"""),"Amex Blue")</f>
        <v>Amex Blue</v>
      </c>
      <c r="E464" s="79" t="str">
        <f>IFERROR(__xludf.DUMMYFUNCTION("""COMPUTED_VALUE"""),"Groceries")</f>
        <v>Groceries</v>
      </c>
      <c r="F464" s="79" t="str">
        <f>IFERROR(__xludf.DUMMYFUNCTION("""COMPUTED_VALUE"""),"Gil")</f>
        <v>Gil</v>
      </c>
      <c r="G464" s="107">
        <f t="shared" si="1"/>
        <v>6</v>
      </c>
      <c r="H464" s="108" t="str">
        <f t="shared" si="2"/>
        <v>Jul</v>
      </c>
    </row>
    <row r="465">
      <c r="A465" s="106">
        <f>IFERROR(__xludf.DUMMYFUNCTION("""COMPUTED_VALUE"""),45492.0)</f>
        <v>45492</v>
      </c>
      <c r="B465" s="103">
        <f>IFERROR(__xludf.DUMMYFUNCTION("""COMPUTED_VALUE"""),67.0)</f>
        <v>67</v>
      </c>
      <c r="C465" s="79" t="str">
        <f>IFERROR(__xludf.DUMMYFUNCTION("""COMPUTED_VALUE"""),"Union Square Farmer's Market")</f>
        <v>Union Square Farmer's Market</v>
      </c>
      <c r="D465" s="79" t="str">
        <f>IFERROR(__xludf.DUMMYFUNCTION("""COMPUTED_VALUE"""),"Cash")</f>
        <v>Cash</v>
      </c>
      <c r="E465" s="79" t="str">
        <f>IFERROR(__xludf.DUMMYFUNCTION("""COMPUTED_VALUE"""),"Groceries")</f>
        <v>Groceries</v>
      </c>
      <c r="F465" s="79" t="str">
        <f>IFERROR(__xludf.DUMMYFUNCTION("""COMPUTED_VALUE"""),"Gil")</f>
        <v>Gil</v>
      </c>
      <c r="G465" s="107">
        <f t="shared" si="1"/>
        <v>33.5</v>
      </c>
      <c r="H465" s="108" t="str">
        <f t="shared" si="2"/>
        <v>Jul</v>
      </c>
    </row>
    <row r="466">
      <c r="A466" s="106">
        <f>IFERROR(__xludf.DUMMYFUNCTION("""COMPUTED_VALUE"""),45493.0)</f>
        <v>45493</v>
      </c>
      <c r="B466" s="103">
        <f>IFERROR(__xludf.DUMMYFUNCTION("""COMPUTED_VALUE"""),35.88)</f>
        <v>35.88</v>
      </c>
      <c r="C466" s="79" t="str">
        <f>IFERROR(__xludf.DUMMYFUNCTION("""COMPUTED_VALUE"""),"Whole Foods")</f>
        <v>Whole Foods</v>
      </c>
      <c r="D466" s="79" t="str">
        <f>IFERROR(__xludf.DUMMYFUNCTION("""COMPUTED_VALUE"""),"Amex Blue")</f>
        <v>Amex Blue</v>
      </c>
      <c r="E466" s="79" t="str">
        <f>IFERROR(__xludf.DUMMYFUNCTION("""COMPUTED_VALUE"""),"Groceries")</f>
        <v>Groceries</v>
      </c>
      <c r="F466" s="79" t="str">
        <f>IFERROR(__xludf.DUMMYFUNCTION("""COMPUTED_VALUE"""),"Gil")</f>
        <v>Gil</v>
      </c>
      <c r="G466" s="107">
        <f t="shared" si="1"/>
        <v>17.94</v>
      </c>
      <c r="H466" s="108" t="str">
        <f t="shared" si="2"/>
        <v>Jul</v>
      </c>
    </row>
    <row r="467">
      <c r="A467" s="106">
        <f>IFERROR(__xludf.DUMMYFUNCTION("""COMPUTED_VALUE"""),45483.0)</f>
        <v>45483</v>
      </c>
      <c r="B467" s="103">
        <f>IFERROR(__xludf.DUMMYFUNCTION("""COMPUTED_VALUE"""),22.99)</f>
        <v>22.99</v>
      </c>
      <c r="C467" s="79" t="str">
        <f>IFERROR(__xludf.DUMMYFUNCTION("""COMPUTED_VALUE"""),"YouTube Premium")</f>
        <v>YouTube Premium</v>
      </c>
      <c r="D467" s="79" t="str">
        <f>IFERROR(__xludf.DUMMYFUNCTION("""COMPUTED_VALUE"""),"Other")</f>
        <v>Other</v>
      </c>
      <c r="E467" s="79" t="str">
        <f>IFERROR(__xludf.DUMMYFUNCTION("""COMPUTED_VALUE"""),"Subscriptions")</f>
        <v>Subscriptions</v>
      </c>
      <c r="F467" s="79" t="str">
        <f>IFERROR(__xludf.DUMMYFUNCTION("""COMPUTED_VALUE"""),"Gil")</f>
        <v>Gil</v>
      </c>
      <c r="G467" s="107">
        <f t="shared" si="1"/>
        <v>11.495</v>
      </c>
      <c r="H467" s="108" t="str">
        <f t="shared" si="2"/>
        <v>Jul</v>
      </c>
    </row>
    <row r="468">
      <c r="A468" s="106">
        <f>IFERROR(__xludf.DUMMYFUNCTION("""COMPUTED_VALUE"""),45495.0)</f>
        <v>45495</v>
      </c>
      <c r="B468" s="103">
        <f>IFERROR(__xludf.DUMMYFUNCTION("""COMPUTED_VALUE"""),13.06)</f>
        <v>13.06</v>
      </c>
      <c r="C468" s="79" t="str">
        <f>IFERROR(__xludf.DUMMYFUNCTION("""COMPUTED_VALUE"""),"Birch Coffee - Filters")</f>
        <v>Birch Coffee - Filters</v>
      </c>
      <c r="D468" s="79" t="str">
        <f>IFERROR(__xludf.DUMMYFUNCTION("""COMPUTED_VALUE"""),"Amex Gold")</f>
        <v>Amex Gold</v>
      </c>
      <c r="E468" s="79" t="str">
        <f>IFERROR(__xludf.DUMMYFUNCTION("""COMPUTED_VALUE"""),"Household")</f>
        <v>Household</v>
      </c>
      <c r="F468" s="79" t="str">
        <f>IFERROR(__xludf.DUMMYFUNCTION("""COMPUTED_VALUE"""),"Gil")</f>
        <v>Gil</v>
      </c>
      <c r="G468" s="107">
        <f t="shared" si="1"/>
        <v>6.53</v>
      </c>
      <c r="H468" s="108" t="str">
        <f t="shared" si="2"/>
        <v>Jul</v>
      </c>
    </row>
    <row r="469">
      <c r="A469" s="106">
        <f>IFERROR(__xludf.DUMMYFUNCTION("""COMPUTED_VALUE"""),45495.0)</f>
        <v>45495</v>
      </c>
      <c r="B469" s="103">
        <f>IFERROR(__xludf.DUMMYFUNCTION("""COMPUTED_VALUE"""),181.49)</f>
        <v>181.49</v>
      </c>
      <c r="C469" s="79" t="str">
        <f>IFERROR(__xludf.DUMMYFUNCTION("""COMPUTED_VALUE"""),"T-Mobile")</f>
        <v>T-Mobile</v>
      </c>
      <c r="D469" s="79" t="str">
        <f>IFERROR(__xludf.DUMMYFUNCTION("""COMPUTED_VALUE"""),"Checking")</f>
        <v>Checking</v>
      </c>
      <c r="E469" s="79" t="str">
        <f>IFERROR(__xludf.DUMMYFUNCTION("""COMPUTED_VALUE"""),"Mobile Phone")</f>
        <v>Mobile Phone</v>
      </c>
      <c r="F469" s="79" t="str">
        <f>IFERROR(__xludf.DUMMYFUNCTION("""COMPUTED_VALUE"""),"Gil")</f>
        <v>Gil</v>
      </c>
      <c r="G469" s="107">
        <f t="shared" si="1"/>
        <v>90.745</v>
      </c>
      <c r="H469" s="108" t="str">
        <f t="shared" si="2"/>
        <v>Jul</v>
      </c>
    </row>
    <row r="470">
      <c r="A470" s="106">
        <f>IFERROR(__xludf.DUMMYFUNCTION("""COMPUTED_VALUE"""),45495.0)</f>
        <v>45495</v>
      </c>
      <c r="B470" s="103">
        <f>IFERROR(__xludf.DUMMYFUNCTION("""COMPUTED_VALUE"""),20.0)</f>
        <v>20</v>
      </c>
      <c r="C470" s="79" t="str">
        <f>IFERROR(__xludf.DUMMYFUNCTION("""COMPUTED_VALUE"""),"Farmer's Market - Lani's")</f>
        <v>Farmer's Market - Lani's</v>
      </c>
      <c r="D470" s="79" t="str">
        <f>IFERROR(__xludf.DUMMYFUNCTION("""COMPUTED_VALUE"""),"Cash")</f>
        <v>Cash</v>
      </c>
      <c r="E470" s="79" t="str">
        <f>IFERROR(__xludf.DUMMYFUNCTION("""COMPUTED_VALUE"""),"Groceries")</f>
        <v>Groceries</v>
      </c>
      <c r="F470" s="79" t="str">
        <f>IFERROR(__xludf.DUMMYFUNCTION("""COMPUTED_VALUE"""),"Gil")</f>
        <v>Gil</v>
      </c>
      <c r="G470" s="107">
        <f t="shared" si="1"/>
        <v>10</v>
      </c>
      <c r="H470" s="108" t="str">
        <f t="shared" si="2"/>
        <v>Jul</v>
      </c>
    </row>
    <row r="471">
      <c r="A471" s="106">
        <f>IFERROR(__xludf.DUMMYFUNCTION("""COMPUTED_VALUE"""),45497.0)</f>
        <v>45497</v>
      </c>
      <c r="B471" s="103">
        <f>IFERROR(__xludf.DUMMYFUNCTION("""COMPUTED_VALUE"""),86.25)</f>
        <v>86.25</v>
      </c>
      <c r="C471" s="79" t="str">
        <f>IFERROR(__xludf.DUMMYFUNCTION("""COMPUTED_VALUE"""),"Storage Unit #2 last payment")</f>
        <v>Storage Unit #2 last payment</v>
      </c>
      <c r="D471" s="79" t="str">
        <f>IFERROR(__xludf.DUMMYFUNCTION("""COMPUTED_VALUE"""),"Checking")</f>
        <v>Checking</v>
      </c>
      <c r="E471" s="79" t="str">
        <f>IFERROR(__xludf.DUMMYFUNCTION("""COMPUTED_VALUE"""),"Storage")</f>
        <v>Storage</v>
      </c>
      <c r="F471" s="79" t="str">
        <f>IFERROR(__xludf.DUMMYFUNCTION("""COMPUTED_VALUE"""),"Shaeffer")</f>
        <v>Shaeffer</v>
      </c>
      <c r="G471" s="107">
        <f t="shared" si="1"/>
        <v>43.125</v>
      </c>
      <c r="H471" s="108" t="str">
        <f t="shared" si="2"/>
        <v>Jul</v>
      </c>
    </row>
    <row r="472">
      <c r="A472" s="106">
        <f>IFERROR(__xludf.DUMMYFUNCTION("""COMPUTED_VALUE"""),45499.0)</f>
        <v>45499</v>
      </c>
      <c r="B472" s="103">
        <f>IFERROR(__xludf.DUMMYFUNCTION("""COMPUTED_VALUE"""),34.53)</f>
        <v>34.53</v>
      </c>
      <c r="C472" s="79" t="str">
        <f>IFERROR(__xludf.DUMMYFUNCTION("""COMPUTED_VALUE"""),"Poke and Roll")</f>
        <v>Poke and Roll</v>
      </c>
      <c r="D472" s="79" t="str">
        <f>IFERROR(__xludf.DUMMYFUNCTION("""COMPUTED_VALUE"""),"Amex Gold")</f>
        <v>Amex Gold</v>
      </c>
      <c r="E472" s="79" t="str">
        <f>IFERROR(__xludf.DUMMYFUNCTION("""COMPUTED_VALUE"""),"Meals")</f>
        <v>Meals</v>
      </c>
      <c r="F472" s="79" t="str">
        <f>IFERROR(__xludf.DUMMYFUNCTION("""COMPUTED_VALUE"""),"Gil")</f>
        <v>Gil</v>
      </c>
      <c r="G472" s="107">
        <f t="shared" si="1"/>
        <v>17.265</v>
      </c>
      <c r="H472" s="108" t="str">
        <f t="shared" si="2"/>
        <v>Jul</v>
      </c>
    </row>
    <row r="473">
      <c r="A473" s="106">
        <f>IFERROR(__xludf.DUMMYFUNCTION("""COMPUTED_VALUE"""),45499.0)</f>
        <v>45499</v>
      </c>
      <c r="B473" s="103">
        <f>IFERROR(__xludf.DUMMYFUNCTION("""COMPUTED_VALUE"""),40.0)</f>
        <v>40</v>
      </c>
      <c r="C473" s="79" t="str">
        <f>IFERROR(__xludf.DUMMYFUNCTION("""COMPUTED_VALUE"""),"Tile Bar")</f>
        <v>Tile Bar</v>
      </c>
      <c r="D473" s="79" t="str">
        <f>IFERROR(__xludf.DUMMYFUNCTION("""COMPUTED_VALUE"""),"Other")</f>
        <v>Other</v>
      </c>
      <c r="E473" s="79" t="str">
        <f>IFERROR(__xludf.DUMMYFUNCTION("""COMPUTED_VALUE"""),"Alcohol/Weed")</f>
        <v>Alcohol/Weed</v>
      </c>
      <c r="F473" s="79" t="str">
        <f>IFERROR(__xludf.DUMMYFUNCTION("""COMPUTED_VALUE"""),"Gil")</f>
        <v>Gil</v>
      </c>
      <c r="G473" s="107">
        <f t="shared" si="1"/>
        <v>20</v>
      </c>
      <c r="H473" s="108" t="str">
        <f t="shared" si="2"/>
        <v>Jul</v>
      </c>
    </row>
    <row r="474">
      <c r="A474" s="106">
        <f>IFERROR(__xludf.DUMMYFUNCTION("""COMPUTED_VALUE"""),45499.0)</f>
        <v>45499</v>
      </c>
      <c r="B474" s="103">
        <f>IFERROR(__xludf.DUMMYFUNCTION("""COMPUTED_VALUE"""),53.35)</f>
        <v>53.35</v>
      </c>
      <c r="C474" s="79" t="str">
        <f>IFERROR(__xludf.DUMMYFUNCTION("""COMPUTED_VALUE"""),"Convive Wine Shop")</f>
        <v>Convive Wine Shop</v>
      </c>
      <c r="D474" s="79" t="str">
        <f>IFERROR(__xludf.DUMMYFUNCTION("""COMPUTED_VALUE"""),"Other")</f>
        <v>Other</v>
      </c>
      <c r="E474" s="79" t="str">
        <f>IFERROR(__xludf.DUMMYFUNCTION("""COMPUTED_VALUE"""),"Alcohol/Weed")</f>
        <v>Alcohol/Weed</v>
      </c>
      <c r="F474" s="79" t="str">
        <f>IFERROR(__xludf.DUMMYFUNCTION("""COMPUTED_VALUE"""),"Gil")</f>
        <v>Gil</v>
      </c>
      <c r="G474" s="107">
        <f t="shared" si="1"/>
        <v>26.675</v>
      </c>
      <c r="H474" s="108" t="str">
        <f t="shared" si="2"/>
        <v>Jul</v>
      </c>
    </row>
    <row r="475">
      <c r="A475" s="106">
        <f>IFERROR(__xludf.DUMMYFUNCTION("""COMPUTED_VALUE"""),45500.0)</f>
        <v>45500</v>
      </c>
      <c r="B475" s="103">
        <f>IFERROR(__xludf.DUMMYFUNCTION("""COMPUTED_VALUE"""),96.0)</f>
        <v>96</v>
      </c>
      <c r="C475" s="79" t="str">
        <f>IFERROR(__xludf.DUMMYFUNCTION("""COMPUTED_VALUE"""),"Farmers Market")</f>
        <v>Farmers Market</v>
      </c>
      <c r="D475" s="79" t="str">
        <f>IFERROR(__xludf.DUMMYFUNCTION("""COMPUTED_VALUE"""),"Cash")</f>
        <v>Cash</v>
      </c>
      <c r="E475" s="79" t="str">
        <f>IFERROR(__xludf.DUMMYFUNCTION("""COMPUTED_VALUE"""),"Groceries")</f>
        <v>Groceries</v>
      </c>
      <c r="F475" s="79" t="str">
        <f>IFERROR(__xludf.DUMMYFUNCTION("""COMPUTED_VALUE"""),"Gil")</f>
        <v>Gil</v>
      </c>
      <c r="G475" s="107">
        <f t="shared" si="1"/>
        <v>48</v>
      </c>
      <c r="H475" s="108" t="str">
        <f t="shared" si="2"/>
        <v>Jul</v>
      </c>
    </row>
    <row r="476">
      <c r="A476" s="106">
        <f>IFERROR(__xludf.DUMMYFUNCTION("""COMPUTED_VALUE"""),45501.0)</f>
        <v>45501</v>
      </c>
      <c r="B476" s="103">
        <f>IFERROR(__xludf.DUMMYFUNCTION("""COMPUTED_VALUE"""),16.86)</f>
        <v>16.86</v>
      </c>
      <c r="C476" s="79" t="str">
        <f>IFERROR(__xludf.DUMMYFUNCTION("""COMPUTED_VALUE"""),"Netflix")</f>
        <v>Netflix</v>
      </c>
      <c r="D476" s="79" t="str">
        <f>IFERROR(__xludf.DUMMYFUNCTION("""COMPUTED_VALUE"""),"Amex Blue")</f>
        <v>Amex Blue</v>
      </c>
      <c r="E476" s="79" t="str">
        <f>IFERROR(__xludf.DUMMYFUNCTION("""COMPUTED_VALUE"""),"Subscriptions")</f>
        <v>Subscriptions</v>
      </c>
      <c r="F476" s="79" t="str">
        <f>IFERROR(__xludf.DUMMYFUNCTION("""COMPUTED_VALUE"""),"Gil")</f>
        <v>Gil</v>
      </c>
      <c r="G476" s="107">
        <f t="shared" si="1"/>
        <v>8.43</v>
      </c>
      <c r="H476" s="108" t="str">
        <f t="shared" si="2"/>
        <v>Jul</v>
      </c>
    </row>
    <row r="477">
      <c r="A477" s="106">
        <f>IFERROR(__xludf.DUMMYFUNCTION("""COMPUTED_VALUE"""),45502.0)</f>
        <v>45502</v>
      </c>
      <c r="B477" s="103">
        <f>IFERROR(__xludf.DUMMYFUNCTION("""COMPUTED_VALUE"""),49.5)</f>
        <v>49.5</v>
      </c>
      <c r="C477" s="79" t="str">
        <f>IFERROR(__xludf.DUMMYFUNCTION("""COMPUTED_VALUE"""),"ATG (Knees Over Toes)")</f>
        <v>ATG (Knees Over Toes)</v>
      </c>
      <c r="D477" s="79" t="str">
        <f>IFERROR(__xludf.DUMMYFUNCTION("""COMPUTED_VALUE"""),"Other")</f>
        <v>Other</v>
      </c>
      <c r="E477" s="79" t="str">
        <f>IFERROR(__xludf.DUMMYFUNCTION("""COMPUTED_VALUE"""),"Subscriptions")</f>
        <v>Subscriptions</v>
      </c>
      <c r="F477" s="79" t="str">
        <f>IFERROR(__xludf.DUMMYFUNCTION("""COMPUTED_VALUE"""),"Gil")</f>
        <v>Gil</v>
      </c>
      <c r="G477" s="107">
        <f t="shared" si="1"/>
        <v>24.75</v>
      </c>
      <c r="H477" s="108" t="str">
        <f t="shared" si="2"/>
        <v>Jul</v>
      </c>
    </row>
    <row r="478">
      <c r="A478" s="106">
        <f>IFERROR(__xludf.DUMMYFUNCTION("""COMPUTED_VALUE"""),45503.0)</f>
        <v>45503</v>
      </c>
      <c r="B478" s="103">
        <f>IFERROR(__xludf.DUMMYFUNCTION("""COMPUTED_VALUE"""),6.99)</f>
        <v>6.99</v>
      </c>
      <c r="C478" s="79" t="str">
        <f>IFERROR(__xludf.DUMMYFUNCTION("""COMPUTED_VALUE"""),"Mr. Lemon ")</f>
        <v>Mr. Lemon </v>
      </c>
      <c r="D478" s="79" t="str">
        <f>IFERROR(__xludf.DUMMYFUNCTION("""COMPUTED_VALUE"""),"Amex Blue")</f>
        <v>Amex Blue</v>
      </c>
      <c r="E478" s="79" t="str">
        <f>IFERROR(__xludf.DUMMYFUNCTION("""COMPUTED_VALUE"""),"Groceries")</f>
        <v>Groceries</v>
      </c>
      <c r="F478" s="79" t="str">
        <f>IFERROR(__xludf.DUMMYFUNCTION("""COMPUTED_VALUE"""),"Gil")</f>
        <v>Gil</v>
      </c>
      <c r="G478" s="107">
        <f t="shared" si="1"/>
        <v>3.495</v>
      </c>
      <c r="H478" s="108" t="str">
        <f t="shared" si="2"/>
        <v>Jul</v>
      </c>
    </row>
    <row r="479">
      <c r="A479" s="106">
        <f>IFERROR(__xludf.DUMMYFUNCTION("""COMPUTED_VALUE"""),45504.0)</f>
        <v>45504</v>
      </c>
      <c r="B479" s="103">
        <f>IFERROR(__xludf.DUMMYFUNCTION("""COMPUTED_VALUE"""),25.93)</f>
        <v>25.93</v>
      </c>
      <c r="C479" s="79" t="str">
        <f>IFERROR(__xludf.DUMMYFUNCTION("""COMPUTED_VALUE"""),"Whole Foods")</f>
        <v>Whole Foods</v>
      </c>
      <c r="D479" s="79" t="str">
        <f>IFERROR(__xludf.DUMMYFUNCTION("""COMPUTED_VALUE"""),"Amex Blue")</f>
        <v>Amex Blue</v>
      </c>
      <c r="E479" s="79" t="str">
        <f>IFERROR(__xludf.DUMMYFUNCTION("""COMPUTED_VALUE"""),"Groceries")</f>
        <v>Groceries</v>
      </c>
      <c r="F479" s="79" t="str">
        <f>IFERROR(__xludf.DUMMYFUNCTION("""COMPUTED_VALUE"""),"Gil")</f>
        <v>Gil</v>
      </c>
      <c r="G479" s="107">
        <f t="shared" si="1"/>
        <v>12.965</v>
      </c>
      <c r="H479" s="108" t="str">
        <f t="shared" si="2"/>
        <v>Jul</v>
      </c>
    </row>
    <row r="480">
      <c r="A480" s="106">
        <f>IFERROR(__xludf.DUMMYFUNCTION("""COMPUTED_VALUE"""),45504.0)</f>
        <v>45504</v>
      </c>
      <c r="B480" s="103">
        <f>IFERROR(__xludf.DUMMYFUNCTION("""COMPUTED_VALUE"""),14.14)</f>
        <v>14.14</v>
      </c>
      <c r="C480" s="79" t="str">
        <f>IFERROR(__xludf.DUMMYFUNCTION("""COMPUTED_VALUE"""),"Whole Foods")</f>
        <v>Whole Foods</v>
      </c>
      <c r="D480" s="79" t="str">
        <f>IFERROR(__xludf.DUMMYFUNCTION("""COMPUTED_VALUE"""),"Amex Blue")</f>
        <v>Amex Blue</v>
      </c>
      <c r="E480" s="79" t="str">
        <f>IFERROR(__xludf.DUMMYFUNCTION("""COMPUTED_VALUE"""),"Groceries")</f>
        <v>Groceries</v>
      </c>
      <c r="F480" s="79" t="str">
        <f>IFERROR(__xludf.DUMMYFUNCTION("""COMPUTED_VALUE"""),"Gil")</f>
        <v>Gil</v>
      </c>
      <c r="G480" s="107">
        <f t="shared" si="1"/>
        <v>7.07</v>
      </c>
      <c r="H480" s="108" t="str">
        <f t="shared" si="2"/>
        <v>Jul</v>
      </c>
    </row>
    <row r="481">
      <c r="A481" s="106">
        <f>IFERROR(__xludf.DUMMYFUNCTION("""COMPUTED_VALUE"""),45505.0)</f>
        <v>45505</v>
      </c>
      <c r="B481" s="103">
        <f>IFERROR(__xludf.DUMMYFUNCTION("""COMPUTED_VALUE"""),860.68)</f>
        <v>860.68</v>
      </c>
      <c r="C481" s="79" t="str">
        <f>IFERROR(__xludf.DUMMYFUNCTION("""COMPUTED_VALUE"""),"Healthfirst")</f>
        <v>Healthfirst</v>
      </c>
      <c r="D481" s="79" t="str">
        <f>IFERROR(__xludf.DUMMYFUNCTION("""COMPUTED_VALUE"""),"Amazon Prime Chase")</f>
        <v>Amazon Prime Chase</v>
      </c>
      <c r="E481" s="79" t="str">
        <f>IFERROR(__xludf.DUMMYFUNCTION("""COMPUTED_VALUE"""),"Insurance")</f>
        <v>Insurance</v>
      </c>
      <c r="F481" s="79" t="str">
        <f>IFERROR(__xludf.DUMMYFUNCTION("""COMPUTED_VALUE"""),"Gil")</f>
        <v>Gil</v>
      </c>
      <c r="G481" s="107">
        <f t="shared" si="1"/>
        <v>430.34</v>
      </c>
      <c r="H481" s="108" t="str">
        <f t="shared" si="2"/>
        <v>Aug</v>
      </c>
    </row>
    <row r="482">
      <c r="A482" s="106">
        <f>IFERROR(__xludf.DUMMYFUNCTION("""COMPUTED_VALUE"""),45504.0)</f>
        <v>45504</v>
      </c>
      <c r="B482" s="103">
        <f>IFERROR(__xludf.DUMMYFUNCTION("""COMPUTED_VALUE"""),52.53)</f>
        <v>52.53</v>
      </c>
      <c r="C482" s="79" t="str">
        <f>IFERROR(__xludf.DUMMYFUNCTION("""COMPUTED_VALUE"""),"Amazon Prime - Whole Foods")</f>
        <v>Amazon Prime - Whole Foods</v>
      </c>
      <c r="D482" s="79" t="str">
        <f>IFERROR(__xludf.DUMMYFUNCTION("""COMPUTED_VALUE"""),"Amazon Prime Chase")</f>
        <v>Amazon Prime Chase</v>
      </c>
      <c r="E482" s="79" t="str">
        <f>IFERROR(__xludf.DUMMYFUNCTION("""COMPUTED_VALUE"""),"Groceries")</f>
        <v>Groceries</v>
      </c>
      <c r="F482" s="79" t="str">
        <f>IFERROR(__xludf.DUMMYFUNCTION("""COMPUTED_VALUE"""),"Gil")</f>
        <v>Gil</v>
      </c>
      <c r="G482" s="107">
        <f t="shared" si="1"/>
        <v>26.265</v>
      </c>
      <c r="H482" s="108" t="str">
        <f t="shared" si="2"/>
        <v>Jul</v>
      </c>
    </row>
    <row r="483">
      <c r="A483" s="106">
        <f>IFERROR(__xludf.DUMMYFUNCTION("""COMPUTED_VALUE"""),45506.0)</f>
        <v>45506</v>
      </c>
      <c r="B483" s="103">
        <f>IFERROR(__xludf.DUMMYFUNCTION("""COMPUTED_VALUE"""),160.0)</f>
        <v>160</v>
      </c>
      <c r="C483" s="79" t="str">
        <f>IFERROR(__xludf.DUMMYFUNCTION("""COMPUTED_VALUE"""),"Storage Unit")</f>
        <v>Storage Unit</v>
      </c>
      <c r="D483" s="79" t="str">
        <f>IFERROR(__xludf.DUMMYFUNCTION("""COMPUTED_VALUE"""),"Checking")</f>
        <v>Checking</v>
      </c>
      <c r="E483" s="79" t="str">
        <f>IFERROR(__xludf.DUMMYFUNCTION("""COMPUTED_VALUE"""),"Storage")</f>
        <v>Storage</v>
      </c>
      <c r="F483" s="79" t="str">
        <f>IFERROR(__xludf.DUMMYFUNCTION("""COMPUTED_VALUE"""),"Gil")</f>
        <v>Gil</v>
      </c>
      <c r="G483" s="107">
        <f t="shared" si="1"/>
        <v>80</v>
      </c>
      <c r="H483" s="108" t="str">
        <f t="shared" si="2"/>
        <v>Aug</v>
      </c>
    </row>
    <row r="484">
      <c r="A484" s="106">
        <f>IFERROR(__xludf.DUMMYFUNCTION("""COMPUTED_VALUE"""),45486.0)</f>
        <v>45486</v>
      </c>
      <c r="B484" s="103">
        <f>IFERROR(__xludf.DUMMYFUNCTION("""COMPUTED_VALUE"""),4.99)</f>
        <v>4.99</v>
      </c>
      <c r="C484" s="79" t="str">
        <f>IFERROR(__xludf.DUMMYFUNCTION("""COMPUTED_VALUE"""),"movie rental ")</f>
        <v>movie rental </v>
      </c>
      <c r="D484" s="79" t="str">
        <f>IFERROR(__xludf.DUMMYFUNCTION("""COMPUTED_VALUE"""),"Other")</f>
        <v>Other</v>
      </c>
      <c r="E484" s="79" t="str">
        <f>IFERROR(__xludf.DUMMYFUNCTION("""COMPUTED_VALUE"""),"Entertainment")</f>
        <v>Entertainment</v>
      </c>
      <c r="F484" s="79" t="str">
        <f>IFERROR(__xludf.DUMMYFUNCTION("""COMPUTED_VALUE"""),"Shaeffer")</f>
        <v>Shaeffer</v>
      </c>
      <c r="G484" s="107">
        <f t="shared" si="1"/>
        <v>2.495</v>
      </c>
      <c r="H484" s="108" t="str">
        <f t="shared" si="2"/>
        <v>Jul</v>
      </c>
    </row>
    <row r="485">
      <c r="A485" s="106">
        <f>IFERROR(__xludf.DUMMYFUNCTION("""COMPUTED_VALUE"""),45506.0)</f>
        <v>45506</v>
      </c>
      <c r="B485" s="103">
        <f>IFERROR(__xludf.DUMMYFUNCTION("""COMPUTED_VALUE"""),23.0)</f>
        <v>23</v>
      </c>
      <c r="C485" s="79" t="str">
        <f>IFERROR(__xludf.DUMMYFUNCTION("""COMPUTED_VALUE"""),"Lemonade")</f>
        <v>Lemonade</v>
      </c>
      <c r="D485" s="79" t="str">
        <f>IFERROR(__xludf.DUMMYFUNCTION("""COMPUTED_VALUE"""),"Amazon Prime Chase")</f>
        <v>Amazon Prime Chase</v>
      </c>
      <c r="E485" s="79" t="str">
        <f>IFERROR(__xludf.DUMMYFUNCTION("""COMPUTED_VALUE"""),"Insurance")</f>
        <v>Insurance</v>
      </c>
      <c r="F485" s="79" t="str">
        <f>IFERROR(__xludf.DUMMYFUNCTION("""COMPUTED_VALUE"""),"Gil")</f>
        <v>Gil</v>
      </c>
      <c r="G485" s="107">
        <f t="shared" si="1"/>
        <v>11.5</v>
      </c>
      <c r="H485" s="108" t="str">
        <f t="shared" si="2"/>
        <v>Aug</v>
      </c>
    </row>
    <row r="486">
      <c r="A486" s="106">
        <f>IFERROR(__xludf.DUMMYFUNCTION("""COMPUTED_VALUE"""),45482.0)</f>
        <v>45482</v>
      </c>
      <c r="B486" s="103">
        <f>IFERROR(__xludf.DUMMYFUNCTION("""COMPUTED_VALUE"""),45.0)</f>
        <v>45</v>
      </c>
      <c r="C486" s="79" t="str">
        <f>IFERROR(__xludf.DUMMYFUNCTION("""COMPUTED_VALUE"""),"laundry")</f>
        <v>laundry</v>
      </c>
      <c r="D486" s="79" t="str">
        <f>IFERROR(__xludf.DUMMYFUNCTION("""COMPUTED_VALUE"""),"Checking")</f>
        <v>Checking</v>
      </c>
      <c r="E486" s="79" t="str">
        <f>IFERROR(__xludf.DUMMYFUNCTION("""COMPUTED_VALUE"""),"Household")</f>
        <v>Household</v>
      </c>
      <c r="F486" s="79" t="str">
        <f>IFERROR(__xludf.DUMMYFUNCTION("""COMPUTED_VALUE"""),"Shaeffer")</f>
        <v>Shaeffer</v>
      </c>
      <c r="G486" s="107">
        <f t="shared" si="1"/>
        <v>22.5</v>
      </c>
      <c r="H486" s="108" t="str">
        <f t="shared" si="2"/>
        <v>Jul</v>
      </c>
    </row>
    <row r="487">
      <c r="A487" s="106">
        <f>IFERROR(__xludf.DUMMYFUNCTION("""COMPUTED_VALUE"""),45501.0)</f>
        <v>45501</v>
      </c>
      <c r="B487" s="103">
        <f>IFERROR(__xludf.DUMMYFUNCTION("""COMPUTED_VALUE"""),25.0)</f>
        <v>25</v>
      </c>
      <c r="C487" s="79" t="str">
        <f>IFERROR(__xludf.DUMMYFUNCTION("""COMPUTED_VALUE"""),"laundry")</f>
        <v>laundry</v>
      </c>
      <c r="D487" s="79" t="str">
        <f>IFERROR(__xludf.DUMMYFUNCTION("""COMPUTED_VALUE"""),"Checking")</f>
        <v>Checking</v>
      </c>
      <c r="E487" s="79" t="str">
        <f>IFERROR(__xludf.DUMMYFUNCTION("""COMPUTED_VALUE"""),"Household")</f>
        <v>Household</v>
      </c>
      <c r="F487" s="79" t="str">
        <f>IFERROR(__xludf.DUMMYFUNCTION("""COMPUTED_VALUE"""),"Shaeffer")</f>
        <v>Shaeffer</v>
      </c>
      <c r="G487" s="107">
        <f t="shared" si="1"/>
        <v>12.5</v>
      </c>
      <c r="H487" s="108" t="str">
        <f t="shared" si="2"/>
        <v>Jul</v>
      </c>
    </row>
    <row r="488">
      <c r="A488" s="106">
        <f>IFERROR(__xludf.DUMMYFUNCTION("""COMPUTED_VALUE"""),45505.0)</f>
        <v>45505</v>
      </c>
      <c r="B488" s="103">
        <f>IFERROR(__xludf.DUMMYFUNCTION("""COMPUTED_VALUE"""),2700.0)</f>
        <v>2700</v>
      </c>
      <c r="C488" s="79" t="str">
        <f>IFERROR(__xludf.DUMMYFUNCTION("""COMPUTED_VALUE"""),"Aug rent")</f>
        <v>Aug rent</v>
      </c>
      <c r="D488" s="79" t="str">
        <f>IFERROR(__xludf.DUMMYFUNCTION("""COMPUTED_VALUE"""),"Checking")</f>
        <v>Checking</v>
      </c>
      <c r="E488" s="79" t="str">
        <f>IFERROR(__xludf.DUMMYFUNCTION("""COMPUTED_VALUE"""),"Rent")</f>
        <v>Rent</v>
      </c>
      <c r="F488" s="79" t="str">
        <f>IFERROR(__xludf.DUMMYFUNCTION("""COMPUTED_VALUE"""),"Shaeffer")</f>
        <v>Shaeffer</v>
      </c>
      <c r="G488" s="107">
        <f t="shared" si="1"/>
        <v>1350</v>
      </c>
      <c r="H488" s="108" t="str">
        <f t="shared" si="2"/>
        <v>Aug</v>
      </c>
    </row>
    <row r="489">
      <c r="A489" s="106">
        <f>IFERROR(__xludf.DUMMYFUNCTION("""COMPUTED_VALUE"""),45498.0)</f>
        <v>45498</v>
      </c>
      <c r="B489" s="103">
        <f>IFERROR(__xludf.DUMMYFUNCTION("""COMPUTED_VALUE"""),86.25)</f>
        <v>86.25</v>
      </c>
      <c r="C489" s="79" t="str">
        <f>IFERROR(__xludf.DUMMYFUNCTION("""COMPUTED_VALUE"""),"Storage #2 - final payments")</f>
        <v>Storage #2 - final payments</v>
      </c>
      <c r="D489" s="79" t="str">
        <f>IFERROR(__xludf.DUMMYFUNCTION("""COMPUTED_VALUE"""),"Checking")</f>
        <v>Checking</v>
      </c>
      <c r="E489" s="79" t="str">
        <f>IFERROR(__xludf.DUMMYFUNCTION("""COMPUTED_VALUE"""),"Storage")</f>
        <v>Storage</v>
      </c>
      <c r="F489" s="79" t="str">
        <f>IFERROR(__xludf.DUMMYFUNCTION("""COMPUTED_VALUE"""),"Shaeffer")</f>
        <v>Shaeffer</v>
      </c>
      <c r="G489" s="107">
        <f t="shared" si="1"/>
        <v>43.125</v>
      </c>
      <c r="H489" s="108" t="str">
        <f t="shared" si="2"/>
        <v>Jul</v>
      </c>
    </row>
    <row r="490">
      <c r="A490" s="106">
        <f>IFERROR(__xludf.DUMMYFUNCTION("""COMPUTED_VALUE"""),45492.0)</f>
        <v>45492</v>
      </c>
      <c r="B490" s="103">
        <f>IFERROR(__xludf.DUMMYFUNCTION("""COMPUTED_VALUE"""),7.99)</f>
        <v>7.99</v>
      </c>
      <c r="C490" s="79" t="str">
        <f>IFERROR(__xludf.DUMMYFUNCTION("""COMPUTED_VALUE"""),"Hulu")</f>
        <v>Hulu</v>
      </c>
      <c r="D490" s="79" t="str">
        <f>IFERROR(__xludf.DUMMYFUNCTION("""COMPUTED_VALUE"""),"Chase Reserve")</f>
        <v>Chase Reserve</v>
      </c>
      <c r="E490" s="79" t="str">
        <f>IFERROR(__xludf.DUMMYFUNCTION("""COMPUTED_VALUE"""),"Subscriptions")</f>
        <v>Subscriptions</v>
      </c>
      <c r="F490" s="79" t="str">
        <f>IFERROR(__xludf.DUMMYFUNCTION("""COMPUTED_VALUE"""),"Shaeffer")</f>
        <v>Shaeffer</v>
      </c>
      <c r="G490" s="107">
        <f t="shared" si="1"/>
        <v>3.995</v>
      </c>
      <c r="H490" s="108" t="str">
        <f t="shared" si="2"/>
        <v>Jul</v>
      </c>
    </row>
    <row r="491">
      <c r="A491" s="106">
        <f>IFERROR(__xludf.DUMMYFUNCTION("""COMPUTED_VALUE"""),45483.0)</f>
        <v>45483</v>
      </c>
      <c r="B491" s="103">
        <f>IFERROR(__xludf.DUMMYFUNCTION("""COMPUTED_VALUE"""),25.0)</f>
        <v>25</v>
      </c>
      <c r="C491" s="79" t="str">
        <f>IFERROR(__xludf.DUMMYFUNCTION("""COMPUTED_VALUE"""),"Jacob - venmo tip")</f>
        <v>Jacob - venmo tip</v>
      </c>
      <c r="D491" s="79" t="str">
        <f>IFERROR(__xludf.DUMMYFUNCTION("""COMPUTED_VALUE"""),"Cash")</f>
        <v>Cash</v>
      </c>
      <c r="E491" s="79" t="str">
        <f>IFERROR(__xludf.DUMMYFUNCTION("""COMPUTED_VALUE"""),"Alcohol/Weed")</f>
        <v>Alcohol/Weed</v>
      </c>
      <c r="F491" s="79" t="str">
        <f>IFERROR(__xludf.DUMMYFUNCTION("""COMPUTED_VALUE"""),"Shaeffer")</f>
        <v>Shaeffer</v>
      </c>
      <c r="G491" s="107">
        <f t="shared" si="1"/>
        <v>12.5</v>
      </c>
      <c r="H491" s="108" t="str">
        <f t="shared" si="2"/>
        <v>Jul</v>
      </c>
    </row>
    <row r="492">
      <c r="A492" s="106">
        <f>IFERROR(__xludf.DUMMYFUNCTION("""COMPUTED_VALUE"""),45490.0)</f>
        <v>45490</v>
      </c>
      <c r="B492" s="103">
        <f>IFERROR(__xludf.DUMMYFUNCTION("""COMPUTED_VALUE"""),22.0)</f>
        <v>22</v>
      </c>
      <c r="C492" s="79" t="str">
        <f>IFERROR(__xludf.DUMMYFUNCTION("""COMPUTED_VALUE"""),"Fosters ")</f>
        <v>Fosters </v>
      </c>
      <c r="D492" s="79" t="str">
        <f>IFERROR(__xludf.DUMMYFUNCTION("""COMPUTED_VALUE"""),"Cash")</f>
        <v>Cash</v>
      </c>
      <c r="E492" s="79" t="str">
        <f>IFERROR(__xludf.DUMMYFUNCTION("""COMPUTED_VALUE"""),"Groceries")</f>
        <v>Groceries</v>
      </c>
      <c r="F492" s="79" t="str">
        <f>IFERROR(__xludf.DUMMYFUNCTION("""COMPUTED_VALUE"""),"Shaeffer")</f>
        <v>Shaeffer</v>
      </c>
      <c r="G492" s="107">
        <f t="shared" si="1"/>
        <v>11</v>
      </c>
      <c r="H492" s="108" t="str">
        <f t="shared" si="2"/>
        <v>Jul</v>
      </c>
    </row>
    <row r="493">
      <c r="A493" s="106">
        <f>IFERROR(__xludf.DUMMYFUNCTION("""COMPUTED_VALUE"""),45498.0)</f>
        <v>45498</v>
      </c>
      <c r="B493" s="103">
        <f>IFERROR(__xludf.DUMMYFUNCTION("""COMPUTED_VALUE"""),44.33)</f>
        <v>44.33</v>
      </c>
      <c r="C493" s="79" t="str">
        <f>IFERROR(__xludf.DUMMYFUNCTION("""COMPUTED_VALUE"""),"The Perfect Pint")</f>
        <v>The Perfect Pint</v>
      </c>
      <c r="D493" s="79" t="str">
        <f>IFERROR(__xludf.DUMMYFUNCTION("""COMPUTED_VALUE"""),"Chase Reserve")</f>
        <v>Chase Reserve</v>
      </c>
      <c r="E493" s="79" t="str">
        <f>IFERROR(__xludf.DUMMYFUNCTION("""COMPUTED_VALUE"""),"Entertainment")</f>
        <v>Entertainment</v>
      </c>
      <c r="F493" s="79" t="str">
        <f>IFERROR(__xludf.DUMMYFUNCTION("""COMPUTED_VALUE"""),"Shaeffer")</f>
        <v>Shaeffer</v>
      </c>
      <c r="G493" s="107">
        <f t="shared" si="1"/>
        <v>22.165</v>
      </c>
      <c r="H493" s="108" t="str">
        <f t="shared" si="2"/>
        <v>Jul</v>
      </c>
    </row>
    <row r="494">
      <c r="A494" s="106">
        <f>IFERROR(__xludf.DUMMYFUNCTION("""COMPUTED_VALUE"""),45503.0)</f>
        <v>45503</v>
      </c>
      <c r="B494" s="103">
        <f>IFERROR(__xludf.DUMMYFUNCTION("""COMPUTED_VALUE"""),43.53)</f>
        <v>43.53</v>
      </c>
      <c r="C494" s="79" t="str">
        <f>IFERROR(__xludf.DUMMYFUNCTION("""COMPUTED_VALUE"""),"Irving Wines")</f>
        <v>Irving Wines</v>
      </c>
      <c r="D494" s="79" t="str">
        <f>IFERROR(__xludf.DUMMYFUNCTION("""COMPUTED_VALUE"""),"Chase Reserve")</f>
        <v>Chase Reserve</v>
      </c>
      <c r="E494" s="79" t="str">
        <f>IFERROR(__xludf.DUMMYFUNCTION("""COMPUTED_VALUE"""),"Alcohol/Weed")</f>
        <v>Alcohol/Weed</v>
      </c>
      <c r="F494" s="79" t="str">
        <f>IFERROR(__xludf.DUMMYFUNCTION("""COMPUTED_VALUE"""),"Shaeffer")</f>
        <v>Shaeffer</v>
      </c>
      <c r="G494" s="107">
        <f t="shared" si="1"/>
        <v>21.765</v>
      </c>
      <c r="H494" s="108" t="str">
        <f t="shared" si="2"/>
        <v>Jul</v>
      </c>
    </row>
    <row r="495">
      <c r="A495" s="106">
        <f>IFERROR(__xludf.DUMMYFUNCTION("""COMPUTED_VALUE"""),45507.0)</f>
        <v>45507</v>
      </c>
      <c r="B495" s="103">
        <f>IFERROR(__xludf.DUMMYFUNCTION("""COMPUTED_VALUE"""),86.5)</f>
        <v>86.5</v>
      </c>
      <c r="C495" s="79" t="str">
        <f>IFERROR(__xludf.DUMMYFUNCTION("""COMPUTED_VALUE"""),"Bodhi Tree")</f>
        <v>Bodhi Tree</v>
      </c>
      <c r="D495" s="79" t="str">
        <f>IFERROR(__xludf.DUMMYFUNCTION("""COMPUTED_VALUE"""),"Cash")</f>
        <v>Cash</v>
      </c>
      <c r="E495" s="79" t="str">
        <f>IFERROR(__xludf.DUMMYFUNCTION("""COMPUTED_VALUE"""),"Groceries")</f>
        <v>Groceries</v>
      </c>
      <c r="F495" s="79" t="str">
        <f>IFERROR(__xludf.DUMMYFUNCTION("""COMPUTED_VALUE"""),"Gil")</f>
        <v>Gil</v>
      </c>
      <c r="G495" s="107">
        <f t="shared" si="1"/>
        <v>43.25</v>
      </c>
      <c r="H495" s="108" t="str">
        <f t="shared" si="2"/>
        <v>Aug</v>
      </c>
    </row>
    <row r="496">
      <c r="A496" s="106">
        <f>IFERROR(__xludf.DUMMYFUNCTION("""COMPUTED_VALUE"""),45508.0)</f>
        <v>45508</v>
      </c>
      <c r="B496" s="103">
        <f>IFERROR(__xludf.DUMMYFUNCTION("""COMPUTED_VALUE"""),58.0)</f>
        <v>58</v>
      </c>
      <c r="C496" s="79" t="str">
        <f>IFERROR(__xludf.DUMMYFUNCTION("""COMPUTED_VALUE"""),"Laundry")</f>
        <v>Laundry</v>
      </c>
      <c r="D496" s="79" t="str">
        <f>IFERROR(__xludf.DUMMYFUNCTION("""COMPUTED_VALUE"""),"Checking")</f>
        <v>Checking</v>
      </c>
      <c r="E496" s="79" t="str">
        <f>IFERROR(__xludf.DUMMYFUNCTION("""COMPUTED_VALUE"""),"Household")</f>
        <v>Household</v>
      </c>
      <c r="F496" s="79" t="str">
        <f>IFERROR(__xludf.DUMMYFUNCTION("""COMPUTED_VALUE"""),"Shaeffer")</f>
        <v>Shaeffer</v>
      </c>
      <c r="G496" s="107">
        <f t="shared" si="1"/>
        <v>29</v>
      </c>
      <c r="H496" s="108" t="str">
        <f t="shared" si="2"/>
        <v>Aug</v>
      </c>
    </row>
    <row r="497">
      <c r="A497" s="106">
        <f>IFERROR(__xludf.DUMMYFUNCTION("""COMPUTED_VALUE"""),45508.0)</f>
        <v>45508</v>
      </c>
      <c r="B497" s="103">
        <f>IFERROR(__xludf.DUMMYFUNCTION("""COMPUTED_VALUE"""),22.51)</f>
        <v>22.51</v>
      </c>
      <c r="C497" s="79" t="str">
        <f>IFERROR(__xludf.DUMMYFUNCTION("""COMPUTED_VALUE"""),"National Grid")</f>
        <v>National Grid</v>
      </c>
      <c r="D497" s="79" t="str">
        <f>IFERROR(__xludf.DUMMYFUNCTION("""COMPUTED_VALUE"""),"Checking")</f>
        <v>Checking</v>
      </c>
      <c r="E497" s="79" t="str">
        <f>IFERROR(__xludf.DUMMYFUNCTION("""COMPUTED_VALUE"""),"Utilities")</f>
        <v>Utilities</v>
      </c>
      <c r="F497" s="79" t="str">
        <f>IFERROR(__xludf.DUMMYFUNCTION("""COMPUTED_VALUE"""),"Gil")</f>
        <v>Gil</v>
      </c>
      <c r="G497" s="107">
        <f t="shared" si="1"/>
        <v>11.255</v>
      </c>
      <c r="H497" s="108" t="str">
        <f t="shared" si="2"/>
        <v>Aug</v>
      </c>
    </row>
    <row r="498">
      <c r="A498" s="106">
        <f>IFERROR(__xludf.DUMMYFUNCTION("""COMPUTED_VALUE"""),45507.0)</f>
        <v>45507</v>
      </c>
      <c r="B498" s="103">
        <f>IFERROR(__xludf.DUMMYFUNCTION("""COMPUTED_VALUE"""),143.66)</f>
        <v>143.66</v>
      </c>
      <c r="C498" s="79" t="str">
        <f>IFERROR(__xludf.DUMMYFUNCTION("""COMPUTED_VALUE"""),"Amazon - cameras for Canada")</f>
        <v>Amazon - cameras for Canada</v>
      </c>
      <c r="D498" s="79" t="str">
        <f>IFERROR(__xludf.DUMMYFUNCTION("""COMPUTED_VALUE"""),"Shaeffer ONLY")</f>
        <v>Shaeffer ONLY</v>
      </c>
      <c r="E498" s="79"/>
      <c r="F498" s="79" t="str">
        <f>IFERROR(__xludf.DUMMYFUNCTION("""COMPUTED_VALUE"""),"Gil")</f>
        <v>Gil</v>
      </c>
      <c r="G498" s="107">
        <f t="shared" si="1"/>
        <v>71.83</v>
      </c>
      <c r="H498" s="108" t="str">
        <f t="shared" si="2"/>
        <v>Aug</v>
      </c>
    </row>
    <row r="499">
      <c r="A499" s="106">
        <f>IFERROR(__xludf.DUMMYFUNCTION("""COMPUTED_VALUE"""),45509.0)</f>
        <v>45509</v>
      </c>
      <c r="B499" s="103">
        <f>IFERROR(__xludf.DUMMYFUNCTION("""COMPUTED_VALUE"""),43.55)</f>
        <v>43.55</v>
      </c>
      <c r="C499" s="79" t="str">
        <f>IFERROR(__xludf.DUMMYFUNCTION("""COMPUTED_VALUE"""),"C&amp;O Bigelow")</f>
        <v>C&amp;O Bigelow</v>
      </c>
      <c r="D499" s="79" t="str">
        <f>IFERROR(__xludf.DUMMYFUNCTION("""COMPUTED_VALUE"""),"Amex Gold")</f>
        <v>Amex Gold</v>
      </c>
      <c r="E499" s="79" t="str">
        <f>IFERROR(__xludf.DUMMYFUNCTION("""COMPUTED_VALUE"""),"Household")</f>
        <v>Household</v>
      </c>
      <c r="F499" s="79" t="str">
        <f>IFERROR(__xludf.DUMMYFUNCTION("""COMPUTED_VALUE"""),"Shaeffer")</f>
        <v>Shaeffer</v>
      </c>
      <c r="G499" s="107">
        <f t="shared" si="1"/>
        <v>21.775</v>
      </c>
      <c r="H499" s="108" t="str">
        <f t="shared" si="2"/>
        <v>Aug</v>
      </c>
    </row>
    <row r="500">
      <c r="A500" s="106">
        <f>IFERROR(__xludf.DUMMYFUNCTION("""COMPUTED_VALUE"""),45509.0)</f>
        <v>45509</v>
      </c>
      <c r="B500" s="103">
        <f>IFERROR(__xludf.DUMMYFUNCTION("""COMPUTED_VALUE"""),24.18)</f>
        <v>24.18</v>
      </c>
      <c r="C500" s="79" t="str">
        <f>IFERROR(__xludf.DUMMYFUNCTION("""COMPUTED_VALUE"""),"Whole Foods ")</f>
        <v>Whole Foods </v>
      </c>
      <c r="D500" s="79" t="str">
        <f>IFERROR(__xludf.DUMMYFUNCTION("""COMPUTED_VALUE"""),"Amex Blue")</f>
        <v>Amex Blue</v>
      </c>
      <c r="E500" s="79" t="str">
        <f>IFERROR(__xludf.DUMMYFUNCTION("""COMPUTED_VALUE"""),"Groceries")</f>
        <v>Groceries</v>
      </c>
      <c r="F500" s="79" t="str">
        <f>IFERROR(__xludf.DUMMYFUNCTION("""COMPUTED_VALUE"""),"Gil")</f>
        <v>Gil</v>
      </c>
      <c r="G500" s="107">
        <f t="shared" si="1"/>
        <v>12.09</v>
      </c>
      <c r="H500" s="108" t="str">
        <f t="shared" si="2"/>
        <v>Aug</v>
      </c>
    </row>
    <row r="501">
      <c r="A501" s="106">
        <f>IFERROR(__xludf.DUMMYFUNCTION("""COMPUTED_VALUE"""),45513.0)</f>
        <v>45513</v>
      </c>
      <c r="B501" s="103">
        <f>IFERROR(__xludf.DUMMYFUNCTION("""COMPUTED_VALUE"""),30.0)</f>
        <v>30</v>
      </c>
      <c r="C501" s="79" t="str">
        <f>IFERROR(__xludf.DUMMYFUNCTION("""COMPUTED_VALUE"""),"Laundry")</f>
        <v>Laundry</v>
      </c>
      <c r="D501" s="79" t="str">
        <f>IFERROR(__xludf.DUMMYFUNCTION("""COMPUTED_VALUE"""),"Cash")</f>
        <v>Cash</v>
      </c>
      <c r="E501" s="79" t="str">
        <f>IFERROR(__xludf.DUMMYFUNCTION("""COMPUTED_VALUE"""),"Household")</f>
        <v>Household</v>
      </c>
      <c r="F501" s="79" t="str">
        <f>IFERROR(__xludf.DUMMYFUNCTION("""COMPUTED_VALUE"""),"Gil")</f>
        <v>Gil</v>
      </c>
      <c r="G501" s="107">
        <f t="shared" si="1"/>
        <v>15</v>
      </c>
      <c r="H501" s="108" t="str">
        <f t="shared" si="2"/>
        <v>Aug</v>
      </c>
    </row>
    <row r="502">
      <c r="A502" s="106">
        <f>IFERROR(__xludf.DUMMYFUNCTION("""COMPUTED_VALUE"""),45514.0)</f>
        <v>45514</v>
      </c>
      <c r="B502" s="103">
        <f>IFERROR(__xludf.DUMMYFUNCTION("""COMPUTED_VALUE"""),21.17)</f>
        <v>21.17</v>
      </c>
      <c r="C502" s="79" t="str">
        <f>IFERROR(__xludf.DUMMYFUNCTION("""COMPUTED_VALUE"""),"Birch Coffee")</f>
        <v>Birch Coffee</v>
      </c>
      <c r="D502" s="79" t="str">
        <f>IFERROR(__xludf.DUMMYFUNCTION("""COMPUTED_VALUE"""),"Amex Gold")</f>
        <v>Amex Gold</v>
      </c>
      <c r="E502" s="79" t="str">
        <f>IFERROR(__xludf.DUMMYFUNCTION("""COMPUTED_VALUE"""),"Groceries")</f>
        <v>Groceries</v>
      </c>
      <c r="F502" s="79" t="str">
        <f>IFERROR(__xludf.DUMMYFUNCTION("""COMPUTED_VALUE"""),"Gil")</f>
        <v>Gil</v>
      </c>
      <c r="G502" s="107">
        <f t="shared" si="1"/>
        <v>10.585</v>
      </c>
      <c r="H502" s="108" t="str">
        <f t="shared" si="2"/>
        <v>Aug</v>
      </c>
    </row>
    <row r="503">
      <c r="A503" s="106">
        <f>IFERROR(__xludf.DUMMYFUNCTION("""COMPUTED_VALUE"""),45516.0)</f>
        <v>45516</v>
      </c>
      <c r="B503" s="103">
        <f>IFERROR(__xludf.DUMMYFUNCTION("""COMPUTED_VALUE"""),6.1)</f>
        <v>6.1</v>
      </c>
      <c r="C503" s="79" t="str">
        <f>IFERROR(__xludf.DUMMYFUNCTION("""COMPUTED_VALUE"""),"Cinnamon Spoon - Bragg Creek")</f>
        <v>Cinnamon Spoon - Bragg Creek</v>
      </c>
      <c r="D503" s="79" t="str">
        <f>IFERROR(__xludf.DUMMYFUNCTION("""COMPUTED_VALUE"""),"Amex Gold")</f>
        <v>Amex Gold</v>
      </c>
      <c r="E503" s="79" t="str">
        <f>IFERROR(__xludf.DUMMYFUNCTION("""COMPUTED_VALUE"""),"Travel")</f>
        <v>Travel</v>
      </c>
      <c r="F503" s="79" t="str">
        <f>IFERROR(__xludf.DUMMYFUNCTION("""COMPUTED_VALUE"""),"Gil")</f>
        <v>Gil</v>
      </c>
      <c r="G503" s="107">
        <f t="shared" si="1"/>
        <v>3.05</v>
      </c>
      <c r="H503" s="108" t="str">
        <f t="shared" si="2"/>
        <v>Aug</v>
      </c>
    </row>
    <row r="504">
      <c r="A504" s="106">
        <f>IFERROR(__xludf.DUMMYFUNCTION("""COMPUTED_VALUE"""),45516.0)</f>
        <v>45516</v>
      </c>
      <c r="B504" s="103">
        <f>IFERROR(__xludf.DUMMYFUNCTION("""COMPUTED_VALUE"""),26.21)</f>
        <v>26.21</v>
      </c>
      <c r="C504" s="79" t="str">
        <f>IFERROR(__xludf.DUMMYFUNCTION("""COMPUTED_VALUE"""),"Longview Jerky Shop")</f>
        <v>Longview Jerky Shop</v>
      </c>
      <c r="D504" s="79" t="str">
        <f>IFERROR(__xludf.DUMMYFUNCTION("""COMPUTED_VALUE"""),"Amex Blue")</f>
        <v>Amex Blue</v>
      </c>
      <c r="E504" s="79" t="str">
        <f>IFERROR(__xludf.DUMMYFUNCTION("""COMPUTED_VALUE"""),"Travel")</f>
        <v>Travel</v>
      </c>
      <c r="F504" s="79" t="str">
        <f>IFERROR(__xludf.DUMMYFUNCTION("""COMPUTED_VALUE"""),"Gil")</f>
        <v>Gil</v>
      </c>
      <c r="G504" s="107">
        <f t="shared" si="1"/>
        <v>13.105</v>
      </c>
      <c r="H504" s="108" t="str">
        <f t="shared" si="2"/>
        <v>Aug</v>
      </c>
    </row>
    <row r="505">
      <c r="A505" s="106">
        <f>IFERROR(__xludf.DUMMYFUNCTION("""COMPUTED_VALUE"""),45518.0)</f>
        <v>45518</v>
      </c>
      <c r="B505" s="103">
        <f>IFERROR(__xludf.DUMMYFUNCTION("""COMPUTED_VALUE"""),49.96)</f>
        <v>49.96</v>
      </c>
      <c r="C505" s="79" t="str">
        <f>IFERROR(__xludf.DUMMYFUNCTION("""COMPUTED_VALUE"""),"The Tipple - Fernie")</f>
        <v>The Tipple - Fernie</v>
      </c>
      <c r="D505" s="79" t="str">
        <f>IFERROR(__xludf.DUMMYFUNCTION("""COMPUTED_VALUE"""),"Amex Blue")</f>
        <v>Amex Blue</v>
      </c>
      <c r="E505" s="79" t="str">
        <f>IFERROR(__xludf.DUMMYFUNCTION("""COMPUTED_VALUE"""),"Travel")</f>
        <v>Travel</v>
      </c>
      <c r="F505" s="79" t="str">
        <f>IFERROR(__xludf.DUMMYFUNCTION("""COMPUTED_VALUE"""),"Gil")</f>
        <v>Gil</v>
      </c>
      <c r="G505" s="107">
        <f t="shared" si="1"/>
        <v>24.98</v>
      </c>
      <c r="H505" s="108" t="str">
        <f t="shared" si="2"/>
        <v>Aug</v>
      </c>
    </row>
    <row r="506">
      <c r="A506" s="106">
        <f>IFERROR(__xludf.DUMMYFUNCTION("""COMPUTED_VALUE"""),45518.0)</f>
        <v>45518</v>
      </c>
      <c r="B506" s="103">
        <f>IFERROR(__xludf.DUMMYFUNCTION("""COMPUTED_VALUE"""),81.48)</f>
        <v>81.48</v>
      </c>
      <c r="C506" s="79" t="str">
        <f>IFERROR(__xludf.DUMMYFUNCTION("""COMPUTED_VALUE"""),"The Cottonwood Tree - Fernie")</f>
        <v>The Cottonwood Tree - Fernie</v>
      </c>
      <c r="D506" s="79" t="str">
        <f>IFERROR(__xludf.DUMMYFUNCTION("""COMPUTED_VALUE"""),"Amex Blue")</f>
        <v>Amex Blue</v>
      </c>
      <c r="E506" s="79" t="str">
        <f>IFERROR(__xludf.DUMMYFUNCTION("""COMPUTED_VALUE"""),"Travel")</f>
        <v>Travel</v>
      </c>
      <c r="F506" s="79" t="str">
        <f>IFERROR(__xludf.DUMMYFUNCTION("""COMPUTED_VALUE"""),"Gil")</f>
        <v>Gil</v>
      </c>
      <c r="G506" s="107">
        <f t="shared" si="1"/>
        <v>40.74</v>
      </c>
      <c r="H506" s="108" t="str">
        <f t="shared" si="2"/>
        <v>Aug</v>
      </c>
    </row>
    <row r="507">
      <c r="A507" s="106">
        <f>IFERROR(__xludf.DUMMYFUNCTION("""COMPUTED_VALUE"""),45518.0)</f>
        <v>45518</v>
      </c>
      <c r="B507" s="103">
        <f>IFERROR(__xludf.DUMMYFUNCTION("""COMPUTED_VALUE"""),8.19)</f>
        <v>8.19</v>
      </c>
      <c r="C507" s="79" t="str">
        <f>IFERROR(__xludf.DUMMYFUNCTION("""COMPUTED_VALUE"""),"Rooftop Coffee - Fernie")</f>
        <v>Rooftop Coffee - Fernie</v>
      </c>
      <c r="D507" s="79" t="str">
        <f>IFERROR(__xludf.DUMMYFUNCTION("""COMPUTED_VALUE"""),"Amex Gold")</f>
        <v>Amex Gold</v>
      </c>
      <c r="E507" s="79" t="str">
        <f>IFERROR(__xludf.DUMMYFUNCTION("""COMPUTED_VALUE"""),"Travel")</f>
        <v>Travel</v>
      </c>
      <c r="F507" s="79" t="str">
        <f>IFERROR(__xludf.DUMMYFUNCTION("""COMPUTED_VALUE"""),"Gil")</f>
        <v>Gil</v>
      </c>
      <c r="G507" s="107">
        <f t="shared" si="1"/>
        <v>4.095</v>
      </c>
      <c r="H507" s="108" t="str">
        <f t="shared" si="2"/>
        <v>Aug</v>
      </c>
    </row>
    <row r="508">
      <c r="A508" s="106">
        <f>IFERROR(__xludf.DUMMYFUNCTION("""COMPUTED_VALUE"""),45518.0)</f>
        <v>45518</v>
      </c>
      <c r="B508" s="103">
        <f>IFERROR(__xludf.DUMMYFUNCTION("""COMPUTED_VALUE"""),48.06)</f>
        <v>48.06</v>
      </c>
      <c r="C508" s="79" t="str">
        <f>IFERROR(__xludf.DUMMYFUNCTION("""COMPUTED_VALUE"""),"The Chopstick Truck - Fernie")</f>
        <v>The Chopstick Truck - Fernie</v>
      </c>
      <c r="D508" s="79" t="str">
        <f>IFERROR(__xludf.DUMMYFUNCTION("""COMPUTED_VALUE"""),"Amex Gold")</f>
        <v>Amex Gold</v>
      </c>
      <c r="E508" s="79" t="str">
        <f>IFERROR(__xludf.DUMMYFUNCTION("""COMPUTED_VALUE"""),"Travel")</f>
        <v>Travel</v>
      </c>
      <c r="F508" s="79" t="str">
        <f>IFERROR(__xludf.DUMMYFUNCTION("""COMPUTED_VALUE"""),"Gil")</f>
        <v>Gil</v>
      </c>
      <c r="G508" s="107">
        <f t="shared" si="1"/>
        <v>24.03</v>
      </c>
      <c r="H508" s="108" t="str">
        <f t="shared" si="2"/>
        <v>Aug</v>
      </c>
    </row>
    <row r="509">
      <c r="A509" s="106">
        <f>IFERROR(__xludf.DUMMYFUNCTION("""COMPUTED_VALUE"""),45518.0)</f>
        <v>45518</v>
      </c>
      <c r="B509" s="103">
        <f>IFERROR(__xludf.DUMMYFUNCTION("""COMPUTED_VALUE"""),79.5)</f>
        <v>79.5</v>
      </c>
      <c r="C509" s="79" t="str">
        <f>IFERROR(__xludf.DUMMYFUNCTION("""COMPUTED_VALUE"""),"Nevados")</f>
        <v>Nevados</v>
      </c>
      <c r="D509" s="79" t="str">
        <f>IFERROR(__xludf.DUMMYFUNCTION("""COMPUTED_VALUE"""),"Amex Gold")</f>
        <v>Amex Gold</v>
      </c>
      <c r="E509" s="79" t="str">
        <f>IFERROR(__xludf.DUMMYFUNCTION("""COMPUTED_VALUE"""),"Travel")</f>
        <v>Travel</v>
      </c>
      <c r="F509" s="79" t="str">
        <f>IFERROR(__xludf.DUMMYFUNCTION("""COMPUTED_VALUE"""),"Gil")</f>
        <v>Gil</v>
      </c>
      <c r="G509" s="107">
        <f t="shared" si="1"/>
        <v>39.75</v>
      </c>
      <c r="H509" s="108" t="str">
        <f t="shared" si="2"/>
        <v>Aug</v>
      </c>
    </row>
    <row r="510">
      <c r="A510" s="106">
        <f>IFERROR(__xludf.DUMMYFUNCTION("""COMPUTED_VALUE"""),45518.0)</f>
        <v>45518</v>
      </c>
      <c r="B510" s="103">
        <f>IFERROR(__xludf.DUMMYFUNCTION("""COMPUTED_VALUE"""),14.85)</f>
        <v>14.85</v>
      </c>
      <c r="C510" s="79" t="str">
        <f>IFERROR(__xludf.DUMMYFUNCTION("""COMPUTED_VALUE"""),"The Brickhouse")</f>
        <v>The Brickhouse</v>
      </c>
      <c r="D510" s="79" t="str">
        <f>IFERROR(__xludf.DUMMYFUNCTION("""COMPUTED_VALUE"""),"Amex Gold")</f>
        <v>Amex Gold</v>
      </c>
      <c r="E510" s="79" t="str">
        <f>IFERROR(__xludf.DUMMYFUNCTION("""COMPUTED_VALUE"""),"Travel")</f>
        <v>Travel</v>
      </c>
      <c r="F510" s="79" t="str">
        <f>IFERROR(__xludf.DUMMYFUNCTION("""COMPUTED_VALUE"""),"Gil")</f>
        <v>Gil</v>
      </c>
      <c r="G510" s="107">
        <f t="shared" si="1"/>
        <v>7.425</v>
      </c>
      <c r="H510" s="108" t="str">
        <f t="shared" si="2"/>
        <v>Aug</v>
      </c>
    </row>
    <row r="511">
      <c r="A511" s="106">
        <f>IFERROR(__xludf.DUMMYFUNCTION("""COMPUTED_VALUE"""),45524.0)</f>
        <v>45524</v>
      </c>
      <c r="B511" s="103">
        <f>IFERROR(__xludf.DUMMYFUNCTION("""COMPUTED_VALUE"""),15.0)</f>
        <v>15</v>
      </c>
      <c r="C511" s="79" t="str">
        <f>IFERROR(__xludf.DUMMYFUNCTION("""COMPUTED_VALUE"""),"Little Nicaraguan Cafe - BOA")</f>
        <v>Little Nicaraguan Cafe - BOA</v>
      </c>
      <c r="D511" s="79" t="str">
        <f>IFERROR(__xludf.DUMMYFUNCTION("""COMPUTED_VALUE"""),"Other")</f>
        <v>Other</v>
      </c>
      <c r="E511" s="79" t="str">
        <f>IFERROR(__xludf.DUMMYFUNCTION("""COMPUTED_VALUE"""),"Travel")</f>
        <v>Travel</v>
      </c>
      <c r="F511" s="79" t="str">
        <f>IFERROR(__xludf.DUMMYFUNCTION("""COMPUTED_VALUE"""),"Gil")</f>
        <v>Gil</v>
      </c>
      <c r="G511" s="107">
        <f t="shared" si="1"/>
        <v>7.5</v>
      </c>
      <c r="H511" s="108" t="str">
        <f t="shared" si="2"/>
        <v>Aug</v>
      </c>
    </row>
    <row r="512">
      <c r="A512" s="106">
        <f>IFERROR(__xludf.DUMMYFUNCTION("""COMPUTED_VALUE"""),45525.0)</f>
        <v>45525</v>
      </c>
      <c r="B512" s="103">
        <f>IFERROR(__xludf.DUMMYFUNCTION("""COMPUTED_VALUE"""),49.57)</f>
        <v>49.57</v>
      </c>
      <c r="C512" s="79" t="str">
        <f>IFERROR(__xludf.DUMMYFUNCTION("""COMPUTED_VALUE"""),"Sunterra - Calgary")</f>
        <v>Sunterra - Calgary</v>
      </c>
      <c r="D512" s="79" t="str">
        <f>IFERROR(__xludf.DUMMYFUNCTION("""COMPUTED_VALUE"""),"Amex Blue")</f>
        <v>Amex Blue</v>
      </c>
      <c r="E512" s="79" t="str">
        <f>IFERROR(__xludf.DUMMYFUNCTION("""COMPUTED_VALUE"""),"Travel")</f>
        <v>Travel</v>
      </c>
      <c r="F512" s="79" t="str">
        <f>IFERROR(__xludf.DUMMYFUNCTION("""COMPUTED_VALUE"""),"Gil")</f>
        <v>Gil</v>
      </c>
      <c r="G512" s="107">
        <f t="shared" si="1"/>
        <v>24.785</v>
      </c>
      <c r="H512" s="108" t="str">
        <f t="shared" si="2"/>
        <v>Aug</v>
      </c>
    </row>
    <row r="513">
      <c r="A513" s="106">
        <f>IFERROR(__xludf.DUMMYFUNCTION("""COMPUTED_VALUE"""),45525.0)</f>
        <v>45525</v>
      </c>
      <c r="B513" s="103">
        <f>IFERROR(__xludf.DUMMYFUNCTION("""COMPUTED_VALUE"""),30.03)</f>
        <v>30.03</v>
      </c>
      <c r="C513" s="79" t="str">
        <f>IFERROR(__xludf.DUMMYFUNCTION("""COMPUTED_VALUE"""),"Sunterra - Calgary")</f>
        <v>Sunterra - Calgary</v>
      </c>
      <c r="D513" s="79" t="str">
        <f>IFERROR(__xludf.DUMMYFUNCTION("""COMPUTED_VALUE"""),"Amex Blue")</f>
        <v>Amex Blue</v>
      </c>
      <c r="E513" s="79" t="str">
        <f>IFERROR(__xludf.DUMMYFUNCTION("""COMPUTED_VALUE"""),"Travel")</f>
        <v>Travel</v>
      </c>
      <c r="F513" s="79" t="str">
        <f>IFERROR(__xludf.DUMMYFUNCTION("""COMPUTED_VALUE"""),"Gil")</f>
        <v>Gil</v>
      </c>
      <c r="G513" s="107">
        <f t="shared" si="1"/>
        <v>15.015</v>
      </c>
      <c r="H513" s="108" t="str">
        <f t="shared" si="2"/>
        <v>Aug</v>
      </c>
    </row>
    <row r="514">
      <c r="A514" s="106">
        <f>IFERROR(__xludf.DUMMYFUNCTION("""COMPUTED_VALUE"""),45526.0)</f>
        <v>45526</v>
      </c>
      <c r="B514" s="103">
        <f>IFERROR(__xludf.DUMMYFUNCTION("""COMPUTED_VALUE"""),33.6)</f>
        <v>33.6</v>
      </c>
      <c r="C514" s="79" t="str">
        <f>IFERROR(__xludf.DUMMYFUNCTION("""COMPUTED_VALUE"""),"NJ Transit - EWR")</f>
        <v>NJ Transit - EWR</v>
      </c>
      <c r="D514" s="79" t="str">
        <f>IFERROR(__xludf.DUMMYFUNCTION("""COMPUTED_VALUE"""),"Other")</f>
        <v>Other</v>
      </c>
      <c r="E514" s="79" t="str">
        <f>IFERROR(__xludf.DUMMYFUNCTION("""COMPUTED_VALUE"""),"Travel")</f>
        <v>Travel</v>
      </c>
      <c r="F514" s="79" t="str">
        <f>IFERROR(__xludf.DUMMYFUNCTION("""COMPUTED_VALUE"""),"Gil")</f>
        <v>Gil</v>
      </c>
      <c r="G514" s="107">
        <f t="shared" si="1"/>
        <v>16.8</v>
      </c>
      <c r="H514" s="108" t="str">
        <f t="shared" si="2"/>
        <v>Aug</v>
      </c>
    </row>
    <row r="515">
      <c r="A515" s="106">
        <f>IFERROR(__xludf.DUMMYFUNCTION("""COMPUTED_VALUE"""),45527.0)</f>
        <v>45527</v>
      </c>
      <c r="B515" s="103">
        <f>IFERROR(__xludf.DUMMYFUNCTION("""COMPUTED_VALUE"""),18.0)</f>
        <v>18</v>
      </c>
      <c r="C515" s="79" t="str">
        <f>IFERROR(__xludf.DUMMYFUNCTION("""COMPUTED_VALUE"""),"Our Daily Bread ")</f>
        <v>Our Daily Bread </v>
      </c>
      <c r="D515" s="79" t="str">
        <f>IFERROR(__xludf.DUMMYFUNCTION("""COMPUTED_VALUE"""),"Amex Blue")</f>
        <v>Amex Blue</v>
      </c>
      <c r="E515" s="79" t="str">
        <f>IFERROR(__xludf.DUMMYFUNCTION("""COMPUTED_VALUE"""),"Groceries")</f>
        <v>Groceries</v>
      </c>
      <c r="F515" s="79" t="str">
        <f>IFERROR(__xludf.DUMMYFUNCTION("""COMPUTED_VALUE"""),"Gil")</f>
        <v>Gil</v>
      </c>
      <c r="G515" s="107">
        <f t="shared" si="1"/>
        <v>9</v>
      </c>
      <c r="H515" s="108" t="str">
        <f t="shared" si="2"/>
        <v>Aug</v>
      </c>
    </row>
    <row r="516">
      <c r="A516" s="106">
        <f>IFERROR(__xludf.DUMMYFUNCTION("""COMPUTED_VALUE"""),45527.0)</f>
        <v>45527</v>
      </c>
      <c r="B516" s="103">
        <f>IFERROR(__xludf.DUMMYFUNCTION("""COMPUTED_VALUE"""),106.0)</f>
        <v>106</v>
      </c>
      <c r="C516" s="79" t="str">
        <f>IFERROR(__xludf.DUMMYFUNCTION("""COMPUTED_VALUE"""),"Farmer's Market - Camporosso, Norwich, Samascott")</f>
        <v>Farmer's Market - Camporosso, Norwich, Samascott</v>
      </c>
      <c r="D516" s="79" t="str">
        <f>IFERROR(__xludf.DUMMYFUNCTION("""COMPUTED_VALUE"""),"Cash")</f>
        <v>Cash</v>
      </c>
      <c r="E516" s="79" t="str">
        <f>IFERROR(__xludf.DUMMYFUNCTION("""COMPUTED_VALUE"""),"Groceries")</f>
        <v>Groceries</v>
      </c>
      <c r="F516" s="79" t="str">
        <f>IFERROR(__xludf.DUMMYFUNCTION("""COMPUTED_VALUE"""),"Gil")</f>
        <v>Gil</v>
      </c>
      <c r="G516" s="107">
        <f t="shared" si="1"/>
        <v>53</v>
      </c>
      <c r="H516" s="108" t="str">
        <f t="shared" si="2"/>
        <v>Aug</v>
      </c>
    </row>
    <row r="517">
      <c r="A517" s="106">
        <f>IFERROR(__xludf.DUMMYFUNCTION("""COMPUTED_VALUE"""),45527.0)</f>
        <v>45527</v>
      </c>
      <c r="B517" s="103">
        <f>IFERROR(__xludf.DUMMYFUNCTION("""COMPUTED_VALUE"""),27.22)</f>
        <v>27.22</v>
      </c>
      <c r="C517" s="79" t="str">
        <f>IFERROR(__xludf.DUMMYFUNCTION("""COMPUTED_VALUE"""),"Yummy Stick ")</f>
        <v>Yummy Stick </v>
      </c>
      <c r="D517" s="79" t="str">
        <f>IFERROR(__xludf.DUMMYFUNCTION("""COMPUTED_VALUE"""),"Amex Gold")</f>
        <v>Amex Gold</v>
      </c>
      <c r="E517" s="79" t="str">
        <f>IFERROR(__xludf.DUMMYFUNCTION("""COMPUTED_VALUE"""),"Meals")</f>
        <v>Meals</v>
      </c>
      <c r="F517" s="79" t="str">
        <f>IFERROR(__xludf.DUMMYFUNCTION("""COMPUTED_VALUE"""),"Gil")</f>
        <v>Gil</v>
      </c>
      <c r="G517" s="107">
        <f t="shared" si="1"/>
        <v>13.61</v>
      </c>
      <c r="H517" s="108" t="str">
        <f t="shared" si="2"/>
        <v>Aug</v>
      </c>
    </row>
    <row r="518">
      <c r="A518" s="106">
        <f>IFERROR(__xludf.DUMMYFUNCTION("""COMPUTED_VALUE"""),45527.0)</f>
        <v>45527</v>
      </c>
      <c r="B518" s="103">
        <f>IFERROR(__xludf.DUMMYFUNCTION("""COMPUTED_VALUE"""),55.15)</f>
        <v>55.15</v>
      </c>
      <c r="C518" s="79" t="str">
        <f>IFERROR(__xludf.DUMMYFUNCTION("""COMPUTED_VALUE"""),"Dickson's")</f>
        <v>Dickson's</v>
      </c>
      <c r="D518" s="79" t="str">
        <f>IFERROR(__xludf.DUMMYFUNCTION("""COMPUTED_VALUE"""),"Amex Blue")</f>
        <v>Amex Blue</v>
      </c>
      <c r="E518" s="79" t="str">
        <f>IFERROR(__xludf.DUMMYFUNCTION("""COMPUTED_VALUE"""),"Groceries")</f>
        <v>Groceries</v>
      </c>
      <c r="F518" s="79" t="str">
        <f>IFERROR(__xludf.DUMMYFUNCTION("""COMPUTED_VALUE"""),"Gil")</f>
        <v>Gil</v>
      </c>
      <c r="G518" s="107">
        <f t="shared" si="1"/>
        <v>27.575</v>
      </c>
      <c r="H518" s="108" t="str">
        <f t="shared" si="2"/>
        <v>Aug</v>
      </c>
    </row>
    <row r="519">
      <c r="A519" s="106">
        <f>IFERROR(__xludf.DUMMYFUNCTION("""COMPUTED_VALUE"""),45527.0)</f>
        <v>45527</v>
      </c>
      <c r="B519" s="103">
        <f>IFERROR(__xludf.DUMMYFUNCTION("""COMPUTED_VALUE"""),13.6)</f>
        <v>13.6</v>
      </c>
      <c r="C519" s="79" t="str">
        <f>IFERROR(__xludf.DUMMYFUNCTION("""COMPUTED_VALUE"""),"Intelligentsia - Highline Hotel ")</f>
        <v>Intelligentsia - Highline Hotel </v>
      </c>
      <c r="D519" s="79" t="str">
        <f>IFERROR(__xludf.DUMMYFUNCTION("""COMPUTED_VALUE"""),"Amex Gold")</f>
        <v>Amex Gold</v>
      </c>
      <c r="E519" s="79" t="str">
        <f>IFERROR(__xludf.DUMMYFUNCTION("""COMPUTED_VALUE"""),"Meals")</f>
        <v>Meals</v>
      </c>
      <c r="F519" s="79" t="str">
        <f>IFERROR(__xludf.DUMMYFUNCTION("""COMPUTED_VALUE"""),"Gil")</f>
        <v>Gil</v>
      </c>
      <c r="G519" s="107">
        <f t="shared" si="1"/>
        <v>6.8</v>
      </c>
      <c r="H519" s="108" t="str">
        <f t="shared" si="2"/>
        <v>Aug</v>
      </c>
    </row>
    <row r="520">
      <c r="A520" s="106">
        <f>IFERROR(__xludf.DUMMYFUNCTION("""COMPUTED_VALUE"""),45527.0)</f>
        <v>45527</v>
      </c>
      <c r="B520" s="103">
        <f>IFERROR(__xludf.DUMMYFUNCTION("""COMPUTED_VALUE"""),52.12)</f>
        <v>52.12</v>
      </c>
      <c r="C520" s="79" t="str">
        <f>IFERROR(__xludf.DUMMYFUNCTION("""COMPUTED_VALUE"""),"Vacations BK")</f>
        <v>Vacations BK</v>
      </c>
      <c r="D520" s="79" t="str">
        <f>IFERROR(__xludf.DUMMYFUNCTION("""COMPUTED_VALUE"""),"Amex Gold")</f>
        <v>Amex Gold</v>
      </c>
      <c r="E520" s="79" t="str">
        <f>IFERROR(__xludf.DUMMYFUNCTION("""COMPUTED_VALUE"""),"Alcohol/Weed")</f>
        <v>Alcohol/Weed</v>
      </c>
      <c r="F520" s="79" t="str">
        <f>IFERROR(__xludf.DUMMYFUNCTION("""COMPUTED_VALUE"""),"Gil")</f>
        <v>Gil</v>
      </c>
      <c r="G520" s="107">
        <f t="shared" si="1"/>
        <v>26.06</v>
      </c>
      <c r="H520" s="108" t="str">
        <f t="shared" si="2"/>
        <v>Aug</v>
      </c>
    </row>
    <row r="521">
      <c r="A521" s="106">
        <f>IFERROR(__xludf.DUMMYFUNCTION("""COMPUTED_VALUE"""),45527.0)</f>
        <v>45527</v>
      </c>
      <c r="B521" s="103">
        <f>IFERROR(__xludf.DUMMYFUNCTION("""COMPUTED_VALUE"""),45.86)</f>
        <v>45.86</v>
      </c>
      <c r="C521" s="79" t="str">
        <f>IFERROR(__xludf.DUMMYFUNCTION("""COMPUTED_VALUE"""),"Elsewhere")</f>
        <v>Elsewhere</v>
      </c>
      <c r="D521" s="79" t="str">
        <f>IFERROR(__xludf.DUMMYFUNCTION("""COMPUTED_VALUE"""),"Amex Gold")</f>
        <v>Amex Gold</v>
      </c>
      <c r="E521" s="79" t="str">
        <f>IFERROR(__xludf.DUMMYFUNCTION("""COMPUTED_VALUE"""),"Alcohol/Weed")</f>
        <v>Alcohol/Weed</v>
      </c>
      <c r="F521" s="79" t="str">
        <f>IFERROR(__xludf.DUMMYFUNCTION("""COMPUTED_VALUE"""),"Gil")</f>
        <v>Gil</v>
      </c>
      <c r="G521" s="107">
        <f t="shared" si="1"/>
        <v>22.93</v>
      </c>
      <c r="H521" s="108" t="str">
        <f t="shared" si="2"/>
        <v>Aug</v>
      </c>
    </row>
    <row r="522">
      <c r="A522" s="106">
        <f>IFERROR(__xludf.DUMMYFUNCTION("""COMPUTED_VALUE"""),45526.0)</f>
        <v>45526</v>
      </c>
      <c r="B522" s="103">
        <f>IFERROR(__xludf.DUMMYFUNCTION("""COMPUTED_VALUE"""),60.61)</f>
        <v>60.61</v>
      </c>
      <c r="C522" s="79" t="str">
        <f>IFERROR(__xludf.DUMMYFUNCTION("""COMPUTED_VALUE"""),"Klom Klorm - uberEats")</f>
        <v>Klom Klorm - uberEats</v>
      </c>
      <c r="D522" s="79" t="str">
        <f>IFERROR(__xludf.DUMMYFUNCTION("""COMPUTED_VALUE"""),"Capital ONE")</f>
        <v>Capital ONE</v>
      </c>
      <c r="E522" s="79" t="str">
        <f>IFERROR(__xludf.DUMMYFUNCTION("""COMPUTED_VALUE"""),"Meals")</f>
        <v>Meals</v>
      </c>
      <c r="F522" s="79" t="str">
        <f>IFERROR(__xludf.DUMMYFUNCTION("""COMPUTED_VALUE"""),"Gil")</f>
        <v>Gil</v>
      </c>
      <c r="G522" s="107">
        <f t="shared" si="1"/>
        <v>30.305</v>
      </c>
      <c r="H522" s="108" t="str">
        <f t="shared" si="2"/>
        <v>Aug</v>
      </c>
    </row>
    <row r="523">
      <c r="A523" s="106">
        <f>IFERROR(__xludf.DUMMYFUNCTION("""COMPUTED_VALUE"""),45528.0)</f>
        <v>45528</v>
      </c>
      <c r="B523" s="103">
        <f>IFERROR(__xludf.DUMMYFUNCTION("""COMPUTED_VALUE"""),-43.96)</f>
        <v>-43.96</v>
      </c>
      <c r="C523" s="79" t="str">
        <f>IFERROR(__xludf.DUMMYFUNCTION("""COMPUTED_VALUE"""),"Amex Blue Statement Credit")</f>
        <v>Amex Blue Statement Credit</v>
      </c>
      <c r="D523" s="79" t="str">
        <f>IFERROR(__xludf.DUMMYFUNCTION("""COMPUTED_VALUE"""),"Amex Blue")</f>
        <v>Amex Blue</v>
      </c>
      <c r="E523" s="79" t="str">
        <f>IFERROR(__xludf.DUMMYFUNCTION("""COMPUTED_VALUE"""),"Groceries")</f>
        <v>Groceries</v>
      </c>
      <c r="F523" s="79" t="str">
        <f>IFERROR(__xludf.DUMMYFUNCTION("""COMPUTED_VALUE"""),"Gil")</f>
        <v>Gil</v>
      </c>
      <c r="G523" s="107">
        <f t="shared" si="1"/>
        <v>-21.98</v>
      </c>
      <c r="H523" s="108" t="str">
        <f t="shared" si="2"/>
        <v>Aug</v>
      </c>
    </row>
    <row r="524">
      <c r="A524" s="106">
        <f>IFERROR(__xludf.DUMMYFUNCTION("""COMPUTED_VALUE"""),45528.0)</f>
        <v>45528</v>
      </c>
      <c r="B524" s="103">
        <f>IFERROR(__xludf.DUMMYFUNCTION("""COMPUTED_VALUE"""),-46.2)</f>
        <v>-46.2</v>
      </c>
      <c r="C524" s="79" t="str">
        <f>IFERROR(__xludf.DUMMYFUNCTION("""COMPUTED_VALUE"""),"Amazon Prime Chase Rewards")</f>
        <v>Amazon Prime Chase Rewards</v>
      </c>
      <c r="D524" s="79" t="str">
        <f>IFERROR(__xludf.DUMMYFUNCTION("""COMPUTED_VALUE"""),"Amazon Prime Chase")</f>
        <v>Amazon Prime Chase</v>
      </c>
      <c r="E524" s="79" t="str">
        <f>IFERROR(__xludf.DUMMYFUNCTION("""COMPUTED_VALUE"""),"Household")</f>
        <v>Household</v>
      </c>
      <c r="F524" s="79" t="str">
        <f>IFERROR(__xludf.DUMMYFUNCTION("""COMPUTED_VALUE"""),"Gil")</f>
        <v>Gil</v>
      </c>
      <c r="G524" s="107">
        <f t="shared" si="1"/>
        <v>-23.1</v>
      </c>
      <c r="H524" s="108" t="str">
        <f t="shared" si="2"/>
        <v>Aug</v>
      </c>
    </row>
    <row r="525">
      <c r="A525" s="106">
        <f>IFERROR(__xludf.DUMMYFUNCTION("""COMPUTED_VALUE"""),45477.0)</f>
        <v>45477</v>
      </c>
      <c r="B525" s="103">
        <f>IFERROR(__xludf.DUMMYFUNCTION("""COMPUTED_VALUE"""),11.55)</f>
        <v>11.55</v>
      </c>
      <c r="C525" s="79" t="str">
        <f>IFERROR(__xludf.DUMMYFUNCTION("""COMPUTED_VALUE"""),"Buunni Coffee - Hudson Heights")</f>
        <v>Buunni Coffee - Hudson Heights</v>
      </c>
      <c r="D525" s="79" t="str">
        <f>IFERROR(__xludf.DUMMYFUNCTION("""COMPUTED_VALUE"""),"Amex Gold")</f>
        <v>Amex Gold</v>
      </c>
      <c r="E525" s="79" t="str">
        <f>IFERROR(__xludf.DUMMYFUNCTION("""COMPUTED_VALUE"""),"Meals")</f>
        <v>Meals</v>
      </c>
      <c r="F525" s="79" t="str">
        <f>IFERROR(__xludf.DUMMYFUNCTION("""COMPUTED_VALUE"""),"Gil")</f>
        <v>Gil</v>
      </c>
      <c r="G525" s="107">
        <f t="shared" si="1"/>
        <v>5.775</v>
      </c>
      <c r="H525" s="108" t="str">
        <f t="shared" si="2"/>
        <v>Jul</v>
      </c>
    </row>
    <row r="526">
      <c r="A526" s="106">
        <f>IFERROR(__xludf.DUMMYFUNCTION("""COMPUTED_VALUE"""),45495.0)</f>
        <v>45495</v>
      </c>
      <c r="B526" s="103">
        <f>IFERROR(__xludf.DUMMYFUNCTION("""COMPUTED_VALUE"""),39.92)</f>
        <v>39.92</v>
      </c>
      <c r="C526" s="79" t="str">
        <f>IFERROR(__xludf.DUMMYFUNCTION("""COMPUTED_VALUE"""),"Wegman's")</f>
        <v>Wegman's</v>
      </c>
      <c r="D526" s="79" t="str">
        <f>IFERROR(__xludf.DUMMYFUNCTION("""COMPUTED_VALUE"""),"Amex Blue")</f>
        <v>Amex Blue</v>
      </c>
      <c r="E526" s="79" t="str">
        <f>IFERROR(__xludf.DUMMYFUNCTION("""COMPUTED_VALUE"""),"Groceries")</f>
        <v>Groceries</v>
      </c>
      <c r="F526" s="79" t="str">
        <f>IFERROR(__xludf.DUMMYFUNCTION("""COMPUTED_VALUE"""),"Gil")</f>
        <v>Gil</v>
      </c>
      <c r="G526" s="107">
        <f t="shared" si="1"/>
        <v>19.96</v>
      </c>
      <c r="H526" s="108" t="str">
        <f t="shared" si="2"/>
        <v>Jul</v>
      </c>
    </row>
    <row r="527">
      <c r="A527" s="106">
        <f>IFERROR(__xludf.DUMMYFUNCTION("""COMPUTED_VALUE"""),45491.0)</f>
        <v>45491</v>
      </c>
      <c r="B527" s="103">
        <f>IFERROR(__xludf.DUMMYFUNCTION("""COMPUTED_VALUE"""),26.2)</f>
        <v>26.2</v>
      </c>
      <c r="C527" s="79" t="str">
        <f>IFERROR(__xludf.DUMMYFUNCTION("""COMPUTED_VALUE"""),"Mr. Lemon")</f>
        <v>Mr. Lemon</v>
      </c>
      <c r="D527" s="79" t="str">
        <f>IFERROR(__xludf.DUMMYFUNCTION("""COMPUTED_VALUE"""),"Amex Blue")</f>
        <v>Amex Blue</v>
      </c>
      <c r="E527" s="79" t="str">
        <f>IFERROR(__xludf.DUMMYFUNCTION("""COMPUTED_VALUE"""),"Groceries")</f>
        <v>Groceries</v>
      </c>
      <c r="F527" s="79" t="str">
        <f>IFERROR(__xludf.DUMMYFUNCTION("""COMPUTED_VALUE"""),"Gil")</f>
        <v>Gil</v>
      </c>
      <c r="G527" s="107">
        <f t="shared" si="1"/>
        <v>13.1</v>
      </c>
      <c r="H527" s="108" t="str">
        <f t="shared" si="2"/>
        <v>Jul</v>
      </c>
    </row>
    <row r="528">
      <c r="A528" s="106">
        <f>IFERROR(__xludf.DUMMYFUNCTION("""COMPUTED_VALUE"""),45488.0)</f>
        <v>45488</v>
      </c>
      <c r="B528" s="103">
        <f>IFERROR(__xludf.DUMMYFUNCTION("""COMPUTED_VALUE"""),31.94)</f>
        <v>31.94</v>
      </c>
      <c r="C528" s="79" t="str">
        <f>IFERROR(__xludf.DUMMYFUNCTION("""COMPUTED_VALUE"""),"Mr. Lemon")</f>
        <v>Mr. Lemon</v>
      </c>
      <c r="D528" s="79" t="str">
        <f>IFERROR(__xludf.DUMMYFUNCTION("""COMPUTED_VALUE"""),"Amex Blue")</f>
        <v>Amex Blue</v>
      </c>
      <c r="E528" s="79" t="str">
        <f>IFERROR(__xludf.DUMMYFUNCTION("""COMPUTED_VALUE"""),"Groceries")</f>
        <v>Groceries</v>
      </c>
      <c r="F528" s="79" t="str">
        <f>IFERROR(__xludf.DUMMYFUNCTION("""COMPUTED_VALUE"""),"Gil")</f>
        <v>Gil</v>
      </c>
      <c r="G528" s="107">
        <f t="shared" si="1"/>
        <v>15.97</v>
      </c>
      <c r="H528" s="108" t="str">
        <f t="shared" si="2"/>
        <v>Jul</v>
      </c>
    </row>
    <row r="529">
      <c r="A529" s="106">
        <f>IFERROR(__xludf.DUMMYFUNCTION("""COMPUTED_VALUE"""),45480.0)</f>
        <v>45480</v>
      </c>
      <c r="B529" s="103">
        <f>IFERROR(__xludf.DUMMYFUNCTION("""COMPUTED_VALUE"""),16.99)</f>
        <v>16.99</v>
      </c>
      <c r="C529" s="79" t="str">
        <f>IFERROR(__xludf.DUMMYFUNCTION("""COMPUTED_VALUE"""),"Spotify")</f>
        <v>Spotify</v>
      </c>
      <c r="D529" s="79" t="str">
        <f>IFERROR(__xludf.DUMMYFUNCTION("""COMPUTED_VALUE"""),"Amex Blue")</f>
        <v>Amex Blue</v>
      </c>
      <c r="E529" s="79" t="str">
        <f>IFERROR(__xludf.DUMMYFUNCTION("""COMPUTED_VALUE"""),"Subscriptions")</f>
        <v>Subscriptions</v>
      </c>
      <c r="F529" s="79" t="str">
        <f>IFERROR(__xludf.DUMMYFUNCTION("""COMPUTED_VALUE"""),"Gil")</f>
        <v>Gil</v>
      </c>
      <c r="G529" s="107">
        <f t="shared" si="1"/>
        <v>8.495</v>
      </c>
      <c r="H529" s="108" t="str">
        <f t="shared" si="2"/>
        <v>Jul</v>
      </c>
    </row>
    <row r="530">
      <c r="A530" s="106">
        <f>IFERROR(__xludf.DUMMYFUNCTION("""COMPUTED_VALUE"""),45476.0)</f>
        <v>45476</v>
      </c>
      <c r="B530" s="103">
        <f>IFERROR(__xludf.DUMMYFUNCTION("""COMPUTED_VALUE"""),47.6)</f>
        <v>47.6</v>
      </c>
      <c r="C530" s="79" t="str">
        <f>IFERROR(__xludf.DUMMYFUNCTION("""COMPUTED_VALUE"""),"Foster Sundry")</f>
        <v>Foster Sundry</v>
      </c>
      <c r="D530" s="79" t="str">
        <f>IFERROR(__xludf.DUMMYFUNCTION("""COMPUTED_VALUE"""),"Amex Blue")</f>
        <v>Amex Blue</v>
      </c>
      <c r="E530" s="79" t="str">
        <f>IFERROR(__xludf.DUMMYFUNCTION("""COMPUTED_VALUE"""),"Groceries")</f>
        <v>Groceries</v>
      </c>
      <c r="F530" s="79" t="str">
        <f>IFERROR(__xludf.DUMMYFUNCTION("""COMPUTED_VALUE"""),"Gil")</f>
        <v>Gil</v>
      </c>
      <c r="G530" s="107">
        <f t="shared" si="1"/>
        <v>23.8</v>
      </c>
      <c r="H530" s="108" t="str">
        <f t="shared" si="2"/>
        <v>Jul</v>
      </c>
    </row>
    <row r="531">
      <c r="A531" s="106">
        <f>IFERROR(__xludf.DUMMYFUNCTION("""COMPUTED_VALUE"""),45476.0)</f>
        <v>45476</v>
      </c>
      <c r="B531" s="103">
        <f>IFERROR(__xludf.DUMMYFUNCTION("""COMPUTED_VALUE"""),21.76)</f>
        <v>21.76</v>
      </c>
      <c r="C531" s="79" t="str">
        <f>IFERROR(__xludf.DUMMYFUNCTION("""COMPUTED_VALUE"""),"Irving Bottle")</f>
        <v>Irving Bottle</v>
      </c>
      <c r="D531" s="79" t="str">
        <f>IFERROR(__xludf.DUMMYFUNCTION("""COMPUTED_VALUE"""),"Amex Blue")</f>
        <v>Amex Blue</v>
      </c>
      <c r="E531" s="79" t="str">
        <f>IFERROR(__xludf.DUMMYFUNCTION("""COMPUTED_VALUE"""),"Alcohol/Weed")</f>
        <v>Alcohol/Weed</v>
      </c>
      <c r="F531" s="79" t="str">
        <f>IFERROR(__xludf.DUMMYFUNCTION("""COMPUTED_VALUE"""),"Gil")</f>
        <v>Gil</v>
      </c>
      <c r="G531" s="107">
        <f t="shared" si="1"/>
        <v>10.88</v>
      </c>
      <c r="H531" s="108" t="str">
        <f t="shared" si="2"/>
        <v>Jul</v>
      </c>
    </row>
    <row r="532">
      <c r="A532" s="106">
        <f>IFERROR(__xludf.DUMMYFUNCTION("""COMPUTED_VALUE"""),45476.0)</f>
        <v>45476</v>
      </c>
      <c r="B532" s="103">
        <f>IFERROR(__xludf.DUMMYFUNCTION("""COMPUTED_VALUE"""),29.94)</f>
        <v>29.94</v>
      </c>
      <c r="C532" s="79" t="str">
        <f>IFERROR(__xludf.DUMMYFUNCTION("""COMPUTED_VALUE"""),"Mr. Lemon")</f>
        <v>Mr. Lemon</v>
      </c>
      <c r="D532" s="79" t="str">
        <f>IFERROR(__xludf.DUMMYFUNCTION("""COMPUTED_VALUE"""),"Amex Blue")</f>
        <v>Amex Blue</v>
      </c>
      <c r="E532" s="79" t="str">
        <f>IFERROR(__xludf.DUMMYFUNCTION("""COMPUTED_VALUE"""),"Groceries")</f>
        <v>Groceries</v>
      </c>
      <c r="F532" s="79" t="str">
        <f>IFERROR(__xludf.DUMMYFUNCTION("""COMPUTED_VALUE"""),"Gil")</f>
        <v>Gil</v>
      </c>
      <c r="G532" s="107">
        <f t="shared" si="1"/>
        <v>14.97</v>
      </c>
      <c r="H532" s="108" t="str">
        <f t="shared" si="2"/>
        <v>Jul</v>
      </c>
    </row>
    <row r="533">
      <c r="A533" s="106">
        <f>IFERROR(__xludf.DUMMYFUNCTION("""COMPUTED_VALUE"""),45504.0)</f>
        <v>45504</v>
      </c>
      <c r="B533" s="103">
        <f>IFERROR(__xludf.DUMMYFUNCTION("""COMPUTED_VALUE"""),196.95)</f>
        <v>196.95</v>
      </c>
      <c r="C533" s="79" t="str">
        <f>IFERROR(__xludf.DUMMYFUNCTION("""COMPUTED_VALUE"""),"Amex Blue - Shaeffer Expenses (Hana Wine, MTA, PP)")</f>
        <v>Amex Blue - Shaeffer Expenses (Hana Wine, MTA, PP)</v>
      </c>
      <c r="D533" s="79" t="str">
        <f>IFERROR(__xludf.DUMMYFUNCTION("""COMPUTED_VALUE"""),"Shaeffer ONLY")</f>
        <v>Shaeffer ONLY</v>
      </c>
      <c r="E533" s="79"/>
      <c r="F533" s="79" t="str">
        <f>IFERROR(__xludf.DUMMYFUNCTION("""COMPUTED_VALUE"""),"Gil")</f>
        <v>Gil</v>
      </c>
      <c r="G533" s="107">
        <f t="shared" si="1"/>
        <v>98.475</v>
      </c>
      <c r="H533" s="108" t="str">
        <f t="shared" si="2"/>
        <v>Jul</v>
      </c>
    </row>
    <row r="534">
      <c r="A534" s="106">
        <f>IFERROR(__xludf.DUMMYFUNCTION("""COMPUTED_VALUE"""),45505.0)</f>
        <v>45505</v>
      </c>
      <c r="B534" s="103">
        <f>IFERROR(__xludf.DUMMYFUNCTION("""COMPUTED_VALUE"""),36.95)</f>
        <v>36.95</v>
      </c>
      <c r="C534" s="79" t="str">
        <f>IFERROR(__xludf.DUMMYFUNCTION("""COMPUTED_VALUE"""),"Chiangmai Diner &amp; Bar")</f>
        <v>Chiangmai Diner &amp; Bar</v>
      </c>
      <c r="D534" s="79" t="str">
        <f>IFERROR(__xludf.DUMMYFUNCTION("""COMPUTED_VALUE"""),"Capital ONE")</f>
        <v>Capital ONE</v>
      </c>
      <c r="E534" s="79" t="str">
        <f>IFERROR(__xludf.DUMMYFUNCTION("""COMPUTED_VALUE"""),"Meals")</f>
        <v>Meals</v>
      </c>
      <c r="F534" s="79" t="str">
        <f>IFERROR(__xludf.DUMMYFUNCTION("""COMPUTED_VALUE"""),"Gil")</f>
        <v>Gil</v>
      </c>
      <c r="G534" s="107">
        <f t="shared" si="1"/>
        <v>18.475</v>
      </c>
      <c r="H534" s="108" t="str">
        <f t="shared" si="2"/>
        <v>Aug</v>
      </c>
    </row>
    <row r="535">
      <c r="A535" s="106">
        <f>IFERROR(__xludf.DUMMYFUNCTION("""COMPUTED_VALUE"""),45530.0)</f>
        <v>45530</v>
      </c>
      <c r="B535" s="103">
        <f>IFERROR(__xludf.DUMMYFUNCTION("""COMPUTED_VALUE"""),-15.83)</f>
        <v>-15.83</v>
      </c>
      <c r="C535" s="79" t="str">
        <f>IFERROR(__xludf.DUMMYFUNCTION("""COMPUTED_VALUE"""),"CapitalONE Rewards Redemption")</f>
        <v>CapitalONE Rewards Redemption</v>
      </c>
      <c r="D535" s="79" t="str">
        <f>IFERROR(__xludf.DUMMYFUNCTION("""COMPUTED_VALUE"""),"Capital ONE")</f>
        <v>Capital ONE</v>
      </c>
      <c r="E535" s="79" t="str">
        <f>IFERROR(__xludf.DUMMYFUNCTION("""COMPUTED_VALUE"""),"Meals")</f>
        <v>Meals</v>
      </c>
      <c r="F535" s="79" t="str">
        <f>IFERROR(__xludf.DUMMYFUNCTION("""COMPUTED_VALUE"""),"Gil")</f>
        <v>Gil</v>
      </c>
      <c r="G535" s="107">
        <f t="shared" si="1"/>
        <v>-7.915</v>
      </c>
      <c r="H535" s="108" t="str">
        <f t="shared" si="2"/>
        <v>Aug</v>
      </c>
    </row>
    <row r="536">
      <c r="A536" s="106">
        <f>IFERROR(__xludf.DUMMYFUNCTION("""COMPUTED_VALUE"""),45519.0)</f>
        <v>45519</v>
      </c>
      <c r="B536" s="103">
        <f>IFERROR(__xludf.DUMMYFUNCTION("""COMPUTED_VALUE"""),34.06)</f>
        <v>34.06</v>
      </c>
      <c r="C536" s="79" t="str">
        <f>IFERROR(__xludf.DUMMYFUNCTION("""COMPUTED_VALUE"""),"Mugshots - Fernie, B.C.")</f>
        <v>Mugshots - Fernie, B.C.</v>
      </c>
      <c r="D536" s="79" t="str">
        <f>IFERROR(__xludf.DUMMYFUNCTION("""COMPUTED_VALUE"""),"Wells Fargo")</f>
        <v>Wells Fargo</v>
      </c>
      <c r="E536" s="79" t="str">
        <f>IFERROR(__xludf.DUMMYFUNCTION("""COMPUTED_VALUE"""),"Travel")</f>
        <v>Travel</v>
      </c>
      <c r="F536" s="79" t="str">
        <f>IFERROR(__xludf.DUMMYFUNCTION("""COMPUTED_VALUE"""),"Gil")</f>
        <v>Gil</v>
      </c>
      <c r="G536" s="107">
        <f t="shared" si="1"/>
        <v>17.03</v>
      </c>
      <c r="H536" s="108" t="str">
        <f t="shared" si="2"/>
        <v>Aug</v>
      </c>
    </row>
    <row r="537">
      <c r="A537" s="106">
        <f>IFERROR(__xludf.DUMMYFUNCTION("""COMPUTED_VALUE"""),45525.0)</f>
        <v>45525</v>
      </c>
      <c r="B537" s="103">
        <f>IFERROR(__xludf.DUMMYFUNCTION("""COMPUTED_VALUE"""),17.78)</f>
        <v>17.78</v>
      </c>
      <c r="C537" s="79" t="str">
        <f>IFERROR(__xludf.DUMMYFUNCTION("""COMPUTED_VALUE"""),"Ace Liquor - Lethbridge (BOA)")</f>
        <v>Ace Liquor - Lethbridge (BOA)</v>
      </c>
      <c r="D537" s="79" t="str">
        <f>IFERROR(__xludf.DUMMYFUNCTION("""COMPUTED_VALUE"""),"Other")</f>
        <v>Other</v>
      </c>
      <c r="E537" s="79" t="str">
        <f>IFERROR(__xludf.DUMMYFUNCTION("""COMPUTED_VALUE"""),"Travel")</f>
        <v>Travel</v>
      </c>
      <c r="F537" s="79" t="str">
        <f>IFERROR(__xludf.DUMMYFUNCTION("""COMPUTED_VALUE"""),"Gil")</f>
        <v>Gil</v>
      </c>
      <c r="G537" s="107">
        <f t="shared" si="1"/>
        <v>8.89</v>
      </c>
      <c r="H537" s="108" t="str">
        <f t="shared" si="2"/>
        <v>Aug</v>
      </c>
    </row>
    <row r="538">
      <c r="A538" s="106">
        <f>IFERROR(__xludf.DUMMYFUNCTION("""COMPUTED_VALUE"""),45525.0)</f>
        <v>45525</v>
      </c>
      <c r="B538" s="103">
        <f>IFERROR(__xludf.DUMMYFUNCTION("""COMPUTED_VALUE"""),20.3)</f>
        <v>20.3</v>
      </c>
      <c r="C538" s="79" t="str">
        <f>IFERROR(__xludf.DUMMYFUNCTION("""COMPUTED_VALUE"""),"A&amp;W - Cardston (BOA)")</f>
        <v>A&amp;W - Cardston (BOA)</v>
      </c>
      <c r="D538" s="79" t="str">
        <f>IFERROR(__xludf.DUMMYFUNCTION("""COMPUTED_VALUE"""),"Other")</f>
        <v>Other</v>
      </c>
      <c r="E538" s="79" t="str">
        <f>IFERROR(__xludf.DUMMYFUNCTION("""COMPUTED_VALUE"""),"Travel")</f>
        <v>Travel</v>
      </c>
      <c r="F538" s="79" t="str">
        <f>IFERROR(__xludf.DUMMYFUNCTION("""COMPUTED_VALUE"""),"Gil")</f>
        <v>Gil</v>
      </c>
      <c r="G538" s="107">
        <f t="shared" si="1"/>
        <v>10.15</v>
      </c>
      <c r="H538" s="108" t="str">
        <f t="shared" si="2"/>
        <v>Aug</v>
      </c>
    </row>
    <row r="539">
      <c r="A539" s="106">
        <f>IFERROR(__xludf.DUMMYFUNCTION("""COMPUTED_VALUE"""),45523.0)</f>
        <v>45523</v>
      </c>
      <c r="B539" s="103">
        <f>IFERROR(__xludf.DUMMYFUNCTION("""COMPUTED_VALUE"""),42.47)</f>
        <v>42.47</v>
      </c>
      <c r="C539" s="79" t="str">
        <f>IFERROR(__xludf.DUMMYFUNCTION("""COMPUTED_VALUE"""),"Ace Liquor - Lethbridge (BOA)")</f>
        <v>Ace Liquor - Lethbridge (BOA)</v>
      </c>
      <c r="D539" s="79" t="str">
        <f>IFERROR(__xludf.DUMMYFUNCTION("""COMPUTED_VALUE"""),"Other")</f>
        <v>Other</v>
      </c>
      <c r="E539" s="79" t="str">
        <f>IFERROR(__xludf.DUMMYFUNCTION("""COMPUTED_VALUE"""),"Travel")</f>
        <v>Travel</v>
      </c>
      <c r="F539" s="79" t="str">
        <f>IFERROR(__xludf.DUMMYFUNCTION("""COMPUTED_VALUE"""),"Gil")</f>
        <v>Gil</v>
      </c>
      <c r="G539" s="107">
        <f t="shared" si="1"/>
        <v>21.235</v>
      </c>
      <c r="H539" s="108" t="str">
        <f t="shared" si="2"/>
        <v>Aug</v>
      </c>
    </row>
    <row r="540">
      <c r="A540" s="106">
        <f>IFERROR(__xludf.DUMMYFUNCTION("""COMPUTED_VALUE"""),45523.0)</f>
        <v>45523</v>
      </c>
      <c r="B540" s="103">
        <f>IFERROR(__xludf.DUMMYFUNCTION("""COMPUTED_VALUE"""),49.01)</f>
        <v>49.01</v>
      </c>
      <c r="C540" s="79" t="str">
        <f>IFERROR(__xludf.DUMMYFUNCTION("""COMPUTED_VALUE"""),"Waterton Park Cafe - Waterton Nat'l Park (BOA)")</f>
        <v>Waterton Park Cafe - Waterton Nat'l Park (BOA)</v>
      </c>
      <c r="D540" s="79" t="str">
        <f>IFERROR(__xludf.DUMMYFUNCTION("""COMPUTED_VALUE"""),"Other")</f>
        <v>Other</v>
      </c>
      <c r="E540" s="79" t="str">
        <f>IFERROR(__xludf.DUMMYFUNCTION("""COMPUTED_VALUE"""),"Travel")</f>
        <v>Travel</v>
      </c>
      <c r="F540" s="79" t="str">
        <f>IFERROR(__xludf.DUMMYFUNCTION("""COMPUTED_VALUE"""),"Gil")</f>
        <v>Gil</v>
      </c>
      <c r="G540" s="107">
        <f t="shared" si="1"/>
        <v>24.505</v>
      </c>
      <c r="H540" s="108" t="str">
        <f t="shared" si="2"/>
        <v>Aug</v>
      </c>
    </row>
    <row r="541">
      <c r="A541" s="106">
        <f>IFERROR(__xludf.DUMMYFUNCTION("""COMPUTED_VALUE"""),45523.0)</f>
        <v>45523</v>
      </c>
      <c r="B541" s="103">
        <f>IFERROR(__xludf.DUMMYFUNCTION("""COMPUTED_VALUE"""),33.1)</f>
        <v>33.1</v>
      </c>
      <c r="C541" s="79" t="str">
        <f>IFERROR(__xludf.DUMMYFUNCTION("""COMPUTED_VALUE"""),"Barn Store - Mountain View (BOA)")</f>
        <v>Barn Store - Mountain View (BOA)</v>
      </c>
      <c r="D541" s="79" t="str">
        <f>IFERROR(__xludf.DUMMYFUNCTION("""COMPUTED_VALUE"""),"Other")</f>
        <v>Other</v>
      </c>
      <c r="E541" s="79" t="str">
        <f>IFERROR(__xludf.DUMMYFUNCTION("""COMPUTED_VALUE"""),"Travel")</f>
        <v>Travel</v>
      </c>
      <c r="F541" s="79" t="str">
        <f>IFERROR(__xludf.DUMMYFUNCTION("""COMPUTED_VALUE"""),"Gil")</f>
        <v>Gil</v>
      </c>
      <c r="G541" s="107">
        <f t="shared" si="1"/>
        <v>16.55</v>
      </c>
      <c r="H541" s="108" t="str">
        <f t="shared" si="2"/>
        <v>Aug</v>
      </c>
    </row>
    <row r="542">
      <c r="A542" s="106">
        <f>IFERROR(__xludf.DUMMYFUNCTION("""COMPUTED_VALUE"""),45522.0)</f>
        <v>45522</v>
      </c>
      <c r="B542" s="103">
        <f>IFERROR(__xludf.DUMMYFUNCTION("""COMPUTED_VALUE"""),17.34)</f>
        <v>17.34</v>
      </c>
      <c r="C542" s="79" t="str">
        <f>IFERROR(__xludf.DUMMYFUNCTION("""COMPUTED_VALUE"""),"A&amp;W - Cardston (BOA)")</f>
        <v>A&amp;W - Cardston (BOA)</v>
      </c>
      <c r="D542" s="79" t="str">
        <f>IFERROR(__xludf.DUMMYFUNCTION("""COMPUTED_VALUE"""),"Other")</f>
        <v>Other</v>
      </c>
      <c r="E542" s="79" t="str">
        <f>IFERROR(__xludf.DUMMYFUNCTION("""COMPUTED_VALUE"""),"Travel")</f>
        <v>Travel</v>
      </c>
      <c r="F542" s="79" t="str">
        <f>IFERROR(__xludf.DUMMYFUNCTION("""COMPUTED_VALUE"""),"Gil")</f>
        <v>Gil</v>
      </c>
      <c r="G542" s="107">
        <f t="shared" si="1"/>
        <v>8.67</v>
      </c>
      <c r="H542" s="108" t="str">
        <f t="shared" si="2"/>
        <v>Aug</v>
      </c>
    </row>
    <row r="543">
      <c r="A543" s="106">
        <f>IFERROR(__xludf.DUMMYFUNCTION("""COMPUTED_VALUE"""),45521.0)</f>
        <v>45521</v>
      </c>
      <c r="B543" s="103">
        <f>IFERROR(__xludf.DUMMYFUNCTION("""COMPUTED_VALUE"""),65.6)</f>
        <v>65.6</v>
      </c>
      <c r="C543" s="79" t="str">
        <f>IFERROR(__xludf.DUMMYFUNCTION("""COMPUTED_VALUE"""),"Twin Butte Country General (BOA)")</f>
        <v>Twin Butte Country General (BOA)</v>
      </c>
      <c r="D543" s="79" t="str">
        <f>IFERROR(__xludf.DUMMYFUNCTION("""COMPUTED_VALUE"""),"Other")</f>
        <v>Other</v>
      </c>
      <c r="E543" s="79" t="str">
        <f>IFERROR(__xludf.DUMMYFUNCTION("""COMPUTED_VALUE"""),"Travel")</f>
        <v>Travel</v>
      </c>
      <c r="F543" s="79" t="str">
        <f>IFERROR(__xludf.DUMMYFUNCTION("""COMPUTED_VALUE"""),"Gil")</f>
        <v>Gil</v>
      </c>
      <c r="G543" s="107">
        <f t="shared" si="1"/>
        <v>32.8</v>
      </c>
      <c r="H543" s="108" t="str">
        <f t="shared" si="2"/>
        <v>Aug</v>
      </c>
    </row>
    <row r="544">
      <c r="A544" s="106">
        <f>IFERROR(__xludf.DUMMYFUNCTION("""COMPUTED_VALUE"""),45521.0)</f>
        <v>45521</v>
      </c>
      <c r="B544" s="103">
        <f>IFERROR(__xludf.DUMMYFUNCTION("""COMPUTED_VALUE"""),36.57)</f>
        <v>36.57</v>
      </c>
      <c r="C544" s="79" t="str">
        <f>IFERROR(__xludf.DUMMYFUNCTION("""COMPUTED_VALUE"""),"Pincher Creek Co-op - Coleman (BOA)")</f>
        <v>Pincher Creek Co-op - Coleman (BOA)</v>
      </c>
      <c r="D544" s="79" t="str">
        <f>IFERROR(__xludf.DUMMYFUNCTION("""COMPUTED_VALUE"""),"Other")</f>
        <v>Other</v>
      </c>
      <c r="E544" s="79" t="str">
        <f>IFERROR(__xludf.DUMMYFUNCTION("""COMPUTED_VALUE"""),"Travel")</f>
        <v>Travel</v>
      </c>
      <c r="F544" s="79" t="str">
        <f>IFERROR(__xludf.DUMMYFUNCTION("""COMPUTED_VALUE"""),"Gil")</f>
        <v>Gil</v>
      </c>
      <c r="G544" s="107">
        <f t="shared" si="1"/>
        <v>18.285</v>
      </c>
      <c r="H544" s="108" t="str">
        <f t="shared" si="2"/>
        <v>Aug</v>
      </c>
    </row>
    <row r="545">
      <c r="A545" s="106">
        <f>IFERROR(__xludf.DUMMYFUNCTION("""COMPUTED_VALUE"""),45493.0)</f>
        <v>45493</v>
      </c>
      <c r="B545" s="103">
        <f>IFERROR(__xludf.DUMMYFUNCTION("""COMPUTED_VALUE"""),33.13)</f>
        <v>33.13</v>
      </c>
      <c r="C545" s="79" t="str">
        <f>IFERROR(__xludf.DUMMYFUNCTION("""COMPUTED_VALUE"""),"David Zwirner - Books (BOA)")</f>
        <v>David Zwirner - Books (BOA)</v>
      </c>
      <c r="D545" s="79" t="str">
        <f>IFERROR(__xludf.DUMMYFUNCTION("""COMPUTED_VALUE"""),"Other")</f>
        <v>Other</v>
      </c>
      <c r="E545" s="79" t="str">
        <f>IFERROR(__xludf.DUMMYFUNCTION("""COMPUTED_VALUE"""),"Personal")</f>
        <v>Personal</v>
      </c>
      <c r="F545" s="79" t="str">
        <f>IFERROR(__xludf.DUMMYFUNCTION("""COMPUTED_VALUE"""),"Gil")</f>
        <v>Gil</v>
      </c>
      <c r="G545" s="107">
        <f t="shared" si="1"/>
        <v>16.565</v>
      </c>
      <c r="H545" s="108" t="str">
        <f t="shared" si="2"/>
        <v>Jul</v>
      </c>
    </row>
    <row r="546">
      <c r="A546" s="106">
        <f>IFERROR(__xludf.DUMMYFUNCTION("""COMPUTED_VALUE"""),45460.0)</f>
        <v>45460</v>
      </c>
      <c r="B546" s="103">
        <f>IFERROR(__xludf.DUMMYFUNCTION("""COMPUTED_VALUE"""),7.61)</f>
        <v>7.61</v>
      </c>
      <c r="C546" s="79" t="str">
        <f>IFERROR(__xludf.DUMMYFUNCTION("""COMPUTED_VALUE"""),"SteelSeries QcK Gaming Mouse Pad - Small Cloth - Optimized For Gaming Sensors")</f>
        <v>SteelSeries QcK Gaming Mouse Pad - Small Cloth - Optimized For Gaming Sensors</v>
      </c>
      <c r="D546" s="79" t="str">
        <f>IFERROR(__xludf.DUMMYFUNCTION("""COMPUTED_VALUE"""),"Amazon Prime Chase")</f>
        <v>Amazon Prime Chase</v>
      </c>
      <c r="E546" s="79" t="str">
        <f>IFERROR(__xludf.DUMMYFUNCTION("""COMPUTED_VALUE"""),"Personal")</f>
        <v>Personal</v>
      </c>
      <c r="F546" s="79" t="str">
        <f>IFERROR(__xludf.DUMMYFUNCTION("""COMPUTED_VALUE"""),"Gil")</f>
        <v>Gil</v>
      </c>
      <c r="G546" s="107">
        <f t="shared" si="1"/>
        <v>3.805</v>
      </c>
      <c r="H546" s="108" t="str">
        <f t="shared" si="2"/>
        <v>Jun</v>
      </c>
    </row>
    <row r="547">
      <c r="A547" s="106">
        <f>IFERROR(__xludf.DUMMYFUNCTION("""COMPUTED_VALUE"""),45475.0)</f>
        <v>45475</v>
      </c>
      <c r="B547" s="103">
        <f>IFERROR(__xludf.DUMMYFUNCTION("""COMPUTED_VALUE"""),18.65)</f>
        <v>18.65</v>
      </c>
      <c r="C547" s="79" t="str">
        <f>IFERROR(__xludf.DUMMYFUNCTION("""COMPUTED_VALUE"""),"Amazon S&amp;S - Belmont Peanuts")</f>
        <v>Amazon S&amp;S - Belmont Peanuts</v>
      </c>
      <c r="D547" s="79" t="str">
        <f>IFERROR(__xludf.DUMMYFUNCTION("""COMPUTED_VALUE"""),"Amazon Prime Chase")</f>
        <v>Amazon Prime Chase</v>
      </c>
      <c r="E547" s="79" t="str">
        <f>IFERROR(__xludf.DUMMYFUNCTION("""COMPUTED_VALUE"""),"Groceries")</f>
        <v>Groceries</v>
      </c>
      <c r="F547" s="79" t="str">
        <f>IFERROR(__xludf.DUMMYFUNCTION("""COMPUTED_VALUE"""),"Gil")</f>
        <v>Gil</v>
      </c>
      <c r="G547" s="107">
        <f t="shared" si="1"/>
        <v>9.325</v>
      </c>
      <c r="H547" s="108" t="str">
        <f t="shared" si="2"/>
        <v>Jul</v>
      </c>
    </row>
    <row r="548">
      <c r="A548" s="106">
        <f>IFERROR(__xludf.DUMMYFUNCTION("""COMPUTED_VALUE"""),45475.0)</f>
        <v>45475</v>
      </c>
      <c r="B548" s="103">
        <f>IFERROR(__xludf.DUMMYFUNCTION("""COMPUTED_VALUE"""),19.5)</f>
        <v>19.5</v>
      </c>
      <c r="C548" s="79" t="str">
        <f>IFERROR(__xludf.DUMMYFUNCTION("""COMPUTED_VALUE"""),"Amazon S&amp;S - Seventh Generation Soap")</f>
        <v>Amazon S&amp;S - Seventh Generation Soap</v>
      </c>
      <c r="D548" s="79" t="str">
        <f>IFERROR(__xludf.DUMMYFUNCTION("""COMPUTED_VALUE"""),"Amazon Prime Chase")</f>
        <v>Amazon Prime Chase</v>
      </c>
      <c r="E548" s="79" t="str">
        <f>IFERROR(__xludf.DUMMYFUNCTION("""COMPUTED_VALUE"""),"Household")</f>
        <v>Household</v>
      </c>
      <c r="F548" s="79" t="str">
        <f>IFERROR(__xludf.DUMMYFUNCTION("""COMPUTED_VALUE"""),"Gil")</f>
        <v>Gil</v>
      </c>
      <c r="G548" s="107">
        <f t="shared" si="1"/>
        <v>9.75</v>
      </c>
      <c r="H548" s="108" t="str">
        <f t="shared" si="2"/>
        <v>Jul</v>
      </c>
    </row>
    <row r="549">
      <c r="A549" s="106">
        <f>IFERROR(__xludf.DUMMYFUNCTION("""COMPUTED_VALUE"""),45475.0)</f>
        <v>45475</v>
      </c>
      <c r="B549" s="103">
        <f>IFERROR(__xludf.DUMMYFUNCTION("""COMPUTED_VALUE"""),38.23)</f>
        <v>38.23</v>
      </c>
      <c r="C549" s="79" t="str">
        <f>IFERROR(__xludf.DUMMYFUNCTION("""COMPUTED_VALUE"""),"Amazon S&amp;S - Purely Elizabeth Keto Granola")</f>
        <v>Amazon S&amp;S - Purely Elizabeth Keto Granola</v>
      </c>
      <c r="D549" s="79" t="str">
        <f>IFERROR(__xludf.DUMMYFUNCTION("""COMPUTED_VALUE"""),"Amazon Prime Chase")</f>
        <v>Amazon Prime Chase</v>
      </c>
      <c r="E549" s="79" t="str">
        <f>IFERROR(__xludf.DUMMYFUNCTION("""COMPUTED_VALUE"""),"Groceries")</f>
        <v>Groceries</v>
      </c>
      <c r="F549" s="79" t="str">
        <f>IFERROR(__xludf.DUMMYFUNCTION("""COMPUTED_VALUE"""),"Gil")</f>
        <v>Gil</v>
      </c>
      <c r="G549" s="107">
        <f t="shared" si="1"/>
        <v>19.115</v>
      </c>
      <c r="H549" s="108" t="str">
        <f t="shared" si="2"/>
        <v>Jul</v>
      </c>
    </row>
    <row r="550">
      <c r="A550" s="106">
        <f>IFERROR(__xludf.DUMMYFUNCTION("""COMPUTED_VALUE"""),45475.0)</f>
        <v>45475</v>
      </c>
      <c r="B550" s="103">
        <f>IFERROR(__xludf.DUMMYFUNCTION("""COMPUTED_VALUE"""),23.0)</f>
        <v>23</v>
      </c>
      <c r="C550" s="79" t="str">
        <f>IFERROR(__xludf.DUMMYFUNCTION("""COMPUTED_VALUE"""),"Lemonade")</f>
        <v>Lemonade</v>
      </c>
      <c r="D550" s="79" t="str">
        <f>IFERROR(__xludf.DUMMYFUNCTION("""COMPUTED_VALUE"""),"Amazon Prime Chase")</f>
        <v>Amazon Prime Chase</v>
      </c>
      <c r="E550" s="79" t="str">
        <f>IFERROR(__xludf.DUMMYFUNCTION("""COMPUTED_VALUE"""),"Insurance")</f>
        <v>Insurance</v>
      </c>
      <c r="F550" s="79" t="str">
        <f>IFERROR(__xludf.DUMMYFUNCTION("""COMPUTED_VALUE"""),"Gil")</f>
        <v>Gil</v>
      </c>
      <c r="G550" s="107">
        <f t="shared" si="1"/>
        <v>11.5</v>
      </c>
      <c r="H550" s="108" t="str">
        <f t="shared" si="2"/>
        <v>Jul</v>
      </c>
    </row>
    <row r="551">
      <c r="A551" s="106">
        <f>IFERROR(__xludf.DUMMYFUNCTION("""COMPUTED_VALUE"""),45475.0)</f>
        <v>45475</v>
      </c>
      <c r="B551" s="103">
        <f>IFERROR(__xludf.DUMMYFUNCTION("""COMPUTED_VALUE"""),11.09)</f>
        <v>11.09</v>
      </c>
      <c r="C551" s="79" t="str">
        <f>IFERROR(__xludf.DUMMYFUNCTION("""COMPUTED_VALUE"""),"Amazon S&amp;S - Hefty Clear Trash Bags, Clear, 13 Gallon, 60 Count")</f>
        <v>Amazon S&amp;S - Hefty Clear Trash Bags, Clear, 13 Gallon, 60 Count</v>
      </c>
      <c r="D551" s="79" t="str">
        <f>IFERROR(__xludf.DUMMYFUNCTION("""COMPUTED_VALUE"""),"Amazon Prime Chase")</f>
        <v>Amazon Prime Chase</v>
      </c>
      <c r="E551" s="79" t="str">
        <f>IFERROR(__xludf.DUMMYFUNCTION("""COMPUTED_VALUE"""),"Household")</f>
        <v>Household</v>
      </c>
      <c r="F551" s="79" t="str">
        <f>IFERROR(__xludf.DUMMYFUNCTION("""COMPUTED_VALUE"""),"Gil")</f>
        <v>Gil</v>
      </c>
      <c r="G551" s="107">
        <f t="shared" si="1"/>
        <v>5.545</v>
      </c>
      <c r="H551" s="108" t="str">
        <f t="shared" si="2"/>
        <v>Jul</v>
      </c>
    </row>
    <row r="552">
      <c r="A552" s="106">
        <f>IFERROR(__xludf.DUMMYFUNCTION("""COMPUTED_VALUE"""),45475.0)</f>
        <v>45475</v>
      </c>
      <c r="B552" s="103">
        <f>IFERROR(__xludf.DUMMYFUNCTION("""COMPUTED_VALUE"""),17.09)</f>
        <v>17.09</v>
      </c>
      <c r="C552" s="79" t="str">
        <f>IFERROR(__xludf.DUMMYFUNCTION("""COMPUTED_VALUE"""),"Amazon S&amp;S - Terrasoul Superfoods Organic Black Chia Seeds, 2.5 Pounds, Nutrient-Packed Superfood for Energy, Puddings, Smoothies, and Baking")</f>
        <v>Amazon S&amp;S - Terrasoul Superfoods Organic Black Chia Seeds, 2.5 Pounds, Nutrient-Packed Superfood for Energy, Puddings, Smoothies, and Baking</v>
      </c>
      <c r="D552" s="79" t="str">
        <f>IFERROR(__xludf.DUMMYFUNCTION("""COMPUTED_VALUE"""),"Amazon Prime Chase")</f>
        <v>Amazon Prime Chase</v>
      </c>
      <c r="E552" s="79" t="str">
        <f>IFERROR(__xludf.DUMMYFUNCTION("""COMPUTED_VALUE"""),"Groceries")</f>
        <v>Groceries</v>
      </c>
      <c r="F552" s="79" t="str">
        <f>IFERROR(__xludf.DUMMYFUNCTION("""COMPUTED_VALUE"""),"Shaeffer")</f>
        <v>Shaeffer</v>
      </c>
      <c r="G552" s="107">
        <f t="shared" si="1"/>
        <v>8.545</v>
      </c>
      <c r="H552" s="108" t="str">
        <f t="shared" si="2"/>
        <v>Jul</v>
      </c>
    </row>
    <row r="553">
      <c r="A553" s="106">
        <f>IFERROR(__xludf.DUMMYFUNCTION("""COMPUTED_VALUE"""),45475.0)</f>
        <v>45475</v>
      </c>
      <c r="B553" s="103">
        <f>IFERROR(__xludf.DUMMYFUNCTION("""COMPUTED_VALUE"""),31.36)</f>
        <v>31.36</v>
      </c>
      <c r="C553" s="79" t="str">
        <f>IFERROR(__xludf.DUMMYFUNCTION("""COMPUTED_VALUE"""),"Amazon S&amp;S - Paula's Choice Skin Revealing Body Lotion 10% AHA, Glycolic Acid &amp; Shea Butter Exfoliant, Moisturizer for Keratosis Pilaris (KP) Prone Skin, 7 Ounce")</f>
        <v>Amazon S&amp;S - Paula's Choice Skin Revealing Body Lotion 10% AHA, Glycolic Acid &amp; Shea Butter Exfoliant, Moisturizer for Keratosis Pilaris (KP) Prone Skin, 7 Ounce</v>
      </c>
      <c r="D553" s="79" t="str">
        <f>IFERROR(__xludf.DUMMYFUNCTION("""COMPUTED_VALUE"""),"Amazon Prime Chase")</f>
        <v>Amazon Prime Chase</v>
      </c>
      <c r="E553" s="79" t="str">
        <f>IFERROR(__xludf.DUMMYFUNCTION("""COMPUTED_VALUE"""),"Household")</f>
        <v>Household</v>
      </c>
      <c r="F553" s="79" t="str">
        <f>IFERROR(__xludf.DUMMYFUNCTION("""COMPUTED_VALUE"""),"Gil")</f>
        <v>Gil</v>
      </c>
      <c r="G553" s="107">
        <f t="shared" si="1"/>
        <v>15.68</v>
      </c>
      <c r="H553" s="108" t="str">
        <f t="shared" si="2"/>
        <v>Jul</v>
      </c>
    </row>
    <row r="554">
      <c r="A554" s="106">
        <f>IFERROR(__xludf.DUMMYFUNCTION("""COMPUTED_VALUE"""),45475.0)</f>
        <v>45475</v>
      </c>
      <c r="B554" s="103">
        <f>IFERROR(__xludf.DUMMYFUNCTION("""COMPUTED_VALUE"""),12.7)</f>
        <v>12.7</v>
      </c>
      <c r="C554" s="79" t="str">
        <f>IFERROR(__xludf.DUMMYFUNCTION("""COMPUTED_VALUE"""),"Amazon S&amp;S - Wickedly Prime Sprouted Almonds, Unsalted, 18 Ounce")</f>
        <v>Amazon S&amp;S - Wickedly Prime Sprouted Almonds, Unsalted, 18 Ounce</v>
      </c>
      <c r="D554" s="79" t="str">
        <f>IFERROR(__xludf.DUMMYFUNCTION("""COMPUTED_VALUE"""),"Amazon Prime Chase")</f>
        <v>Amazon Prime Chase</v>
      </c>
      <c r="E554" s="79" t="str">
        <f>IFERROR(__xludf.DUMMYFUNCTION("""COMPUTED_VALUE"""),"Groceries")</f>
        <v>Groceries</v>
      </c>
      <c r="F554" s="79" t="str">
        <f>IFERROR(__xludf.DUMMYFUNCTION("""COMPUTED_VALUE"""),"Gil")</f>
        <v>Gil</v>
      </c>
      <c r="G554" s="107">
        <f t="shared" si="1"/>
        <v>6.35</v>
      </c>
      <c r="H554" s="108" t="str">
        <f t="shared" si="2"/>
        <v>Jul</v>
      </c>
    </row>
    <row r="555">
      <c r="A555" s="106">
        <f>IFERROR(__xludf.DUMMYFUNCTION("""COMPUTED_VALUE"""),45475.0)</f>
        <v>45475</v>
      </c>
      <c r="B555" s="103">
        <f>IFERROR(__xludf.DUMMYFUNCTION("""COMPUTED_VALUE"""),26.14)</f>
        <v>26.14</v>
      </c>
      <c r="C555" s="79" t="str">
        <f>IFERROR(__xludf.DUMMYFUNCTION("""COMPUTED_VALUE"""),"Amazon S&amp;S -  Life Extension Neuro-mag Magnesium L-threonate, Magnesium L-threonate, Brain Health, Memory &amp; Attention, Gluten Free, Vegetarian, Non-GMO, 90 Vegetari")</f>
        <v>Amazon S&amp;S -  Life Extension Neuro-mag Magnesium L-threonate, Magnesium L-threonate, Brain Health, Memory &amp; Attention, Gluten Free, Vegetarian, Non-GMO, 90 Vegetari</v>
      </c>
      <c r="D555" s="79" t="str">
        <f>IFERROR(__xludf.DUMMYFUNCTION("""COMPUTED_VALUE"""),"Amazon Prime Chase")</f>
        <v>Amazon Prime Chase</v>
      </c>
      <c r="E555" s="79" t="str">
        <f>IFERROR(__xludf.DUMMYFUNCTION("""COMPUTED_VALUE"""),"Personal")</f>
        <v>Personal</v>
      </c>
      <c r="F555" s="79" t="str">
        <f>IFERROR(__xludf.DUMMYFUNCTION("""COMPUTED_VALUE"""),"Gil")</f>
        <v>Gil</v>
      </c>
      <c r="G555" s="107">
        <f t="shared" si="1"/>
        <v>13.07</v>
      </c>
      <c r="H555" s="108" t="str">
        <f t="shared" si="2"/>
        <v>Jul</v>
      </c>
    </row>
    <row r="556">
      <c r="A556" s="106">
        <f>IFERROR(__xludf.DUMMYFUNCTION("""COMPUTED_VALUE"""),45475.0)</f>
        <v>45475</v>
      </c>
      <c r="B556" s="103">
        <f>IFERROR(__xludf.DUMMYFUNCTION("""COMPUTED_VALUE"""),23.31)</f>
        <v>23.31</v>
      </c>
      <c r="C556" s="79" t="str">
        <f>IFERROR(__xludf.DUMMYFUNCTION("""COMPUTED_VALUE"""),"Amazon S&amp;S - YUZUCO 100% Yuzu Juice")</f>
        <v>Amazon S&amp;S - YUZUCO 100% Yuzu Juice</v>
      </c>
      <c r="D556" s="79" t="str">
        <f>IFERROR(__xludf.DUMMYFUNCTION("""COMPUTED_VALUE"""),"Amazon Prime Chase")</f>
        <v>Amazon Prime Chase</v>
      </c>
      <c r="E556" s="79" t="str">
        <f>IFERROR(__xludf.DUMMYFUNCTION("""COMPUTED_VALUE"""),"Groceries")</f>
        <v>Groceries</v>
      </c>
      <c r="F556" s="79" t="str">
        <f>IFERROR(__xludf.DUMMYFUNCTION("""COMPUTED_VALUE"""),"Gil")</f>
        <v>Gil</v>
      </c>
      <c r="G556" s="107">
        <f t="shared" si="1"/>
        <v>11.655</v>
      </c>
      <c r="H556" s="108" t="str">
        <f t="shared" si="2"/>
        <v>Jul</v>
      </c>
    </row>
    <row r="557">
      <c r="A557" s="106">
        <f>IFERROR(__xludf.DUMMYFUNCTION("""COMPUTED_VALUE"""),45475.0)</f>
        <v>45475</v>
      </c>
      <c r="B557" s="103">
        <f>IFERROR(__xludf.DUMMYFUNCTION("""COMPUTED_VALUE"""),25.28)</f>
        <v>25.28</v>
      </c>
      <c r="C557" s="79" t="str">
        <f>IFERROR(__xludf.DUMMYFUNCTION("""COMPUTED_VALUE"""),"Amazon S&amp;S - Chosen Foods 100% Pure Avocado Oil, Keto and Paleo Diet Friendly, Kosher Oil for Baking, High Heat Cooking Oil, Frying, Homemade Sauces, Dressings and")</f>
        <v>Amazon S&amp;S - Chosen Foods 100% Pure Avocado Oil, Keto and Paleo Diet Friendly, Kosher Oil for Baking, High Heat Cooking Oil, Frying, Homemade Sauces, Dressings and</v>
      </c>
      <c r="D557" s="79" t="str">
        <f>IFERROR(__xludf.DUMMYFUNCTION("""COMPUTED_VALUE"""),"Amazon Prime Chase")</f>
        <v>Amazon Prime Chase</v>
      </c>
      <c r="E557" s="79" t="str">
        <f>IFERROR(__xludf.DUMMYFUNCTION("""COMPUTED_VALUE"""),"Groceries")</f>
        <v>Groceries</v>
      </c>
      <c r="F557" s="79" t="str">
        <f>IFERROR(__xludf.DUMMYFUNCTION("""COMPUTED_VALUE"""),"Gil")</f>
        <v>Gil</v>
      </c>
      <c r="G557" s="107">
        <f t="shared" si="1"/>
        <v>12.64</v>
      </c>
      <c r="H557" s="108" t="str">
        <f t="shared" si="2"/>
        <v>Jul</v>
      </c>
    </row>
    <row r="558">
      <c r="A558" s="106">
        <f>IFERROR(__xludf.DUMMYFUNCTION("""COMPUTED_VALUE"""),45475.0)</f>
        <v>45475</v>
      </c>
      <c r="B558" s="103">
        <f>IFERROR(__xludf.DUMMYFUNCTION("""COMPUTED_VALUE"""),32.39)</f>
        <v>32.39</v>
      </c>
      <c r="C558" s="79" t="str">
        <f>IFERROR(__xludf.DUMMYFUNCTION("""COMPUTED_VALUE"""),"Amazon S&amp;S - Organic Hemp Seeds, 5 lb; 10g Plant Based Protein and 12g Omega 3 &amp; 6 per Srv | smoothies, yogurt &amp; salad | Non-GMO, Vegan, Keto, Paleo, Gluten Free|")</f>
        <v>Amazon S&amp;S - Organic Hemp Seeds, 5 lb; 10g Plant Based Protein and 12g Omega 3 &amp; 6 per Srv | smoothies, yogurt &amp; salad | Non-GMO, Vegan, Keto, Paleo, Gluten Free|</v>
      </c>
      <c r="D558" s="79" t="str">
        <f>IFERROR(__xludf.DUMMYFUNCTION("""COMPUTED_VALUE"""),"Amazon Prime Chase")</f>
        <v>Amazon Prime Chase</v>
      </c>
      <c r="E558" s="79" t="str">
        <f>IFERROR(__xludf.DUMMYFUNCTION("""COMPUTED_VALUE"""),"Groceries")</f>
        <v>Groceries</v>
      </c>
      <c r="F558" s="79" t="str">
        <f>IFERROR(__xludf.DUMMYFUNCTION("""COMPUTED_VALUE"""),"Gil")</f>
        <v>Gil</v>
      </c>
      <c r="G558" s="107">
        <f t="shared" si="1"/>
        <v>16.195</v>
      </c>
      <c r="H558" s="108" t="str">
        <f t="shared" si="2"/>
        <v>Jul</v>
      </c>
    </row>
    <row r="559">
      <c r="A559" s="106">
        <f>IFERROR(__xludf.DUMMYFUNCTION("""COMPUTED_VALUE"""),45475.0)</f>
        <v>45475</v>
      </c>
      <c r="B559" s="103">
        <f>IFERROR(__xludf.DUMMYFUNCTION("""COMPUTED_VALUE"""),29.65)</f>
        <v>29.65</v>
      </c>
      <c r="C559" s="79" t="str">
        <f>IFERROR(__xludf.DUMMYFUNCTION("""COMPUTED_VALUE"""),"Amazon S&amp;S - Viva Naturals Triple Strength Omega 3 Fish Oil Supplement - 2500 mg Fish Oil with Re-Esterified Omega 3 Fatty Acids including EPA, DHA DPA - 90 Pescat")</f>
        <v>Amazon S&amp;S - Viva Naturals Triple Strength Omega 3 Fish Oil Supplement - 2500 mg Fish Oil with Re-Esterified Omega 3 Fatty Acids including EPA, DHA DPA - 90 Pescat</v>
      </c>
      <c r="D559" s="79" t="str">
        <f>IFERROR(__xludf.DUMMYFUNCTION("""COMPUTED_VALUE"""),"Amazon Prime Chase")</f>
        <v>Amazon Prime Chase</v>
      </c>
      <c r="E559" s="79" t="str">
        <f>IFERROR(__xludf.DUMMYFUNCTION("""COMPUTED_VALUE"""),"Personal")</f>
        <v>Personal</v>
      </c>
      <c r="F559" s="79" t="str">
        <f>IFERROR(__xludf.DUMMYFUNCTION("""COMPUTED_VALUE"""),"Gil")</f>
        <v>Gil</v>
      </c>
      <c r="G559" s="107">
        <f t="shared" si="1"/>
        <v>14.825</v>
      </c>
      <c r="H559" s="108" t="str">
        <f t="shared" si="2"/>
        <v>Jul</v>
      </c>
    </row>
    <row r="560">
      <c r="A560" s="106">
        <f>IFERROR(__xludf.DUMMYFUNCTION("""COMPUTED_VALUE"""),45480.0)</f>
        <v>45480</v>
      </c>
      <c r="B560" s="103">
        <f>IFERROR(__xludf.DUMMYFUNCTION("""COMPUTED_VALUE"""),14.93)</f>
        <v>14.93</v>
      </c>
      <c r="C560" s="79" t="str">
        <f>IFERROR(__xludf.DUMMYFUNCTION("""COMPUTED_VALUE"""),"Amazon S&amp;S - Pelligrino")</f>
        <v>Amazon S&amp;S - Pelligrino</v>
      </c>
      <c r="D560" s="79" t="str">
        <f>IFERROR(__xludf.DUMMYFUNCTION("""COMPUTED_VALUE"""),"Amazon Prime Chase")</f>
        <v>Amazon Prime Chase</v>
      </c>
      <c r="E560" s="79" t="str">
        <f>IFERROR(__xludf.DUMMYFUNCTION("""COMPUTED_VALUE"""),"Groceries")</f>
        <v>Groceries</v>
      </c>
      <c r="F560" s="79" t="str">
        <f>IFERROR(__xludf.DUMMYFUNCTION("""COMPUTED_VALUE"""),"Shaeffer")</f>
        <v>Shaeffer</v>
      </c>
      <c r="G560" s="107">
        <f t="shared" si="1"/>
        <v>7.465</v>
      </c>
      <c r="H560" s="108" t="str">
        <f t="shared" si="2"/>
        <v>Jul</v>
      </c>
    </row>
    <row r="561">
      <c r="A561" s="106">
        <f>IFERROR(__xludf.DUMMYFUNCTION("""COMPUTED_VALUE"""),45482.0)</f>
        <v>45482</v>
      </c>
      <c r="B561" s="103">
        <f>IFERROR(__xludf.DUMMYFUNCTION("""COMPUTED_VALUE"""),1.62)</f>
        <v>1.62</v>
      </c>
      <c r="C561" s="79" t="str">
        <f>IFERROR(__xludf.DUMMYFUNCTION("""COMPUTED_VALUE"""),"HP Instant Ink")</f>
        <v>HP Instant Ink</v>
      </c>
      <c r="D561" s="79" t="str">
        <f>IFERROR(__xludf.DUMMYFUNCTION("""COMPUTED_VALUE"""),"Amazon Prime Chase")</f>
        <v>Amazon Prime Chase</v>
      </c>
      <c r="E561" s="79" t="str">
        <f>IFERROR(__xludf.DUMMYFUNCTION("""COMPUTED_VALUE"""),"Subscriptions")</f>
        <v>Subscriptions</v>
      </c>
      <c r="F561" s="79" t="str">
        <f>IFERROR(__xludf.DUMMYFUNCTION("""COMPUTED_VALUE"""),"Gil")</f>
        <v>Gil</v>
      </c>
      <c r="G561" s="107">
        <f t="shared" si="1"/>
        <v>0.81</v>
      </c>
      <c r="H561" s="108" t="str">
        <f t="shared" si="2"/>
        <v>Jul</v>
      </c>
    </row>
    <row r="562">
      <c r="A562" s="106">
        <f>IFERROR(__xludf.DUMMYFUNCTION("""COMPUTED_VALUE"""),45491.0)</f>
        <v>45491</v>
      </c>
      <c r="B562" s="103">
        <f>IFERROR(__xludf.DUMMYFUNCTION("""COMPUTED_VALUE"""),16.32)</f>
        <v>16.32</v>
      </c>
      <c r="C562" s="79" t="str">
        <f>IFERROR(__xludf.DUMMYFUNCTION("""COMPUTED_VALUE"""),"Amazon Prime Subscription")</f>
        <v>Amazon Prime Subscription</v>
      </c>
      <c r="D562" s="79" t="str">
        <f>IFERROR(__xludf.DUMMYFUNCTION("""COMPUTED_VALUE"""),"Amazon Prime Chase")</f>
        <v>Amazon Prime Chase</v>
      </c>
      <c r="E562" s="79" t="str">
        <f>IFERROR(__xludf.DUMMYFUNCTION("""COMPUTED_VALUE"""),"Subscriptions")</f>
        <v>Subscriptions</v>
      </c>
      <c r="F562" s="79" t="str">
        <f>IFERROR(__xludf.DUMMYFUNCTION("""COMPUTED_VALUE"""),"Gil")</f>
        <v>Gil</v>
      </c>
      <c r="G562" s="107">
        <f t="shared" si="1"/>
        <v>8.16</v>
      </c>
      <c r="H562" s="108" t="str">
        <f t="shared" si="2"/>
        <v>Jul</v>
      </c>
    </row>
    <row r="563">
      <c r="A563" s="106">
        <f>IFERROR(__xludf.DUMMYFUNCTION("""COMPUTED_VALUE"""),45490.0)</f>
        <v>45490</v>
      </c>
      <c r="B563" s="103">
        <f>IFERROR(__xludf.DUMMYFUNCTION("""COMPUTED_VALUE"""),48.38)</f>
        <v>48.38</v>
      </c>
      <c r="C563" s="79" t="str">
        <f>IFERROR(__xludf.DUMMYFUNCTION("""COMPUTED_VALUE"""),"Ohsawa® Organic Genuine Mirin - 8.45 oz / Stardrops - The Pink Stuff - The Miracle Scrubber Kit - 2 Tubs of The Miracle Cleaning Paste With Electric Scrubber Tool and 4 Cleaning Brush Heads - Amazon")</f>
        <v>Ohsawa® Organic Genuine Mirin - 8.45 oz / Stardrops - The Pink Stuff - The Miracle Scrubber Kit - 2 Tubs of The Miracle Cleaning Paste With Electric Scrubber Tool and 4 Cleaning Brush Heads - Amazon</v>
      </c>
      <c r="D563" s="79" t="str">
        <f>IFERROR(__xludf.DUMMYFUNCTION("""COMPUTED_VALUE"""),"Amazon Prime Chase")</f>
        <v>Amazon Prime Chase</v>
      </c>
      <c r="E563" s="79" t="str">
        <f>IFERROR(__xludf.DUMMYFUNCTION("""COMPUTED_VALUE"""),"Household")</f>
        <v>Household</v>
      </c>
      <c r="F563" s="79" t="str">
        <f>IFERROR(__xludf.DUMMYFUNCTION("""COMPUTED_VALUE"""),"Gil")</f>
        <v>Gil</v>
      </c>
      <c r="G563" s="107">
        <f t="shared" si="1"/>
        <v>24.19</v>
      </c>
      <c r="H563" s="108" t="str">
        <f t="shared" si="2"/>
        <v>Jul</v>
      </c>
    </row>
    <row r="564">
      <c r="A564" s="106">
        <f>IFERROR(__xludf.DUMMYFUNCTION("""COMPUTED_VALUE"""),45500.0)</f>
        <v>45500</v>
      </c>
      <c r="B564" s="103">
        <f>IFERROR(__xludf.DUMMYFUNCTION("""COMPUTED_VALUE"""),25.81)</f>
        <v>25.81</v>
      </c>
      <c r="C564" s="79" t="str">
        <f>IFERROR(__xludf.DUMMYFUNCTION("""COMPUTED_VALUE"""),"Amazon S&amp;S - San Pelligrino")</f>
        <v>Amazon S&amp;S - San Pelligrino</v>
      </c>
      <c r="D564" s="79" t="str">
        <f>IFERROR(__xludf.DUMMYFUNCTION("""COMPUTED_VALUE"""),"Amazon Prime Chase")</f>
        <v>Amazon Prime Chase</v>
      </c>
      <c r="E564" s="79" t="str">
        <f>IFERROR(__xludf.DUMMYFUNCTION("""COMPUTED_VALUE"""),"Groceries")</f>
        <v>Groceries</v>
      </c>
      <c r="F564" s="79" t="str">
        <f>IFERROR(__xludf.DUMMYFUNCTION("""COMPUTED_VALUE"""),"Gil")</f>
        <v>Gil</v>
      </c>
      <c r="G564" s="107">
        <f t="shared" si="1"/>
        <v>12.905</v>
      </c>
      <c r="H564" s="108" t="str">
        <f t="shared" si="2"/>
        <v>Jul</v>
      </c>
    </row>
    <row r="565">
      <c r="A565" s="106">
        <f>IFERROR(__xludf.DUMMYFUNCTION("""COMPUTED_VALUE"""),45506.0)</f>
        <v>45506</v>
      </c>
      <c r="B565" s="103">
        <f>IFERROR(__xludf.DUMMYFUNCTION("""COMPUTED_VALUE"""),15.72)</f>
        <v>15.72</v>
      </c>
      <c r="C565" s="79" t="str">
        <f>IFERROR(__xludf.DUMMYFUNCTION("""COMPUTED_VALUE"""),"Amazon S&amp;S - 365 Olive Oil")</f>
        <v>Amazon S&amp;S - 365 Olive Oil</v>
      </c>
      <c r="D565" s="79" t="str">
        <f>IFERROR(__xludf.DUMMYFUNCTION("""COMPUTED_VALUE"""),"Amazon Prime Chase")</f>
        <v>Amazon Prime Chase</v>
      </c>
      <c r="E565" s="79" t="str">
        <f>IFERROR(__xludf.DUMMYFUNCTION("""COMPUTED_VALUE"""),"Groceries")</f>
        <v>Groceries</v>
      </c>
      <c r="F565" s="79" t="str">
        <f>IFERROR(__xludf.DUMMYFUNCTION("""COMPUTED_VALUE"""),"Gil")</f>
        <v>Gil</v>
      </c>
      <c r="G565" s="107">
        <f t="shared" si="1"/>
        <v>7.86</v>
      </c>
      <c r="H565" s="108" t="str">
        <f t="shared" si="2"/>
        <v>Aug</v>
      </c>
    </row>
    <row r="566">
      <c r="A566" s="106">
        <f>IFERROR(__xludf.DUMMYFUNCTION("""COMPUTED_VALUE"""),45506.0)</f>
        <v>45506</v>
      </c>
      <c r="B566" s="103">
        <f>IFERROR(__xludf.DUMMYFUNCTION("""COMPUTED_VALUE"""),13.99)</f>
        <v>13.99</v>
      </c>
      <c r="C566" s="79" t="str">
        <f>IFERROR(__xludf.DUMMYFUNCTION("""COMPUTED_VALUE"""),"Amazon S&amp;S - Belmont Peanuts")</f>
        <v>Amazon S&amp;S - Belmont Peanuts</v>
      </c>
      <c r="D566" s="79" t="str">
        <f>IFERROR(__xludf.DUMMYFUNCTION("""COMPUTED_VALUE"""),"Amazon Prime Chase")</f>
        <v>Amazon Prime Chase</v>
      </c>
      <c r="E566" s="79" t="str">
        <f>IFERROR(__xludf.DUMMYFUNCTION("""COMPUTED_VALUE"""),"Groceries")</f>
        <v>Groceries</v>
      </c>
      <c r="F566" s="79" t="str">
        <f>IFERROR(__xludf.DUMMYFUNCTION("""COMPUTED_VALUE"""),"Gil")</f>
        <v>Gil</v>
      </c>
      <c r="G566" s="107">
        <f t="shared" si="1"/>
        <v>6.995</v>
      </c>
      <c r="H566" s="108" t="str">
        <f t="shared" si="2"/>
        <v>Aug</v>
      </c>
    </row>
    <row r="567">
      <c r="A567" s="106">
        <f>IFERROR(__xludf.DUMMYFUNCTION("""COMPUTED_VALUE"""),45506.0)</f>
        <v>45506</v>
      </c>
      <c r="B567" s="103">
        <f>IFERROR(__xludf.DUMMYFUNCTION("""COMPUTED_VALUE"""),26.14)</f>
        <v>26.14</v>
      </c>
      <c r="C567" s="79" t="str">
        <f>IFERROR(__xludf.DUMMYFUNCTION("""COMPUTED_VALUE"""),"Amazon S&amp;S -  Life Extension Neuro-mag Magnesium L-threonate")</f>
        <v>Amazon S&amp;S -  Life Extension Neuro-mag Magnesium L-threonate</v>
      </c>
      <c r="D567" s="79" t="str">
        <f>IFERROR(__xludf.DUMMYFUNCTION("""COMPUTED_VALUE"""),"Amazon Prime Chase")</f>
        <v>Amazon Prime Chase</v>
      </c>
      <c r="E567" s="79" t="str">
        <f>IFERROR(__xludf.DUMMYFUNCTION("""COMPUTED_VALUE"""),"Personal")</f>
        <v>Personal</v>
      </c>
      <c r="F567" s="79" t="str">
        <f>IFERROR(__xludf.DUMMYFUNCTION("""COMPUTED_VALUE"""),"Gil")</f>
        <v>Gil</v>
      </c>
      <c r="G567" s="107">
        <f t="shared" si="1"/>
        <v>13.07</v>
      </c>
      <c r="H567" s="108" t="str">
        <f t="shared" si="2"/>
        <v>Aug</v>
      </c>
    </row>
    <row r="568">
      <c r="A568" s="106">
        <f>IFERROR(__xludf.DUMMYFUNCTION("""COMPUTED_VALUE"""),45506.0)</f>
        <v>45506</v>
      </c>
      <c r="B568" s="103">
        <f>IFERROR(__xludf.DUMMYFUNCTION("""COMPUTED_VALUE"""),15.68)</f>
        <v>15.68</v>
      </c>
      <c r="C568" s="79" t="str">
        <f>IFERROR(__xludf.DUMMYFUNCTION("""COMPUTED_VALUE"""),"Amazon S&amp;S -  SUPERSCANDI Swedish Dishcloths for Kitchen, Reusable Paper Towels Washable, Compostable Cloth, Dish Cloths for Washing Dishes, Eco-Friendly Kitchen Wa")</f>
        <v>Amazon S&amp;S -  SUPERSCANDI Swedish Dishcloths for Kitchen, Reusable Paper Towels Washable, Compostable Cloth, Dish Cloths for Washing Dishes, Eco-Friendly Kitchen Wa</v>
      </c>
      <c r="D568" s="79" t="str">
        <f>IFERROR(__xludf.DUMMYFUNCTION("""COMPUTED_VALUE"""),"Amazon Prime Chase")</f>
        <v>Amazon Prime Chase</v>
      </c>
      <c r="E568" s="79" t="str">
        <f>IFERROR(__xludf.DUMMYFUNCTION("""COMPUTED_VALUE"""),"Household")</f>
        <v>Household</v>
      </c>
      <c r="F568" s="79" t="str">
        <f>IFERROR(__xludf.DUMMYFUNCTION("""COMPUTED_VALUE"""),"Gil")</f>
        <v>Gil</v>
      </c>
      <c r="G568" s="107">
        <f t="shared" si="1"/>
        <v>7.84</v>
      </c>
      <c r="H568" s="108" t="str">
        <f t="shared" si="2"/>
        <v>Aug</v>
      </c>
    </row>
    <row r="569">
      <c r="A569" s="106">
        <f>IFERROR(__xludf.DUMMYFUNCTION("""COMPUTED_VALUE"""),45506.0)</f>
        <v>45506</v>
      </c>
      <c r="B569" s="103">
        <f>IFERROR(__xludf.DUMMYFUNCTION("""COMPUTED_VALUE"""),23.31)</f>
        <v>23.31</v>
      </c>
      <c r="C569" s="79" t="str">
        <f>IFERROR(__xludf.DUMMYFUNCTION("""COMPUTED_VALUE"""),"Amazon S&amp;S - Yuzuco 100% Yuzu Juice")</f>
        <v>Amazon S&amp;S - Yuzuco 100% Yuzu Juice</v>
      </c>
      <c r="D569" s="79" t="str">
        <f>IFERROR(__xludf.DUMMYFUNCTION("""COMPUTED_VALUE"""),"Amazon Prime Chase")</f>
        <v>Amazon Prime Chase</v>
      </c>
      <c r="E569" s="79" t="str">
        <f>IFERROR(__xludf.DUMMYFUNCTION("""COMPUTED_VALUE"""),"Groceries")</f>
        <v>Groceries</v>
      </c>
      <c r="F569" s="79" t="str">
        <f>IFERROR(__xludf.DUMMYFUNCTION("""COMPUTED_VALUE"""),"Gil")</f>
        <v>Gil</v>
      </c>
      <c r="G569" s="107">
        <f t="shared" si="1"/>
        <v>11.655</v>
      </c>
      <c r="H569" s="108" t="str">
        <f t="shared" si="2"/>
        <v>Aug</v>
      </c>
    </row>
    <row r="570">
      <c r="A570" s="106">
        <f>IFERROR(__xludf.DUMMYFUNCTION("""COMPUTED_VALUE"""),45506.0)</f>
        <v>45506</v>
      </c>
      <c r="B570" s="103">
        <f>IFERROR(__xludf.DUMMYFUNCTION("""COMPUTED_VALUE"""),7.26)</f>
        <v>7.26</v>
      </c>
      <c r="C570" s="79" t="str">
        <f>IFERROR(__xludf.DUMMYFUNCTION("""COMPUTED_VALUE"""),"Amazon S&amp;S - Wickedly Prime Sprouted Almonds")</f>
        <v>Amazon S&amp;S - Wickedly Prime Sprouted Almonds</v>
      </c>
      <c r="D570" s="79" t="str">
        <f>IFERROR(__xludf.DUMMYFUNCTION("""COMPUTED_VALUE"""),"Amazon Prime Chase")</f>
        <v>Amazon Prime Chase</v>
      </c>
      <c r="E570" s="79" t="str">
        <f>IFERROR(__xludf.DUMMYFUNCTION("""COMPUTED_VALUE"""),"Groceries")</f>
        <v>Groceries</v>
      </c>
      <c r="F570" s="79" t="str">
        <f>IFERROR(__xludf.DUMMYFUNCTION("""COMPUTED_VALUE"""),"Gil")</f>
        <v>Gil</v>
      </c>
      <c r="G570" s="107">
        <f t="shared" si="1"/>
        <v>3.63</v>
      </c>
      <c r="H570" s="108" t="str">
        <f t="shared" si="2"/>
        <v>Aug</v>
      </c>
    </row>
    <row r="571">
      <c r="A571" s="106">
        <f>IFERROR(__xludf.DUMMYFUNCTION("""COMPUTED_VALUE"""),45507.0)</f>
        <v>45507</v>
      </c>
      <c r="B571" s="103">
        <f>IFERROR(__xludf.DUMMYFUNCTION("""COMPUTED_VALUE"""),29.34)</f>
        <v>29.34</v>
      </c>
      <c r="C571" s="79" t="str">
        <f>IFERROR(__xludf.DUMMYFUNCTION("""COMPUTED_VALUE"""),"Hario Gooseneck - Amazon")</f>
        <v>Hario Gooseneck - Amazon</v>
      </c>
      <c r="D571" s="79" t="str">
        <f>IFERROR(__xludf.DUMMYFUNCTION("""COMPUTED_VALUE"""),"Amazon Prime Chase")</f>
        <v>Amazon Prime Chase</v>
      </c>
      <c r="E571" s="79" t="str">
        <f>IFERROR(__xludf.DUMMYFUNCTION("""COMPUTED_VALUE"""),"Household")</f>
        <v>Household</v>
      </c>
      <c r="F571" s="79" t="str">
        <f>IFERROR(__xludf.DUMMYFUNCTION("""COMPUTED_VALUE"""),"Gil")</f>
        <v>Gil</v>
      </c>
      <c r="G571" s="107">
        <f t="shared" si="1"/>
        <v>14.67</v>
      </c>
      <c r="H571" s="108" t="str">
        <f t="shared" si="2"/>
        <v>Aug</v>
      </c>
    </row>
    <row r="572">
      <c r="A572" s="106">
        <f>IFERROR(__xludf.DUMMYFUNCTION("""COMPUTED_VALUE"""),45510.0)</f>
        <v>45510</v>
      </c>
      <c r="B572" s="103">
        <f>IFERROR(__xludf.DUMMYFUNCTION("""COMPUTED_VALUE"""),4.99)</f>
        <v>4.99</v>
      </c>
      <c r="C572" s="79" t="str">
        <f>IFERROR(__xludf.DUMMYFUNCTION("""COMPUTED_VALUE"""),"Prime Video")</f>
        <v>Prime Video</v>
      </c>
      <c r="D572" s="79" t="str">
        <f>IFERROR(__xludf.DUMMYFUNCTION("""COMPUTED_VALUE"""),"Amazon Prime Chase")</f>
        <v>Amazon Prime Chase</v>
      </c>
      <c r="E572" s="79" t="str">
        <f>IFERROR(__xludf.DUMMYFUNCTION("""COMPUTED_VALUE"""),"Entertainment")</f>
        <v>Entertainment</v>
      </c>
      <c r="F572" s="79" t="str">
        <f>IFERROR(__xludf.DUMMYFUNCTION("""COMPUTED_VALUE"""),"Gil")</f>
        <v>Gil</v>
      </c>
      <c r="G572" s="107">
        <f t="shared" si="1"/>
        <v>2.495</v>
      </c>
      <c r="H572" s="108" t="str">
        <f t="shared" si="2"/>
        <v>Aug</v>
      </c>
    </row>
    <row r="573">
      <c r="A573" s="106">
        <f>IFERROR(__xludf.DUMMYFUNCTION("""COMPUTED_VALUE"""),45509.0)</f>
        <v>45509</v>
      </c>
      <c r="B573" s="103">
        <f>IFERROR(__xludf.DUMMYFUNCTION("""COMPUTED_VALUE"""),45.06)</f>
        <v>45.06</v>
      </c>
      <c r="C573" s="79" t="str">
        <f>IFERROR(__xludf.DUMMYFUNCTION("""COMPUTED_VALUE"""),"MHW-3BOMBER Mini Coffee Scale with Timer,Rechargeable Espresso Scale with Gravity Sensing,2kg/0.1g Precision Scale for Espresso&amp;Pour-Over Coffee,Portable Digital Kitchen Scale,Black ES6029B-OS - Amazon")</f>
        <v>MHW-3BOMBER Mini Coffee Scale with Timer,Rechargeable Espresso Scale with Gravity Sensing,2kg/0.1g Precision Scale for Espresso&amp;Pour-Over Coffee,Portable Digital Kitchen Scale,Black ES6029B-OS - Amazon</v>
      </c>
      <c r="D573" s="79" t="str">
        <f>IFERROR(__xludf.DUMMYFUNCTION("""COMPUTED_VALUE"""),"Amazon Prime Chase")</f>
        <v>Amazon Prime Chase</v>
      </c>
      <c r="E573" s="79" t="str">
        <f>IFERROR(__xludf.DUMMYFUNCTION("""COMPUTED_VALUE"""),"Personal")</f>
        <v>Personal</v>
      </c>
      <c r="F573" s="79" t="str">
        <f>IFERROR(__xludf.DUMMYFUNCTION("""COMPUTED_VALUE"""),"Gil")</f>
        <v>Gil</v>
      </c>
      <c r="G573" s="107">
        <f t="shared" si="1"/>
        <v>22.53</v>
      </c>
      <c r="H573" s="108" t="str">
        <f t="shared" si="2"/>
        <v>Aug</v>
      </c>
    </row>
    <row r="574">
      <c r="A574" s="106">
        <f>IFERROR(__xludf.DUMMYFUNCTION("""COMPUTED_VALUE"""),45512.0)</f>
        <v>45512</v>
      </c>
      <c r="B574" s="103">
        <f>IFERROR(__xludf.DUMMYFUNCTION("""COMPUTED_VALUE"""),1.62)</f>
        <v>1.62</v>
      </c>
      <c r="C574" s="79" t="str">
        <f>IFERROR(__xludf.DUMMYFUNCTION("""COMPUTED_VALUE"""),"HP Instant Ink")</f>
        <v>HP Instant Ink</v>
      </c>
      <c r="D574" s="79" t="str">
        <f>IFERROR(__xludf.DUMMYFUNCTION("""COMPUTED_VALUE"""),"Amazon Prime Chase")</f>
        <v>Amazon Prime Chase</v>
      </c>
      <c r="E574" s="79" t="str">
        <f>IFERROR(__xludf.DUMMYFUNCTION("""COMPUTED_VALUE"""),"Subscriptions")</f>
        <v>Subscriptions</v>
      </c>
      <c r="F574" s="79" t="str">
        <f>IFERROR(__xludf.DUMMYFUNCTION("""COMPUTED_VALUE"""),"Gil")</f>
        <v>Gil</v>
      </c>
      <c r="G574" s="107">
        <f t="shared" si="1"/>
        <v>0.81</v>
      </c>
      <c r="H574" s="108" t="str">
        <f t="shared" si="2"/>
        <v>Aug</v>
      </c>
    </row>
    <row r="575">
      <c r="A575" s="106">
        <f>IFERROR(__xludf.DUMMYFUNCTION("""COMPUTED_VALUE"""),45522.0)</f>
        <v>45522</v>
      </c>
      <c r="B575" s="103">
        <f>IFERROR(__xludf.DUMMYFUNCTION("""COMPUTED_VALUE"""),16.32)</f>
        <v>16.32</v>
      </c>
      <c r="C575" s="79" t="str">
        <f>IFERROR(__xludf.DUMMYFUNCTION("""COMPUTED_VALUE"""),"Amazon Prime Subscription")</f>
        <v>Amazon Prime Subscription</v>
      </c>
      <c r="D575" s="79" t="str">
        <f>IFERROR(__xludf.DUMMYFUNCTION("""COMPUTED_VALUE"""),"Amazon Prime Chase")</f>
        <v>Amazon Prime Chase</v>
      </c>
      <c r="E575" s="79" t="str">
        <f>IFERROR(__xludf.DUMMYFUNCTION("""COMPUTED_VALUE"""),"Subscriptions")</f>
        <v>Subscriptions</v>
      </c>
      <c r="F575" s="79" t="str">
        <f>IFERROR(__xludf.DUMMYFUNCTION("""COMPUTED_VALUE"""),"Gil")</f>
        <v>Gil</v>
      </c>
      <c r="G575" s="107">
        <f t="shared" si="1"/>
        <v>8.16</v>
      </c>
      <c r="H575" s="108" t="str">
        <f t="shared" si="2"/>
        <v>Aug</v>
      </c>
    </row>
    <row r="576">
      <c r="A576" s="106">
        <f>IFERROR(__xludf.DUMMYFUNCTION("""COMPUTED_VALUE"""),45525.0)</f>
        <v>45525</v>
      </c>
      <c r="B576" s="103">
        <f>IFERROR(__xludf.DUMMYFUNCTION("""COMPUTED_VALUE"""),4.99)</f>
        <v>4.99</v>
      </c>
      <c r="C576" s="79" t="str">
        <f>IFERROR(__xludf.DUMMYFUNCTION("""COMPUTED_VALUE"""),"Prime Video - Labyrinth")</f>
        <v>Prime Video - Labyrinth</v>
      </c>
      <c r="D576" s="79" t="str">
        <f>IFERROR(__xludf.DUMMYFUNCTION("""COMPUTED_VALUE"""),"Amazon Prime Chase")</f>
        <v>Amazon Prime Chase</v>
      </c>
      <c r="E576" s="79" t="str">
        <f>IFERROR(__xludf.DUMMYFUNCTION("""COMPUTED_VALUE"""),"Entertainment")</f>
        <v>Entertainment</v>
      </c>
      <c r="F576" s="79" t="str">
        <f>IFERROR(__xludf.DUMMYFUNCTION("""COMPUTED_VALUE"""),"Gil")</f>
        <v>Gil</v>
      </c>
      <c r="G576" s="107">
        <f t="shared" si="1"/>
        <v>2.495</v>
      </c>
      <c r="H576" s="108" t="str">
        <f t="shared" si="2"/>
        <v>Aug</v>
      </c>
    </row>
    <row r="577">
      <c r="A577" s="106">
        <f>IFERROR(__xludf.DUMMYFUNCTION("""COMPUTED_VALUE"""),45530.0)</f>
        <v>45530</v>
      </c>
      <c r="B577" s="103">
        <f>IFERROR(__xludf.DUMMYFUNCTION("""COMPUTED_VALUE"""),21.97)</f>
        <v>21.97</v>
      </c>
      <c r="C577" s="79" t="str">
        <f>IFERROR(__xludf.DUMMYFUNCTION("""COMPUTED_VALUE"""),"Mr. Lemon")</f>
        <v>Mr. Lemon</v>
      </c>
      <c r="D577" s="79" t="str">
        <f>IFERROR(__xludf.DUMMYFUNCTION("""COMPUTED_VALUE"""),"Amex Blue")</f>
        <v>Amex Blue</v>
      </c>
      <c r="E577" s="79" t="str">
        <f>IFERROR(__xludf.DUMMYFUNCTION("""COMPUTED_VALUE"""),"Groceries")</f>
        <v>Groceries</v>
      </c>
      <c r="F577" s="79" t="str">
        <f>IFERROR(__xludf.DUMMYFUNCTION("""COMPUTED_VALUE"""),"Gil")</f>
        <v>Gil</v>
      </c>
      <c r="G577" s="107">
        <f t="shared" si="1"/>
        <v>10.985</v>
      </c>
      <c r="H577" s="108" t="str">
        <f t="shared" si="2"/>
        <v>Aug</v>
      </c>
    </row>
    <row r="578">
      <c r="A578" s="106">
        <f>IFERROR(__xludf.DUMMYFUNCTION("""COMPUTED_VALUE"""),45531.0)</f>
        <v>45531</v>
      </c>
      <c r="B578" s="103">
        <f>IFERROR(__xludf.DUMMYFUNCTION("""COMPUTED_VALUE"""),70.05)</f>
        <v>70.05</v>
      </c>
      <c r="C578" s="79" t="str">
        <f>IFERROR(__xludf.DUMMYFUNCTION("""COMPUTED_VALUE"""),"Whole Foods")</f>
        <v>Whole Foods</v>
      </c>
      <c r="D578" s="79" t="str">
        <f>IFERROR(__xludf.DUMMYFUNCTION("""COMPUTED_VALUE"""),"Amex Blue")</f>
        <v>Amex Blue</v>
      </c>
      <c r="E578" s="79" t="str">
        <f>IFERROR(__xludf.DUMMYFUNCTION("""COMPUTED_VALUE"""),"Groceries")</f>
        <v>Groceries</v>
      </c>
      <c r="F578" s="79" t="str">
        <f>IFERROR(__xludf.DUMMYFUNCTION("""COMPUTED_VALUE"""),"Gil")</f>
        <v>Gil</v>
      </c>
      <c r="G578" s="107">
        <f t="shared" si="1"/>
        <v>35.025</v>
      </c>
      <c r="H578" s="108" t="str">
        <f t="shared" si="2"/>
        <v>Aug</v>
      </c>
    </row>
    <row r="579">
      <c r="A579" s="106">
        <f>IFERROR(__xludf.DUMMYFUNCTION("""COMPUTED_VALUE"""),45532.0)</f>
        <v>45532</v>
      </c>
      <c r="B579" s="103">
        <f>IFERROR(__xludf.DUMMYFUNCTION("""COMPUTED_VALUE"""),16.86)</f>
        <v>16.86</v>
      </c>
      <c r="C579" s="79" t="str">
        <f>IFERROR(__xludf.DUMMYFUNCTION("""COMPUTED_VALUE"""),"Netflix")</f>
        <v>Netflix</v>
      </c>
      <c r="D579" s="79" t="str">
        <f>IFERROR(__xludf.DUMMYFUNCTION("""COMPUTED_VALUE"""),"Amex Blue")</f>
        <v>Amex Blue</v>
      </c>
      <c r="E579" s="79" t="str">
        <f>IFERROR(__xludf.DUMMYFUNCTION("""COMPUTED_VALUE"""),"Subscriptions")</f>
        <v>Subscriptions</v>
      </c>
      <c r="F579" s="79" t="str">
        <f>IFERROR(__xludf.DUMMYFUNCTION("""COMPUTED_VALUE"""),"Gil")</f>
        <v>Gil</v>
      </c>
      <c r="G579" s="107">
        <f t="shared" si="1"/>
        <v>8.43</v>
      </c>
      <c r="H579" s="108" t="str">
        <f t="shared" si="2"/>
        <v>Aug</v>
      </c>
    </row>
    <row r="580">
      <c r="A580" s="106">
        <f>IFERROR(__xludf.DUMMYFUNCTION("""COMPUTED_VALUE"""),45533.0)</f>
        <v>45533</v>
      </c>
      <c r="B580" s="103">
        <f>IFERROR(__xludf.DUMMYFUNCTION("""COMPUTED_VALUE"""),49.5)</f>
        <v>49.5</v>
      </c>
      <c r="C580" s="79" t="str">
        <f>IFERROR(__xludf.DUMMYFUNCTION("""COMPUTED_VALUE"""),"ATG")</f>
        <v>ATG</v>
      </c>
      <c r="D580" s="79" t="str">
        <f>IFERROR(__xludf.DUMMYFUNCTION("""COMPUTED_VALUE"""),"Other")</f>
        <v>Other</v>
      </c>
      <c r="E580" s="79" t="str">
        <f>IFERROR(__xludf.DUMMYFUNCTION("""COMPUTED_VALUE"""),"Subscriptions")</f>
        <v>Subscriptions</v>
      </c>
      <c r="F580" s="79" t="str">
        <f>IFERROR(__xludf.DUMMYFUNCTION("""COMPUTED_VALUE"""),"Gil")</f>
        <v>Gil</v>
      </c>
      <c r="G580" s="107">
        <f t="shared" si="1"/>
        <v>24.75</v>
      </c>
      <c r="H580" s="108" t="str">
        <f t="shared" si="2"/>
        <v>Aug</v>
      </c>
    </row>
    <row r="581">
      <c r="A581" s="106">
        <f>IFERROR(__xludf.DUMMYFUNCTION("""COMPUTED_VALUE"""),45534.0)</f>
        <v>45534</v>
      </c>
      <c r="B581" s="103">
        <f>IFERROR(__xludf.DUMMYFUNCTION("""COMPUTED_VALUE"""),42.3)</f>
        <v>42.3</v>
      </c>
      <c r="C581" s="79" t="str">
        <f>IFERROR(__xludf.DUMMYFUNCTION("""COMPUTED_VALUE"""),"Whole Foods")</f>
        <v>Whole Foods</v>
      </c>
      <c r="D581" s="79" t="str">
        <f>IFERROR(__xludf.DUMMYFUNCTION("""COMPUTED_VALUE"""),"Amex Blue")</f>
        <v>Amex Blue</v>
      </c>
      <c r="E581" s="79" t="str">
        <f>IFERROR(__xludf.DUMMYFUNCTION("""COMPUTED_VALUE"""),"Groceries")</f>
        <v>Groceries</v>
      </c>
      <c r="F581" s="79" t="str">
        <f>IFERROR(__xludf.DUMMYFUNCTION("""COMPUTED_VALUE"""),"Gil")</f>
        <v>Gil</v>
      </c>
      <c r="G581" s="107">
        <f t="shared" si="1"/>
        <v>21.15</v>
      </c>
      <c r="H581" s="108" t="str">
        <f t="shared" si="2"/>
        <v>Aug</v>
      </c>
    </row>
    <row r="582">
      <c r="A582" s="106">
        <f>IFERROR(__xludf.DUMMYFUNCTION("""COMPUTED_VALUE"""),45534.0)</f>
        <v>45534</v>
      </c>
      <c r="B582" s="103">
        <f>IFERROR(__xludf.DUMMYFUNCTION("""COMPUTED_VALUE"""),39.8)</f>
        <v>39.8</v>
      </c>
      <c r="C582" s="79" t="str">
        <f>IFERROR(__xludf.DUMMYFUNCTION("""COMPUTED_VALUE"""),"Abraço")</f>
        <v>Abraço</v>
      </c>
      <c r="D582" s="79" t="str">
        <f>IFERROR(__xludf.DUMMYFUNCTION("""COMPUTED_VALUE"""),"Amex Gold")</f>
        <v>Amex Gold</v>
      </c>
      <c r="E582" s="79" t="str">
        <f>IFERROR(__xludf.DUMMYFUNCTION("""COMPUTED_VALUE"""),"Alcohol/Weed")</f>
        <v>Alcohol/Weed</v>
      </c>
      <c r="F582" s="79" t="str">
        <f>IFERROR(__xludf.DUMMYFUNCTION("""COMPUTED_VALUE"""),"Gil")</f>
        <v>Gil</v>
      </c>
      <c r="G582" s="107">
        <f t="shared" si="1"/>
        <v>19.9</v>
      </c>
      <c r="H582" s="108" t="str">
        <f t="shared" si="2"/>
        <v>Aug</v>
      </c>
    </row>
    <row r="583">
      <c r="A583" s="106">
        <f>IFERROR(__xludf.DUMMYFUNCTION("""COMPUTED_VALUE"""),45534.0)</f>
        <v>45534</v>
      </c>
      <c r="B583" s="103">
        <f>IFERROR(__xludf.DUMMYFUNCTION("""COMPUTED_VALUE"""),45.43)</f>
        <v>45.43</v>
      </c>
      <c r="C583" s="79" t="str">
        <f>IFERROR(__xludf.DUMMYFUNCTION("""COMPUTED_VALUE"""),"Alphabet City Wine Co.")</f>
        <v>Alphabet City Wine Co.</v>
      </c>
      <c r="D583" s="79" t="str">
        <f>IFERROR(__xludf.DUMMYFUNCTION("""COMPUTED_VALUE"""),"Amex Blue")</f>
        <v>Amex Blue</v>
      </c>
      <c r="E583" s="79" t="str">
        <f>IFERROR(__xludf.DUMMYFUNCTION("""COMPUTED_VALUE"""),"Alcohol/Weed")</f>
        <v>Alcohol/Weed</v>
      </c>
      <c r="F583" s="79" t="str">
        <f>IFERROR(__xludf.DUMMYFUNCTION("""COMPUTED_VALUE"""),"Gil")</f>
        <v>Gil</v>
      </c>
      <c r="G583" s="107">
        <f t="shared" si="1"/>
        <v>22.715</v>
      </c>
      <c r="H583" s="108" t="str">
        <f t="shared" si="2"/>
        <v>Aug</v>
      </c>
    </row>
    <row r="584">
      <c r="A584" s="106">
        <f>IFERROR(__xludf.DUMMYFUNCTION("""COMPUTED_VALUE"""),45534.0)</f>
        <v>45534</v>
      </c>
      <c r="B584" s="103">
        <f>IFERROR(__xludf.DUMMYFUNCTION("""COMPUTED_VALUE"""),63.77)</f>
        <v>63.77</v>
      </c>
      <c r="C584" s="79" t="str">
        <f>IFERROR(__xludf.DUMMYFUNCTION("""COMPUTED_VALUE"""),"Rice Bird")</f>
        <v>Rice Bird</v>
      </c>
      <c r="D584" s="79" t="str">
        <f>IFERROR(__xludf.DUMMYFUNCTION("""COMPUTED_VALUE"""),"Amex Gold")</f>
        <v>Amex Gold</v>
      </c>
      <c r="E584" s="79" t="str">
        <f>IFERROR(__xludf.DUMMYFUNCTION("""COMPUTED_VALUE"""),"Meals")</f>
        <v>Meals</v>
      </c>
      <c r="F584" s="79" t="str">
        <f>IFERROR(__xludf.DUMMYFUNCTION("""COMPUTED_VALUE"""),"Gil")</f>
        <v>Gil</v>
      </c>
      <c r="G584" s="107">
        <f t="shared" si="1"/>
        <v>31.885</v>
      </c>
      <c r="H584" s="108" t="str">
        <f t="shared" si="2"/>
        <v>Aug</v>
      </c>
    </row>
    <row r="585">
      <c r="A585" s="106">
        <f>IFERROR(__xludf.DUMMYFUNCTION("""COMPUTED_VALUE"""),45535.0)</f>
        <v>45535</v>
      </c>
      <c r="B585" s="103">
        <f>IFERROR(__xludf.DUMMYFUNCTION("""COMPUTED_VALUE"""),47.72)</f>
        <v>47.72</v>
      </c>
      <c r="C585" s="79" t="str">
        <f>IFERROR(__xludf.DUMMYFUNCTION("""COMPUTED_VALUE"""),"7 Grain Army")</f>
        <v>7 Grain Army</v>
      </c>
      <c r="D585" s="79" t="str">
        <f>IFERROR(__xludf.DUMMYFUNCTION("""COMPUTED_VALUE"""),"Amex Gold")</f>
        <v>Amex Gold</v>
      </c>
      <c r="E585" s="79" t="str">
        <f>IFERROR(__xludf.DUMMYFUNCTION("""COMPUTED_VALUE"""),"Meals")</f>
        <v>Meals</v>
      </c>
      <c r="F585" s="79" t="str">
        <f>IFERROR(__xludf.DUMMYFUNCTION("""COMPUTED_VALUE"""),"Gil")</f>
        <v>Gil</v>
      </c>
      <c r="G585" s="107">
        <f t="shared" si="1"/>
        <v>23.86</v>
      </c>
      <c r="H585" s="108" t="str">
        <f t="shared" si="2"/>
        <v>Aug</v>
      </c>
    </row>
    <row r="586">
      <c r="A586" s="106">
        <f>IFERROR(__xludf.DUMMYFUNCTION("""COMPUTED_VALUE"""),45535.0)</f>
        <v>45535</v>
      </c>
      <c r="B586" s="103">
        <f>IFERROR(__xludf.DUMMYFUNCTION("""COMPUTED_VALUE"""),76.33)</f>
        <v>76.33</v>
      </c>
      <c r="C586" s="79" t="str">
        <f>IFERROR(__xludf.DUMMYFUNCTION("""COMPUTED_VALUE"""),"Palmetto")</f>
        <v>Palmetto</v>
      </c>
      <c r="D586" s="79" t="str">
        <f>IFERROR(__xludf.DUMMYFUNCTION("""COMPUTED_VALUE"""),"Amex Gold")</f>
        <v>Amex Gold</v>
      </c>
      <c r="E586" s="79" t="str">
        <f>IFERROR(__xludf.DUMMYFUNCTION("""COMPUTED_VALUE"""),"Alcohol/Weed")</f>
        <v>Alcohol/Weed</v>
      </c>
      <c r="F586" s="79" t="str">
        <f>IFERROR(__xludf.DUMMYFUNCTION("""COMPUTED_VALUE"""),"Gil")</f>
        <v>Gil</v>
      </c>
      <c r="G586" s="107">
        <f t="shared" si="1"/>
        <v>38.165</v>
      </c>
      <c r="H586" s="108" t="str">
        <f t="shared" si="2"/>
        <v>Aug</v>
      </c>
    </row>
    <row r="587">
      <c r="A587" s="106">
        <f>IFERROR(__xludf.DUMMYFUNCTION("""COMPUTED_VALUE"""),45537.0)</f>
        <v>45537</v>
      </c>
      <c r="B587" s="103">
        <f>IFERROR(__xludf.DUMMYFUNCTION("""COMPUTED_VALUE"""),13.01)</f>
        <v>13.01</v>
      </c>
      <c r="C587" s="79" t="str">
        <f>IFERROR(__xludf.DUMMYFUNCTION("""COMPUTED_VALUE"""),"Prêt à Manger")</f>
        <v>Prêt à Manger</v>
      </c>
      <c r="D587" s="79" t="str">
        <f>IFERROR(__xludf.DUMMYFUNCTION("""COMPUTED_VALUE"""),"Amex Gold")</f>
        <v>Amex Gold</v>
      </c>
      <c r="E587" s="79" t="str">
        <f>IFERROR(__xludf.DUMMYFUNCTION("""COMPUTED_VALUE"""),"Meals")</f>
        <v>Meals</v>
      </c>
      <c r="F587" s="79" t="str">
        <f>IFERROR(__xludf.DUMMYFUNCTION("""COMPUTED_VALUE"""),"Gil")</f>
        <v>Gil</v>
      </c>
      <c r="G587" s="107">
        <f t="shared" si="1"/>
        <v>6.505</v>
      </c>
      <c r="H587" s="108" t="str">
        <f t="shared" si="2"/>
        <v>Sep</v>
      </c>
    </row>
    <row r="588">
      <c r="A588" s="106">
        <f>IFERROR(__xludf.DUMMYFUNCTION("""COMPUTED_VALUE"""),45537.0)</f>
        <v>45537</v>
      </c>
      <c r="B588" s="103">
        <f>IFERROR(__xludf.DUMMYFUNCTION("""COMPUTED_VALUE"""),11.5)</f>
        <v>11.5</v>
      </c>
      <c r="C588" s="79" t="str">
        <f>IFERROR(__xludf.DUMMYFUNCTION("""COMPUTED_VALUE"""),"Cafe Volan")</f>
        <v>Cafe Volan</v>
      </c>
      <c r="D588" s="79" t="str">
        <f>IFERROR(__xludf.DUMMYFUNCTION("""COMPUTED_VALUE"""),"Amex Gold")</f>
        <v>Amex Gold</v>
      </c>
      <c r="E588" s="79" t="str">
        <f>IFERROR(__xludf.DUMMYFUNCTION("""COMPUTED_VALUE"""),"Meals")</f>
        <v>Meals</v>
      </c>
      <c r="F588" s="79" t="str">
        <f>IFERROR(__xludf.DUMMYFUNCTION("""COMPUTED_VALUE"""),"Gil")</f>
        <v>Gil</v>
      </c>
      <c r="G588" s="107">
        <f t="shared" si="1"/>
        <v>5.75</v>
      </c>
      <c r="H588" s="108" t="str">
        <f t="shared" si="2"/>
        <v>Sep</v>
      </c>
    </row>
    <row r="589">
      <c r="A589" s="106">
        <f>IFERROR(__xludf.DUMMYFUNCTION("""COMPUTED_VALUE"""),45537.0)</f>
        <v>45537</v>
      </c>
      <c r="B589" s="103">
        <f>IFERROR(__xludf.DUMMYFUNCTION("""COMPUTED_VALUE"""),10.0)</f>
        <v>10</v>
      </c>
      <c r="C589" s="79" t="str">
        <f>IFERROR(__xludf.DUMMYFUNCTION("""COMPUTED_VALUE"""),"Day's Ice Cream - Ocean Grove")</f>
        <v>Day's Ice Cream - Ocean Grove</v>
      </c>
      <c r="D589" s="79" t="str">
        <f>IFERROR(__xludf.DUMMYFUNCTION("""COMPUTED_VALUE"""),"Cash")</f>
        <v>Cash</v>
      </c>
      <c r="E589" s="79" t="str">
        <f>IFERROR(__xludf.DUMMYFUNCTION("""COMPUTED_VALUE"""),"Meals")</f>
        <v>Meals</v>
      </c>
      <c r="F589" s="79" t="str">
        <f>IFERROR(__xludf.DUMMYFUNCTION("""COMPUTED_VALUE"""),"Gil")</f>
        <v>Gil</v>
      </c>
      <c r="G589" s="107">
        <f t="shared" si="1"/>
        <v>5</v>
      </c>
      <c r="H589" s="108" t="str">
        <f t="shared" si="2"/>
        <v>Sep</v>
      </c>
    </row>
    <row r="590">
      <c r="A590" s="106">
        <f>IFERROR(__xludf.DUMMYFUNCTION("""COMPUTED_VALUE"""),45537.0)</f>
        <v>45537</v>
      </c>
      <c r="B590" s="103">
        <f>IFERROR(__xludf.DUMMYFUNCTION("""COMPUTED_VALUE"""),22.0)</f>
        <v>22</v>
      </c>
      <c r="C590" s="79" t="str">
        <f>IFERROR(__xludf.DUMMYFUNCTION("""COMPUTED_VALUE"""),"Johnny Mac Beer Garden - Asbury Park")</f>
        <v>Johnny Mac Beer Garden - Asbury Park</v>
      </c>
      <c r="D590" s="79" t="str">
        <f>IFERROR(__xludf.DUMMYFUNCTION("""COMPUTED_VALUE"""),"Amex Blue")</f>
        <v>Amex Blue</v>
      </c>
      <c r="E590" s="79" t="str">
        <f>IFERROR(__xludf.DUMMYFUNCTION("""COMPUTED_VALUE"""),"Alcohol/Weed")</f>
        <v>Alcohol/Weed</v>
      </c>
      <c r="F590" s="79" t="str">
        <f>IFERROR(__xludf.DUMMYFUNCTION("""COMPUTED_VALUE"""),"Gil")</f>
        <v>Gil</v>
      </c>
      <c r="G590" s="107">
        <f t="shared" si="1"/>
        <v>11</v>
      </c>
      <c r="H590" s="108" t="str">
        <f t="shared" si="2"/>
        <v>Sep</v>
      </c>
    </row>
    <row r="591">
      <c r="A591" s="106">
        <f>IFERROR(__xludf.DUMMYFUNCTION("""COMPUTED_VALUE"""),45537.0)</f>
        <v>45537</v>
      </c>
      <c r="B591" s="103">
        <f>IFERROR(__xludf.DUMMYFUNCTION("""COMPUTED_VALUE"""),78.05)</f>
        <v>78.05</v>
      </c>
      <c r="C591" s="79" t="str">
        <f>IFERROR(__xludf.DUMMYFUNCTION("""COMPUTED_VALUE"""),"Cardinal Provisions")</f>
        <v>Cardinal Provisions</v>
      </c>
      <c r="D591" s="79" t="str">
        <f>IFERROR(__xludf.DUMMYFUNCTION("""COMPUTED_VALUE"""),"Amex Gold")</f>
        <v>Amex Gold</v>
      </c>
      <c r="E591" s="79" t="str">
        <f>IFERROR(__xludf.DUMMYFUNCTION("""COMPUTED_VALUE"""),"Meals")</f>
        <v>Meals</v>
      </c>
      <c r="F591" s="79" t="str">
        <f>IFERROR(__xludf.DUMMYFUNCTION("""COMPUTED_VALUE"""),"Gil")</f>
        <v>Gil</v>
      </c>
      <c r="G591" s="107">
        <f t="shared" si="1"/>
        <v>39.025</v>
      </c>
      <c r="H591" s="108" t="str">
        <f t="shared" si="2"/>
        <v>Sep</v>
      </c>
    </row>
    <row r="592">
      <c r="A592" s="106">
        <f>IFERROR(__xludf.DUMMYFUNCTION("""COMPUTED_VALUE"""),45538.0)</f>
        <v>45538</v>
      </c>
      <c r="B592" s="103">
        <f>IFERROR(__xludf.DUMMYFUNCTION("""COMPUTED_VALUE"""),20.0)</f>
        <v>20</v>
      </c>
      <c r="C592" s="79" t="str">
        <f>IFERROR(__xludf.DUMMYFUNCTION("""COMPUTED_VALUE"""),"City of Asbury Park Beach ")</f>
        <v>City of Asbury Park Beach </v>
      </c>
      <c r="D592" s="79" t="str">
        <f>IFERROR(__xludf.DUMMYFUNCTION("""COMPUTED_VALUE"""),"Amex Blue")</f>
        <v>Amex Blue</v>
      </c>
      <c r="E592" s="79" t="str">
        <f>IFERROR(__xludf.DUMMYFUNCTION("""COMPUTED_VALUE"""),"Entertainment")</f>
        <v>Entertainment</v>
      </c>
      <c r="F592" s="79" t="str">
        <f>IFERROR(__xludf.DUMMYFUNCTION("""COMPUTED_VALUE"""),"Gil")</f>
        <v>Gil</v>
      </c>
      <c r="G592" s="107">
        <f t="shared" si="1"/>
        <v>10</v>
      </c>
      <c r="H592" s="108" t="str">
        <f t="shared" si="2"/>
        <v>Sep</v>
      </c>
    </row>
    <row r="593">
      <c r="A593" s="106">
        <f>IFERROR(__xludf.DUMMYFUNCTION("""COMPUTED_VALUE"""),45538.0)</f>
        <v>45538</v>
      </c>
      <c r="B593" s="103">
        <f>IFERROR(__xludf.DUMMYFUNCTION("""COMPUTED_VALUE"""),50.0)</f>
        <v>50</v>
      </c>
      <c r="C593" s="79" t="str">
        <f>IFERROR(__xludf.DUMMYFUNCTION("""COMPUTED_VALUE"""),"236 Moore St.")</f>
        <v>236 Moore St.</v>
      </c>
      <c r="D593" s="79" t="str">
        <f>IFERROR(__xludf.DUMMYFUNCTION("""COMPUTED_VALUE"""),"Checking")</f>
        <v>Checking</v>
      </c>
      <c r="E593" s="79" t="str">
        <f>IFERROR(__xludf.DUMMYFUNCTION("""COMPUTED_VALUE"""),"Storage")</f>
        <v>Storage</v>
      </c>
      <c r="F593" s="79" t="str">
        <f>IFERROR(__xludf.DUMMYFUNCTION("""COMPUTED_VALUE"""),"Gil")</f>
        <v>Gil</v>
      </c>
      <c r="G593" s="107">
        <f t="shared" si="1"/>
        <v>25</v>
      </c>
      <c r="H593" s="108" t="str">
        <f t="shared" si="2"/>
        <v>Sep</v>
      </c>
    </row>
    <row r="594">
      <c r="A594" s="106">
        <f>IFERROR(__xludf.DUMMYFUNCTION("""COMPUTED_VALUE"""),45538.0)</f>
        <v>45538</v>
      </c>
      <c r="B594" s="103">
        <f>IFERROR(__xludf.DUMMYFUNCTION("""COMPUTED_VALUE"""),30.63)</f>
        <v>30.63</v>
      </c>
      <c r="C594" s="79" t="str">
        <f>IFERROR(__xludf.DUMMYFUNCTION("""COMPUTED_VALUE"""),"Whole Foods")</f>
        <v>Whole Foods</v>
      </c>
      <c r="D594" s="79" t="str">
        <f>IFERROR(__xludf.DUMMYFUNCTION("""COMPUTED_VALUE"""),"Amex Blue")</f>
        <v>Amex Blue</v>
      </c>
      <c r="E594" s="79" t="str">
        <f>IFERROR(__xludf.DUMMYFUNCTION("""COMPUTED_VALUE"""),"Groceries")</f>
        <v>Groceries</v>
      </c>
      <c r="F594" s="79" t="str">
        <f>IFERROR(__xludf.DUMMYFUNCTION("""COMPUTED_VALUE"""),"Gil")</f>
        <v>Gil</v>
      </c>
      <c r="G594" s="107">
        <f t="shared" si="1"/>
        <v>15.315</v>
      </c>
      <c r="H594" s="108" t="str">
        <f t="shared" si="2"/>
        <v>Sep</v>
      </c>
    </row>
    <row r="595">
      <c r="A595" s="106">
        <f>IFERROR(__xludf.DUMMYFUNCTION("""COMPUTED_VALUE"""),45539.0)</f>
        <v>45539</v>
      </c>
      <c r="B595" s="103">
        <f>IFERROR(__xludf.DUMMYFUNCTION("""COMPUTED_VALUE"""),97.05)</f>
        <v>97.05</v>
      </c>
      <c r="C595" s="79" t="str">
        <f>IFERROR(__xludf.DUMMYFUNCTION("""COMPUTED_VALUE"""),"Kitchen Co Ût")</f>
        <v>Kitchen Co Ût</v>
      </c>
      <c r="D595" s="79" t="str">
        <f>IFERROR(__xludf.DUMMYFUNCTION("""COMPUTED_VALUE"""),"Wells Fargo")</f>
        <v>Wells Fargo</v>
      </c>
      <c r="E595" s="79" t="str">
        <f>IFERROR(__xludf.DUMMYFUNCTION("""COMPUTED_VALUE"""),"Meals")</f>
        <v>Meals</v>
      </c>
      <c r="F595" s="79" t="str">
        <f>IFERROR(__xludf.DUMMYFUNCTION("""COMPUTED_VALUE"""),"Gil")</f>
        <v>Gil</v>
      </c>
      <c r="G595" s="107">
        <f t="shared" si="1"/>
        <v>48.525</v>
      </c>
      <c r="H595" s="108" t="str">
        <f t="shared" si="2"/>
        <v>Sep</v>
      </c>
    </row>
    <row r="596">
      <c r="A596" s="106">
        <f>IFERROR(__xludf.DUMMYFUNCTION("""COMPUTED_VALUE"""),45543.0)</f>
        <v>45543</v>
      </c>
      <c r="B596" s="103">
        <f>IFERROR(__xludf.DUMMYFUNCTION("""COMPUTED_VALUE"""),41.3)</f>
        <v>41.3</v>
      </c>
      <c r="C596" s="79" t="str">
        <f>IFERROR(__xludf.DUMMYFUNCTION("""COMPUTED_VALUE"""),"Kato Sake Works")</f>
        <v>Kato Sake Works</v>
      </c>
      <c r="D596" s="79" t="str">
        <f>IFERROR(__xludf.DUMMYFUNCTION("""COMPUTED_VALUE"""),"Amex Blue")</f>
        <v>Amex Blue</v>
      </c>
      <c r="E596" s="79" t="str">
        <f>IFERROR(__xludf.DUMMYFUNCTION("""COMPUTED_VALUE"""),"Alcohol/Weed")</f>
        <v>Alcohol/Weed</v>
      </c>
      <c r="F596" s="79" t="str">
        <f>IFERROR(__xludf.DUMMYFUNCTION("""COMPUTED_VALUE"""),"Gil")</f>
        <v>Gil</v>
      </c>
      <c r="G596" s="107">
        <f t="shared" si="1"/>
        <v>20.65</v>
      </c>
      <c r="H596" s="108" t="str">
        <f t="shared" si="2"/>
        <v>Sep</v>
      </c>
    </row>
    <row r="597">
      <c r="A597" s="106">
        <f>IFERROR(__xludf.DUMMYFUNCTION("""COMPUTED_VALUE"""),45543.0)</f>
        <v>45543</v>
      </c>
      <c r="B597" s="103">
        <f>IFERROR(__xludf.DUMMYFUNCTION("""COMPUTED_VALUE"""),36.74)</f>
        <v>36.74</v>
      </c>
      <c r="C597" s="79" t="str">
        <f>IFERROR(__xludf.DUMMYFUNCTION("""COMPUTED_VALUE"""),"Nene's Taqueria")</f>
        <v>Nene's Taqueria</v>
      </c>
      <c r="D597" s="79" t="str">
        <f>IFERROR(__xludf.DUMMYFUNCTION("""COMPUTED_VALUE"""),"Amex Blue")</f>
        <v>Amex Blue</v>
      </c>
      <c r="E597" s="79" t="str">
        <f>IFERROR(__xludf.DUMMYFUNCTION("""COMPUTED_VALUE"""),"Meals")</f>
        <v>Meals</v>
      </c>
      <c r="F597" s="79" t="str">
        <f>IFERROR(__xludf.DUMMYFUNCTION("""COMPUTED_VALUE"""),"Gil")</f>
        <v>Gil</v>
      </c>
      <c r="G597" s="107">
        <f t="shared" si="1"/>
        <v>18.37</v>
      </c>
      <c r="H597" s="108" t="str">
        <f t="shared" si="2"/>
        <v>Sep</v>
      </c>
    </row>
    <row r="598">
      <c r="A598" s="106">
        <f>IFERROR(__xludf.DUMMYFUNCTION("""COMPUTED_VALUE"""),45543.0)</f>
        <v>45543</v>
      </c>
      <c r="B598" s="103">
        <f>IFERROR(__xludf.DUMMYFUNCTION("""COMPUTED_VALUE"""),11.0)</f>
        <v>11</v>
      </c>
      <c r="C598" s="79" t="str">
        <f>IFERROR(__xludf.DUMMYFUNCTION("""COMPUTED_VALUE"""),"Nene's Taqueria ")</f>
        <v>Nene's Taqueria </v>
      </c>
      <c r="D598" s="79" t="str">
        <f>IFERROR(__xludf.DUMMYFUNCTION("""COMPUTED_VALUE"""),"Cash")</f>
        <v>Cash</v>
      </c>
      <c r="E598" s="79" t="str">
        <f>IFERROR(__xludf.DUMMYFUNCTION("""COMPUTED_VALUE"""),"Meals")</f>
        <v>Meals</v>
      </c>
      <c r="F598" s="79" t="str">
        <f>IFERROR(__xludf.DUMMYFUNCTION("""COMPUTED_VALUE"""),"Gil")</f>
        <v>Gil</v>
      </c>
      <c r="G598" s="107">
        <f t="shared" si="1"/>
        <v>5.5</v>
      </c>
      <c r="H598" s="108" t="str">
        <f t="shared" si="2"/>
        <v>Sep</v>
      </c>
    </row>
    <row r="599">
      <c r="A599" s="106">
        <f>IFERROR(__xludf.DUMMYFUNCTION("""COMPUTED_VALUE"""),45506.0)</f>
        <v>45506</v>
      </c>
      <c r="B599" s="103">
        <f>IFERROR(__xludf.DUMMYFUNCTION("""COMPUTED_VALUE"""),13.44)</f>
        <v>13.44</v>
      </c>
      <c r="C599" s="79" t="str">
        <f>IFERROR(__xludf.DUMMYFUNCTION("""COMPUTED_VALUE"""),"toothpast subscription - Amazon")</f>
        <v>toothpast subscription - Amazon</v>
      </c>
      <c r="D599" s="79" t="str">
        <f>IFERROR(__xludf.DUMMYFUNCTION("""COMPUTED_VALUE"""),"Amazon Prime Chase")</f>
        <v>Amazon Prime Chase</v>
      </c>
      <c r="E599" s="79" t="str">
        <f>IFERROR(__xludf.DUMMYFUNCTION("""COMPUTED_VALUE"""),"Household")</f>
        <v>Household</v>
      </c>
      <c r="F599" s="79" t="str">
        <f>IFERROR(__xludf.DUMMYFUNCTION("""COMPUTED_VALUE"""),"Gil")</f>
        <v>Gil</v>
      </c>
      <c r="G599" s="107">
        <f t="shared" si="1"/>
        <v>6.72</v>
      </c>
      <c r="H599" s="108" t="str">
        <f t="shared" si="2"/>
        <v>Aug</v>
      </c>
    </row>
    <row r="600">
      <c r="A600" s="106">
        <f>IFERROR(__xludf.DUMMYFUNCTION("""COMPUTED_VALUE"""),45509.0)</f>
        <v>45509</v>
      </c>
      <c r="B600" s="103">
        <f>IFERROR(__xludf.DUMMYFUNCTION("""COMPUTED_VALUE"""),10.01)</f>
        <v>10.01</v>
      </c>
      <c r="C600" s="79" t="str">
        <f>IFERROR(__xludf.DUMMYFUNCTION("""COMPUTED_VALUE"""),"anime sticker - malic present - amazin")</f>
        <v>anime sticker - malic present - amazin</v>
      </c>
      <c r="D600" s="79" t="str">
        <f>IFERROR(__xludf.DUMMYFUNCTION("""COMPUTED_VALUE"""),"Shaeffer ONLY")</f>
        <v>Shaeffer ONLY</v>
      </c>
      <c r="E600" s="79"/>
      <c r="F600" s="79" t="str">
        <f>IFERROR(__xludf.DUMMYFUNCTION("""COMPUTED_VALUE"""),"Gil")</f>
        <v>Gil</v>
      </c>
      <c r="G600" s="107">
        <f t="shared" si="1"/>
        <v>5.005</v>
      </c>
      <c r="H600" s="108" t="str">
        <f t="shared" si="2"/>
        <v>Aug</v>
      </c>
    </row>
    <row r="601">
      <c r="A601" s="106">
        <f>IFERROR(__xludf.DUMMYFUNCTION("""COMPUTED_VALUE"""),45509.0)</f>
        <v>45509</v>
      </c>
      <c r="B601" s="103">
        <f>IFERROR(__xludf.DUMMYFUNCTION("""COMPUTED_VALUE"""),29.36)</f>
        <v>29.36</v>
      </c>
      <c r="C601" s="79" t="str">
        <f>IFERROR(__xludf.DUMMYFUNCTION("""COMPUTED_VALUE"""),"Amber jars - Amazon")</f>
        <v>Amber jars - Amazon</v>
      </c>
      <c r="D601" s="79" t="str">
        <f>IFERROR(__xludf.DUMMYFUNCTION("""COMPUTED_VALUE"""),"Amazon Prime Chase")</f>
        <v>Amazon Prime Chase</v>
      </c>
      <c r="E601" s="79" t="str">
        <f>IFERROR(__xludf.DUMMYFUNCTION("""COMPUTED_VALUE"""),"Household")</f>
        <v>Household</v>
      </c>
      <c r="F601" s="79" t="str">
        <f>IFERROR(__xludf.DUMMYFUNCTION("""COMPUTED_VALUE"""),"Shaeffer")</f>
        <v>Shaeffer</v>
      </c>
      <c r="G601" s="107">
        <f t="shared" si="1"/>
        <v>14.68</v>
      </c>
      <c r="H601" s="108" t="str">
        <f t="shared" si="2"/>
        <v>Aug</v>
      </c>
    </row>
    <row r="602">
      <c r="A602" s="106">
        <f>IFERROR(__xludf.DUMMYFUNCTION("""COMPUTED_VALUE"""),45526.0)</f>
        <v>45526</v>
      </c>
      <c r="B602" s="103">
        <f>IFERROR(__xludf.DUMMYFUNCTION("""COMPUTED_VALUE"""),61.98)</f>
        <v>61.98</v>
      </c>
      <c r="C602" s="79" t="str">
        <f>IFERROR(__xludf.DUMMYFUNCTION("""COMPUTED_VALUE"""),"optimum")</f>
        <v>optimum</v>
      </c>
      <c r="D602" s="79" t="str">
        <f>IFERROR(__xludf.DUMMYFUNCTION("""COMPUTED_VALUE"""),"Amex Delta Skymiles")</f>
        <v>Amex Delta Skymiles</v>
      </c>
      <c r="E602" s="79" t="str">
        <f>IFERROR(__xludf.DUMMYFUNCTION("""COMPUTED_VALUE"""),"Internet")</f>
        <v>Internet</v>
      </c>
      <c r="F602" s="79" t="str">
        <f>IFERROR(__xludf.DUMMYFUNCTION("""COMPUTED_VALUE"""),"Shaeffer")</f>
        <v>Shaeffer</v>
      </c>
      <c r="G602" s="107">
        <f t="shared" si="1"/>
        <v>30.99</v>
      </c>
      <c r="H602" s="108" t="str">
        <f t="shared" si="2"/>
        <v>Aug</v>
      </c>
    </row>
    <row r="603">
      <c r="A603" s="106">
        <f>IFERROR(__xludf.DUMMYFUNCTION("""COMPUTED_VALUE"""),45536.0)</f>
        <v>45536</v>
      </c>
      <c r="B603" s="103">
        <f>IFERROR(__xludf.DUMMYFUNCTION("""COMPUTED_VALUE"""),2700.0)</f>
        <v>2700</v>
      </c>
      <c r="C603" s="79" t="str">
        <f>IFERROR(__xludf.DUMMYFUNCTION("""COMPUTED_VALUE"""),"Sept Rent")</f>
        <v>Sept Rent</v>
      </c>
      <c r="D603" s="79" t="str">
        <f>IFERROR(__xludf.DUMMYFUNCTION("""COMPUTED_VALUE"""),"Checking")</f>
        <v>Checking</v>
      </c>
      <c r="E603" s="79" t="str">
        <f>IFERROR(__xludf.DUMMYFUNCTION("""COMPUTED_VALUE"""),"Rent")</f>
        <v>Rent</v>
      </c>
      <c r="F603" s="79" t="str">
        <f>IFERROR(__xludf.DUMMYFUNCTION("""COMPUTED_VALUE"""),"Shaeffer")</f>
        <v>Shaeffer</v>
      </c>
      <c r="G603" s="107">
        <f t="shared" si="1"/>
        <v>1350</v>
      </c>
      <c r="H603" s="108" t="str">
        <f t="shared" si="2"/>
        <v>Sep</v>
      </c>
    </row>
    <row r="604">
      <c r="A604" s="106">
        <f>IFERROR(__xludf.DUMMYFUNCTION("""COMPUTED_VALUE"""),45540.0)</f>
        <v>45540</v>
      </c>
      <c r="B604" s="103">
        <f>IFERROR(__xludf.DUMMYFUNCTION("""COMPUTED_VALUE"""),50.0)</f>
        <v>50</v>
      </c>
      <c r="C604" s="79" t="str">
        <f>IFERROR(__xludf.DUMMYFUNCTION("""COMPUTED_VALUE"""),"laundry")</f>
        <v>laundry</v>
      </c>
      <c r="D604" s="79" t="str">
        <f>IFERROR(__xludf.DUMMYFUNCTION("""COMPUTED_VALUE"""),"Checking")</f>
        <v>Checking</v>
      </c>
      <c r="E604" s="79" t="str">
        <f>IFERROR(__xludf.DUMMYFUNCTION("""COMPUTED_VALUE"""),"Household")</f>
        <v>Household</v>
      </c>
      <c r="F604" s="79" t="str">
        <f>IFERROR(__xludf.DUMMYFUNCTION("""COMPUTED_VALUE"""),"Shaeffer")</f>
        <v>Shaeffer</v>
      </c>
      <c r="G604" s="107">
        <f t="shared" si="1"/>
        <v>25</v>
      </c>
      <c r="H604" s="108" t="str">
        <f t="shared" si="2"/>
        <v>Sep</v>
      </c>
    </row>
    <row r="605">
      <c r="A605" s="106">
        <f>IFERROR(__xludf.DUMMYFUNCTION("""COMPUTED_VALUE"""),45523.0)</f>
        <v>45523</v>
      </c>
      <c r="B605" s="103">
        <f>IFERROR(__xludf.DUMMYFUNCTION("""COMPUTED_VALUE"""),8.0)</f>
        <v>8</v>
      </c>
      <c r="C605" s="79" t="str">
        <f>IFERROR(__xludf.DUMMYFUNCTION("""COMPUTED_VALUE"""),"Hulu")</f>
        <v>Hulu</v>
      </c>
      <c r="D605" s="79" t="str">
        <f>IFERROR(__xludf.DUMMYFUNCTION("""COMPUTED_VALUE"""),"Chase Reserve")</f>
        <v>Chase Reserve</v>
      </c>
      <c r="E605" s="79" t="str">
        <f>IFERROR(__xludf.DUMMYFUNCTION("""COMPUTED_VALUE"""),"Subscriptions")</f>
        <v>Subscriptions</v>
      </c>
      <c r="F605" s="79" t="str">
        <f>IFERROR(__xludf.DUMMYFUNCTION("""COMPUTED_VALUE"""),"Shaeffer")</f>
        <v>Shaeffer</v>
      </c>
      <c r="G605" s="107">
        <f t="shared" si="1"/>
        <v>4</v>
      </c>
      <c r="H605" s="108" t="str">
        <f t="shared" si="2"/>
        <v>Aug</v>
      </c>
    </row>
    <row r="606">
      <c r="A606" s="106">
        <f>IFERROR(__xludf.DUMMYFUNCTION("""COMPUTED_VALUE"""),45523.0)</f>
        <v>45523</v>
      </c>
      <c r="B606" s="103">
        <f>IFERROR(__xludf.DUMMYFUNCTION("""COMPUTED_VALUE"""),19.51)</f>
        <v>19.51</v>
      </c>
      <c r="C606" s="79" t="str">
        <f>IFERROR(__xludf.DUMMYFUNCTION("""COMPUTED_VALUE"""),"Gas - Waterton")</f>
        <v>Gas - Waterton</v>
      </c>
      <c r="D606" s="79" t="str">
        <f>IFERROR(__xludf.DUMMYFUNCTION("""COMPUTED_VALUE"""),"Chase Reserve")</f>
        <v>Chase Reserve</v>
      </c>
      <c r="E606" s="79" t="str">
        <f>IFERROR(__xludf.DUMMYFUNCTION("""COMPUTED_VALUE"""),"Travel")</f>
        <v>Travel</v>
      </c>
      <c r="F606" s="79" t="str">
        <f>IFERROR(__xludf.DUMMYFUNCTION("""COMPUTED_VALUE"""),"Shaeffer")</f>
        <v>Shaeffer</v>
      </c>
      <c r="G606" s="107">
        <f t="shared" si="1"/>
        <v>9.755</v>
      </c>
      <c r="H606" s="108" t="str">
        <f t="shared" si="2"/>
        <v>Aug</v>
      </c>
    </row>
    <row r="607">
      <c r="A607" s="106">
        <f>IFERROR(__xludf.DUMMYFUNCTION("""COMPUTED_VALUE"""),45525.0)</f>
        <v>45525</v>
      </c>
      <c r="B607" s="103">
        <f>IFERROR(__xludf.DUMMYFUNCTION("""COMPUTED_VALUE"""),94.5)</f>
        <v>94.5</v>
      </c>
      <c r="C607" s="79" t="str">
        <f>IFERROR(__xludf.DUMMYFUNCTION("""COMPUTED_VALUE"""),"Porter - check bags")</f>
        <v>Porter - check bags</v>
      </c>
      <c r="D607" s="79" t="str">
        <f>IFERROR(__xludf.DUMMYFUNCTION("""COMPUTED_VALUE"""),"Chase Reserve")</f>
        <v>Chase Reserve</v>
      </c>
      <c r="E607" s="79" t="str">
        <f>IFERROR(__xludf.DUMMYFUNCTION("""COMPUTED_VALUE"""),"Travel")</f>
        <v>Travel</v>
      </c>
      <c r="F607" s="79" t="str">
        <f>IFERROR(__xludf.DUMMYFUNCTION("""COMPUTED_VALUE"""),"Shaeffer")</f>
        <v>Shaeffer</v>
      </c>
      <c r="G607" s="107">
        <f t="shared" si="1"/>
        <v>47.25</v>
      </c>
      <c r="H607" s="108" t="str">
        <f t="shared" si="2"/>
        <v>Aug</v>
      </c>
    </row>
    <row r="608">
      <c r="A608" s="106">
        <f>IFERROR(__xludf.DUMMYFUNCTION("""COMPUTED_VALUE"""),45534.0)</f>
        <v>45534</v>
      </c>
      <c r="B608" s="103">
        <f>IFERROR(__xludf.DUMMYFUNCTION("""COMPUTED_VALUE"""),20.42)</f>
        <v>20.42</v>
      </c>
      <c r="C608" s="79" t="str">
        <f>IFERROR(__xludf.DUMMYFUNCTION("""COMPUTED_VALUE"""),"DBA")</f>
        <v>DBA</v>
      </c>
      <c r="D608" s="79" t="str">
        <f>IFERROR(__xludf.DUMMYFUNCTION("""COMPUTED_VALUE"""),"Chase Reserve")</f>
        <v>Chase Reserve</v>
      </c>
      <c r="E608" s="79" t="str">
        <f>IFERROR(__xludf.DUMMYFUNCTION("""COMPUTED_VALUE"""),"Alcohol/Weed")</f>
        <v>Alcohol/Weed</v>
      </c>
      <c r="F608" s="79" t="str">
        <f>IFERROR(__xludf.DUMMYFUNCTION("""COMPUTED_VALUE"""),"Shaeffer")</f>
        <v>Shaeffer</v>
      </c>
      <c r="G608" s="107">
        <f t="shared" si="1"/>
        <v>10.21</v>
      </c>
      <c r="H608" s="108" t="str">
        <f t="shared" si="2"/>
        <v>Aug</v>
      </c>
    </row>
    <row r="609">
      <c r="A609" s="106">
        <f>IFERROR(__xludf.DUMMYFUNCTION("""COMPUTED_VALUE"""),45534.0)</f>
        <v>45534</v>
      </c>
      <c r="B609" s="103">
        <f>IFERROR(__xludf.DUMMYFUNCTION("""COMPUTED_VALUE"""),21.6)</f>
        <v>21.6</v>
      </c>
      <c r="C609" s="79" t="str">
        <f>IFERROR(__xludf.DUMMYFUNCTION("""COMPUTED_VALUE"""),"Abraco")</f>
        <v>Abraco</v>
      </c>
      <c r="D609" s="79" t="str">
        <f>IFERROR(__xludf.DUMMYFUNCTION("""COMPUTED_VALUE"""),"Chase Reserve")</f>
        <v>Chase Reserve</v>
      </c>
      <c r="E609" s="79" t="str">
        <f>IFERROR(__xludf.DUMMYFUNCTION("""COMPUTED_VALUE"""),"Meals")</f>
        <v>Meals</v>
      </c>
      <c r="F609" s="79" t="str">
        <f>IFERROR(__xludf.DUMMYFUNCTION("""COMPUTED_VALUE"""),"Shaeffer")</f>
        <v>Shaeffer</v>
      </c>
      <c r="G609" s="107">
        <f t="shared" si="1"/>
        <v>10.8</v>
      </c>
      <c r="H609" s="108" t="str">
        <f t="shared" si="2"/>
        <v>Aug</v>
      </c>
    </row>
    <row r="610">
      <c r="A610" s="106">
        <f>IFERROR(__xludf.DUMMYFUNCTION("""COMPUTED_VALUE"""),45534.0)</f>
        <v>45534</v>
      </c>
      <c r="B610" s="103">
        <f>IFERROR(__xludf.DUMMYFUNCTION("""COMPUTED_VALUE"""),23.91)</f>
        <v>23.91</v>
      </c>
      <c r="C610" s="79" t="str">
        <f>IFERROR(__xludf.DUMMYFUNCTION("""COMPUTED_VALUE"""),"Alphabet City Beer Co")</f>
        <v>Alphabet City Beer Co</v>
      </c>
      <c r="D610" s="79" t="str">
        <f>IFERROR(__xludf.DUMMYFUNCTION("""COMPUTED_VALUE"""),"Chase Reserve")</f>
        <v>Chase Reserve</v>
      </c>
      <c r="E610" s="79" t="str">
        <f>IFERROR(__xludf.DUMMYFUNCTION("""COMPUTED_VALUE"""),"Alcohol/Weed")</f>
        <v>Alcohol/Weed</v>
      </c>
      <c r="F610" s="79" t="str">
        <f>IFERROR(__xludf.DUMMYFUNCTION("""COMPUTED_VALUE"""),"Shaeffer")</f>
        <v>Shaeffer</v>
      </c>
      <c r="G610" s="107">
        <f t="shared" si="1"/>
        <v>11.955</v>
      </c>
      <c r="H610" s="108" t="str">
        <f t="shared" si="2"/>
        <v>Aug</v>
      </c>
    </row>
    <row r="611">
      <c r="A611" s="106">
        <f>IFERROR(__xludf.DUMMYFUNCTION("""COMPUTED_VALUE"""),45541.0)</f>
        <v>45541</v>
      </c>
      <c r="B611" s="103">
        <f>IFERROR(__xludf.DUMMYFUNCTION("""COMPUTED_VALUE"""),7.0)</f>
        <v>7</v>
      </c>
      <c r="C611" s="79" t="str">
        <f>IFERROR(__xludf.DUMMYFUNCTION("""COMPUTED_VALUE"""),"Wallgreens")</f>
        <v>Wallgreens</v>
      </c>
      <c r="D611" s="79" t="str">
        <f>IFERROR(__xludf.DUMMYFUNCTION("""COMPUTED_VALUE"""),"Chase Reserve")</f>
        <v>Chase Reserve</v>
      </c>
      <c r="E611" s="79" t="str">
        <f>IFERROR(__xludf.DUMMYFUNCTION("""COMPUTED_VALUE"""),"Household")</f>
        <v>Household</v>
      </c>
      <c r="F611" s="79" t="str">
        <f>IFERROR(__xludf.DUMMYFUNCTION("""COMPUTED_VALUE"""),"Shaeffer")</f>
        <v>Shaeffer</v>
      </c>
      <c r="G611" s="107">
        <f t="shared" si="1"/>
        <v>3.5</v>
      </c>
      <c r="H611" s="108" t="str">
        <f t="shared" si="2"/>
        <v>Sep</v>
      </c>
    </row>
    <row r="612">
      <c r="A612" s="106">
        <f>IFERROR(__xludf.DUMMYFUNCTION("""COMPUTED_VALUE"""),45544.0)</f>
        <v>45544</v>
      </c>
      <c r="B612" s="103">
        <f>IFERROR(__xludf.DUMMYFUNCTION("""COMPUTED_VALUE"""),46.15)</f>
        <v>46.15</v>
      </c>
      <c r="C612" s="79" t="str">
        <f>IFERROR(__xludf.DUMMYFUNCTION("""COMPUTED_VALUE"""),"Whole Foods")</f>
        <v>Whole Foods</v>
      </c>
      <c r="D612" s="79" t="str">
        <f>IFERROR(__xludf.DUMMYFUNCTION("""COMPUTED_VALUE"""),"Amex Blue")</f>
        <v>Amex Blue</v>
      </c>
      <c r="E612" s="79" t="str">
        <f>IFERROR(__xludf.DUMMYFUNCTION("""COMPUTED_VALUE"""),"Groceries")</f>
        <v>Groceries</v>
      </c>
      <c r="F612" s="79" t="str">
        <f>IFERROR(__xludf.DUMMYFUNCTION("""COMPUTED_VALUE"""),"Gil")</f>
        <v>Gil</v>
      </c>
      <c r="G612" s="107">
        <f t="shared" si="1"/>
        <v>23.075</v>
      </c>
      <c r="H612" s="108" t="str">
        <f t="shared" si="2"/>
        <v>Sep</v>
      </c>
    </row>
    <row r="613">
      <c r="A613" s="106">
        <f>IFERROR(__xludf.DUMMYFUNCTION("""COMPUTED_VALUE"""),45544.0)</f>
        <v>45544</v>
      </c>
      <c r="B613" s="103">
        <f>IFERROR(__xludf.DUMMYFUNCTION("""COMPUTED_VALUE"""),52.8)</f>
        <v>52.8</v>
      </c>
      <c r="C613" s="79" t="str">
        <f>IFERROR(__xludf.DUMMYFUNCTION("""COMPUTED_VALUE"""),"Lani's Farm")</f>
        <v>Lani's Farm</v>
      </c>
      <c r="D613" s="79" t="str">
        <f>IFERROR(__xludf.DUMMYFUNCTION("""COMPUTED_VALUE"""),"Cash")</f>
        <v>Cash</v>
      </c>
      <c r="E613" s="79" t="str">
        <f>IFERROR(__xludf.DUMMYFUNCTION("""COMPUTED_VALUE"""),"Groceries")</f>
        <v>Groceries</v>
      </c>
      <c r="F613" s="79" t="str">
        <f>IFERROR(__xludf.DUMMYFUNCTION("""COMPUTED_VALUE"""),"Gil")</f>
        <v>Gil</v>
      </c>
      <c r="G613" s="107">
        <f t="shared" si="1"/>
        <v>26.4</v>
      </c>
      <c r="H613" s="108" t="str">
        <f t="shared" si="2"/>
        <v>Sep</v>
      </c>
    </row>
    <row r="614">
      <c r="A614" s="106">
        <f>IFERROR(__xludf.DUMMYFUNCTION("""COMPUTED_VALUE"""),45548.0)</f>
        <v>45548</v>
      </c>
      <c r="B614" s="103">
        <f>IFERROR(__xludf.DUMMYFUNCTION("""COMPUTED_VALUE"""),84.31)</f>
        <v>84.31</v>
      </c>
      <c r="C614" s="79" t="str">
        <f>IFERROR(__xludf.DUMMYFUNCTION("""COMPUTED_VALUE"""),"Whole Foods ")</f>
        <v>Whole Foods </v>
      </c>
      <c r="D614" s="79" t="str">
        <f>IFERROR(__xludf.DUMMYFUNCTION("""COMPUTED_VALUE"""),"Amex Blue")</f>
        <v>Amex Blue</v>
      </c>
      <c r="E614" s="79" t="str">
        <f>IFERROR(__xludf.DUMMYFUNCTION("""COMPUTED_VALUE"""),"Groceries")</f>
        <v>Groceries</v>
      </c>
      <c r="F614" s="79" t="str">
        <f>IFERROR(__xludf.DUMMYFUNCTION("""COMPUTED_VALUE"""),"Gil")</f>
        <v>Gil</v>
      </c>
      <c r="G614" s="107">
        <f t="shared" si="1"/>
        <v>42.155</v>
      </c>
      <c r="H614" s="108" t="str">
        <f t="shared" si="2"/>
        <v>Sep</v>
      </c>
    </row>
    <row r="615">
      <c r="A615" s="106">
        <f>IFERROR(__xludf.DUMMYFUNCTION("""COMPUTED_VALUE"""),45548.0)</f>
        <v>45548</v>
      </c>
      <c r="B615" s="103">
        <f>IFERROR(__xludf.DUMMYFUNCTION("""COMPUTED_VALUE"""),64.5)</f>
        <v>64.5</v>
      </c>
      <c r="C615" s="79" t="str">
        <f>IFERROR(__xludf.DUMMYFUNCTION("""COMPUTED_VALUE"""),"Camporosso - Farmer's Market ")</f>
        <v>Camporosso - Farmer's Market </v>
      </c>
      <c r="D615" s="79" t="str">
        <f>IFERROR(__xludf.DUMMYFUNCTION("""COMPUTED_VALUE"""),"Cash")</f>
        <v>Cash</v>
      </c>
      <c r="E615" s="79" t="str">
        <f>IFERROR(__xludf.DUMMYFUNCTION("""COMPUTED_VALUE"""),"Groceries")</f>
        <v>Groceries</v>
      </c>
      <c r="F615" s="79" t="str">
        <f>IFERROR(__xludf.DUMMYFUNCTION("""COMPUTED_VALUE"""),"Gil")</f>
        <v>Gil</v>
      </c>
      <c r="G615" s="107">
        <f t="shared" si="1"/>
        <v>32.25</v>
      </c>
      <c r="H615" s="108" t="str">
        <f t="shared" si="2"/>
        <v>Sep</v>
      </c>
    </row>
    <row r="616">
      <c r="A616" s="106">
        <f>IFERROR(__xludf.DUMMYFUNCTION("""COMPUTED_VALUE"""),45548.0)</f>
        <v>45548</v>
      </c>
      <c r="B616" s="103">
        <f>IFERROR(__xludf.DUMMYFUNCTION("""COMPUTED_VALUE"""),12.0)</f>
        <v>12</v>
      </c>
      <c r="C616" s="79" t="str">
        <f>IFERROR(__xludf.DUMMYFUNCTION("""COMPUTED_VALUE"""),"Our Daily Bread")</f>
        <v>Our Daily Bread</v>
      </c>
      <c r="D616" s="79" t="str">
        <f>IFERROR(__xludf.DUMMYFUNCTION("""COMPUTED_VALUE"""),"Amex Blue")</f>
        <v>Amex Blue</v>
      </c>
      <c r="E616" s="79" t="str">
        <f>IFERROR(__xludf.DUMMYFUNCTION("""COMPUTED_VALUE"""),"Groceries")</f>
        <v>Groceries</v>
      </c>
      <c r="F616" s="79" t="str">
        <f>IFERROR(__xludf.DUMMYFUNCTION("""COMPUTED_VALUE"""),"Gil")</f>
        <v>Gil</v>
      </c>
      <c r="G616" s="107">
        <f t="shared" si="1"/>
        <v>6</v>
      </c>
      <c r="H616" s="108" t="str">
        <f t="shared" si="2"/>
        <v>Sep</v>
      </c>
    </row>
    <row r="617">
      <c r="A617" s="106">
        <f>IFERROR(__xludf.DUMMYFUNCTION("""COMPUTED_VALUE"""),45552.0)</f>
        <v>45552</v>
      </c>
      <c r="B617" s="103">
        <f>IFERROR(__xludf.DUMMYFUNCTION("""COMPUTED_VALUE"""),-21.85)</f>
        <v>-21.85</v>
      </c>
      <c r="C617" s="79" t="str">
        <f>IFERROR(__xludf.DUMMYFUNCTION("""COMPUTED_VALUE"""),"Amex Blue Points Redemption")</f>
        <v>Amex Blue Points Redemption</v>
      </c>
      <c r="D617" s="79" t="str">
        <f>IFERROR(__xludf.DUMMYFUNCTION("""COMPUTED_VALUE"""),"Amex Blue")</f>
        <v>Amex Blue</v>
      </c>
      <c r="E617" s="79" t="str">
        <f>IFERROR(__xludf.DUMMYFUNCTION("""COMPUTED_VALUE"""),"Groceries")</f>
        <v>Groceries</v>
      </c>
      <c r="F617" s="79" t="str">
        <f>IFERROR(__xludf.DUMMYFUNCTION("""COMPUTED_VALUE"""),"Gil")</f>
        <v>Gil</v>
      </c>
      <c r="G617" s="107">
        <f t="shared" si="1"/>
        <v>-10.925</v>
      </c>
      <c r="H617" s="108" t="str">
        <f t="shared" si="2"/>
        <v>Sep</v>
      </c>
    </row>
    <row r="618">
      <c r="A618" s="106">
        <f>IFERROR(__xludf.DUMMYFUNCTION("""COMPUTED_VALUE"""),45552.0)</f>
        <v>45552</v>
      </c>
      <c r="B618" s="103">
        <f>IFERROR(__xludf.DUMMYFUNCTION("""COMPUTED_VALUE"""),-14.26)</f>
        <v>-14.26</v>
      </c>
      <c r="C618" s="79" t="str">
        <f>IFERROR(__xludf.DUMMYFUNCTION("""COMPUTED_VALUE"""),"CapitalOne Savor Rewards Redemption")</f>
        <v>CapitalOne Savor Rewards Redemption</v>
      </c>
      <c r="D618" s="79" t="str">
        <f>IFERROR(__xludf.DUMMYFUNCTION("""COMPUTED_VALUE"""),"Capital ONE")</f>
        <v>Capital ONE</v>
      </c>
      <c r="E618" s="79" t="str">
        <f>IFERROR(__xludf.DUMMYFUNCTION("""COMPUTED_VALUE"""),"Meals")</f>
        <v>Meals</v>
      </c>
      <c r="F618" s="79" t="str">
        <f>IFERROR(__xludf.DUMMYFUNCTION("""COMPUTED_VALUE"""),"Gil")</f>
        <v>Gil</v>
      </c>
      <c r="G618" s="107">
        <f t="shared" si="1"/>
        <v>-7.13</v>
      </c>
      <c r="H618" s="108" t="str">
        <f t="shared" si="2"/>
        <v>Sep</v>
      </c>
    </row>
    <row r="619">
      <c r="A619" s="106">
        <f>IFERROR(__xludf.DUMMYFUNCTION("""COMPUTED_VALUE"""),45545.0)</f>
        <v>45545</v>
      </c>
      <c r="B619" s="103">
        <f>IFERROR(__xludf.DUMMYFUNCTION("""COMPUTED_VALUE"""),22.99)</f>
        <v>22.99</v>
      </c>
      <c r="C619" s="79" t="str">
        <f>IFERROR(__xludf.DUMMYFUNCTION("""COMPUTED_VALUE"""),"YouTube Premium")</f>
        <v>YouTube Premium</v>
      </c>
      <c r="D619" s="79" t="str">
        <f>IFERROR(__xludf.DUMMYFUNCTION("""COMPUTED_VALUE"""),"Other")</f>
        <v>Other</v>
      </c>
      <c r="E619" s="79" t="str">
        <f>IFERROR(__xludf.DUMMYFUNCTION("""COMPUTED_VALUE"""),"Subscriptions")</f>
        <v>Subscriptions</v>
      </c>
      <c r="F619" s="79" t="str">
        <f>IFERROR(__xludf.DUMMYFUNCTION("""COMPUTED_VALUE"""),"Gil")</f>
        <v>Gil</v>
      </c>
      <c r="G619" s="107">
        <f t="shared" si="1"/>
        <v>11.495</v>
      </c>
      <c r="H619" s="108" t="str">
        <f t="shared" si="2"/>
        <v>Sep</v>
      </c>
    </row>
    <row r="620">
      <c r="A620" s="106">
        <f>IFERROR(__xludf.DUMMYFUNCTION("""COMPUTED_VALUE"""),45551.0)</f>
        <v>45551</v>
      </c>
      <c r="B620" s="103">
        <f>IFERROR(__xludf.DUMMYFUNCTION("""COMPUTED_VALUE"""),19.0)</f>
        <v>19</v>
      </c>
      <c r="C620" s="79" t="str">
        <f>IFERROR(__xludf.DUMMYFUNCTION("""COMPUTED_VALUE"""),"Devocíon")</f>
        <v>Devocíon</v>
      </c>
      <c r="D620" s="79" t="str">
        <f>IFERROR(__xludf.DUMMYFUNCTION("""COMPUTED_VALUE"""),"Amex Gold")</f>
        <v>Amex Gold</v>
      </c>
      <c r="E620" s="79" t="str">
        <f>IFERROR(__xludf.DUMMYFUNCTION("""COMPUTED_VALUE"""),"Groceries")</f>
        <v>Groceries</v>
      </c>
      <c r="F620" s="79" t="str">
        <f>IFERROR(__xludf.DUMMYFUNCTION("""COMPUTED_VALUE"""),"Gil")</f>
        <v>Gil</v>
      </c>
      <c r="G620" s="107">
        <f t="shared" si="1"/>
        <v>9.5</v>
      </c>
      <c r="H620" s="108" t="str">
        <f t="shared" si="2"/>
        <v>Sep</v>
      </c>
    </row>
    <row r="621">
      <c r="A621" s="106">
        <f>IFERROR(__xludf.DUMMYFUNCTION("""COMPUTED_VALUE"""),45552.0)</f>
        <v>45552</v>
      </c>
      <c r="B621" s="103">
        <f>IFERROR(__xludf.DUMMYFUNCTION("""COMPUTED_VALUE"""),22.74)</f>
        <v>22.74</v>
      </c>
      <c r="C621" s="79" t="str">
        <f>IFERROR(__xludf.DUMMYFUNCTION("""COMPUTED_VALUE"""),"Whole Foods")</f>
        <v>Whole Foods</v>
      </c>
      <c r="D621" s="79" t="str">
        <f>IFERROR(__xludf.DUMMYFUNCTION("""COMPUTED_VALUE"""),"Amex Blue")</f>
        <v>Amex Blue</v>
      </c>
      <c r="E621" s="79" t="str">
        <f>IFERROR(__xludf.DUMMYFUNCTION("""COMPUTED_VALUE"""),"Groceries")</f>
        <v>Groceries</v>
      </c>
      <c r="F621" s="79" t="str">
        <f>IFERROR(__xludf.DUMMYFUNCTION("""COMPUTED_VALUE"""),"Gil")</f>
        <v>Gil</v>
      </c>
      <c r="G621" s="107">
        <f t="shared" si="1"/>
        <v>11.37</v>
      </c>
      <c r="H621" s="108" t="str">
        <f t="shared" si="2"/>
        <v>Sep</v>
      </c>
    </row>
    <row r="622">
      <c r="A622" s="106">
        <f>IFERROR(__xludf.DUMMYFUNCTION("""COMPUTED_VALUE"""),45552.0)</f>
        <v>45552</v>
      </c>
      <c r="B622" s="103">
        <f>IFERROR(__xludf.DUMMYFUNCTION("""COMPUTED_VALUE"""),80.0)</f>
        <v>80</v>
      </c>
      <c r="C622" s="79" t="str">
        <f>IFERROR(__xludf.DUMMYFUNCTION("""COMPUTED_VALUE"""),"Ore Bar")</f>
        <v>Ore Bar</v>
      </c>
      <c r="D622" s="79" t="str">
        <f>IFERROR(__xludf.DUMMYFUNCTION("""COMPUTED_VALUE"""),"Cash")</f>
        <v>Cash</v>
      </c>
      <c r="E622" s="79" t="str">
        <f>IFERROR(__xludf.DUMMYFUNCTION("""COMPUTED_VALUE"""),"Alcohol/Weed")</f>
        <v>Alcohol/Weed</v>
      </c>
      <c r="F622" s="79" t="str">
        <f>IFERROR(__xludf.DUMMYFUNCTION("""COMPUTED_VALUE"""),"Gil")</f>
        <v>Gil</v>
      </c>
      <c r="G622" s="107">
        <f t="shared" si="1"/>
        <v>40</v>
      </c>
      <c r="H622" s="108" t="str">
        <f t="shared" si="2"/>
        <v>Sep</v>
      </c>
    </row>
    <row r="623">
      <c r="A623" s="106">
        <f>IFERROR(__xludf.DUMMYFUNCTION("""COMPUTED_VALUE"""),45553.0)</f>
        <v>45553</v>
      </c>
      <c r="B623" s="103">
        <f>IFERROR(__xludf.DUMMYFUNCTION("""COMPUTED_VALUE"""),43.84)</f>
        <v>43.84</v>
      </c>
      <c r="C623" s="79" t="str">
        <f>IFERROR(__xludf.DUMMYFUNCTION("""COMPUTED_VALUE"""),"Whole Foods")</f>
        <v>Whole Foods</v>
      </c>
      <c r="D623" s="79" t="str">
        <f>IFERROR(__xludf.DUMMYFUNCTION("""COMPUTED_VALUE"""),"Amex Blue")</f>
        <v>Amex Blue</v>
      </c>
      <c r="E623" s="79" t="str">
        <f>IFERROR(__xludf.DUMMYFUNCTION("""COMPUTED_VALUE"""),"Groceries")</f>
        <v>Groceries</v>
      </c>
      <c r="F623" s="79" t="str">
        <f>IFERROR(__xludf.DUMMYFUNCTION("""COMPUTED_VALUE"""),"Gil")</f>
        <v>Gil</v>
      </c>
      <c r="G623" s="107">
        <f t="shared" si="1"/>
        <v>21.92</v>
      </c>
      <c r="H623" s="108" t="str">
        <f t="shared" si="2"/>
        <v>Sep</v>
      </c>
    </row>
    <row r="624">
      <c r="A624" s="106">
        <f>IFERROR(__xludf.DUMMYFUNCTION("""COMPUTED_VALUE"""),45554.0)</f>
        <v>45554</v>
      </c>
      <c r="B624" s="103">
        <f>IFERROR(__xludf.DUMMYFUNCTION("""COMPUTED_VALUE"""),249.51)</f>
        <v>249.51</v>
      </c>
      <c r="C624" s="79" t="str">
        <f>IFERROR(__xludf.DUMMYFUNCTION("""COMPUTED_VALUE"""),"Coned")</f>
        <v>Coned</v>
      </c>
      <c r="D624" s="79" t="str">
        <f>IFERROR(__xludf.DUMMYFUNCTION("""COMPUTED_VALUE"""),"Checking")</f>
        <v>Checking</v>
      </c>
      <c r="E624" s="79" t="str">
        <f>IFERROR(__xludf.DUMMYFUNCTION("""COMPUTED_VALUE"""),"Utilities")</f>
        <v>Utilities</v>
      </c>
      <c r="F624" s="79" t="str">
        <f>IFERROR(__xludf.DUMMYFUNCTION("""COMPUTED_VALUE"""),"Gil")</f>
        <v>Gil</v>
      </c>
      <c r="G624" s="107">
        <f t="shared" si="1"/>
        <v>124.755</v>
      </c>
      <c r="H624" s="108" t="str">
        <f t="shared" si="2"/>
        <v>Sep</v>
      </c>
    </row>
    <row r="625">
      <c r="A625" s="106">
        <f>IFERROR(__xludf.DUMMYFUNCTION("""COMPUTED_VALUE"""),45554.0)</f>
        <v>45554</v>
      </c>
      <c r="B625" s="103">
        <f>IFERROR(__xludf.DUMMYFUNCTION("""COMPUTED_VALUE"""),181.49)</f>
        <v>181.49</v>
      </c>
      <c r="C625" s="79" t="str">
        <f>IFERROR(__xludf.DUMMYFUNCTION("""COMPUTED_VALUE"""),"T-Mobile")</f>
        <v>T-Mobile</v>
      </c>
      <c r="D625" s="79" t="str">
        <f>IFERROR(__xludf.DUMMYFUNCTION("""COMPUTED_VALUE"""),"Checking")</f>
        <v>Checking</v>
      </c>
      <c r="E625" s="79" t="str">
        <f>IFERROR(__xludf.DUMMYFUNCTION("""COMPUTED_VALUE"""),"Mobile Phone")</f>
        <v>Mobile Phone</v>
      </c>
      <c r="F625" s="79" t="str">
        <f>IFERROR(__xludf.DUMMYFUNCTION("""COMPUTED_VALUE"""),"Gil")</f>
        <v>Gil</v>
      </c>
      <c r="G625" s="107">
        <f t="shared" si="1"/>
        <v>90.745</v>
      </c>
      <c r="H625" s="108" t="str">
        <f t="shared" si="2"/>
        <v>Sep</v>
      </c>
    </row>
    <row r="626">
      <c r="A626" s="106">
        <f>IFERROR(__xludf.DUMMYFUNCTION("""COMPUTED_VALUE"""),45557.0)</f>
        <v>45557</v>
      </c>
      <c r="B626" s="103">
        <f>IFERROR(__xludf.DUMMYFUNCTION("""COMPUTED_VALUE"""),44.52)</f>
        <v>44.52</v>
      </c>
      <c r="C626" s="79" t="str">
        <f>IFERROR(__xludf.DUMMYFUNCTION("""COMPUTED_VALUE"""),"Klom Klorm - Uber Eats")</f>
        <v>Klom Klorm - Uber Eats</v>
      </c>
      <c r="D626" s="79" t="str">
        <f>IFERROR(__xludf.DUMMYFUNCTION("""COMPUTED_VALUE"""),"Capital ONE")</f>
        <v>Capital ONE</v>
      </c>
      <c r="E626" s="79" t="str">
        <f>IFERROR(__xludf.DUMMYFUNCTION("""COMPUTED_VALUE"""),"Meals")</f>
        <v>Meals</v>
      </c>
      <c r="F626" s="79" t="str">
        <f>IFERROR(__xludf.DUMMYFUNCTION("""COMPUTED_VALUE"""),"Gil")</f>
        <v>Gil</v>
      </c>
      <c r="G626" s="107">
        <f t="shared" si="1"/>
        <v>22.26</v>
      </c>
      <c r="H626" s="108" t="str">
        <f t="shared" si="2"/>
        <v>Sep</v>
      </c>
    </row>
    <row r="627">
      <c r="A627" s="106">
        <f>IFERROR(__xludf.DUMMYFUNCTION("""COMPUTED_VALUE"""),45536.0)</f>
        <v>45536</v>
      </c>
      <c r="B627" s="103">
        <f>IFERROR(__xludf.DUMMYFUNCTION("""COMPUTED_VALUE"""),860.68)</f>
        <v>860.68</v>
      </c>
      <c r="C627" s="79" t="str">
        <f>IFERROR(__xludf.DUMMYFUNCTION("""COMPUTED_VALUE"""),"Healthfirst")</f>
        <v>Healthfirst</v>
      </c>
      <c r="D627" s="79" t="str">
        <f>IFERROR(__xludf.DUMMYFUNCTION("""COMPUTED_VALUE"""),"Amazon Prime Chase")</f>
        <v>Amazon Prime Chase</v>
      </c>
      <c r="E627" s="79" t="str">
        <f>IFERROR(__xludf.DUMMYFUNCTION("""COMPUTED_VALUE"""),"Insurance")</f>
        <v>Insurance</v>
      </c>
      <c r="F627" s="79" t="str">
        <f>IFERROR(__xludf.DUMMYFUNCTION("""COMPUTED_VALUE"""),"Gil")</f>
        <v>Gil</v>
      </c>
      <c r="G627" s="107">
        <f t="shared" si="1"/>
        <v>430.34</v>
      </c>
      <c r="H627" s="108" t="str">
        <f t="shared" si="2"/>
        <v>Sep</v>
      </c>
    </row>
    <row r="628">
      <c r="A628" s="106">
        <f>IFERROR(__xludf.DUMMYFUNCTION("""COMPUTED_VALUE"""),45514.0)</f>
        <v>45514</v>
      </c>
      <c r="B628" s="103">
        <f>IFERROR(__xludf.DUMMYFUNCTION("""COMPUTED_VALUE"""),22.99)</f>
        <v>22.99</v>
      </c>
      <c r="C628" s="79" t="str">
        <f>IFERROR(__xludf.DUMMYFUNCTION("""COMPUTED_VALUE"""),"YouTube Premium - Amex Delta")</f>
        <v>YouTube Premium - Amex Delta</v>
      </c>
      <c r="D628" s="79" t="str">
        <f>IFERROR(__xludf.DUMMYFUNCTION("""COMPUTED_VALUE"""),"Other")</f>
        <v>Other</v>
      </c>
      <c r="E628" s="79" t="str">
        <f>IFERROR(__xludf.DUMMYFUNCTION("""COMPUTED_VALUE"""),"Subscriptions")</f>
        <v>Subscriptions</v>
      </c>
      <c r="F628" s="79" t="str">
        <f>IFERROR(__xludf.DUMMYFUNCTION("""COMPUTED_VALUE"""),"Gil")</f>
        <v>Gil</v>
      </c>
      <c r="G628" s="107">
        <f t="shared" si="1"/>
        <v>11.495</v>
      </c>
      <c r="H628" s="108" t="str">
        <f t="shared" si="2"/>
        <v>Aug</v>
      </c>
    </row>
    <row r="629">
      <c r="A629" s="106">
        <f>IFERROR(__xludf.DUMMYFUNCTION("""COMPUTED_VALUE"""),45534.0)</f>
        <v>45534</v>
      </c>
      <c r="B629" s="103">
        <f>IFERROR(__xludf.DUMMYFUNCTION("""COMPUTED_VALUE"""),39.33)</f>
        <v>39.33</v>
      </c>
      <c r="C629" s="79" t="str">
        <f>IFERROR(__xludf.DUMMYFUNCTION("""COMPUTED_VALUE"""),"TOKUYAMATCHA &amp; ONIGIRAZU BAR")</f>
        <v>TOKUYAMATCHA &amp; ONIGIRAZU BAR</v>
      </c>
      <c r="D629" s="79" t="str">
        <f>IFERROR(__xludf.DUMMYFUNCTION("""COMPUTED_VALUE"""),"Amex Gold")</f>
        <v>Amex Gold</v>
      </c>
      <c r="E629" s="79" t="str">
        <f>IFERROR(__xludf.DUMMYFUNCTION("""COMPUTED_VALUE"""),"Meals")</f>
        <v>Meals</v>
      </c>
      <c r="F629" s="79" t="str">
        <f>IFERROR(__xludf.DUMMYFUNCTION("""COMPUTED_VALUE"""),"Gil")</f>
        <v>Gil</v>
      </c>
      <c r="G629" s="107">
        <f t="shared" si="1"/>
        <v>19.665</v>
      </c>
      <c r="H629" s="108" t="str">
        <f t="shared" si="2"/>
        <v>Aug</v>
      </c>
    </row>
    <row r="630">
      <c r="A630" s="106">
        <f>IFERROR(__xludf.DUMMYFUNCTION("""COMPUTED_VALUE"""),45528.0)</f>
        <v>45528</v>
      </c>
      <c r="B630" s="103">
        <f>IFERROR(__xludf.DUMMYFUNCTION("""COMPUTED_VALUE"""),28.97)</f>
        <v>28.97</v>
      </c>
      <c r="C630" s="79" t="str">
        <f>IFERROR(__xludf.DUMMYFUNCTION("""COMPUTED_VALUE"""),"Mr. Lemon")</f>
        <v>Mr. Lemon</v>
      </c>
      <c r="D630" s="79" t="str">
        <f>IFERROR(__xludf.DUMMYFUNCTION("""COMPUTED_VALUE"""),"Amex Gold")</f>
        <v>Amex Gold</v>
      </c>
      <c r="E630" s="79" t="str">
        <f>IFERROR(__xludf.DUMMYFUNCTION("""COMPUTED_VALUE"""),"Groceries")</f>
        <v>Groceries</v>
      </c>
      <c r="F630" s="79" t="str">
        <f>IFERROR(__xludf.DUMMYFUNCTION("""COMPUTED_VALUE"""),"Gil")</f>
        <v>Gil</v>
      </c>
      <c r="G630" s="107">
        <f t="shared" si="1"/>
        <v>14.485</v>
      </c>
      <c r="H630" s="108" t="str">
        <f t="shared" si="2"/>
        <v>Aug</v>
      </c>
    </row>
    <row r="631">
      <c r="A631" s="106">
        <f>IFERROR(__xludf.DUMMYFUNCTION("""COMPUTED_VALUE"""),45519.0)</f>
        <v>45519</v>
      </c>
      <c r="B631" s="103">
        <f>IFERROR(__xludf.DUMMYFUNCTION("""COMPUTED_VALUE"""),23.38)</f>
        <v>23.38</v>
      </c>
      <c r="C631" s="79" t="str">
        <f>IFERROR(__xludf.DUMMYFUNCTION("""COMPUTED_VALUE"""),"Rooftop Coffee - Fernie, BC")</f>
        <v>Rooftop Coffee - Fernie, BC</v>
      </c>
      <c r="D631" s="79" t="str">
        <f>IFERROR(__xludf.DUMMYFUNCTION("""COMPUTED_VALUE"""),"Amex Gold")</f>
        <v>Amex Gold</v>
      </c>
      <c r="E631" s="79" t="str">
        <f>IFERROR(__xludf.DUMMYFUNCTION("""COMPUTED_VALUE"""),"Travel")</f>
        <v>Travel</v>
      </c>
      <c r="F631" s="79" t="str">
        <f>IFERROR(__xludf.DUMMYFUNCTION("""COMPUTED_VALUE"""),"Gil")</f>
        <v>Gil</v>
      </c>
      <c r="G631" s="107">
        <f t="shared" si="1"/>
        <v>11.69</v>
      </c>
      <c r="H631" s="108" t="str">
        <f t="shared" si="2"/>
        <v>Aug</v>
      </c>
    </row>
    <row r="632">
      <c r="A632" s="106">
        <f>IFERROR(__xludf.DUMMYFUNCTION("""COMPUTED_VALUE"""),45518.0)</f>
        <v>45518</v>
      </c>
      <c r="B632" s="103">
        <f>IFERROR(__xludf.DUMMYFUNCTION("""COMPUTED_VALUE"""),14.91)</f>
        <v>14.91</v>
      </c>
      <c r="C632" s="79" t="str">
        <f>IFERROR(__xludf.DUMMYFUNCTION("""COMPUTED_VALUE"""),"The Brickhouse - Fernie, BC")</f>
        <v>The Brickhouse - Fernie, BC</v>
      </c>
      <c r="D632" s="79" t="str">
        <f>IFERROR(__xludf.DUMMYFUNCTION("""COMPUTED_VALUE"""),"Amex Gold")</f>
        <v>Amex Gold</v>
      </c>
      <c r="E632" s="79" t="str">
        <f>IFERROR(__xludf.DUMMYFUNCTION("""COMPUTED_VALUE"""),"Travel")</f>
        <v>Travel</v>
      </c>
      <c r="F632" s="79" t="str">
        <f>IFERROR(__xludf.DUMMYFUNCTION("""COMPUTED_VALUE"""),"Gil")</f>
        <v>Gil</v>
      </c>
      <c r="G632" s="107">
        <f t="shared" si="1"/>
        <v>7.455</v>
      </c>
      <c r="H632" s="108" t="str">
        <f t="shared" si="2"/>
        <v>Aug</v>
      </c>
    </row>
    <row r="633">
      <c r="A633" s="106">
        <f>IFERROR(__xludf.DUMMYFUNCTION("""COMPUTED_VALUE"""),45509.0)</f>
        <v>45509</v>
      </c>
      <c r="B633" s="103">
        <f>IFERROR(__xludf.DUMMYFUNCTION("""COMPUTED_VALUE"""),43.55)</f>
        <v>43.55</v>
      </c>
      <c r="C633" s="79" t="str">
        <f>IFERROR(__xludf.DUMMYFUNCTION("""COMPUTED_VALUE"""),"C.O. Bigelow")</f>
        <v>C.O. Bigelow</v>
      </c>
      <c r="D633" s="79" t="str">
        <f>IFERROR(__xludf.DUMMYFUNCTION("""COMPUTED_VALUE"""),"Amex Gold")</f>
        <v>Amex Gold</v>
      </c>
      <c r="E633" s="79" t="str">
        <f>IFERROR(__xludf.DUMMYFUNCTION("""COMPUTED_VALUE"""),"Household")</f>
        <v>Household</v>
      </c>
      <c r="F633" s="79" t="str">
        <f>IFERROR(__xludf.DUMMYFUNCTION("""COMPUTED_VALUE"""),"Gil")</f>
        <v>Gil</v>
      </c>
      <c r="G633" s="107">
        <f t="shared" si="1"/>
        <v>21.775</v>
      </c>
      <c r="H633" s="108" t="str">
        <f t="shared" si="2"/>
        <v>Aug</v>
      </c>
    </row>
    <row r="634">
      <c r="A634" s="106">
        <f>IFERROR(__xludf.DUMMYFUNCTION("""COMPUTED_VALUE"""),45508.0)</f>
        <v>45508</v>
      </c>
      <c r="B634" s="103">
        <f>IFERROR(__xludf.DUMMYFUNCTION("""COMPUTED_VALUE"""),134.23)</f>
        <v>134.23</v>
      </c>
      <c r="C634" s="79" t="str">
        <f>IFERROR(__xludf.DUMMYFUNCTION("""COMPUTED_VALUE"""),"Ops")</f>
        <v>Ops</v>
      </c>
      <c r="D634" s="79" t="str">
        <f>IFERROR(__xludf.DUMMYFUNCTION("""COMPUTED_VALUE"""),"Amex Gold")</f>
        <v>Amex Gold</v>
      </c>
      <c r="E634" s="79" t="str">
        <f>IFERROR(__xludf.DUMMYFUNCTION("""COMPUTED_VALUE"""),"Meals")</f>
        <v>Meals</v>
      </c>
      <c r="F634" s="79" t="str">
        <f>IFERROR(__xludf.DUMMYFUNCTION("""COMPUTED_VALUE"""),"Gil")</f>
        <v>Gil</v>
      </c>
      <c r="G634" s="107">
        <f t="shared" si="1"/>
        <v>67.115</v>
      </c>
      <c r="H634" s="108" t="str">
        <f t="shared" si="2"/>
        <v>Aug</v>
      </c>
    </row>
    <row r="635">
      <c r="A635" s="106">
        <f>IFERROR(__xludf.DUMMYFUNCTION("""COMPUTED_VALUE"""),45514.0)</f>
        <v>45514</v>
      </c>
      <c r="B635" s="103">
        <f>IFERROR(__xludf.DUMMYFUNCTION("""COMPUTED_VALUE"""),67.98)</f>
        <v>67.98</v>
      </c>
      <c r="C635" s="79" t="str">
        <f>IFERROR(__xludf.DUMMYFUNCTION("""COMPUTED_VALUE"""),"MH Liquor Calgary - Amex Gold")</f>
        <v>MH Liquor Calgary - Amex Gold</v>
      </c>
      <c r="D635" s="79" t="str">
        <f>IFERROR(__xludf.DUMMYFUNCTION("""COMPUTED_VALUE"""),"Shaeffer ONLY")</f>
        <v>Shaeffer ONLY</v>
      </c>
      <c r="E635" s="79"/>
      <c r="F635" s="79" t="str">
        <f>IFERROR(__xludf.DUMMYFUNCTION("""COMPUTED_VALUE"""),"Gil")</f>
        <v>Gil</v>
      </c>
      <c r="G635" s="107">
        <f t="shared" si="1"/>
        <v>33.99</v>
      </c>
      <c r="H635" s="108" t="str">
        <f t="shared" si="2"/>
        <v>Aug</v>
      </c>
    </row>
    <row r="636">
      <c r="A636" s="106">
        <f>IFERROR(__xludf.DUMMYFUNCTION("""COMPUTED_VALUE"""),45535.0)</f>
        <v>45535</v>
      </c>
      <c r="B636" s="103">
        <f>IFERROR(__xludf.DUMMYFUNCTION("""COMPUTED_VALUE"""),7.84)</f>
        <v>7.84</v>
      </c>
      <c r="C636" s="79" t="str">
        <f>IFERROR(__xludf.DUMMYFUNCTION("""COMPUTED_VALUE"""),"Foreign Transaction Fees")</f>
        <v>Foreign Transaction Fees</v>
      </c>
      <c r="D636" s="79" t="str">
        <f>IFERROR(__xludf.DUMMYFUNCTION("""COMPUTED_VALUE"""),"Amex Blue")</f>
        <v>Amex Blue</v>
      </c>
      <c r="E636" s="79" t="str">
        <f>IFERROR(__xludf.DUMMYFUNCTION("""COMPUTED_VALUE"""),"Travel")</f>
        <v>Travel</v>
      </c>
      <c r="F636" s="79" t="str">
        <f>IFERROR(__xludf.DUMMYFUNCTION("""COMPUTED_VALUE"""),"Gil")</f>
        <v>Gil</v>
      </c>
      <c r="G636" s="107">
        <f t="shared" si="1"/>
        <v>3.92</v>
      </c>
      <c r="H636" s="108" t="str">
        <f t="shared" si="2"/>
        <v>Aug</v>
      </c>
    </row>
    <row r="637">
      <c r="A637" s="106">
        <f>IFERROR(__xludf.DUMMYFUNCTION("""COMPUTED_VALUE"""),45519.0)</f>
        <v>45519</v>
      </c>
      <c r="B637" s="103">
        <f>IFERROR(__xludf.DUMMYFUNCTION("""COMPUTED_VALUE"""),27.09)</f>
        <v>27.09</v>
      </c>
      <c r="C637" s="79" t="str">
        <f>IFERROR(__xludf.DUMMYFUNCTION("""COMPUTED_VALUE"""),"IGA - Blairmore, AB")</f>
        <v>IGA - Blairmore, AB</v>
      </c>
      <c r="D637" s="79" t="str">
        <f>IFERROR(__xludf.DUMMYFUNCTION("""COMPUTED_VALUE"""),"Amex Blue")</f>
        <v>Amex Blue</v>
      </c>
      <c r="E637" s="79" t="str">
        <f>IFERROR(__xludf.DUMMYFUNCTION("""COMPUTED_VALUE"""),"Travel")</f>
        <v>Travel</v>
      </c>
      <c r="F637" s="79" t="str">
        <f>IFERROR(__xludf.DUMMYFUNCTION("""COMPUTED_VALUE"""),"Gil")</f>
        <v>Gil</v>
      </c>
      <c r="G637" s="107">
        <f t="shared" si="1"/>
        <v>13.545</v>
      </c>
      <c r="H637" s="108" t="str">
        <f t="shared" si="2"/>
        <v>Aug</v>
      </c>
    </row>
    <row r="638">
      <c r="A638" s="106">
        <f>IFERROR(__xludf.DUMMYFUNCTION("""COMPUTED_VALUE"""),45518.0)</f>
        <v>45518</v>
      </c>
      <c r="B638" s="103">
        <f>IFERROR(__xludf.DUMMYFUNCTION("""COMPUTED_VALUE"""),26.46)</f>
        <v>26.46</v>
      </c>
      <c r="C638" s="79" t="str">
        <f>IFERROR(__xludf.DUMMYFUNCTION("""COMPUTED_VALUE"""),"Save On Foods - Fernie, BC")</f>
        <v>Save On Foods - Fernie, BC</v>
      </c>
      <c r="D638" s="79" t="str">
        <f>IFERROR(__xludf.DUMMYFUNCTION("""COMPUTED_VALUE"""),"Amex Blue")</f>
        <v>Amex Blue</v>
      </c>
      <c r="E638" s="79" t="str">
        <f>IFERROR(__xludf.DUMMYFUNCTION("""COMPUTED_VALUE"""),"Travel")</f>
        <v>Travel</v>
      </c>
      <c r="F638" s="79" t="str">
        <f>IFERROR(__xludf.DUMMYFUNCTION("""COMPUTED_VALUE"""),"Gil")</f>
        <v>Gil</v>
      </c>
      <c r="G638" s="107">
        <f t="shared" si="1"/>
        <v>13.23</v>
      </c>
      <c r="H638" s="108" t="str">
        <f t="shared" si="2"/>
        <v>Aug</v>
      </c>
    </row>
    <row r="639">
      <c r="A639" s="106">
        <f>IFERROR(__xludf.DUMMYFUNCTION("""COMPUTED_VALUE"""),45511.0)</f>
        <v>45511</v>
      </c>
      <c r="B639" s="103">
        <f>IFERROR(__xludf.DUMMYFUNCTION("""COMPUTED_VALUE"""),16.99)</f>
        <v>16.99</v>
      </c>
      <c r="C639" s="79" t="str">
        <f>IFERROR(__xludf.DUMMYFUNCTION("""COMPUTED_VALUE"""),"Spotify")</f>
        <v>Spotify</v>
      </c>
      <c r="D639" s="79" t="str">
        <f>IFERROR(__xludf.DUMMYFUNCTION("""COMPUTED_VALUE"""),"Amex Blue")</f>
        <v>Amex Blue</v>
      </c>
      <c r="E639" s="79" t="str">
        <f>IFERROR(__xludf.DUMMYFUNCTION("""COMPUTED_VALUE"""),"Subscriptions")</f>
        <v>Subscriptions</v>
      </c>
      <c r="F639" s="79" t="str">
        <f>IFERROR(__xludf.DUMMYFUNCTION("""COMPUTED_VALUE"""),"Gil")</f>
        <v>Gil</v>
      </c>
      <c r="G639" s="107">
        <f t="shared" si="1"/>
        <v>8.495</v>
      </c>
      <c r="H639" s="108" t="str">
        <f t="shared" si="2"/>
        <v>Aug</v>
      </c>
    </row>
    <row r="640">
      <c r="A640" s="106">
        <f>IFERROR(__xludf.DUMMYFUNCTION("""COMPUTED_VALUE"""),45508.0)</f>
        <v>45508</v>
      </c>
      <c r="B640" s="103">
        <f>IFERROR(__xludf.DUMMYFUNCTION("""COMPUTED_VALUE"""),16.97)</f>
        <v>16.97</v>
      </c>
      <c r="C640" s="79" t="str">
        <f>IFERROR(__xludf.DUMMYFUNCTION("""COMPUTED_VALUE"""),"Knickerbocker Fresh Mart")</f>
        <v>Knickerbocker Fresh Mart</v>
      </c>
      <c r="D640" s="79" t="str">
        <f>IFERROR(__xludf.DUMMYFUNCTION("""COMPUTED_VALUE"""),"Amex Blue")</f>
        <v>Amex Blue</v>
      </c>
      <c r="E640" s="79" t="str">
        <f>IFERROR(__xludf.DUMMYFUNCTION("""COMPUTED_VALUE"""),"Groceries")</f>
        <v>Groceries</v>
      </c>
      <c r="F640" s="79" t="str">
        <f>IFERROR(__xludf.DUMMYFUNCTION("""COMPUTED_VALUE"""),"Gil")</f>
        <v>Gil</v>
      </c>
      <c r="G640" s="107">
        <f t="shared" si="1"/>
        <v>8.485</v>
      </c>
      <c r="H640" s="108" t="str">
        <f t="shared" si="2"/>
        <v>Aug</v>
      </c>
    </row>
    <row r="641">
      <c r="A641" s="106">
        <f>IFERROR(__xludf.DUMMYFUNCTION("""COMPUTED_VALUE"""),45535.0)</f>
        <v>45535</v>
      </c>
      <c r="B641" s="103">
        <f>IFERROR(__xludf.DUMMYFUNCTION("""COMPUTED_VALUE"""),114.26)</f>
        <v>114.26</v>
      </c>
      <c r="C641" s="79" t="str">
        <f>IFERROR(__xludf.DUMMYFUNCTION("""COMPUTED_VALUE"""),"Amex Blue - PP, MTA")</f>
        <v>Amex Blue - PP, MTA</v>
      </c>
      <c r="D641" s="79" t="str">
        <f>IFERROR(__xludf.DUMMYFUNCTION("""COMPUTED_VALUE"""),"Shaeffer ONLY")</f>
        <v>Shaeffer ONLY</v>
      </c>
      <c r="E641" s="79"/>
      <c r="F641" s="79" t="str">
        <f>IFERROR(__xludf.DUMMYFUNCTION("""COMPUTED_VALUE"""),"Gil")</f>
        <v>Gil</v>
      </c>
      <c r="G641" s="107">
        <f t="shared" si="1"/>
        <v>57.13</v>
      </c>
      <c r="H641" s="108" t="str">
        <f t="shared" si="2"/>
        <v>Aug</v>
      </c>
    </row>
    <row r="642">
      <c r="A642" s="106">
        <f>IFERROR(__xludf.DUMMYFUNCTION("""COMPUTED_VALUE"""),45537.0)</f>
        <v>45537</v>
      </c>
      <c r="B642" s="103">
        <f>IFERROR(__xludf.DUMMYFUNCTION("""COMPUTED_VALUE"""),24.98)</f>
        <v>24.98</v>
      </c>
      <c r="C642" s="79" t="str">
        <f>IFERROR(__xludf.DUMMYFUNCTION("""COMPUTED_VALUE"""),"Amazon S&amp;S - Yuzu Co")</f>
        <v>Amazon S&amp;S - Yuzu Co</v>
      </c>
      <c r="D642" s="79" t="str">
        <f>IFERROR(__xludf.DUMMYFUNCTION("""COMPUTED_VALUE"""),"Amazon Prime Chase")</f>
        <v>Amazon Prime Chase</v>
      </c>
      <c r="E642" s="79" t="str">
        <f>IFERROR(__xludf.DUMMYFUNCTION("""COMPUTED_VALUE"""),"Groceries")</f>
        <v>Groceries</v>
      </c>
      <c r="F642" s="79" t="str">
        <f>IFERROR(__xludf.DUMMYFUNCTION("""COMPUTED_VALUE"""),"Gil")</f>
        <v>Gil</v>
      </c>
      <c r="G642" s="107">
        <f t="shared" si="1"/>
        <v>12.49</v>
      </c>
      <c r="H642" s="108" t="str">
        <f t="shared" si="2"/>
        <v>Sep</v>
      </c>
    </row>
    <row r="643">
      <c r="A643" s="106">
        <f>IFERROR(__xludf.DUMMYFUNCTION("""COMPUTED_VALUE"""),45510.0)</f>
        <v>45510</v>
      </c>
      <c r="B643" s="103">
        <f>IFERROR(__xludf.DUMMYFUNCTION("""COMPUTED_VALUE"""),4.99)</f>
        <v>4.99</v>
      </c>
      <c r="C643" s="79" t="str">
        <f>IFERROR(__xludf.DUMMYFUNCTION("""COMPUTED_VALUE"""),"AMC with ads")</f>
        <v>AMC with ads</v>
      </c>
      <c r="D643" s="79" t="str">
        <f>IFERROR(__xludf.DUMMYFUNCTION("""COMPUTED_VALUE"""),"Amazon Prime Chase")</f>
        <v>Amazon Prime Chase</v>
      </c>
      <c r="E643" s="79" t="str">
        <f>IFERROR(__xludf.DUMMYFUNCTION("""COMPUTED_VALUE"""),"Household")</f>
        <v>Household</v>
      </c>
      <c r="F643" s="79" t="str">
        <f>IFERROR(__xludf.DUMMYFUNCTION("""COMPUTED_VALUE"""),"Gil")</f>
        <v>Gil</v>
      </c>
      <c r="G643" s="107">
        <f t="shared" si="1"/>
        <v>2.495</v>
      </c>
      <c r="H643" s="108" t="str">
        <f t="shared" si="2"/>
        <v>Aug</v>
      </c>
    </row>
    <row r="644">
      <c r="A644" s="106">
        <f>IFERROR(__xludf.DUMMYFUNCTION("""COMPUTED_VALUE"""),45508.0)</f>
        <v>45508</v>
      </c>
      <c r="B644" s="103">
        <f>IFERROR(__xludf.DUMMYFUNCTION("""COMPUTED_VALUE"""),141.43)</f>
        <v>141.43</v>
      </c>
      <c r="C644" s="79" t="str">
        <f>IFERROR(__xludf.DUMMYFUNCTION("""COMPUTED_VALUE"""),"Amazon - Picopresso")</f>
        <v>Amazon - Picopresso</v>
      </c>
      <c r="D644" s="79" t="str">
        <f>IFERROR(__xludf.DUMMYFUNCTION("""COMPUTED_VALUE"""),"Amazon Prime Chase")</f>
        <v>Amazon Prime Chase</v>
      </c>
      <c r="E644" s="79" t="str">
        <f>IFERROR(__xludf.DUMMYFUNCTION("""COMPUTED_VALUE"""),"Personal")</f>
        <v>Personal</v>
      </c>
      <c r="F644" s="79" t="str">
        <f>IFERROR(__xludf.DUMMYFUNCTION("""COMPUTED_VALUE"""),"Gil")</f>
        <v>Gil</v>
      </c>
      <c r="G644" s="107">
        <f t="shared" si="1"/>
        <v>70.715</v>
      </c>
      <c r="H644" s="108" t="str">
        <f t="shared" si="2"/>
        <v>Aug</v>
      </c>
    </row>
    <row r="645">
      <c r="A645" s="106">
        <f>IFERROR(__xludf.DUMMYFUNCTION("""COMPUTED_VALUE"""),45506.0)</f>
        <v>45506</v>
      </c>
      <c r="B645" s="103">
        <f>IFERROR(__xludf.DUMMYFUNCTION("""COMPUTED_VALUE"""),23.0)</f>
        <v>23</v>
      </c>
      <c r="C645" s="79" t="str">
        <f>IFERROR(__xludf.DUMMYFUNCTION("""COMPUTED_VALUE"""),"Lemonade")</f>
        <v>Lemonade</v>
      </c>
      <c r="D645" s="79" t="str">
        <f>IFERROR(__xludf.DUMMYFUNCTION("""COMPUTED_VALUE"""),"Amazon Prime Chase")</f>
        <v>Amazon Prime Chase</v>
      </c>
      <c r="E645" s="79" t="str">
        <f>IFERROR(__xludf.DUMMYFUNCTION("""COMPUTED_VALUE"""),"Insurance")</f>
        <v>Insurance</v>
      </c>
      <c r="F645" s="79" t="str">
        <f>IFERROR(__xludf.DUMMYFUNCTION("""COMPUTED_VALUE"""),"Gil")</f>
        <v>Gil</v>
      </c>
      <c r="G645" s="107">
        <f t="shared" si="1"/>
        <v>11.5</v>
      </c>
      <c r="H645" s="108" t="str">
        <f t="shared" si="2"/>
        <v>Aug</v>
      </c>
    </row>
    <row r="646">
      <c r="A646" s="106">
        <f>IFERROR(__xludf.DUMMYFUNCTION("""COMPUTED_VALUE"""),45551.0)</f>
        <v>45551</v>
      </c>
      <c r="B646" s="103">
        <f>IFERROR(__xludf.DUMMYFUNCTION("""COMPUTED_VALUE"""),37.08)</f>
        <v>37.08</v>
      </c>
      <c r="C646" s="79" t="str">
        <f>IFERROR(__xludf.DUMMYFUNCTION("""COMPUTED_VALUE"""),"Klom Klorm - Uber Eats")</f>
        <v>Klom Klorm - Uber Eats</v>
      </c>
      <c r="D646" s="79" t="str">
        <f>IFERROR(__xludf.DUMMYFUNCTION("""COMPUTED_VALUE"""),"Capital ONE")</f>
        <v>Capital ONE</v>
      </c>
      <c r="E646" s="79" t="str">
        <f>IFERROR(__xludf.DUMMYFUNCTION("""COMPUTED_VALUE"""),"Meals")</f>
        <v>Meals</v>
      </c>
      <c r="F646" s="79" t="str">
        <f>IFERROR(__xludf.DUMMYFUNCTION("""COMPUTED_VALUE"""),"Gil")</f>
        <v>Gil</v>
      </c>
      <c r="G646" s="107">
        <f t="shared" si="1"/>
        <v>18.54</v>
      </c>
      <c r="H646" s="108" t="str">
        <f t="shared" si="2"/>
        <v>Sep</v>
      </c>
    </row>
    <row r="647">
      <c r="A647" s="106">
        <f>IFERROR(__xludf.DUMMYFUNCTION("""COMPUTED_VALUE"""),45560.0)</f>
        <v>45560</v>
      </c>
      <c r="B647" s="103">
        <f>IFERROR(__xludf.DUMMYFUNCTION("""COMPUTED_VALUE"""),92.0)</f>
        <v>92</v>
      </c>
      <c r="C647" s="79" t="str">
        <f>IFERROR(__xludf.DUMMYFUNCTION("""COMPUTED_VALUE"""),"Farmer's Market - Quarton and Locust Grove")</f>
        <v>Farmer's Market - Quarton and Locust Grove</v>
      </c>
      <c r="D647" s="79" t="str">
        <f>IFERROR(__xludf.DUMMYFUNCTION("""COMPUTED_VALUE"""),"Cash")</f>
        <v>Cash</v>
      </c>
      <c r="E647" s="79" t="str">
        <f>IFERROR(__xludf.DUMMYFUNCTION("""COMPUTED_VALUE"""),"Groceries")</f>
        <v>Groceries</v>
      </c>
      <c r="F647" s="79" t="str">
        <f>IFERROR(__xludf.DUMMYFUNCTION("""COMPUTED_VALUE"""),"Gil")</f>
        <v>Gil</v>
      </c>
      <c r="G647" s="107">
        <f t="shared" si="1"/>
        <v>46</v>
      </c>
      <c r="H647" s="108" t="str">
        <f t="shared" si="2"/>
        <v>Sep</v>
      </c>
    </row>
    <row r="648">
      <c r="A648" s="106">
        <f>IFERROR(__xludf.DUMMYFUNCTION("""COMPUTED_VALUE"""),45564.0)</f>
        <v>45564</v>
      </c>
      <c r="B648" s="103">
        <f>IFERROR(__xludf.DUMMYFUNCTION("""COMPUTED_VALUE"""),49.5)</f>
        <v>49.5</v>
      </c>
      <c r="C648" s="79" t="str">
        <f>IFERROR(__xludf.DUMMYFUNCTION("""COMPUTED_VALUE"""),"ATG")</f>
        <v>ATG</v>
      </c>
      <c r="D648" s="79" t="str">
        <f>IFERROR(__xludf.DUMMYFUNCTION("""COMPUTED_VALUE"""),"Other")</f>
        <v>Other</v>
      </c>
      <c r="E648" s="79" t="str">
        <f>IFERROR(__xludf.DUMMYFUNCTION("""COMPUTED_VALUE"""),"Subscriptions")</f>
        <v>Subscriptions</v>
      </c>
      <c r="F648" s="79" t="str">
        <f>IFERROR(__xludf.DUMMYFUNCTION("""COMPUTED_VALUE"""),"Gil")</f>
        <v>Gil</v>
      </c>
      <c r="G648" s="107">
        <f t="shared" si="1"/>
        <v>24.75</v>
      </c>
      <c r="H648" s="108" t="str">
        <f t="shared" si="2"/>
        <v>Sep</v>
      </c>
    </row>
    <row r="649">
      <c r="A649" s="106">
        <f>IFERROR(__xludf.DUMMYFUNCTION("""COMPUTED_VALUE"""),45565.0)</f>
        <v>45565</v>
      </c>
      <c r="B649" s="103">
        <f>IFERROR(__xludf.DUMMYFUNCTION("""COMPUTED_VALUE"""),21.63)</f>
        <v>21.63</v>
      </c>
      <c r="C649" s="79" t="str">
        <f>IFERROR(__xludf.DUMMYFUNCTION("""COMPUTED_VALUE"""),"Birch Coffee")</f>
        <v>Birch Coffee</v>
      </c>
      <c r="D649" s="79" t="str">
        <f>IFERROR(__xludf.DUMMYFUNCTION("""COMPUTED_VALUE"""),"Amex Gold")</f>
        <v>Amex Gold</v>
      </c>
      <c r="E649" s="79" t="str">
        <f>IFERROR(__xludf.DUMMYFUNCTION("""COMPUTED_VALUE"""),"Groceries")</f>
        <v>Groceries</v>
      </c>
      <c r="F649" s="79" t="str">
        <f>IFERROR(__xludf.DUMMYFUNCTION("""COMPUTED_VALUE"""),"Gil")</f>
        <v>Gil</v>
      </c>
      <c r="G649" s="107">
        <f t="shared" si="1"/>
        <v>10.815</v>
      </c>
      <c r="H649" s="108" t="str">
        <f t="shared" si="2"/>
        <v>Sep</v>
      </c>
    </row>
    <row r="650">
      <c r="A650" s="106">
        <f>IFERROR(__xludf.DUMMYFUNCTION("""COMPUTED_VALUE"""),45565.0)</f>
        <v>45565</v>
      </c>
      <c r="B650" s="103">
        <f>IFERROR(__xludf.DUMMYFUNCTION("""COMPUTED_VALUE"""),18.87)</f>
        <v>18.87</v>
      </c>
      <c r="C650" s="79" t="str">
        <f>IFERROR(__xludf.DUMMYFUNCTION("""COMPUTED_VALUE"""),"Whole Foods")</f>
        <v>Whole Foods</v>
      </c>
      <c r="D650" s="79" t="str">
        <f>IFERROR(__xludf.DUMMYFUNCTION("""COMPUTED_VALUE"""),"Amex Blue")</f>
        <v>Amex Blue</v>
      </c>
      <c r="E650" s="79" t="str">
        <f>IFERROR(__xludf.DUMMYFUNCTION("""COMPUTED_VALUE"""),"Groceries")</f>
        <v>Groceries</v>
      </c>
      <c r="F650" s="79" t="str">
        <f>IFERROR(__xludf.DUMMYFUNCTION("""COMPUTED_VALUE"""),"Gil")</f>
        <v>Gil</v>
      </c>
      <c r="G650" s="107">
        <f t="shared" si="1"/>
        <v>9.435</v>
      </c>
      <c r="H650" s="108" t="str">
        <f t="shared" si="2"/>
        <v>Sep</v>
      </c>
    </row>
    <row r="651">
      <c r="A651" s="106">
        <f>IFERROR(__xludf.DUMMYFUNCTION("""COMPUTED_VALUE"""),45507.0)</f>
        <v>45507</v>
      </c>
      <c r="B651" s="103">
        <f>IFERROR(__xludf.DUMMYFUNCTION("""COMPUTED_VALUE"""),54.37)</f>
        <v>54.37</v>
      </c>
      <c r="C651" s="79" t="str">
        <f>IFERROR(__xludf.DUMMYFUNCTION("""COMPUTED_VALUE"""),"toothbrush")</f>
        <v>toothbrush</v>
      </c>
      <c r="D651" s="79" t="str">
        <f>IFERROR(__xludf.DUMMYFUNCTION("""COMPUTED_VALUE"""),"Shaeffer ONLY")</f>
        <v>Shaeffer ONLY</v>
      </c>
      <c r="E651" s="79"/>
      <c r="F651" s="79" t="str">
        <f>IFERROR(__xludf.DUMMYFUNCTION("""COMPUTED_VALUE"""),"Gil")</f>
        <v>Gil</v>
      </c>
      <c r="G651" s="107">
        <f t="shared" si="1"/>
        <v>27.185</v>
      </c>
      <c r="H651" s="108" t="str">
        <f t="shared" si="2"/>
        <v>Aug</v>
      </c>
    </row>
    <row r="652">
      <c r="A652" s="106">
        <f>IFERROR(__xludf.DUMMYFUNCTION("""COMPUTED_VALUE"""),45509.0)</f>
        <v>45509</v>
      </c>
      <c r="B652" s="103">
        <f>IFERROR(__xludf.DUMMYFUNCTION("""COMPUTED_VALUE"""),29.36)</f>
        <v>29.36</v>
      </c>
      <c r="C652" s="79" t="str">
        <f>IFERROR(__xludf.DUMMYFUNCTION("""COMPUTED_VALUE"""),"amber jars")</f>
        <v>amber jars</v>
      </c>
      <c r="D652" s="79" t="str">
        <f>IFERROR(__xludf.DUMMYFUNCTION("""COMPUTED_VALUE"""),"Amazon Prime Chase")</f>
        <v>Amazon Prime Chase</v>
      </c>
      <c r="E652" s="79" t="str">
        <f>IFERROR(__xludf.DUMMYFUNCTION("""COMPUTED_VALUE"""),"Household")</f>
        <v>Household</v>
      </c>
      <c r="F652" s="79" t="str">
        <f>IFERROR(__xludf.DUMMYFUNCTION("""COMPUTED_VALUE"""),"Shaeffer")</f>
        <v>Shaeffer</v>
      </c>
      <c r="G652" s="107">
        <f t="shared" si="1"/>
        <v>14.68</v>
      </c>
      <c r="H652" s="108" t="str">
        <f t="shared" si="2"/>
        <v>Aug</v>
      </c>
    </row>
    <row r="653">
      <c r="A653" s="106">
        <f>IFERROR(__xludf.DUMMYFUNCTION("""COMPUTED_VALUE"""),45557.0)</f>
        <v>45557</v>
      </c>
      <c r="B653" s="103">
        <f>IFERROR(__xludf.DUMMYFUNCTION("""COMPUTED_VALUE"""),62.98)</f>
        <v>62.98</v>
      </c>
      <c r="C653" s="79" t="str">
        <f>IFERROR(__xludf.DUMMYFUNCTION("""COMPUTED_VALUE"""),"optimum")</f>
        <v>optimum</v>
      </c>
      <c r="D653" s="79" t="str">
        <f>IFERROR(__xludf.DUMMYFUNCTION("""COMPUTED_VALUE"""),"Amex Delta Skymiles")</f>
        <v>Amex Delta Skymiles</v>
      </c>
      <c r="E653" s="79" t="str">
        <f>IFERROR(__xludf.DUMMYFUNCTION("""COMPUTED_VALUE"""),"Internet")</f>
        <v>Internet</v>
      </c>
      <c r="F653" s="79" t="str">
        <f>IFERROR(__xludf.DUMMYFUNCTION("""COMPUTED_VALUE"""),"Shaeffer")</f>
        <v>Shaeffer</v>
      </c>
      <c r="G653" s="107">
        <f t="shared" si="1"/>
        <v>31.49</v>
      </c>
      <c r="H653" s="108" t="str">
        <f t="shared" si="2"/>
        <v>Sep</v>
      </c>
    </row>
    <row r="654">
      <c r="A654" s="106">
        <f>IFERROR(__xludf.DUMMYFUNCTION("""COMPUTED_VALUE"""),45550.0)</f>
        <v>45550</v>
      </c>
      <c r="B654" s="103">
        <f>IFERROR(__xludf.DUMMYFUNCTION("""COMPUTED_VALUE"""),188.53)</f>
        <v>188.53</v>
      </c>
      <c r="C654" s="79" t="str">
        <f>IFERROR(__xludf.DUMMYFUNCTION("""COMPUTED_VALUE"""),"Bissy")</f>
        <v>Bissy</v>
      </c>
      <c r="D654" s="79" t="str">
        <f>IFERROR(__xludf.DUMMYFUNCTION("""COMPUTED_VALUE"""),"Chase Reserve")</f>
        <v>Chase Reserve</v>
      </c>
      <c r="E654" s="79" t="str">
        <f>IFERROR(__xludf.DUMMYFUNCTION("""COMPUTED_VALUE"""),"Household")</f>
        <v>Household</v>
      </c>
      <c r="F654" s="79" t="str">
        <f>IFERROR(__xludf.DUMMYFUNCTION("""COMPUTED_VALUE"""),"Shaeffer")</f>
        <v>Shaeffer</v>
      </c>
      <c r="G654" s="107">
        <f t="shared" si="1"/>
        <v>94.265</v>
      </c>
      <c r="H654" s="108" t="str">
        <f t="shared" si="2"/>
        <v>Sep</v>
      </c>
    </row>
    <row r="655">
      <c r="A655" s="106">
        <f>IFERROR(__xludf.DUMMYFUNCTION("""COMPUTED_VALUE"""),45552.0)</f>
        <v>45552</v>
      </c>
      <c r="B655" s="103">
        <f>IFERROR(__xludf.DUMMYFUNCTION("""COMPUTED_VALUE"""),26.81)</f>
        <v>26.81</v>
      </c>
      <c r="C655" s="79" t="str">
        <f>IFERROR(__xludf.DUMMYFUNCTION("""COMPUTED_VALUE"""),"Birch ")</f>
        <v>Birch </v>
      </c>
      <c r="D655" s="79" t="str">
        <f>IFERROR(__xludf.DUMMYFUNCTION("""COMPUTED_VALUE"""),"Chase Reserve")</f>
        <v>Chase Reserve</v>
      </c>
      <c r="E655" s="79" t="str">
        <f>IFERROR(__xludf.DUMMYFUNCTION("""COMPUTED_VALUE"""),"Groceries")</f>
        <v>Groceries</v>
      </c>
      <c r="F655" s="79" t="str">
        <f>IFERROR(__xludf.DUMMYFUNCTION("""COMPUTED_VALUE"""),"Shaeffer")</f>
        <v>Shaeffer</v>
      </c>
      <c r="G655" s="107">
        <f t="shared" si="1"/>
        <v>13.405</v>
      </c>
      <c r="H655" s="108" t="str">
        <f t="shared" si="2"/>
        <v>Sep</v>
      </c>
    </row>
    <row r="656">
      <c r="A656" s="106">
        <f>IFERROR(__xludf.DUMMYFUNCTION("""COMPUTED_VALUE"""),45554.0)</f>
        <v>45554</v>
      </c>
      <c r="B656" s="103">
        <f>IFERROR(__xludf.DUMMYFUNCTION("""COMPUTED_VALUE"""),7.99)</f>
        <v>7.99</v>
      </c>
      <c r="C656" s="79" t="str">
        <f>IFERROR(__xludf.DUMMYFUNCTION("""COMPUTED_VALUE"""),"hulu")</f>
        <v>hulu</v>
      </c>
      <c r="D656" s="79" t="str">
        <f>IFERROR(__xludf.DUMMYFUNCTION("""COMPUTED_VALUE"""),"Chase Reserve")</f>
        <v>Chase Reserve</v>
      </c>
      <c r="E656" s="79" t="str">
        <f>IFERROR(__xludf.DUMMYFUNCTION("""COMPUTED_VALUE"""),"Subscriptions")</f>
        <v>Subscriptions</v>
      </c>
      <c r="F656" s="79" t="str">
        <f>IFERROR(__xludf.DUMMYFUNCTION("""COMPUTED_VALUE"""),"Shaeffer")</f>
        <v>Shaeffer</v>
      </c>
      <c r="G656" s="107">
        <f t="shared" si="1"/>
        <v>3.995</v>
      </c>
      <c r="H656" s="108" t="str">
        <f t="shared" si="2"/>
        <v>Sep</v>
      </c>
    </row>
    <row r="657">
      <c r="A657" s="106">
        <f>IFERROR(__xludf.DUMMYFUNCTION("""COMPUTED_VALUE"""),45563.0)</f>
        <v>45563</v>
      </c>
      <c r="B657" s="103">
        <f>IFERROR(__xludf.DUMMYFUNCTION("""COMPUTED_VALUE"""),60.73)</f>
        <v>60.73</v>
      </c>
      <c r="C657" s="79" t="str">
        <f>IFERROR(__xludf.DUMMYFUNCTION("""COMPUTED_VALUE"""),"Mr Lemon")</f>
        <v>Mr Lemon</v>
      </c>
      <c r="D657" s="79" t="str">
        <f>IFERROR(__xludf.DUMMYFUNCTION("""COMPUTED_VALUE"""),"Chase Reserve")</f>
        <v>Chase Reserve</v>
      </c>
      <c r="E657" s="79" t="str">
        <f>IFERROR(__xludf.DUMMYFUNCTION("""COMPUTED_VALUE"""),"Groceries")</f>
        <v>Groceries</v>
      </c>
      <c r="F657" s="79" t="str">
        <f>IFERROR(__xludf.DUMMYFUNCTION("""COMPUTED_VALUE"""),"Shaeffer")</f>
        <v>Shaeffer</v>
      </c>
      <c r="G657" s="107">
        <f t="shared" si="1"/>
        <v>30.365</v>
      </c>
      <c r="H657" s="108" t="str">
        <f t="shared" si="2"/>
        <v>Sep</v>
      </c>
    </row>
    <row r="658">
      <c r="A658" s="106">
        <f>IFERROR(__xludf.DUMMYFUNCTION("""COMPUTED_VALUE"""),45567.0)</f>
        <v>45567</v>
      </c>
      <c r="B658" s="103">
        <f>IFERROR(__xludf.DUMMYFUNCTION("""COMPUTED_VALUE"""),860.68)</f>
        <v>860.68</v>
      </c>
      <c r="C658" s="79" t="str">
        <f>IFERROR(__xludf.DUMMYFUNCTION("""COMPUTED_VALUE"""),"Healthfirst")</f>
        <v>Healthfirst</v>
      </c>
      <c r="D658" s="79" t="str">
        <f>IFERROR(__xludf.DUMMYFUNCTION("""COMPUTED_VALUE"""),"Amazon Prime Chase")</f>
        <v>Amazon Prime Chase</v>
      </c>
      <c r="E658" s="79" t="str">
        <f>IFERROR(__xludf.DUMMYFUNCTION("""COMPUTED_VALUE"""),"Insurance")</f>
        <v>Insurance</v>
      </c>
      <c r="F658" s="79" t="str">
        <f>IFERROR(__xludf.DUMMYFUNCTION("""COMPUTED_VALUE"""),"Gil")</f>
        <v>Gil</v>
      </c>
      <c r="G658" s="107">
        <f t="shared" si="1"/>
        <v>430.34</v>
      </c>
      <c r="H658" s="108" t="str">
        <f t="shared" si="2"/>
        <v>Oct</v>
      </c>
    </row>
    <row r="659">
      <c r="A659" s="106">
        <f>IFERROR(__xludf.DUMMYFUNCTION("""COMPUTED_VALUE"""),45567.0)</f>
        <v>45567</v>
      </c>
      <c r="B659" s="103">
        <f>IFERROR(__xludf.DUMMYFUNCTION("""COMPUTED_VALUE"""),17.0)</f>
        <v>17</v>
      </c>
      <c r="C659" s="79" t="str">
        <f>IFERROR(__xludf.DUMMYFUNCTION("""COMPUTED_VALUE"""),"Our Daily Bread")</f>
        <v>Our Daily Bread</v>
      </c>
      <c r="D659" s="79" t="str">
        <f>IFERROR(__xludf.DUMMYFUNCTION("""COMPUTED_VALUE"""),"Amex Blue")</f>
        <v>Amex Blue</v>
      </c>
      <c r="E659" s="79" t="str">
        <f>IFERROR(__xludf.DUMMYFUNCTION("""COMPUTED_VALUE"""),"Groceries")</f>
        <v>Groceries</v>
      </c>
      <c r="F659" s="79" t="str">
        <f>IFERROR(__xludf.DUMMYFUNCTION("""COMPUTED_VALUE"""),"Gil")</f>
        <v>Gil</v>
      </c>
      <c r="G659" s="107">
        <f t="shared" si="1"/>
        <v>8.5</v>
      </c>
      <c r="H659" s="108" t="str">
        <f t="shared" si="2"/>
        <v>Oct</v>
      </c>
    </row>
    <row r="660">
      <c r="A660" s="106">
        <f>IFERROR(__xludf.DUMMYFUNCTION("""COMPUTED_VALUE"""),45567.0)</f>
        <v>45567</v>
      </c>
      <c r="B660" s="103">
        <f>IFERROR(__xludf.DUMMYFUNCTION("""COMPUTED_VALUE"""),47.0)</f>
        <v>47</v>
      </c>
      <c r="C660" s="79" t="str">
        <f>IFERROR(__xludf.DUMMYFUNCTION("""COMPUTED_VALUE"""),"Quarton Farm - USQ Greenmarket")</f>
        <v>Quarton Farm - USQ Greenmarket</v>
      </c>
      <c r="D660" s="79" t="str">
        <f>IFERROR(__xludf.DUMMYFUNCTION("""COMPUTED_VALUE"""),"Cash")</f>
        <v>Cash</v>
      </c>
      <c r="E660" s="79" t="str">
        <f>IFERROR(__xludf.DUMMYFUNCTION("""COMPUTED_VALUE"""),"Groceries")</f>
        <v>Groceries</v>
      </c>
      <c r="F660" s="79" t="str">
        <f>IFERROR(__xludf.DUMMYFUNCTION("""COMPUTED_VALUE"""),"Gil")</f>
        <v>Gil</v>
      </c>
      <c r="G660" s="107">
        <f t="shared" si="1"/>
        <v>23.5</v>
      </c>
      <c r="H660" s="108" t="str">
        <f t="shared" si="2"/>
        <v>Oct</v>
      </c>
    </row>
    <row r="661">
      <c r="A661" s="106">
        <f>IFERROR(__xludf.DUMMYFUNCTION("""COMPUTED_VALUE"""),45567.0)</f>
        <v>45567</v>
      </c>
      <c r="B661" s="103">
        <f>IFERROR(__xludf.DUMMYFUNCTION("""COMPUTED_VALUE"""),12.05)</f>
        <v>12.05</v>
      </c>
      <c r="C661" s="79" t="str">
        <f>IFERROR(__xludf.DUMMYFUNCTION("""COMPUTED_VALUE"""),"Mr. Lemon")</f>
        <v>Mr. Lemon</v>
      </c>
      <c r="D661" s="79" t="str">
        <f>IFERROR(__xludf.DUMMYFUNCTION("""COMPUTED_VALUE"""),"Amex Blue")</f>
        <v>Amex Blue</v>
      </c>
      <c r="E661" s="79" t="str">
        <f>IFERROR(__xludf.DUMMYFUNCTION("""COMPUTED_VALUE"""),"Groceries")</f>
        <v>Groceries</v>
      </c>
      <c r="F661" s="79" t="str">
        <f>IFERROR(__xludf.DUMMYFUNCTION("""COMPUTED_VALUE"""),"Gil")</f>
        <v>Gil</v>
      </c>
      <c r="G661" s="107">
        <f t="shared" si="1"/>
        <v>6.025</v>
      </c>
      <c r="H661" s="108" t="str">
        <f t="shared" si="2"/>
        <v>Oct</v>
      </c>
    </row>
    <row r="662">
      <c r="A662" s="106">
        <f>IFERROR(__xludf.DUMMYFUNCTION("""COMPUTED_VALUE"""),45568.0)</f>
        <v>45568</v>
      </c>
      <c r="B662" s="103">
        <f>IFERROR(__xludf.DUMMYFUNCTION("""COMPUTED_VALUE"""),82.72)</f>
        <v>82.72</v>
      </c>
      <c r="C662" s="79" t="str">
        <f>IFERROR(__xludf.DUMMYFUNCTION("""COMPUTED_VALUE"""),"Whole Foods - Prime Pickup")</f>
        <v>Whole Foods - Prime Pickup</v>
      </c>
      <c r="D662" s="79" t="str">
        <f>IFERROR(__xludf.DUMMYFUNCTION("""COMPUTED_VALUE"""),"Amazon Prime Chase")</f>
        <v>Amazon Prime Chase</v>
      </c>
      <c r="E662" s="79" t="str">
        <f>IFERROR(__xludf.DUMMYFUNCTION("""COMPUTED_VALUE"""),"Groceries")</f>
        <v>Groceries</v>
      </c>
      <c r="F662" s="79" t="str">
        <f>IFERROR(__xludf.DUMMYFUNCTION("""COMPUTED_VALUE"""),"Gil")</f>
        <v>Gil</v>
      </c>
      <c r="G662" s="107">
        <f t="shared" si="1"/>
        <v>41.36</v>
      </c>
      <c r="H662" s="108" t="str">
        <f t="shared" si="2"/>
        <v>Oct</v>
      </c>
    </row>
    <row r="663">
      <c r="A663" s="106">
        <f>IFERROR(__xludf.DUMMYFUNCTION("""COMPUTED_VALUE"""),45571.0)</f>
        <v>45571</v>
      </c>
      <c r="B663" s="103">
        <f>IFERROR(__xludf.DUMMYFUNCTION("""COMPUTED_VALUE"""),101.66)</f>
        <v>101.66</v>
      </c>
      <c r="C663" s="79" t="str">
        <f>IFERROR(__xludf.DUMMYFUNCTION("""COMPUTED_VALUE"""),"Pàn")</f>
        <v>Pàn</v>
      </c>
      <c r="D663" s="79" t="str">
        <f>IFERROR(__xludf.DUMMYFUNCTION("""COMPUTED_VALUE"""),"Amex Gold")</f>
        <v>Amex Gold</v>
      </c>
      <c r="E663" s="79" t="str">
        <f>IFERROR(__xludf.DUMMYFUNCTION("""COMPUTED_VALUE"""),"Meals")</f>
        <v>Meals</v>
      </c>
      <c r="F663" s="79" t="str">
        <f>IFERROR(__xludf.DUMMYFUNCTION("""COMPUTED_VALUE"""),"Gil")</f>
        <v>Gil</v>
      </c>
      <c r="G663" s="107">
        <f t="shared" si="1"/>
        <v>50.83</v>
      </c>
      <c r="H663" s="108" t="str">
        <f t="shared" si="2"/>
        <v>Oct</v>
      </c>
    </row>
    <row r="664">
      <c r="A664" s="106">
        <f>IFERROR(__xludf.DUMMYFUNCTION("""COMPUTED_VALUE"""),45571.0)</f>
        <v>45571</v>
      </c>
      <c r="B664" s="103">
        <f>IFERROR(__xludf.DUMMYFUNCTION("""COMPUTED_VALUE"""),20.94)</f>
        <v>20.94</v>
      </c>
      <c r="C664" s="79" t="str">
        <f>IFERROR(__xludf.DUMMYFUNCTION("""COMPUTED_VALUE"""),"Evil Twin Brewing")</f>
        <v>Evil Twin Brewing</v>
      </c>
      <c r="D664" s="79" t="str">
        <f>IFERROR(__xludf.DUMMYFUNCTION("""COMPUTED_VALUE"""),"Amex Gold")</f>
        <v>Amex Gold</v>
      </c>
      <c r="E664" s="79" t="str">
        <f>IFERROR(__xludf.DUMMYFUNCTION("""COMPUTED_VALUE"""),"Alcohol/Weed")</f>
        <v>Alcohol/Weed</v>
      </c>
      <c r="F664" s="79" t="str">
        <f>IFERROR(__xludf.DUMMYFUNCTION("""COMPUTED_VALUE"""),"Gil")</f>
        <v>Gil</v>
      </c>
      <c r="G664" s="107">
        <f t="shared" si="1"/>
        <v>10.47</v>
      </c>
      <c r="H664" s="108" t="str">
        <f t="shared" si="2"/>
        <v>Oct</v>
      </c>
    </row>
    <row r="665">
      <c r="A665" s="106">
        <f>IFERROR(__xludf.DUMMYFUNCTION("""COMPUTED_VALUE"""),45571.0)</f>
        <v>45571</v>
      </c>
      <c r="B665" s="103">
        <f>IFERROR(__xludf.DUMMYFUNCTION("""COMPUTED_VALUE"""),20.94)</f>
        <v>20.94</v>
      </c>
      <c r="C665" s="79" t="str">
        <f>IFERROR(__xludf.DUMMYFUNCTION("""COMPUTED_VALUE"""),"Evil Twin Brewing")</f>
        <v>Evil Twin Brewing</v>
      </c>
      <c r="D665" s="79" t="str">
        <f>IFERROR(__xludf.DUMMYFUNCTION("""COMPUTED_VALUE"""),"Amex Gold")</f>
        <v>Amex Gold</v>
      </c>
      <c r="E665" s="79" t="str">
        <f>IFERROR(__xludf.DUMMYFUNCTION("""COMPUTED_VALUE"""),"Alcohol/Weed")</f>
        <v>Alcohol/Weed</v>
      </c>
      <c r="F665" s="79" t="str">
        <f>IFERROR(__xludf.DUMMYFUNCTION("""COMPUTED_VALUE"""),"Gil")</f>
        <v>Gil</v>
      </c>
      <c r="G665" s="107">
        <f t="shared" si="1"/>
        <v>10.47</v>
      </c>
      <c r="H665" s="108" t="str">
        <f t="shared" si="2"/>
        <v>Oct</v>
      </c>
    </row>
    <row r="666">
      <c r="A666" s="106">
        <f>IFERROR(__xludf.DUMMYFUNCTION("""COMPUTED_VALUE"""),45571.0)</f>
        <v>45571</v>
      </c>
      <c r="B666" s="103">
        <f>IFERROR(__xludf.DUMMYFUNCTION("""COMPUTED_VALUE"""),21.0)</f>
        <v>21</v>
      </c>
      <c r="C666" s="79" t="str">
        <f>IFERROR(__xludf.DUMMYFUNCTION("""COMPUTED_VALUE"""),"Windsor Farms Market")</f>
        <v>Windsor Farms Market</v>
      </c>
      <c r="D666" s="79" t="str">
        <f>IFERROR(__xludf.DUMMYFUNCTION("""COMPUTED_VALUE"""),"Amex Blue")</f>
        <v>Amex Blue</v>
      </c>
      <c r="E666" s="79" t="str">
        <f>IFERROR(__xludf.DUMMYFUNCTION("""COMPUTED_VALUE"""),"Groceries")</f>
        <v>Groceries</v>
      </c>
      <c r="F666" s="79" t="str">
        <f>IFERROR(__xludf.DUMMYFUNCTION("""COMPUTED_VALUE"""),"Gil")</f>
        <v>Gil</v>
      </c>
      <c r="G666" s="107">
        <f t="shared" si="1"/>
        <v>10.5</v>
      </c>
      <c r="H666" s="108" t="str">
        <f t="shared" si="2"/>
        <v>Oct</v>
      </c>
    </row>
    <row r="667">
      <c r="A667" s="106">
        <f>IFERROR(__xludf.DUMMYFUNCTION("""COMPUTED_VALUE"""),45576.0)</f>
        <v>45576</v>
      </c>
      <c r="B667" s="103">
        <f>IFERROR(__xludf.DUMMYFUNCTION("""COMPUTED_VALUE"""),6.0)</f>
        <v>6</v>
      </c>
      <c r="C667" s="79" t="str">
        <f>IFERROR(__xludf.DUMMYFUNCTION("""COMPUTED_VALUE"""),"Our Daily Bread")</f>
        <v>Our Daily Bread</v>
      </c>
      <c r="D667" s="79" t="str">
        <f>IFERROR(__xludf.DUMMYFUNCTION("""COMPUTED_VALUE"""),"Amex Blue")</f>
        <v>Amex Blue</v>
      </c>
      <c r="E667" s="79" t="str">
        <f>IFERROR(__xludf.DUMMYFUNCTION("""COMPUTED_VALUE"""),"Groceries")</f>
        <v>Groceries</v>
      </c>
      <c r="F667" s="79" t="str">
        <f>IFERROR(__xludf.DUMMYFUNCTION("""COMPUTED_VALUE"""),"Gil")</f>
        <v>Gil</v>
      </c>
      <c r="G667" s="107">
        <f t="shared" si="1"/>
        <v>3</v>
      </c>
      <c r="H667" s="108" t="str">
        <f t="shared" si="2"/>
        <v>Oct</v>
      </c>
    </row>
    <row r="668">
      <c r="A668" s="106">
        <f>IFERROR(__xludf.DUMMYFUNCTION("""COMPUTED_VALUE"""),45576.0)</f>
        <v>45576</v>
      </c>
      <c r="B668" s="103">
        <f>IFERROR(__xludf.DUMMYFUNCTION("""COMPUTED_VALUE"""),66.0)</f>
        <v>66</v>
      </c>
      <c r="C668" s="79" t="str">
        <f>IFERROR(__xludf.DUMMYFUNCTION("""COMPUTED_VALUE"""),"Camporosso - USGM")</f>
        <v>Camporosso - USGM</v>
      </c>
      <c r="D668" s="79" t="str">
        <f>IFERROR(__xludf.DUMMYFUNCTION("""COMPUTED_VALUE"""),"Cash")</f>
        <v>Cash</v>
      </c>
      <c r="E668" s="79" t="str">
        <f>IFERROR(__xludf.DUMMYFUNCTION("""COMPUTED_VALUE"""),"Groceries")</f>
        <v>Groceries</v>
      </c>
      <c r="F668" s="79" t="str">
        <f>IFERROR(__xludf.DUMMYFUNCTION("""COMPUTED_VALUE"""),"Gil")</f>
        <v>Gil</v>
      </c>
      <c r="G668" s="107">
        <f t="shared" si="1"/>
        <v>33</v>
      </c>
      <c r="H668" s="108" t="str">
        <f t="shared" si="2"/>
        <v>Oct</v>
      </c>
    </row>
    <row r="669">
      <c r="A669" s="106">
        <f>IFERROR(__xludf.DUMMYFUNCTION("""COMPUTED_VALUE"""),45577.0)</f>
        <v>45577</v>
      </c>
      <c r="B669" s="103">
        <f>IFERROR(__xludf.DUMMYFUNCTION("""COMPUTED_VALUE"""),-101.5)</f>
        <v>-101.5</v>
      </c>
      <c r="C669" s="79" t="str">
        <f>IFERROR(__xludf.DUMMYFUNCTION("""COMPUTED_VALUE"""),"Amazon Chase Rewards Redemption")</f>
        <v>Amazon Chase Rewards Redemption</v>
      </c>
      <c r="D669" s="79" t="str">
        <f>IFERROR(__xludf.DUMMYFUNCTION("""COMPUTED_VALUE"""),"Amazon Prime Chase")</f>
        <v>Amazon Prime Chase</v>
      </c>
      <c r="E669" s="79" t="str">
        <f>IFERROR(__xludf.DUMMYFUNCTION("""COMPUTED_VALUE"""),"Household")</f>
        <v>Household</v>
      </c>
      <c r="F669" s="79" t="str">
        <f>IFERROR(__xludf.DUMMYFUNCTION("""COMPUTED_VALUE"""),"Gil")</f>
        <v>Gil</v>
      </c>
      <c r="G669" s="107">
        <f t="shared" si="1"/>
        <v>-50.75</v>
      </c>
      <c r="H669" s="108" t="str">
        <f t="shared" si="2"/>
        <v>Oct</v>
      </c>
    </row>
    <row r="670">
      <c r="A670" s="106">
        <f>IFERROR(__xludf.DUMMYFUNCTION("""COMPUTED_VALUE"""),45583.0)</f>
        <v>45583</v>
      </c>
      <c r="B670" s="103">
        <f>IFERROR(__xludf.DUMMYFUNCTION("""COMPUTED_VALUE"""),35.0)</f>
        <v>35</v>
      </c>
      <c r="C670" s="79" t="str">
        <f>IFERROR(__xludf.DUMMYFUNCTION("""COMPUTED_VALUE"""),"Farmer's Market - Camporosso")</f>
        <v>Farmer's Market - Camporosso</v>
      </c>
      <c r="D670" s="79" t="str">
        <f>IFERROR(__xludf.DUMMYFUNCTION("""COMPUTED_VALUE"""),"Cash")</f>
        <v>Cash</v>
      </c>
      <c r="E670" s="79" t="str">
        <f>IFERROR(__xludf.DUMMYFUNCTION("""COMPUTED_VALUE"""),"Groceries")</f>
        <v>Groceries</v>
      </c>
      <c r="F670" s="79" t="str">
        <f>IFERROR(__xludf.DUMMYFUNCTION("""COMPUTED_VALUE"""),"Gil")</f>
        <v>Gil</v>
      </c>
      <c r="G670" s="107">
        <f t="shared" si="1"/>
        <v>17.5</v>
      </c>
      <c r="H670" s="108" t="str">
        <f t="shared" si="2"/>
        <v>Oct</v>
      </c>
    </row>
    <row r="671">
      <c r="A671" s="106">
        <f>IFERROR(__xludf.DUMMYFUNCTION("""COMPUTED_VALUE"""),45584.0)</f>
        <v>45584</v>
      </c>
      <c r="B671" s="103">
        <f>IFERROR(__xludf.DUMMYFUNCTION("""COMPUTED_VALUE"""),94.1)</f>
        <v>94.1</v>
      </c>
      <c r="C671" s="79" t="str">
        <f>IFERROR(__xludf.DUMMYFUNCTION("""COMPUTED_VALUE"""),"Beyond Holistic - Hooga Wrap (BofA)")</f>
        <v>Beyond Holistic - Hooga Wrap (BofA)</v>
      </c>
      <c r="D671" s="79" t="str">
        <f>IFERROR(__xludf.DUMMYFUNCTION("""COMPUTED_VALUE"""),"Other")</f>
        <v>Other</v>
      </c>
      <c r="E671" s="79" t="str">
        <f>IFERROR(__xludf.DUMMYFUNCTION("""COMPUTED_VALUE"""),"Personal")</f>
        <v>Personal</v>
      </c>
      <c r="F671" s="79" t="str">
        <f>IFERROR(__xludf.DUMMYFUNCTION("""COMPUTED_VALUE"""),"Gil")</f>
        <v>Gil</v>
      </c>
      <c r="G671" s="107">
        <f t="shared" si="1"/>
        <v>47.05</v>
      </c>
      <c r="H671" s="108" t="str">
        <f t="shared" si="2"/>
        <v>Oct</v>
      </c>
    </row>
    <row r="672">
      <c r="A672" s="106">
        <f>IFERROR(__xludf.DUMMYFUNCTION("""COMPUTED_VALUE"""),45584.0)</f>
        <v>45584</v>
      </c>
      <c r="B672" s="103">
        <f>IFERROR(__xludf.DUMMYFUNCTION("""COMPUTED_VALUE"""),181.49)</f>
        <v>181.49</v>
      </c>
      <c r="C672" s="79" t="str">
        <f>IFERROR(__xludf.DUMMYFUNCTION("""COMPUTED_VALUE"""),"T-Mobile")</f>
        <v>T-Mobile</v>
      </c>
      <c r="D672" s="79" t="str">
        <f>IFERROR(__xludf.DUMMYFUNCTION("""COMPUTED_VALUE"""),"Checking")</f>
        <v>Checking</v>
      </c>
      <c r="E672" s="79" t="str">
        <f>IFERROR(__xludf.DUMMYFUNCTION("""COMPUTED_VALUE"""),"Mobile Phone")</f>
        <v>Mobile Phone</v>
      </c>
      <c r="F672" s="79" t="str">
        <f>IFERROR(__xludf.DUMMYFUNCTION("""COMPUTED_VALUE"""),"Gil")</f>
        <v>Gil</v>
      </c>
      <c r="G672" s="107">
        <f t="shared" si="1"/>
        <v>90.745</v>
      </c>
      <c r="H672" s="108" t="str">
        <f t="shared" si="2"/>
        <v>Oct</v>
      </c>
    </row>
    <row r="673">
      <c r="A673" s="106">
        <f>IFERROR(__xludf.DUMMYFUNCTION("""COMPUTED_VALUE"""),45583.0)</f>
        <v>45583</v>
      </c>
      <c r="B673" s="103">
        <f>IFERROR(__xludf.DUMMYFUNCTION("""COMPUTED_VALUE"""),62.69)</f>
        <v>62.69</v>
      </c>
      <c r="C673" s="79" t="str">
        <f>IFERROR(__xludf.DUMMYFUNCTION("""COMPUTED_VALUE"""),"Whole Foods")</f>
        <v>Whole Foods</v>
      </c>
      <c r="D673" s="79" t="str">
        <f>IFERROR(__xludf.DUMMYFUNCTION("""COMPUTED_VALUE"""),"Amex Blue")</f>
        <v>Amex Blue</v>
      </c>
      <c r="E673" s="79" t="str">
        <f>IFERROR(__xludf.DUMMYFUNCTION("""COMPUTED_VALUE"""),"Groceries")</f>
        <v>Groceries</v>
      </c>
      <c r="F673" s="79" t="str">
        <f>IFERROR(__xludf.DUMMYFUNCTION("""COMPUTED_VALUE"""),"Gil")</f>
        <v>Gil</v>
      </c>
      <c r="G673" s="107">
        <f t="shared" si="1"/>
        <v>31.345</v>
      </c>
      <c r="H673" s="108" t="str">
        <f t="shared" si="2"/>
        <v>Oct</v>
      </c>
    </row>
    <row r="674">
      <c r="A674" s="106">
        <f>IFERROR(__xludf.DUMMYFUNCTION("""COMPUTED_VALUE"""),45586.0)</f>
        <v>45586</v>
      </c>
      <c r="B674" s="103">
        <f>IFERROR(__xludf.DUMMYFUNCTION("""COMPUTED_VALUE"""),48.97)</f>
        <v>48.97</v>
      </c>
      <c r="C674" s="79" t="str">
        <f>IFERROR(__xludf.DUMMYFUNCTION("""COMPUTED_VALUE"""),"Ella's - Brooklyn Paramount")</f>
        <v>Ella's - Brooklyn Paramount</v>
      </c>
      <c r="D674" s="79" t="str">
        <f>IFERROR(__xludf.DUMMYFUNCTION("""COMPUTED_VALUE"""),"Amex Gold")</f>
        <v>Amex Gold</v>
      </c>
      <c r="E674" s="79" t="str">
        <f>IFERROR(__xludf.DUMMYFUNCTION("""COMPUTED_VALUE"""),"Meals")</f>
        <v>Meals</v>
      </c>
      <c r="F674" s="79" t="str">
        <f>IFERROR(__xludf.DUMMYFUNCTION("""COMPUTED_VALUE"""),"Gil")</f>
        <v>Gil</v>
      </c>
      <c r="G674" s="107">
        <f t="shared" si="1"/>
        <v>24.485</v>
      </c>
      <c r="H674" s="108" t="str">
        <f t="shared" si="2"/>
        <v>Oct</v>
      </c>
    </row>
    <row r="675">
      <c r="A675" s="106">
        <f>IFERROR(__xludf.DUMMYFUNCTION("""COMPUTED_VALUE"""),45584.0)</f>
        <v>45584</v>
      </c>
      <c r="B675" s="103">
        <f>IFERROR(__xludf.DUMMYFUNCTION("""COMPUTED_VALUE"""),15.46)</f>
        <v>15.46</v>
      </c>
      <c r="C675" s="79" t="str">
        <f>IFERROR(__xludf.DUMMYFUNCTION("""COMPUTED_VALUE"""),"Brooklyn Paramount")</f>
        <v>Brooklyn Paramount</v>
      </c>
      <c r="D675" s="79" t="str">
        <f>IFERROR(__xludf.DUMMYFUNCTION("""COMPUTED_VALUE"""),"Amex Gold")</f>
        <v>Amex Gold</v>
      </c>
      <c r="E675" s="79" t="str">
        <f>IFERROR(__xludf.DUMMYFUNCTION("""COMPUTED_VALUE"""),"Entertainment")</f>
        <v>Entertainment</v>
      </c>
      <c r="F675" s="79" t="str">
        <f>IFERROR(__xludf.DUMMYFUNCTION("""COMPUTED_VALUE"""),"Gil")</f>
        <v>Gil</v>
      </c>
      <c r="G675" s="107">
        <f t="shared" si="1"/>
        <v>7.73</v>
      </c>
      <c r="H675" s="108" t="str">
        <f t="shared" si="2"/>
        <v>Oct</v>
      </c>
    </row>
    <row r="676">
      <c r="A676" s="106">
        <f>IFERROR(__xludf.DUMMYFUNCTION("""COMPUTED_VALUE"""),45584.0)</f>
        <v>45584</v>
      </c>
      <c r="B676" s="103">
        <f>IFERROR(__xludf.DUMMYFUNCTION("""COMPUTED_VALUE"""),21.95)</f>
        <v>21.95</v>
      </c>
      <c r="C676" s="79" t="str">
        <f>IFERROR(__xludf.DUMMYFUNCTION("""COMPUTED_VALUE"""),"Knickerbocker Fresh Market")</f>
        <v>Knickerbocker Fresh Market</v>
      </c>
      <c r="D676" s="79" t="str">
        <f>IFERROR(__xludf.DUMMYFUNCTION("""COMPUTED_VALUE"""),"Amex Blue")</f>
        <v>Amex Blue</v>
      </c>
      <c r="E676" s="79" t="str">
        <f>IFERROR(__xludf.DUMMYFUNCTION("""COMPUTED_VALUE"""),"Groceries")</f>
        <v>Groceries</v>
      </c>
      <c r="F676" s="79" t="str">
        <f>IFERROR(__xludf.DUMMYFUNCTION("""COMPUTED_VALUE"""),"Gil")</f>
        <v>Gil</v>
      </c>
      <c r="G676" s="107">
        <f t="shared" si="1"/>
        <v>10.975</v>
      </c>
      <c r="H676" s="108" t="str">
        <f t="shared" si="2"/>
        <v>Oct</v>
      </c>
    </row>
    <row r="677">
      <c r="A677" s="106">
        <f>IFERROR(__xludf.DUMMYFUNCTION("""COMPUTED_VALUE"""),45586.0)</f>
        <v>45586</v>
      </c>
      <c r="B677" s="103">
        <f>IFERROR(__xludf.DUMMYFUNCTION("""COMPUTED_VALUE"""),18.42)</f>
        <v>18.42</v>
      </c>
      <c r="C677" s="79" t="str">
        <f>IFERROR(__xludf.DUMMYFUNCTION("""COMPUTED_VALUE"""),"Thai Hot Box ")</f>
        <v>Thai Hot Box </v>
      </c>
      <c r="D677" s="79" t="str">
        <f>IFERROR(__xludf.DUMMYFUNCTION("""COMPUTED_VALUE"""),"Amex Gold")</f>
        <v>Amex Gold</v>
      </c>
      <c r="E677" s="79" t="str">
        <f>IFERROR(__xludf.DUMMYFUNCTION("""COMPUTED_VALUE"""),"Work Meals")</f>
        <v>Work Meals</v>
      </c>
      <c r="F677" s="79" t="str">
        <f>IFERROR(__xludf.DUMMYFUNCTION("""COMPUTED_VALUE"""),"Gil")</f>
        <v>Gil</v>
      </c>
      <c r="G677" s="107">
        <f t="shared" si="1"/>
        <v>9.21</v>
      </c>
      <c r="H677" s="108" t="str">
        <f t="shared" si="2"/>
        <v>Oct</v>
      </c>
    </row>
    <row r="678">
      <c r="A678" s="106">
        <f>IFERROR(__xludf.DUMMYFUNCTION("""COMPUTED_VALUE"""),45586.0)</f>
        <v>45586</v>
      </c>
      <c r="B678" s="103">
        <f>IFERROR(__xludf.DUMMYFUNCTION("""COMPUTED_VALUE"""),24.41)</f>
        <v>24.41</v>
      </c>
      <c r="C678" s="79" t="str">
        <f>IFERROR(__xludf.DUMMYFUNCTION("""COMPUTED_VALUE"""),"I'Milky")</f>
        <v>I'Milky</v>
      </c>
      <c r="D678" s="79" t="str">
        <f>IFERROR(__xludf.DUMMYFUNCTION("""COMPUTED_VALUE"""),"Amex Gold")</f>
        <v>Amex Gold</v>
      </c>
      <c r="E678" s="79" t="str">
        <f>IFERROR(__xludf.DUMMYFUNCTION("""COMPUTED_VALUE"""),"Meals")</f>
        <v>Meals</v>
      </c>
      <c r="F678" s="79" t="str">
        <f>IFERROR(__xludf.DUMMYFUNCTION("""COMPUTED_VALUE"""),"Gil")</f>
        <v>Gil</v>
      </c>
      <c r="G678" s="107">
        <f t="shared" si="1"/>
        <v>12.205</v>
      </c>
      <c r="H678" s="108" t="str">
        <f t="shared" si="2"/>
        <v>Oct</v>
      </c>
    </row>
    <row r="679">
      <c r="A679" s="106">
        <f>IFERROR(__xludf.DUMMYFUNCTION("""COMPUTED_VALUE"""),45585.0)</f>
        <v>45585</v>
      </c>
      <c r="B679" s="103">
        <f>IFERROR(__xludf.DUMMYFUNCTION("""COMPUTED_VALUE"""),152.41)</f>
        <v>152.41</v>
      </c>
      <c r="C679" s="79" t="str">
        <f>IFERROR(__xludf.DUMMYFUNCTION("""COMPUTED_VALUE"""),"Green Mirror")</f>
        <v>Green Mirror</v>
      </c>
      <c r="D679" s="79" t="str">
        <f>IFERROR(__xludf.DUMMYFUNCTION("""COMPUTED_VALUE"""),"Chase Reserve")</f>
        <v>Chase Reserve</v>
      </c>
      <c r="E679" s="79" t="str">
        <f>IFERROR(__xludf.DUMMYFUNCTION("""COMPUTED_VALUE"""),"Household")</f>
        <v>Household</v>
      </c>
      <c r="F679" s="79" t="str">
        <f>IFERROR(__xludf.DUMMYFUNCTION("""COMPUTED_VALUE"""),"Shaeffer")</f>
        <v>Shaeffer</v>
      </c>
      <c r="G679" s="107">
        <f t="shared" si="1"/>
        <v>76.205</v>
      </c>
      <c r="H679" s="108" t="str">
        <f t="shared" si="2"/>
        <v>Oct</v>
      </c>
    </row>
    <row r="680">
      <c r="A680" s="106">
        <f>IFERROR(__xludf.DUMMYFUNCTION("""COMPUTED_VALUE"""),45587.0)</f>
        <v>45587</v>
      </c>
      <c r="B680" s="103">
        <f>IFERROR(__xludf.DUMMYFUNCTION("""COMPUTED_VALUE"""),62.98)</f>
        <v>62.98</v>
      </c>
      <c r="C680" s="79" t="str">
        <f>IFERROR(__xludf.DUMMYFUNCTION("""COMPUTED_VALUE"""),"Optimum")</f>
        <v>Optimum</v>
      </c>
      <c r="D680" s="79" t="str">
        <f>IFERROR(__xludf.DUMMYFUNCTION("""COMPUTED_VALUE"""),"Amex Delta Skymiles")</f>
        <v>Amex Delta Skymiles</v>
      </c>
      <c r="E680" s="79" t="str">
        <f>IFERROR(__xludf.DUMMYFUNCTION("""COMPUTED_VALUE"""),"Internet")</f>
        <v>Internet</v>
      </c>
      <c r="F680" s="79" t="str">
        <f>IFERROR(__xludf.DUMMYFUNCTION("""COMPUTED_VALUE"""),"Shaeffer")</f>
        <v>Shaeffer</v>
      </c>
      <c r="G680" s="107">
        <f t="shared" si="1"/>
        <v>31.49</v>
      </c>
      <c r="H680" s="108" t="str">
        <f t="shared" si="2"/>
        <v>Oct</v>
      </c>
    </row>
    <row r="681">
      <c r="A681" s="106">
        <f>IFERROR(__xludf.DUMMYFUNCTION("""COMPUTED_VALUE"""),45584.0)</f>
        <v>45584</v>
      </c>
      <c r="B681" s="103">
        <f>IFERROR(__xludf.DUMMYFUNCTION("""COMPUTED_VALUE"""),9.99)</f>
        <v>9.99</v>
      </c>
      <c r="C681" s="79" t="str">
        <f>IFERROR(__xludf.DUMMYFUNCTION("""COMPUTED_VALUE"""),"Hulu")</f>
        <v>Hulu</v>
      </c>
      <c r="D681" s="79" t="str">
        <f>IFERROR(__xludf.DUMMYFUNCTION("""COMPUTED_VALUE"""),"Chase Reserve")</f>
        <v>Chase Reserve</v>
      </c>
      <c r="E681" s="79" t="str">
        <f>IFERROR(__xludf.DUMMYFUNCTION("""COMPUTED_VALUE"""),"Subscriptions")</f>
        <v>Subscriptions</v>
      </c>
      <c r="F681" s="79" t="str">
        <f>IFERROR(__xludf.DUMMYFUNCTION("""COMPUTED_VALUE"""),"Shaeffer")</f>
        <v>Shaeffer</v>
      </c>
      <c r="G681" s="107">
        <f t="shared" si="1"/>
        <v>4.995</v>
      </c>
      <c r="H681" s="108" t="str">
        <f t="shared" si="2"/>
        <v>Oct</v>
      </c>
    </row>
    <row r="682">
      <c r="A682" s="106">
        <f>IFERROR(__xludf.DUMMYFUNCTION("""COMPUTED_VALUE"""),45566.0)</f>
        <v>45566</v>
      </c>
      <c r="B682" s="103">
        <f>IFERROR(__xludf.DUMMYFUNCTION("""COMPUTED_VALUE"""),2700.0)</f>
        <v>2700</v>
      </c>
      <c r="C682" s="79" t="str">
        <f>IFERROR(__xludf.DUMMYFUNCTION("""COMPUTED_VALUE"""),"October Rent")</f>
        <v>October Rent</v>
      </c>
      <c r="D682" s="79" t="str">
        <f>IFERROR(__xludf.DUMMYFUNCTION("""COMPUTED_VALUE"""),"Checking")</f>
        <v>Checking</v>
      </c>
      <c r="E682" s="79" t="str">
        <f>IFERROR(__xludf.DUMMYFUNCTION("""COMPUTED_VALUE"""),"Rent")</f>
        <v>Rent</v>
      </c>
      <c r="F682" s="79" t="str">
        <f>IFERROR(__xludf.DUMMYFUNCTION("""COMPUTED_VALUE"""),"Shaeffer")</f>
        <v>Shaeffer</v>
      </c>
      <c r="G682" s="107">
        <f t="shared" si="1"/>
        <v>1350</v>
      </c>
      <c r="H682" s="108" t="str">
        <f t="shared" si="2"/>
        <v>Oct</v>
      </c>
    </row>
    <row r="683">
      <c r="A683" s="106">
        <f>IFERROR(__xludf.DUMMYFUNCTION("""COMPUTED_VALUE"""),45566.0)</f>
        <v>45566</v>
      </c>
      <c r="B683" s="103">
        <f>IFERROR(__xludf.DUMMYFUNCTION("""COMPUTED_VALUE"""),40.0)</f>
        <v>40</v>
      </c>
      <c r="C683" s="79" t="str">
        <f>IFERROR(__xludf.DUMMYFUNCTION("""COMPUTED_VALUE"""),"laundry")</f>
        <v>laundry</v>
      </c>
      <c r="D683" s="79" t="str">
        <f>IFERROR(__xludf.DUMMYFUNCTION("""COMPUTED_VALUE"""),"Checking")</f>
        <v>Checking</v>
      </c>
      <c r="E683" s="79" t="str">
        <f>IFERROR(__xludf.DUMMYFUNCTION("""COMPUTED_VALUE"""),"Household")</f>
        <v>Household</v>
      </c>
      <c r="F683" s="79" t="str">
        <f>IFERROR(__xludf.DUMMYFUNCTION("""COMPUTED_VALUE"""),"Shaeffer")</f>
        <v>Shaeffer</v>
      </c>
      <c r="G683" s="107">
        <f t="shared" si="1"/>
        <v>20</v>
      </c>
      <c r="H683" s="108" t="str">
        <f t="shared" si="2"/>
        <v>Oct</v>
      </c>
    </row>
    <row r="684">
      <c r="A684" s="106">
        <f>IFERROR(__xludf.DUMMYFUNCTION("""COMPUTED_VALUE"""),45573.0)</f>
        <v>45573</v>
      </c>
      <c r="B684" s="103">
        <f>IFERROR(__xludf.DUMMYFUNCTION("""COMPUTED_VALUE"""),40.0)</f>
        <v>40</v>
      </c>
      <c r="C684" s="79" t="str">
        <f>IFERROR(__xludf.DUMMYFUNCTION("""COMPUTED_VALUE"""),"laundry")</f>
        <v>laundry</v>
      </c>
      <c r="D684" s="79" t="str">
        <f>IFERROR(__xludf.DUMMYFUNCTION("""COMPUTED_VALUE"""),"Checking")</f>
        <v>Checking</v>
      </c>
      <c r="E684" s="79" t="str">
        <f>IFERROR(__xludf.DUMMYFUNCTION("""COMPUTED_VALUE"""),"Household")</f>
        <v>Household</v>
      </c>
      <c r="F684" s="79" t="str">
        <f>IFERROR(__xludf.DUMMYFUNCTION("""COMPUTED_VALUE"""),"Shaeffer")</f>
        <v>Shaeffer</v>
      </c>
      <c r="G684" s="107">
        <f t="shared" si="1"/>
        <v>20</v>
      </c>
      <c r="H684" s="108" t="str">
        <f t="shared" si="2"/>
        <v>Oct</v>
      </c>
    </row>
    <row r="685">
      <c r="A685" s="106">
        <f>IFERROR(__xludf.DUMMYFUNCTION("""COMPUTED_VALUE"""),45581.0)</f>
        <v>45581</v>
      </c>
      <c r="B685" s="103">
        <f>IFERROR(__xludf.DUMMYFUNCTION("""COMPUTED_VALUE"""),15.0)</f>
        <v>15</v>
      </c>
      <c r="C685" s="79" t="str">
        <f>IFERROR(__xludf.DUMMYFUNCTION("""COMPUTED_VALUE"""),"laundry")</f>
        <v>laundry</v>
      </c>
      <c r="D685" s="79" t="str">
        <f>IFERROR(__xludf.DUMMYFUNCTION("""COMPUTED_VALUE"""),"Checking")</f>
        <v>Checking</v>
      </c>
      <c r="E685" s="79" t="str">
        <f>IFERROR(__xludf.DUMMYFUNCTION("""COMPUTED_VALUE"""),"Household")</f>
        <v>Household</v>
      </c>
      <c r="F685" s="79" t="str">
        <f>IFERROR(__xludf.DUMMYFUNCTION("""COMPUTED_VALUE"""),"Shaeffer")</f>
        <v>Shaeffer</v>
      </c>
      <c r="G685" s="107">
        <f t="shared" si="1"/>
        <v>7.5</v>
      </c>
      <c r="H685" s="108" t="str">
        <f t="shared" si="2"/>
        <v>Oct</v>
      </c>
    </row>
    <row r="686">
      <c r="A686" s="106">
        <f>IFERROR(__xludf.DUMMYFUNCTION("""COMPUTED_VALUE"""),45586.0)</f>
        <v>45586</v>
      </c>
      <c r="B686" s="103">
        <f>IFERROR(__xludf.DUMMYFUNCTION("""COMPUTED_VALUE"""),40.0)</f>
        <v>40</v>
      </c>
      <c r="C686" s="79" t="str">
        <f>IFERROR(__xludf.DUMMYFUNCTION("""COMPUTED_VALUE"""),"laundry")</f>
        <v>laundry</v>
      </c>
      <c r="D686" s="79" t="str">
        <f>IFERROR(__xludf.DUMMYFUNCTION("""COMPUTED_VALUE"""),"Checking")</f>
        <v>Checking</v>
      </c>
      <c r="E686" s="79" t="str">
        <f>IFERROR(__xludf.DUMMYFUNCTION("""COMPUTED_VALUE"""),"Household")</f>
        <v>Household</v>
      </c>
      <c r="F686" s="79" t="str">
        <f>IFERROR(__xludf.DUMMYFUNCTION("""COMPUTED_VALUE"""),"Shaeffer")</f>
        <v>Shaeffer</v>
      </c>
      <c r="G686" s="107">
        <f t="shared" si="1"/>
        <v>20</v>
      </c>
      <c r="H686" s="108" t="str">
        <f t="shared" si="2"/>
        <v>Oct</v>
      </c>
    </row>
    <row r="687">
      <c r="A687" s="106">
        <f>IFERROR(__xludf.DUMMYFUNCTION("""COMPUTED_VALUE"""),45589.0)</f>
        <v>45589</v>
      </c>
      <c r="B687" s="103">
        <f>IFERROR(__xludf.DUMMYFUNCTION("""COMPUTED_VALUE"""),22.46)</f>
        <v>22.46</v>
      </c>
      <c r="C687" s="79" t="str">
        <f>IFERROR(__xludf.DUMMYFUNCTION("""COMPUTED_VALUE"""),"Mr lemon")</f>
        <v>Mr lemon</v>
      </c>
      <c r="D687" s="79" t="str">
        <f>IFERROR(__xludf.DUMMYFUNCTION("""COMPUTED_VALUE"""),"Amex Blue")</f>
        <v>Amex Blue</v>
      </c>
      <c r="E687" s="79" t="str">
        <f>IFERROR(__xludf.DUMMYFUNCTION("""COMPUTED_VALUE"""),"Groceries")</f>
        <v>Groceries</v>
      </c>
      <c r="F687" s="79" t="str">
        <f>IFERROR(__xludf.DUMMYFUNCTION("""COMPUTED_VALUE"""),"Shaeffer")</f>
        <v>Shaeffer</v>
      </c>
      <c r="G687" s="107">
        <f t="shared" si="1"/>
        <v>11.23</v>
      </c>
      <c r="H687" s="108" t="str">
        <f t="shared" si="2"/>
        <v>Oct</v>
      </c>
    </row>
    <row r="688">
      <c r="A688" s="106">
        <f>IFERROR(__xludf.DUMMYFUNCTION("""COMPUTED_VALUE"""),45589.0)</f>
        <v>45589</v>
      </c>
      <c r="B688" s="103">
        <f>IFERROR(__xludf.DUMMYFUNCTION("""COMPUTED_VALUE"""),113.16)</f>
        <v>113.16</v>
      </c>
      <c r="C688" s="79" t="str">
        <f>IFERROR(__xludf.DUMMYFUNCTION("""COMPUTED_VALUE"""),"Whole Foods")</f>
        <v>Whole Foods</v>
      </c>
      <c r="D688" s="79" t="str">
        <f>IFERROR(__xludf.DUMMYFUNCTION("""COMPUTED_VALUE"""),"Amex Blue")</f>
        <v>Amex Blue</v>
      </c>
      <c r="E688" s="79" t="str">
        <f>IFERROR(__xludf.DUMMYFUNCTION("""COMPUTED_VALUE"""),"Groceries")</f>
        <v>Groceries</v>
      </c>
      <c r="F688" s="79" t="str">
        <f>IFERROR(__xludf.DUMMYFUNCTION("""COMPUTED_VALUE"""),"Gil")</f>
        <v>Gil</v>
      </c>
      <c r="G688" s="107">
        <f t="shared" si="1"/>
        <v>56.58</v>
      </c>
      <c r="H688" s="108" t="str">
        <f t="shared" si="2"/>
        <v>Oct</v>
      </c>
    </row>
    <row r="689">
      <c r="A689" s="106">
        <f>IFERROR(__xludf.DUMMYFUNCTION("""COMPUTED_VALUE"""),45590.0)</f>
        <v>45590</v>
      </c>
      <c r="B689" s="103">
        <f>IFERROR(__xludf.DUMMYFUNCTION("""COMPUTED_VALUE"""),20.0)</f>
        <v>20</v>
      </c>
      <c r="C689" s="79" t="str">
        <f>IFERROR(__xludf.DUMMYFUNCTION("""COMPUTED_VALUE"""),"FM Flowers")</f>
        <v>FM Flowers</v>
      </c>
      <c r="D689" s="79" t="str">
        <f>IFERROR(__xludf.DUMMYFUNCTION("""COMPUTED_VALUE"""),"Cash")</f>
        <v>Cash</v>
      </c>
      <c r="E689" s="79" t="str">
        <f>IFERROR(__xludf.DUMMYFUNCTION("""COMPUTED_VALUE"""),"Household")</f>
        <v>Household</v>
      </c>
      <c r="F689" s="79" t="str">
        <f>IFERROR(__xludf.DUMMYFUNCTION("""COMPUTED_VALUE"""),"Shaeffer")</f>
        <v>Shaeffer</v>
      </c>
      <c r="G689" s="107">
        <f t="shared" si="1"/>
        <v>10</v>
      </c>
      <c r="H689" s="108" t="str">
        <f t="shared" si="2"/>
        <v>Oct</v>
      </c>
    </row>
    <row r="690">
      <c r="A690" s="106">
        <f>IFERROR(__xludf.DUMMYFUNCTION("""COMPUTED_VALUE"""),45590.0)</f>
        <v>45590</v>
      </c>
      <c r="B690" s="103">
        <f>IFERROR(__xludf.DUMMYFUNCTION("""COMPUTED_VALUE"""),63.0)</f>
        <v>63</v>
      </c>
      <c r="C690" s="79" t="str">
        <f>IFERROR(__xludf.DUMMYFUNCTION("""COMPUTED_VALUE"""),"Camporosso")</f>
        <v>Camporosso</v>
      </c>
      <c r="D690" s="79" t="str">
        <f>IFERROR(__xludf.DUMMYFUNCTION("""COMPUTED_VALUE"""),"Cash")</f>
        <v>Cash</v>
      </c>
      <c r="E690" s="79" t="str">
        <f>IFERROR(__xludf.DUMMYFUNCTION("""COMPUTED_VALUE"""),"Groceries")</f>
        <v>Groceries</v>
      </c>
      <c r="F690" s="79" t="str">
        <f>IFERROR(__xludf.DUMMYFUNCTION("""COMPUTED_VALUE"""),"Shaeffer")</f>
        <v>Shaeffer</v>
      </c>
      <c r="G690" s="107">
        <f t="shared" si="1"/>
        <v>31.5</v>
      </c>
      <c r="H690" s="108" t="str">
        <f t="shared" si="2"/>
        <v>Oct</v>
      </c>
    </row>
    <row r="691">
      <c r="A691" s="106">
        <f>IFERROR(__xludf.DUMMYFUNCTION("""COMPUTED_VALUE"""),45590.0)</f>
        <v>45590</v>
      </c>
      <c r="B691" s="103">
        <f>IFERROR(__xludf.DUMMYFUNCTION("""COMPUTED_VALUE"""),12.0)</f>
        <v>12</v>
      </c>
      <c r="C691" s="79" t="str">
        <f>IFERROR(__xludf.DUMMYFUNCTION("""COMPUTED_VALUE"""),"Our daily bread")</f>
        <v>Our daily bread</v>
      </c>
      <c r="D691" s="79" t="str">
        <f>IFERROR(__xludf.DUMMYFUNCTION("""COMPUTED_VALUE"""),"Amex Blue")</f>
        <v>Amex Blue</v>
      </c>
      <c r="E691" s="79" t="str">
        <f>IFERROR(__xludf.DUMMYFUNCTION("""COMPUTED_VALUE"""),"Groceries")</f>
        <v>Groceries</v>
      </c>
      <c r="F691" s="79" t="str">
        <f>IFERROR(__xludf.DUMMYFUNCTION("""COMPUTED_VALUE"""),"Shaeffer")</f>
        <v>Shaeffer</v>
      </c>
      <c r="G691" s="107">
        <f t="shared" si="1"/>
        <v>6</v>
      </c>
      <c r="H691" s="108" t="str">
        <f t="shared" si="2"/>
        <v>Oct</v>
      </c>
    </row>
    <row r="692">
      <c r="A692" s="106">
        <f>IFERROR(__xludf.DUMMYFUNCTION("""COMPUTED_VALUE"""),45545.0)</f>
        <v>45545</v>
      </c>
      <c r="B692" s="103">
        <f>IFERROR(__xludf.DUMMYFUNCTION("""COMPUTED_VALUE"""),22.99)</f>
        <v>22.99</v>
      </c>
      <c r="C692" s="79" t="str">
        <f>IFERROR(__xludf.DUMMYFUNCTION("""COMPUTED_VALUE"""),"YouTube - Amex Delta")</f>
        <v>YouTube - Amex Delta</v>
      </c>
      <c r="D692" s="79" t="str">
        <f>IFERROR(__xludf.DUMMYFUNCTION("""COMPUTED_VALUE"""),"Other")</f>
        <v>Other</v>
      </c>
      <c r="E692" s="79" t="str">
        <f>IFERROR(__xludf.DUMMYFUNCTION("""COMPUTED_VALUE"""),"Subscriptions")</f>
        <v>Subscriptions</v>
      </c>
      <c r="F692" s="79" t="str">
        <f>IFERROR(__xludf.DUMMYFUNCTION("""COMPUTED_VALUE"""),"Gil")</f>
        <v>Gil</v>
      </c>
      <c r="G692" s="107">
        <f t="shared" si="1"/>
        <v>11.495</v>
      </c>
      <c r="H692" s="108" t="str">
        <f t="shared" si="2"/>
        <v>Sep</v>
      </c>
    </row>
    <row r="693">
      <c r="A693" s="106">
        <f>IFERROR(__xludf.DUMMYFUNCTION("""COMPUTED_VALUE"""),45575.0)</f>
        <v>45575</v>
      </c>
      <c r="B693" s="103">
        <f>IFERROR(__xludf.DUMMYFUNCTION("""COMPUTED_VALUE"""),22.99)</f>
        <v>22.99</v>
      </c>
      <c r="C693" s="79" t="str">
        <f>IFERROR(__xludf.DUMMYFUNCTION("""COMPUTED_VALUE"""),"YouTube - Amex Delta")</f>
        <v>YouTube - Amex Delta</v>
      </c>
      <c r="D693" s="79" t="str">
        <f>IFERROR(__xludf.DUMMYFUNCTION("""COMPUTED_VALUE"""),"Checking")</f>
        <v>Checking</v>
      </c>
      <c r="E693" s="79" t="str">
        <f>IFERROR(__xludf.DUMMYFUNCTION("""COMPUTED_VALUE"""),"Subscriptions")</f>
        <v>Subscriptions</v>
      </c>
      <c r="F693" s="79" t="str">
        <f>IFERROR(__xludf.DUMMYFUNCTION("""COMPUTED_VALUE"""),"Gil")</f>
        <v>Gil</v>
      </c>
      <c r="G693" s="107">
        <f t="shared" si="1"/>
        <v>11.495</v>
      </c>
      <c r="H693" s="108" t="str">
        <f t="shared" si="2"/>
        <v>Oct</v>
      </c>
    </row>
    <row r="694">
      <c r="A694" s="106">
        <f>IFERROR(__xludf.DUMMYFUNCTION("""COMPUTED_VALUE"""),45540.0)</f>
        <v>45540</v>
      </c>
      <c r="B694" s="103">
        <f>IFERROR(__xludf.DUMMYFUNCTION("""COMPUTED_VALUE"""),75.09)</f>
        <v>75.09</v>
      </c>
      <c r="C694" s="79" t="str">
        <f>IFERROR(__xludf.DUMMYFUNCTION("""COMPUTED_VALUE"""),"Chambers St. Wines")</f>
        <v>Chambers St. Wines</v>
      </c>
      <c r="D694" s="79" t="str">
        <f>IFERROR(__xludf.DUMMYFUNCTION("""COMPUTED_VALUE"""),"Amex Gold")</f>
        <v>Amex Gold</v>
      </c>
      <c r="E694" s="79" t="str">
        <f>IFERROR(__xludf.DUMMYFUNCTION("""COMPUTED_VALUE"""),"Alcohol/Weed")</f>
        <v>Alcohol/Weed</v>
      </c>
      <c r="F694" s="79" t="str">
        <f>IFERROR(__xludf.DUMMYFUNCTION("""COMPUTED_VALUE"""),"Gil")</f>
        <v>Gil</v>
      </c>
      <c r="G694" s="107">
        <f t="shared" si="1"/>
        <v>37.545</v>
      </c>
      <c r="H694" s="108" t="str">
        <f t="shared" si="2"/>
        <v>Sep</v>
      </c>
    </row>
    <row r="695">
      <c r="A695" s="106">
        <f>IFERROR(__xludf.DUMMYFUNCTION("""COMPUTED_VALUE"""),45561.0)</f>
        <v>45561</v>
      </c>
      <c r="B695" s="103">
        <f>IFERROR(__xludf.DUMMYFUNCTION("""COMPUTED_VALUE"""),137.02)</f>
        <v>137.02</v>
      </c>
      <c r="C695" s="79" t="str">
        <f>IFERROR(__xludf.DUMMYFUNCTION("""COMPUTED_VALUE"""),"Shaeffer Expenses - Amex Gold - MTA and PP")</f>
        <v>Shaeffer Expenses - Amex Gold - MTA and PP</v>
      </c>
      <c r="D695" s="79" t="str">
        <f>IFERROR(__xludf.DUMMYFUNCTION("""COMPUTED_VALUE"""),"Shaeffer ONLY")</f>
        <v>Shaeffer ONLY</v>
      </c>
      <c r="E695" s="79"/>
      <c r="F695" s="79" t="str">
        <f>IFERROR(__xludf.DUMMYFUNCTION("""COMPUTED_VALUE"""),"Gil")</f>
        <v>Gil</v>
      </c>
      <c r="G695" s="107">
        <f t="shared" si="1"/>
        <v>68.51</v>
      </c>
      <c r="H695" s="108" t="str">
        <f t="shared" si="2"/>
        <v>Sep</v>
      </c>
    </row>
    <row r="696">
      <c r="A696" s="106">
        <f>IFERROR(__xludf.DUMMYFUNCTION("""COMPUTED_VALUE"""),45563.0)</f>
        <v>45563</v>
      </c>
      <c r="B696" s="103">
        <f>IFERROR(__xludf.DUMMYFUNCTION("""COMPUTED_VALUE"""),69.34)</f>
        <v>69.34</v>
      </c>
      <c r="C696" s="79" t="str">
        <f>IFERROR(__xludf.DUMMYFUNCTION("""COMPUTED_VALUE"""),"Amazon - JA Wastebasket + Brass Lamp")</f>
        <v>Amazon - JA Wastebasket + Brass Lamp</v>
      </c>
      <c r="D696" s="79" t="str">
        <f>IFERROR(__xludf.DUMMYFUNCTION("""COMPUTED_VALUE"""),"Amex Blue")</f>
        <v>Amex Blue</v>
      </c>
      <c r="E696" s="79" t="str">
        <f>IFERROR(__xludf.DUMMYFUNCTION("""COMPUTED_VALUE"""),"Household")</f>
        <v>Household</v>
      </c>
      <c r="F696" s="79" t="str">
        <f>IFERROR(__xludf.DUMMYFUNCTION("""COMPUTED_VALUE"""),"Gil")</f>
        <v>Gil</v>
      </c>
      <c r="G696" s="107">
        <f t="shared" si="1"/>
        <v>34.67</v>
      </c>
      <c r="H696" s="108" t="str">
        <f t="shared" si="2"/>
        <v>Sep</v>
      </c>
    </row>
    <row r="697">
      <c r="A697" s="106">
        <f>IFERROR(__xludf.DUMMYFUNCTION("""COMPUTED_VALUE"""),45563.0)</f>
        <v>45563</v>
      </c>
      <c r="B697" s="103">
        <f>IFERROR(__xludf.DUMMYFUNCTION("""COMPUTED_VALUE"""),16.86)</f>
        <v>16.86</v>
      </c>
      <c r="C697" s="79" t="str">
        <f>IFERROR(__xludf.DUMMYFUNCTION("""COMPUTED_VALUE"""),"Netflix")</f>
        <v>Netflix</v>
      </c>
      <c r="D697" s="79" t="str">
        <f>IFERROR(__xludf.DUMMYFUNCTION("""COMPUTED_VALUE"""),"Amex Blue")</f>
        <v>Amex Blue</v>
      </c>
      <c r="E697" s="79" t="str">
        <f>IFERROR(__xludf.DUMMYFUNCTION("""COMPUTED_VALUE"""),"Subscriptions")</f>
        <v>Subscriptions</v>
      </c>
      <c r="F697" s="79" t="str">
        <f>IFERROR(__xludf.DUMMYFUNCTION("""COMPUTED_VALUE"""),"Gil")</f>
        <v>Gil</v>
      </c>
      <c r="G697" s="107">
        <f t="shared" si="1"/>
        <v>8.43</v>
      </c>
      <c r="H697" s="108" t="str">
        <f t="shared" si="2"/>
        <v>Sep</v>
      </c>
    </row>
    <row r="698">
      <c r="A698" s="106">
        <f>IFERROR(__xludf.DUMMYFUNCTION("""COMPUTED_VALUE"""),45560.0)</f>
        <v>45560</v>
      </c>
      <c r="B698" s="103">
        <f>IFERROR(__xludf.DUMMYFUNCTION("""COMPUTED_VALUE"""),41.35)</f>
        <v>41.35</v>
      </c>
      <c r="C698" s="79" t="str">
        <f>IFERROR(__xludf.DUMMYFUNCTION("""COMPUTED_VALUE"""),"Chambers St. Wines")</f>
        <v>Chambers St. Wines</v>
      </c>
      <c r="D698" s="79" t="str">
        <f>IFERROR(__xludf.DUMMYFUNCTION("""COMPUTED_VALUE"""),"Amex Blue")</f>
        <v>Amex Blue</v>
      </c>
      <c r="E698" s="79" t="str">
        <f>IFERROR(__xludf.DUMMYFUNCTION("""COMPUTED_VALUE"""),"Alcohol/Weed")</f>
        <v>Alcohol/Weed</v>
      </c>
      <c r="F698" s="79" t="str">
        <f>IFERROR(__xludf.DUMMYFUNCTION("""COMPUTED_VALUE"""),"Gil")</f>
        <v>Gil</v>
      </c>
      <c r="G698" s="107">
        <f t="shared" si="1"/>
        <v>20.675</v>
      </c>
      <c r="H698" s="108" t="str">
        <f t="shared" si="2"/>
        <v>Sep</v>
      </c>
    </row>
    <row r="699">
      <c r="A699" s="106">
        <f>IFERROR(__xludf.DUMMYFUNCTION("""COMPUTED_VALUE"""),45556.0)</f>
        <v>45556</v>
      </c>
      <c r="B699" s="103">
        <f>IFERROR(__xludf.DUMMYFUNCTION("""COMPUTED_VALUE"""),5.98)</f>
        <v>5.98</v>
      </c>
      <c r="C699" s="79" t="str">
        <f>IFERROR(__xludf.DUMMYFUNCTION("""COMPUTED_VALUE"""),"Mr. Lemon")</f>
        <v>Mr. Lemon</v>
      </c>
      <c r="D699" s="79" t="str">
        <f>IFERROR(__xludf.DUMMYFUNCTION("""COMPUTED_VALUE"""),"Amex Blue")</f>
        <v>Amex Blue</v>
      </c>
      <c r="E699" s="79" t="str">
        <f>IFERROR(__xludf.DUMMYFUNCTION("""COMPUTED_VALUE"""),"Groceries")</f>
        <v>Groceries</v>
      </c>
      <c r="F699" s="79" t="str">
        <f>IFERROR(__xludf.DUMMYFUNCTION("""COMPUTED_VALUE"""),"Gil")</f>
        <v>Gil</v>
      </c>
      <c r="G699" s="107">
        <f t="shared" si="1"/>
        <v>2.99</v>
      </c>
      <c r="H699" s="108" t="str">
        <f t="shared" si="2"/>
        <v>Sep</v>
      </c>
    </row>
    <row r="700">
      <c r="A700" s="106">
        <f>IFERROR(__xludf.DUMMYFUNCTION("""COMPUTED_VALUE"""),45551.0)</f>
        <v>45551</v>
      </c>
      <c r="B700" s="103">
        <f>IFERROR(__xludf.DUMMYFUNCTION("""COMPUTED_VALUE"""),10.39)</f>
        <v>10.39</v>
      </c>
      <c r="C700" s="79" t="str">
        <f>IFERROR(__xludf.DUMMYFUNCTION("""COMPUTED_VALUE"""),"Whole Foods")</f>
        <v>Whole Foods</v>
      </c>
      <c r="D700" s="79" t="str">
        <f>IFERROR(__xludf.DUMMYFUNCTION("""COMPUTED_VALUE"""),"Amex Blue")</f>
        <v>Amex Blue</v>
      </c>
      <c r="E700" s="79" t="str">
        <f>IFERROR(__xludf.DUMMYFUNCTION("""COMPUTED_VALUE"""),"Groceries")</f>
        <v>Groceries</v>
      </c>
      <c r="F700" s="79" t="str">
        <f>IFERROR(__xludf.DUMMYFUNCTION("""COMPUTED_VALUE"""),"Gil")</f>
        <v>Gil</v>
      </c>
      <c r="G700" s="107">
        <f t="shared" si="1"/>
        <v>5.195</v>
      </c>
      <c r="H700" s="108" t="str">
        <f t="shared" si="2"/>
        <v>Sep</v>
      </c>
    </row>
    <row r="701">
      <c r="A701" s="106">
        <f>IFERROR(__xludf.DUMMYFUNCTION("""COMPUTED_VALUE"""),45548.0)</f>
        <v>45548</v>
      </c>
      <c r="B701" s="103">
        <f>IFERROR(__xludf.DUMMYFUNCTION("""COMPUTED_VALUE"""),33.73)</f>
        <v>33.73</v>
      </c>
      <c r="C701" s="79" t="str">
        <f>IFERROR(__xludf.DUMMYFUNCTION("""COMPUTED_VALUE"""),"Irving Bottle")</f>
        <v>Irving Bottle</v>
      </c>
      <c r="D701" s="79" t="str">
        <f>IFERROR(__xludf.DUMMYFUNCTION("""COMPUTED_VALUE"""),"Amex Blue")</f>
        <v>Amex Blue</v>
      </c>
      <c r="E701" s="79" t="str">
        <f>IFERROR(__xludf.DUMMYFUNCTION("""COMPUTED_VALUE"""),"Alcohol/Weed")</f>
        <v>Alcohol/Weed</v>
      </c>
      <c r="F701" s="79" t="str">
        <f>IFERROR(__xludf.DUMMYFUNCTION("""COMPUTED_VALUE"""),"Gil")</f>
        <v>Gil</v>
      </c>
      <c r="G701" s="107">
        <f t="shared" si="1"/>
        <v>16.865</v>
      </c>
      <c r="H701" s="108" t="str">
        <f t="shared" si="2"/>
        <v>Sep</v>
      </c>
    </row>
    <row r="702">
      <c r="A702" s="106">
        <f>IFERROR(__xludf.DUMMYFUNCTION("""COMPUTED_VALUE"""),45548.0)</f>
        <v>45548</v>
      </c>
      <c r="B702" s="103">
        <f>IFERROR(__xludf.DUMMYFUNCTION("""COMPUTED_VALUE"""),12.0)</f>
        <v>12</v>
      </c>
      <c r="C702" s="79" t="str">
        <f>IFERROR(__xludf.DUMMYFUNCTION("""COMPUTED_VALUE"""),"Our Daily Bread")</f>
        <v>Our Daily Bread</v>
      </c>
      <c r="D702" s="79" t="str">
        <f>IFERROR(__xludf.DUMMYFUNCTION("""COMPUTED_VALUE"""),"Amex Blue")</f>
        <v>Amex Blue</v>
      </c>
      <c r="E702" s="79" t="str">
        <f>IFERROR(__xludf.DUMMYFUNCTION("""COMPUTED_VALUE"""),"Groceries")</f>
        <v>Groceries</v>
      </c>
      <c r="F702" s="79" t="str">
        <f>IFERROR(__xludf.DUMMYFUNCTION("""COMPUTED_VALUE"""),"Gil")</f>
        <v>Gil</v>
      </c>
      <c r="G702" s="107">
        <f t="shared" si="1"/>
        <v>6</v>
      </c>
      <c r="H702" s="108" t="str">
        <f t="shared" si="2"/>
        <v>Sep</v>
      </c>
    </row>
    <row r="703">
      <c r="A703" s="106">
        <f>IFERROR(__xludf.DUMMYFUNCTION("""COMPUTED_VALUE"""),45543.0)</f>
        <v>45543</v>
      </c>
      <c r="B703" s="103">
        <f>IFERROR(__xludf.DUMMYFUNCTION("""COMPUTED_VALUE"""),41.43)</f>
        <v>41.43</v>
      </c>
      <c r="C703" s="79" t="str">
        <f>IFERROR(__xludf.DUMMYFUNCTION("""COMPUTED_VALUE"""),"Kato Sake Works")</f>
        <v>Kato Sake Works</v>
      </c>
      <c r="D703" s="79" t="str">
        <f>IFERROR(__xludf.DUMMYFUNCTION("""COMPUTED_VALUE"""),"Amex Blue")</f>
        <v>Amex Blue</v>
      </c>
      <c r="E703" s="79" t="str">
        <f>IFERROR(__xludf.DUMMYFUNCTION("""COMPUTED_VALUE"""),"Alcohol/Weed")</f>
        <v>Alcohol/Weed</v>
      </c>
      <c r="F703" s="79" t="str">
        <f>IFERROR(__xludf.DUMMYFUNCTION("""COMPUTED_VALUE"""),"Gil")</f>
        <v>Gil</v>
      </c>
      <c r="G703" s="107">
        <f t="shared" si="1"/>
        <v>20.715</v>
      </c>
      <c r="H703" s="108" t="str">
        <f t="shared" si="2"/>
        <v>Sep</v>
      </c>
    </row>
    <row r="704">
      <c r="A704" s="106">
        <f>IFERROR(__xludf.DUMMYFUNCTION("""COMPUTED_VALUE"""),45542.0)</f>
        <v>45542</v>
      </c>
      <c r="B704" s="103">
        <f>IFERROR(__xludf.DUMMYFUNCTION("""COMPUTED_VALUE"""),16.99)</f>
        <v>16.99</v>
      </c>
      <c r="C704" s="79" t="str">
        <f>IFERROR(__xludf.DUMMYFUNCTION("""COMPUTED_VALUE"""),"Spotify")</f>
        <v>Spotify</v>
      </c>
      <c r="D704" s="79" t="str">
        <f>IFERROR(__xludf.DUMMYFUNCTION("""COMPUTED_VALUE"""),"Amex Blue")</f>
        <v>Amex Blue</v>
      </c>
      <c r="E704" s="79" t="str">
        <f>IFERROR(__xludf.DUMMYFUNCTION("""COMPUTED_VALUE"""),"Subscriptions")</f>
        <v>Subscriptions</v>
      </c>
      <c r="F704" s="79" t="str">
        <f>IFERROR(__xludf.DUMMYFUNCTION("""COMPUTED_VALUE"""),"Gil")</f>
        <v>Gil</v>
      </c>
      <c r="G704" s="107">
        <f t="shared" si="1"/>
        <v>8.495</v>
      </c>
      <c r="H704" s="108" t="str">
        <f t="shared" si="2"/>
        <v>Sep</v>
      </c>
    </row>
    <row r="705">
      <c r="A705" s="106">
        <f>IFERROR(__xludf.DUMMYFUNCTION("""COMPUTED_VALUE"""),45541.0)</f>
        <v>45541</v>
      </c>
      <c r="B705" s="103">
        <f>IFERROR(__xludf.DUMMYFUNCTION("""COMPUTED_VALUE"""),20.4)</f>
        <v>20.4</v>
      </c>
      <c r="C705" s="79" t="str">
        <f>IFERROR(__xludf.DUMMYFUNCTION("""COMPUTED_VALUE"""),"Whole Foods")</f>
        <v>Whole Foods</v>
      </c>
      <c r="D705" s="79" t="str">
        <f>IFERROR(__xludf.DUMMYFUNCTION("""COMPUTED_VALUE"""),"Amex Blue")</f>
        <v>Amex Blue</v>
      </c>
      <c r="E705" s="79" t="str">
        <f>IFERROR(__xludf.DUMMYFUNCTION("""COMPUTED_VALUE"""),"Groceries")</f>
        <v>Groceries</v>
      </c>
      <c r="F705" s="79" t="str">
        <f>IFERROR(__xludf.DUMMYFUNCTION("""COMPUTED_VALUE"""),"Gil")</f>
        <v>Gil</v>
      </c>
      <c r="G705" s="107">
        <f t="shared" si="1"/>
        <v>10.2</v>
      </c>
      <c r="H705" s="108" t="str">
        <f t="shared" si="2"/>
        <v>Sep</v>
      </c>
    </row>
    <row r="706">
      <c r="A706" s="106">
        <f>IFERROR(__xludf.DUMMYFUNCTION("""COMPUTED_VALUE"""),45551.0)</f>
        <v>45551</v>
      </c>
      <c r="B706" s="103">
        <f>IFERROR(__xludf.DUMMYFUNCTION("""COMPUTED_VALUE"""),7.54)</f>
        <v>7.54</v>
      </c>
      <c r="C706" s="79" t="str">
        <f>IFERROR(__xludf.DUMMYFUNCTION("""COMPUTED_VALUE"""),"Westside Market")</f>
        <v>Westside Market</v>
      </c>
      <c r="D706" s="79" t="str">
        <f>IFERROR(__xludf.DUMMYFUNCTION("""COMPUTED_VALUE"""),"Amex Blue")</f>
        <v>Amex Blue</v>
      </c>
      <c r="E706" s="79" t="str">
        <f>IFERROR(__xludf.DUMMYFUNCTION("""COMPUTED_VALUE"""),"Work Meals")</f>
        <v>Work Meals</v>
      </c>
      <c r="F706" s="79" t="str">
        <f>IFERROR(__xludf.DUMMYFUNCTION("""COMPUTED_VALUE"""),"Gil")</f>
        <v>Gil</v>
      </c>
      <c r="G706" s="107">
        <f t="shared" si="1"/>
        <v>3.77</v>
      </c>
      <c r="H706" s="108" t="str">
        <f t="shared" si="2"/>
        <v>Sep</v>
      </c>
    </row>
    <row r="707">
      <c r="A707" s="106">
        <f>IFERROR(__xludf.DUMMYFUNCTION("""COMPUTED_VALUE"""),45564.0)</f>
        <v>45564</v>
      </c>
      <c r="B707" s="103">
        <f>IFERROR(__xludf.DUMMYFUNCTION("""COMPUTED_VALUE"""),49.5)</f>
        <v>49.5</v>
      </c>
      <c r="C707" s="79" t="str">
        <f>IFERROR(__xludf.DUMMYFUNCTION("""COMPUTED_VALUE"""),"ATG - Amex Green")</f>
        <v>ATG - Amex Green</v>
      </c>
      <c r="D707" s="79" t="str">
        <f>IFERROR(__xludf.DUMMYFUNCTION("""COMPUTED_VALUE"""),"Other")</f>
        <v>Other</v>
      </c>
      <c r="E707" s="79" t="str">
        <f>IFERROR(__xludf.DUMMYFUNCTION("""COMPUTED_VALUE"""),"Subscriptions")</f>
        <v>Subscriptions</v>
      </c>
      <c r="F707" s="79" t="str">
        <f>IFERROR(__xludf.DUMMYFUNCTION("""COMPUTED_VALUE"""),"Gil")</f>
        <v>Gil</v>
      </c>
      <c r="G707" s="107">
        <f t="shared" si="1"/>
        <v>24.75</v>
      </c>
      <c r="H707" s="108" t="str">
        <f t="shared" si="2"/>
        <v>Sep</v>
      </c>
    </row>
    <row r="708">
      <c r="A708" s="106">
        <f>IFERROR(__xludf.DUMMYFUNCTION("""COMPUTED_VALUE"""),45537.0)</f>
        <v>45537</v>
      </c>
      <c r="B708" s="103">
        <f>IFERROR(__xludf.DUMMYFUNCTION("""COMPUTED_VALUE"""),23.0)</f>
        <v>23</v>
      </c>
      <c r="C708" s="79" t="str">
        <f>IFERROR(__xludf.DUMMYFUNCTION("""COMPUTED_VALUE"""),"Lemonade")</f>
        <v>Lemonade</v>
      </c>
      <c r="D708" s="79" t="str">
        <f>IFERROR(__xludf.DUMMYFUNCTION("""COMPUTED_VALUE"""),"Amazon Prime Chase")</f>
        <v>Amazon Prime Chase</v>
      </c>
      <c r="E708" s="79" t="str">
        <f>IFERROR(__xludf.DUMMYFUNCTION("""COMPUTED_VALUE"""),"Insurance")</f>
        <v>Insurance</v>
      </c>
      <c r="F708" s="79" t="str">
        <f>IFERROR(__xludf.DUMMYFUNCTION("""COMPUTED_VALUE"""),"Gil")</f>
        <v>Gil</v>
      </c>
      <c r="G708" s="107">
        <f t="shared" si="1"/>
        <v>11.5</v>
      </c>
      <c r="H708" s="108" t="str">
        <f t="shared" si="2"/>
        <v>Sep</v>
      </c>
    </row>
    <row r="709">
      <c r="A709" s="106">
        <f>IFERROR(__xludf.DUMMYFUNCTION("""COMPUTED_VALUE"""),45542.0)</f>
        <v>45542</v>
      </c>
      <c r="B709" s="103">
        <f>IFERROR(__xludf.DUMMYFUNCTION("""COMPUTED_VALUE"""),4.99)</f>
        <v>4.99</v>
      </c>
      <c r="C709" s="79" t="str">
        <f>IFERROR(__xludf.DUMMYFUNCTION("""COMPUTED_VALUE"""),"AMC+ - Amazon Prime Video")</f>
        <v>AMC+ - Amazon Prime Video</v>
      </c>
      <c r="D709" s="79" t="str">
        <f>IFERROR(__xludf.DUMMYFUNCTION("""COMPUTED_VALUE"""),"Amazon Prime Chase")</f>
        <v>Amazon Prime Chase</v>
      </c>
      <c r="E709" s="79" t="str">
        <f>IFERROR(__xludf.DUMMYFUNCTION("""COMPUTED_VALUE"""),"Subscriptions")</f>
        <v>Subscriptions</v>
      </c>
      <c r="F709" s="79" t="str">
        <f>IFERROR(__xludf.DUMMYFUNCTION("""COMPUTED_VALUE"""),"Gil")</f>
        <v>Gil</v>
      </c>
      <c r="G709" s="107">
        <f t="shared" si="1"/>
        <v>2.495</v>
      </c>
      <c r="H709" s="108" t="str">
        <f t="shared" si="2"/>
        <v>Sep</v>
      </c>
    </row>
    <row r="710">
      <c r="A710" s="106">
        <f>IFERROR(__xludf.DUMMYFUNCTION("""COMPUTED_VALUE"""),45545.0)</f>
        <v>45545</v>
      </c>
      <c r="B710" s="103">
        <f>IFERROR(__xludf.DUMMYFUNCTION("""COMPUTED_VALUE"""),1.62)</f>
        <v>1.62</v>
      </c>
      <c r="C710" s="79" t="str">
        <f>IFERROR(__xludf.DUMMYFUNCTION("""COMPUTED_VALUE"""),"HP Instant Ink")</f>
        <v>HP Instant Ink</v>
      </c>
      <c r="D710" s="79" t="str">
        <f>IFERROR(__xludf.DUMMYFUNCTION("""COMPUTED_VALUE"""),"Amazon Prime Chase")</f>
        <v>Amazon Prime Chase</v>
      </c>
      <c r="E710" s="79" t="str">
        <f>IFERROR(__xludf.DUMMYFUNCTION("""COMPUTED_VALUE"""),"Subscriptions")</f>
        <v>Subscriptions</v>
      </c>
      <c r="F710" s="79" t="str">
        <f>IFERROR(__xludf.DUMMYFUNCTION("""COMPUTED_VALUE"""),"Gil")</f>
        <v>Gil</v>
      </c>
      <c r="G710" s="107">
        <f t="shared" si="1"/>
        <v>0.81</v>
      </c>
      <c r="H710" s="108" t="str">
        <f t="shared" si="2"/>
        <v>Sep</v>
      </c>
    </row>
    <row r="711">
      <c r="A711" s="106">
        <f>IFERROR(__xludf.DUMMYFUNCTION("""COMPUTED_VALUE"""),45553.0)</f>
        <v>45553</v>
      </c>
      <c r="B711" s="103">
        <f>IFERROR(__xludf.DUMMYFUNCTION("""COMPUTED_VALUE"""),16.32)</f>
        <v>16.32</v>
      </c>
      <c r="C711" s="79" t="str">
        <f>IFERROR(__xludf.DUMMYFUNCTION("""COMPUTED_VALUE"""),"Amazon Prime Subscription")</f>
        <v>Amazon Prime Subscription</v>
      </c>
      <c r="D711" s="79" t="str">
        <f>IFERROR(__xludf.DUMMYFUNCTION("""COMPUTED_VALUE"""),"Amazon Prime Chase")</f>
        <v>Amazon Prime Chase</v>
      </c>
      <c r="E711" s="79" t="str">
        <f>IFERROR(__xludf.DUMMYFUNCTION("""COMPUTED_VALUE"""),"Subscriptions")</f>
        <v>Subscriptions</v>
      </c>
      <c r="F711" s="79" t="str">
        <f>IFERROR(__xludf.DUMMYFUNCTION("""COMPUTED_VALUE"""),"Gil")</f>
        <v>Gil</v>
      </c>
      <c r="G711" s="107">
        <f t="shared" si="1"/>
        <v>8.16</v>
      </c>
      <c r="H711" s="108" t="str">
        <f t="shared" si="2"/>
        <v>Sep</v>
      </c>
    </row>
    <row r="712">
      <c r="A712" s="106">
        <f>IFERROR(__xludf.DUMMYFUNCTION("""COMPUTED_VALUE"""),45567.0)</f>
        <v>45567</v>
      </c>
      <c r="B712" s="103">
        <f>IFERROR(__xludf.DUMMYFUNCTION("""COMPUTED_VALUE"""),23.39)</f>
        <v>23.39</v>
      </c>
      <c r="C712" s="79" t="str">
        <f>IFERROR(__xludf.DUMMYFUNCTION("""COMPUTED_VALUE"""),"Amazon S&amp;S - Yuzu")</f>
        <v>Amazon S&amp;S - Yuzu</v>
      </c>
      <c r="D712" s="79" t="str">
        <f>IFERROR(__xludf.DUMMYFUNCTION("""COMPUTED_VALUE"""),"Amazon Prime Chase")</f>
        <v>Amazon Prime Chase</v>
      </c>
      <c r="E712" s="79" t="str">
        <f>IFERROR(__xludf.DUMMYFUNCTION("""COMPUTED_VALUE"""),"Groceries")</f>
        <v>Groceries</v>
      </c>
      <c r="F712" s="79" t="str">
        <f>IFERROR(__xludf.DUMMYFUNCTION("""COMPUTED_VALUE"""),"Gil")</f>
        <v>Gil</v>
      </c>
      <c r="G712" s="107">
        <f t="shared" si="1"/>
        <v>11.695</v>
      </c>
      <c r="H712" s="108" t="str">
        <f t="shared" si="2"/>
        <v>Oct</v>
      </c>
    </row>
    <row r="713">
      <c r="A713" s="106">
        <f>IFERROR(__xludf.DUMMYFUNCTION("""COMPUTED_VALUE"""),45567.0)</f>
        <v>45567</v>
      </c>
      <c r="B713" s="103">
        <f>IFERROR(__xludf.DUMMYFUNCTION("""COMPUTED_VALUE"""),38.23)</f>
        <v>38.23</v>
      </c>
      <c r="C713" s="79" t="str">
        <f>IFERROR(__xludf.DUMMYFUNCTION("""COMPUTED_VALUE"""),"Amazon S&amp;S - Purely Elizabeth")</f>
        <v>Amazon S&amp;S - Purely Elizabeth</v>
      </c>
      <c r="D713" s="79" t="str">
        <f>IFERROR(__xludf.DUMMYFUNCTION("""COMPUTED_VALUE"""),"Amazon Prime Chase")</f>
        <v>Amazon Prime Chase</v>
      </c>
      <c r="E713" s="79" t="str">
        <f>IFERROR(__xludf.DUMMYFUNCTION("""COMPUTED_VALUE"""),"Groceries")</f>
        <v>Groceries</v>
      </c>
      <c r="F713" s="79" t="str">
        <f>IFERROR(__xludf.DUMMYFUNCTION("""COMPUTED_VALUE"""),"Gil")</f>
        <v>Gil</v>
      </c>
      <c r="G713" s="107">
        <f t="shared" si="1"/>
        <v>19.115</v>
      </c>
      <c r="H713" s="108" t="str">
        <f t="shared" si="2"/>
        <v>Oct</v>
      </c>
    </row>
    <row r="714">
      <c r="A714" s="106">
        <f>IFERROR(__xludf.DUMMYFUNCTION("""COMPUTED_VALUE"""),45567.0)</f>
        <v>45567</v>
      </c>
      <c r="B714" s="103">
        <f>IFERROR(__xludf.DUMMYFUNCTION("""COMPUTED_VALUE"""),15.81)</f>
        <v>15.81</v>
      </c>
      <c r="C714" s="79" t="str">
        <f>IFERROR(__xludf.DUMMYFUNCTION("""COMPUTED_VALUE"""),"Amazon S&amp;S - Yondu")</f>
        <v>Amazon S&amp;S - Yondu</v>
      </c>
      <c r="D714" s="79" t="str">
        <f>IFERROR(__xludf.DUMMYFUNCTION("""COMPUTED_VALUE"""),"Amazon Prime Chase")</f>
        <v>Amazon Prime Chase</v>
      </c>
      <c r="E714" s="79" t="str">
        <f>IFERROR(__xludf.DUMMYFUNCTION("""COMPUTED_VALUE"""),"Groceries")</f>
        <v>Groceries</v>
      </c>
      <c r="F714" s="79" t="str">
        <f>IFERROR(__xludf.DUMMYFUNCTION("""COMPUTED_VALUE"""),"Gil")</f>
        <v>Gil</v>
      </c>
      <c r="G714" s="107">
        <f t="shared" si="1"/>
        <v>7.905</v>
      </c>
      <c r="H714" s="108" t="str">
        <f t="shared" si="2"/>
        <v>Oct</v>
      </c>
    </row>
    <row r="715">
      <c r="A715" s="106">
        <f>IFERROR(__xludf.DUMMYFUNCTION("""COMPUTED_VALUE"""),45567.0)</f>
        <v>45567</v>
      </c>
      <c r="B715" s="103">
        <f>IFERROR(__xludf.DUMMYFUNCTION("""COMPUTED_VALUE"""),25.5)</f>
        <v>25.5</v>
      </c>
      <c r="C715" s="79" t="str">
        <f>IFERROR(__xludf.DUMMYFUNCTION("""COMPUTED_VALUE"""),"Amazon S&amp;S - NeuroMag")</f>
        <v>Amazon S&amp;S - NeuroMag</v>
      </c>
      <c r="D715" s="79" t="str">
        <f>IFERROR(__xludf.DUMMYFUNCTION("""COMPUTED_VALUE"""),"Amazon Prime Chase")</f>
        <v>Amazon Prime Chase</v>
      </c>
      <c r="E715" s="79" t="str">
        <f>IFERROR(__xludf.DUMMYFUNCTION("""COMPUTED_VALUE"""),"Personal")</f>
        <v>Personal</v>
      </c>
      <c r="F715" s="79" t="str">
        <f>IFERROR(__xludf.DUMMYFUNCTION("""COMPUTED_VALUE"""),"Gil")</f>
        <v>Gil</v>
      </c>
      <c r="G715" s="107">
        <f t="shared" si="1"/>
        <v>12.75</v>
      </c>
      <c r="H715" s="108" t="str">
        <f t="shared" si="2"/>
        <v>Oct</v>
      </c>
    </row>
    <row r="716">
      <c r="A716" s="106">
        <f>IFERROR(__xludf.DUMMYFUNCTION("""COMPUTED_VALUE"""),45567.0)</f>
        <v>45567</v>
      </c>
      <c r="B716" s="103">
        <f>IFERROR(__xludf.DUMMYFUNCTION("""COMPUTED_VALUE"""),29.65)</f>
        <v>29.65</v>
      </c>
      <c r="C716" s="79" t="str">
        <f>IFERROR(__xludf.DUMMYFUNCTION("""COMPUTED_VALUE"""),"Amazon S&amp;S - Omega 3 Fish Oil")</f>
        <v>Amazon S&amp;S - Omega 3 Fish Oil</v>
      </c>
      <c r="D716" s="79" t="str">
        <f>IFERROR(__xludf.DUMMYFUNCTION("""COMPUTED_VALUE"""),"Amazon Prime Chase")</f>
        <v>Amazon Prime Chase</v>
      </c>
      <c r="E716" s="79" t="str">
        <f>IFERROR(__xludf.DUMMYFUNCTION("""COMPUTED_VALUE"""),"Personal")</f>
        <v>Personal</v>
      </c>
      <c r="F716" s="79" t="str">
        <f>IFERROR(__xludf.DUMMYFUNCTION("""COMPUTED_VALUE"""),"Gil")</f>
        <v>Gil</v>
      </c>
      <c r="G716" s="107">
        <f t="shared" si="1"/>
        <v>14.825</v>
      </c>
      <c r="H716" s="108" t="str">
        <f t="shared" si="2"/>
        <v>Oct</v>
      </c>
    </row>
    <row r="717">
      <c r="A717" s="106">
        <f>IFERROR(__xludf.DUMMYFUNCTION("""COMPUTED_VALUE"""),45567.0)</f>
        <v>45567</v>
      </c>
      <c r="B717" s="103">
        <f>IFERROR(__xludf.DUMMYFUNCTION("""COMPUTED_VALUE"""),37.94)</f>
        <v>37.94</v>
      </c>
      <c r="C717" s="79" t="str">
        <f>IFERROR(__xludf.DUMMYFUNCTION("""COMPUTED_VALUE"""),"Amazon S&amp;S - Zum Laundry Detergent")</f>
        <v>Amazon S&amp;S - Zum Laundry Detergent</v>
      </c>
      <c r="D717" s="79" t="str">
        <f>IFERROR(__xludf.DUMMYFUNCTION("""COMPUTED_VALUE"""),"Amazon Prime Chase")</f>
        <v>Amazon Prime Chase</v>
      </c>
      <c r="E717" s="79" t="str">
        <f>IFERROR(__xludf.DUMMYFUNCTION("""COMPUTED_VALUE"""),"Household")</f>
        <v>Household</v>
      </c>
      <c r="F717" s="79" t="str">
        <f>IFERROR(__xludf.DUMMYFUNCTION("""COMPUTED_VALUE"""),"Gil")</f>
        <v>Gil</v>
      </c>
      <c r="G717" s="107">
        <f t="shared" si="1"/>
        <v>18.97</v>
      </c>
      <c r="H717" s="108" t="str">
        <f t="shared" si="2"/>
        <v>Oct</v>
      </c>
    </row>
    <row r="718">
      <c r="A718" s="106">
        <f>IFERROR(__xludf.DUMMYFUNCTION("""COMPUTED_VALUE"""),45567.0)</f>
        <v>45567</v>
      </c>
      <c r="B718" s="103">
        <f>IFERROR(__xludf.DUMMYFUNCTION("""COMPUTED_VALUE"""),14.65)</f>
        <v>14.65</v>
      </c>
      <c r="C718" s="79" t="str">
        <f>IFERROR(__xludf.DUMMYFUNCTION("""COMPUTED_VALUE"""),"Amazon S&amp;S - B12")</f>
        <v>Amazon S&amp;S - B12</v>
      </c>
      <c r="D718" s="79" t="str">
        <f>IFERROR(__xludf.DUMMYFUNCTION("""COMPUTED_VALUE"""),"Amazon Prime Chase")</f>
        <v>Amazon Prime Chase</v>
      </c>
      <c r="E718" s="79" t="str">
        <f>IFERROR(__xludf.DUMMYFUNCTION("""COMPUTED_VALUE"""),"Personal")</f>
        <v>Personal</v>
      </c>
      <c r="F718" s="79" t="str">
        <f>IFERROR(__xludf.DUMMYFUNCTION("""COMPUTED_VALUE"""),"Gil")</f>
        <v>Gil</v>
      </c>
      <c r="G718" s="107">
        <f t="shared" si="1"/>
        <v>7.325</v>
      </c>
      <c r="H718" s="108" t="str">
        <f t="shared" si="2"/>
        <v>Oct</v>
      </c>
    </row>
    <row r="719">
      <c r="A719" s="106">
        <f>IFERROR(__xludf.DUMMYFUNCTION("""COMPUTED_VALUE"""),45567.0)</f>
        <v>45567</v>
      </c>
      <c r="B719" s="103">
        <f>IFERROR(__xludf.DUMMYFUNCTION("""COMPUTED_VALUE"""),12.91)</f>
        <v>12.91</v>
      </c>
      <c r="C719" s="79" t="str">
        <f>IFERROR(__xludf.DUMMYFUNCTION("""COMPUTED_VALUE"""),"Amazon S&amp;S - San Pelligrino")</f>
        <v>Amazon S&amp;S - San Pelligrino</v>
      </c>
      <c r="D719" s="79" t="str">
        <f>IFERROR(__xludf.DUMMYFUNCTION("""COMPUTED_VALUE"""),"Amazon Prime Chase")</f>
        <v>Amazon Prime Chase</v>
      </c>
      <c r="E719" s="79" t="str">
        <f>IFERROR(__xludf.DUMMYFUNCTION("""COMPUTED_VALUE"""),"Groceries")</f>
        <v>Groceries</v>
      </c>
      <c r="F719" s="79" t="str">
        <f>IFERROR(__xludf.DUMMYFUNCTION("""COMPUTED_VALUE"""),"Gil")</f>
        <v>Gil</v>
      </c>
      <c r="G719" s="107">
        <f t="shared" si="1"/>
        <v>6.455</v>
      </c>
      <c r="H719" s="108" t="str">
        <f t="shared" si="2"/>
        <v>Oct</v>
      </c>
    </row>
    <row r="720">
      <c r="A720" s="106">
        <f>IFERROR(__xludf.DUMMYFUNCTION("""COMPUTED_VALUE"""),45567.0)</f>
        <v>45567</v>
      </c>
      <c r="B720" s="103">
        <f>IFERROR(__xludf.DUMMYFUNCTION("""COMPUTED_VALUE"""),8.32)</f>
        <v>8.32</v>
      </c>
      <c r="C720" s="79" t="str">
        <f>IFERROR(__xludf.DUMMYFUNCTION("""COMPUTED_VALUE"""),"Amazon S&amp;S - LiCO CR2032")</f>
        <v>Amazon S&amp;S - LiCO CR2032</v>
      </c>
      <c r="D720" s="79" t="str">
        <f>IFERROR(__xludf.DUMMYFUNCTION("""COMPUTED_VALUE"""),"Amazon Prime Chase")</f>
        <v>Amazon Prime Chase</v>
      </c>
      <c r="E720" s="79" t="str">
        <f>IFERROR(__xludf.DUMMYFUNCTION("""COMPUTED_VALUE"""),"Household")</f>
        <v>Household</v>
      </c>
      <c r="F720" s="79" t="str">
        <f>IFERROR(__xludf.DUMMYFUNCTION("""COMPUTED_VALUE"""),"Gil")</f>
        <v>Gil</v>
      </c>
      <c r="G720" s="107">
        <f t="shared" si="1"/>
        <v>4.16</v>
      </c>
      <c r="H720" s="108" t="str">
        <f t="shared" si="2"/>
        <v>Oct</v>
      </c>
    </row>
    <row r="721">
      <c r="A721" s="106">
        <f>IFERROR(__xludf.DUMMYFUNCTION("""COMPUTED_VALUE"""),45567.0)</f>
        <v>45567</v>
      </c>
      <c r="B721" s="103">
        <f>IFERROR(__xludf.DUMMYFUNCTION("""COMPUTED_VALUE"""),18.65)</f>
        <v>18.65</v>
      </c>
      <c r="C721" s="79" t="str">
        <f>IFERROR(__xludf.DUMMYFUNCTION("""COMPUTED_VALUE"""),"Amazon S&amp;S - Belmont Peanuts")</f>
        <v>Amazon S&amp;S - Belmont Peanuts</v>
      </c>
      <c r="D721" s="79" t="str">
        <f>IFERROR(__xludf.DUMMYFUNCTION("""COMPUTED_VALUE"""),"Amazon Prime Chase")</f>
        <v>Amazon Prime Chase</v>
      </c>
      <c r="E721" s="79" t="str">
        <f>IFERROR(__xludf.DUMMYFUNCTION("""COMPUTED_VALUE"""),"Groceries")</f>
        <v>Groceries</v>
      </c>
      <c r="F721" s="79" t="str">
        <f>IFERROR(__xludf.DUMMYFUNCTION("""COMPUTED_VALUE"""),"Gil")</f>
        <v>Gil</v>
      </c>
      <c r="G721" s="107">
        <f t="shared" si="1"/>
        <v>9.325</v>
      </c>
      <c r="H721" s="108" t="str">
        <f t="shared" si="2"/>
        <v>Oct</v>
      </c>
    </row>
    <row r="722">
      <c r="A722" s="106">
        <f>IFERROR(__xludf.DUMMYFUNCTION("""COMPUTED_VALUE"""),45567.0)</f>
        <v>45567</v>
      </c>
      <c r="B722" s="103">
        <f>IFERROR(__xludf.DUMMYFUNCTION("""COMPUTED_VALUE"""),32.85)</f>
        <v>32.85</v>
      </c>
      <c r="C722" s="79" t="str">
        <f>IFERROR(__xludf.DUMMYFUNCTION("""COMPUTED_VALUE"""),"Amazon S&amp;S - Toilet Paper")</f>
        <v>Amazon S&amp;S - Toilet Paper</v>
      </c>
      <c r="D722" s="79" t="str">
        <f>IFERROR(__xludf.DUMMYFUNCTION("""COMPUTED_VALUE"""),"Amazon Prime Chase")</f>
        <v>Amazon Prime Chase</v>
      </c>
      <c r="E722" s="79" t="str">
        <f>IFERROR(__xludf.DUMMYFUNCTION("""COMPUTED_VALUE"""),"Household")</f>
        <v>Household</v>
      </c>
      <c r="F722" s="79" t="str">
        <f>IFERROR(__xludf.DUMMYFUNCTION("""COMPUTED_VALUE"""),"Gil")</f>
        <v>Gil</v>
      </c>
      <c r="G722" s="107">
        <f t="shared" si="1"/>
        <v>16.425</v>
      </c>
      <c r="H722" s="108" t="str">
        <f t="shared" si="2"/>
        <v>Oct</v>
      </c>
    </row>
    <row r="723">
      <c r="A723" s="106">
        <f>IFERROR(__xludf.DUMMYFUNCTION("""COMPUTED_VALUE"""),45565.0)</f>
        <v>45565</v>
      </c>
      <c r="B723" s="103">
        <f>IFERROR(__xludf.DUMMYFUNCTION("""COMPUTED_VALUE"""),20.0)</f>
        <v>20</v>
      </c>
      <c r="C723" s="79" t="str">
        <f>IFERROR(__xludf.DUMMYFUNCTION("""COMPUTED_VALUE"""),"Amazon - Oral B Toothbrush Heads")</f>
        <v>Amazon - Oral B Toothbrush Heads</v>
      </c>
      <c r="D723" s="79" t="str">
        <f>IFERROR(__xludf.DUMMYFUNCTION("""COMPUTED_VALUE"""),"Shaeffer ONLY")</f>
        <v>Shaeffer ONLY</v>
      </c>
      <c r="E723" s="79"/>
      <c r="F723" s="79" t="str">
        <f>IFERROR(__xludf.DUMMYFUNCTION("""COMPUTED_VALUE"""),"Gil")</f>
        <v>Gil</v>
      </c>
      <c r="G723" s="107">
        <f t="shared" si="1"/>
        <v>10</v>
      </c>
      <c r="H723" s="108" t="str">
        <f t="shared" si="2"/>
        <v>Sep</v>
      </c>
    </row>
    <row r="724">
      <c r="A724" s="106">
        <f>IFERROR(__xludf.DUMMYFUNCTION("""COMPUTED_VALUE"""),45566.0)</f>
        <v>45566</v>
      </c>
      <c r="B724" s="103">
        <f>IFERROR(__xludf.DUMMYFUNCTION("""COMPUTED_VALUE"""),70.1)</f>
        <v>70.1</v>
      </c>
      <c r="C724" s="79" t="str">
        <f>IFERROR(__xludf.DUMMYFUNCTION("""COMPUTED_VALUE"""),"Amazon - Hue Light Strip")</f>
        <v>Amazon - Hue Light Strip</v>
      </c>
      <c r="D724" s="79" t="str">
        <f>IFERROR(__xludf.DUMMYFUNCTION("""COMPUTED_VALUE"""),"Amazon Prime Chase")</f>
        <v>Amazon Prime Chase</v>
      </c>
      <c r="E724" s="79" t="str">
        <f>IFERROR(__xludf.DUMMYFUNCTION("""COMPUTED_VALUE"""),"Household")</f>
        <v>Household</v>
      </c>
      <c r="F724" s="79" t="str">
        <f>IFERROR(__xludf.DUMMYFUNCTION("""COMPUTED_VALUE"""),"Gil")</f>
        <v>Gil</v>
      </c>
      <c r="G724" s="107">
        <f t="shared" si="1"/>
        <v>35.05</v>
      </c>
      <c r="H724" s="108" t="str">
        <f t="shared" si="2"/>
        <v>Oct</v>
      </c>
    </row>
    <row r="725">
      <c r="A725" s="106">
        <f>IFERROR(__xludf.DUMMYFUNCTION("""COMPUTED_VALUE"""),45568.0)</f>
        <v>45568</v>
      </c>
      <c r="B725" s="103">
        <f>IFERROR(__xludf.DUMMYFUNCTION("""COMPUTED_VALUE"""),97.98)</f>
        <v>97.98</v>
      </c>
      <c r="C725" s="79" t="str">
        <f>IFERROR(__xludf.DUMMYFUNCTION("""COMPUTED_VALUE"""),"Amazon - Brother Printer")</f>
        <v>Amazon - Brother Printer</v>
      </c>
      <c r="D725" s="79" t="str">
        <f>IFERROR(__xludf.DUMMYFUNCTION("""COMPUTED_VALUE"""),"Amazon Prime Chase")</f>
        <v>Amazon Prime Chase</v>
      </c>
      <c r="E725" s="79" t="str">
        <f>IFERROR(__xludf.DUMMYFUNCTION("""COMPUTED_VALUE"""),"Household")</f>
        <v>Household</v>
      </c>
      <c r="F725" s="79" t="str">
        <f>IFERROR(__xludf.DUMMYFUNCTION("""COMPUTED_VALUE"""),"Gil")</f>
        <v>Gil</v>
      </c>
      <c r="G725" s="107">
        <f t="shared" si="1"/>
        <v>48.99</v>
      </c>
      <c r="H725" s="108" t="str">
        <f t="shared" si="2"/>
        <v>Oct</v>
      </c>
    </row>
    <row r="726">
      <c r="A726" s="106">
        <f>IFERROR(__xludf.DUMMYFUNCTION("""COMPUTED_VALUE"""),45567.0)</f>
        <v>45567</v>
      </c>
      <c r="B726" s="103">
        <f>IFERROR(__xludf.DUMMYFUNCTION("""COMPUTED_VALUE"""),81.59)</f>
        <v>81.59</v>
      </c>
      <c r="C726" s="79" t="str">
        <f>IFERROR(__xludf.DUMMYFUNCTION("""COMPUTED_VALUE"""),"Amazon - Metal Corner Table")</f>
        <v>Amazon - Metal Corner Table</v>
      </c>
      <c r="D726" s="79" t="str">
        <f>IFERROR(__xludf.DUMMYFUNCTION("""COMPUTED_VALUE"""),"Amazon Prime Chase")</f>
        <v>Amazon Prime Chase</v>
      </c>
      <c r="E726" s="79" t="str">
        <f>IFERROR(__xludf.DUMMYFUNCTION("""COMPUTED_VALUE"""),"Household")</f>
        <v>Household</v>
      </c>
      <c r="F726" s="79" t="str">
        <f>IFERROR(__xludf.DUMMYFUNCTION("""COMPUTED_VALUE"""),"Gil")</f>
        <v>Gil</v>
      </c>
      <c r="G726" s="107">
        <f t="shared" si="1"/>
        <v>40.795</v>
      </c>
      <c r="H726" s="108" t="str">
        <f t="shared" si="2"/>
        <v>Oct</v>
      </c>
    </row>
    <row r="727">
      <c r="A727" s="106">
        <f>IFERROR(__xludf.DUMMYFUNCTION("""COMPUTED_VALUE"""),45569.0)</f>
        <v>45569</v>
      </c>
      <c r="B727" s="103">
        <f>IFERROR(__xludf.DUMMYFUNCTION("""COMPUTED_VALUE"""),27.09)</f>
        <v>27.09</v>
      </c>
      <c r="C727" s="79" t="str">
        <f>IFERROR(__xludf.DUMMYFUNCTION("""COMPUTED_VALUE"""),"Amazon - Winco Bain Marie")</f>
        <v>Amazon - Winco Bain Marie</v>
      </c>
      <c r="D727" s="79" t="str">
        <f>IFERROR(__xludf.DUMMYFUNCTION("""COMPUTED_VALUE"""),"Amazon Prime Chase")</f>
        <v>Amazon Prime Chase</v>
      </c>
      <c r="E727" s="79" t="str">
        <f>IFERROR(__xludf.DUMMYFUNCTION("""COMPUTED_VALUE"""),"Household")</f>
        <v>Household</v>
      </c>
      <c r="F727" s="79" t="str">
        <f>IFERROR(__xludf.DUMMYFUNCTION("""COMPUTED_VALUE"""),"Gil")</f>
        <v>Gil</v>
      </c>
      <c r="G727" s="107">
        <f t="shared" si="1"/>
        <v>13.545</v>
      </c>
      <c r="H727" s="108" t="str">
        <f t="shared" si="2"/>
        <v>Oct</v>
      </c>
    </row>
    <row r="728">
      <c r="A728" s="106">
        <f>IFERROR(__xludf.DUMMYFUNCTION("""COMPUTED_VALUE"""),45572.0)</f>
        <v>45572</v>
      </c>
      <c r="B728" s="103">
        <f>IFERROR(__xludf.DUMMYFUNCTION("""COMPUTED_VALUE"""),4.99)</f>
        <v>4.99</v>
      </c>
      <c r="C728" s="79" t="str">
        <f>IFERROR(__xludf.DUMMYFUNCTION("""COMPUTED_VALUE"""),"AMC+ - Amazon Prime Video")</f>
        <v>AMC+ - Amazon Prime Video</v>
      </c>
      <c r="D728" s="79" t="str">
        <f>IFERROR(__xludf.DUMMYFUNCTION("""COMPUTED_VALUE"""),"Amazon Prime Chase")</f>
        <v>Amazon Prime Chase</v>
      </c>
      <c r="E728" s="79" t="str">
        <f>IFERROR(__xludf.DUMMYFUNCTION("""COMPUTED_VALUE"""),"Subscriptions")</f>
        <v>Subscriptions</v>
      </c>
      <c r="F728" s="79" t="str">
        <f>IFERROR(__xludf.DUMMYFUNCTION("""COMPUTED_VALUE"""),"Gil")</f>
        <v>Gil</v>
      </c>
      <c r="G728" s="107">
        <f t="shared" si="1"/>
        <v>2.495</v>
      </c>
      <c r="H728" s="108" t="str">
        <f t="shared" si="2"/>
        <v>Oct</v>
      </c>
    </row>
    <row r="729">
      <c r="A729" s="106">
        <f>IFERROR(__xludf.DUMMYFUNCTION("""COMPUTED_VALUE"""),45572.0)</f>
        <v>45572</v>
      </c>
      <c r="B729" s="103">
        <f>IFERROR(__xludf.DUMMYFUNCTION("""COMPUTED_VALUE"""),26.21)</f>
        <v>26.21</v>
      </c>
      <c r="C729" s="79" t="str">
        <f>IFERROR(__xludf.DUMMYFUNCTION("""COMPUTED_VALUE"""),"Amazon - TEAMIX 2 Tiers Desktop Monitor Stand Riser 20 Inch Printer Stand with Storage Small TV Riser Laptop Wooden Desk Organizer Shelf Bookshelf Maple (Natural Maple, 2 Tiers)")</f>
        <v>Amazon - TEAMIX 2 Tiers Desktop Monitor Stand Riser 20 Inch Printer Stand with Storage Small TV Riser Laptop Wooden Desk Organizer Shelf Bookshelf Maple (Natural Maple, 2 Tiers)</v>
      </c>
      <c r="D729" s="79" t="str">
        <f>IFERROR(__xludf.DUMMYFUNCTION("""COMPUTED_VALUE"""),"Amazon Prime Chase")</f>
        <v>Amazon Prime Chase</v>
      </c>
      <c r="E729" s="79" t="str">
        <f>IFERROR(__xludf.DUMMYFUNCTION("""COMPUTED_VALUE"""),"Household")</f>
        <v>Household</v>
      </c>
      <c r="F729" s="79" t="str">
        <f>IFERROR(__xludf.DUMMYFUNCTION("""COMPUTED_VALUE"""),"Gil")</f>
        <v>Gil</v>
      </c>
      <c r="G729" s="107">
        <f t="shared" si="1"/>
        <v>13.105</v>
      </c>
      <c r="H729" s="108" t="str">
        <f t="shared" si="2"/>
        <v>Oct</v>
      </c>
    </row>
    <row r="730">
      <c r="A730" s="106">
        <f>IFERROR(__xludf.DUMMYFUNCTION("""COMPUTED_VALUE"""),45571.0)</f>
        <v>45571</v>
      </c>
      <c r="B730" s="103">
        <f>IFERROR(__xludf.DUMMYFUNCTION("""COMPUTED_VALUE"""),8.68)</f>
        <v>8.68</v>
      </c>
      <c r="C730" s="79" t="str">
        <f>IFERROR(__xludf.DUMMYFUNCTION("""COMPUTED_VALUE"""),"Amazon - Double Sided Tape and Cleaning Brushes")</f>
        <v>Amazon - Double Sided Tape and Cleaning Brushes</v>
      </c>
      <c r="D730" s="79" t="str">
        <f>IFERROR(__xludf.DUMMYFUNCTION("""COMPUTED_VALUE"""),"Amazon Prime Chase")</f>
        <v>Amazon Prime Chase</v>
      </c>
      <c r="E730" s="79" t="str">
        <f>IFERROR(__xludf.DUMMYFUNCTION("""COMPUTED_VALUE"""),"Household")</f>
        <v>Household</v>
      </c>
      <c r="F730" s="79" t="str">
        <f>IFERROR(__xludf.DUMMYFUNCTION("""COMPUTED_VALUE"""),"Gil")</f>
        <v>Gil</v>
      </c>
      <c r="G730" s="107">
        <f t="shared" si="1"/>
        <v>4.34</v>
      </c>
      <c r="H730" s="108" t="str">
        <f t="shared" si="2"/>
        <v>Oct</v>
      </c>
    </row>
    <row r="731">
      <c r="A731" s="106">
        <f>IFERROR(__xludf.DUMMYFUNCTION("""COMPUTED_VALUE"""),45574.0)</f>
        <v>45574</v>
      </c>
      <c r="B731" s="103">
        <f>IFERROR(__xludf.DUMMYFUNCTION("""COMPUTED_VALUE"""),1.62)</f>
        <v>1.62</v>
      </c>
      <c r="C731" s="79" t="str">
        <f>IFERROR(__xludf.DUMMYFUNCTION("""COMPUTED_VALUE"""),"HP Instant Ink")</f>
        <v>HP Instant Ink</v>
      </c>
      <c r="D731" s="79" t="str">
        <f>IFERROR(__xludf.DUMMYFUNCTION("""COMPUTED_VALUE"""),"Amazon Prime Chase")</f>
        <v>Amazon Prime Chase</v>
      </c>
      <c r="E731" s="79" t="str">
        <f>IFERROR(__xludf.DUMMYFUNCTION("""COMPUTED_VALUE"""),"Subscriptions")</f>
        <v>Subscriptions</v>
      </c>
      <c r="F731" s="79" t="str">
        <f>IFERROR(__xludf.DUMMYFUNCTION("""COMPUTED_VALUE"""),"Gil")</f>
        <v>Gil</v>
      </c>
      <c r="G731" s="107">
        <f t="shared" si="1"/>
        <v>0.81</v>
      </c>
      <c r="H731" s="108" t="str">
        <f t="shared" si="2"/>
        <v>Oct</v>
      </c>
    </row>
    <row r="732">
      <c r="A732" s="106">
        <f>IFERROR(__xludf.DUMMYFUNCTION("""COMPUTED_VALUE"""),45579.0)</f>
        <v>45579</v>
      </c>
      <c r="B732" s="103">
        <f>IFERROR(__xludf.DUMMYFUNCTION("""COMPUTED_VALUE"""),33.64)</f>
        <v>33.64</v>
      </c>
      <c r="C732" s="79" t="str">
        <f>IFERROR(__xludf.DUMMYFUNCTION("""COMPUTED_VALUE"""),"Amazon - Winco Bain Marie")</f>
        <v>Amazon - Winco Bain Marie</v>
      </c>
      <c r="D732" s="79" t="str">
        <f>IFERROR(__xludf.DUMMYFUNCTION("""COMPUTED_VALUE"""),"Amazon Prime Chase")</f>
        <v>Amazon Prime Chase</v>
      </c>
      <c r="E732" s="79" t="str">
        <f>IFERROR(__xludf.DUMMYFUNCTION("""COMPUTED_VALUE"""),"Household")</f>
        <v>Household</v>
      </c>
      <c r="F732" s="79" t="str">
        <f>IFERROR(__xludf.DUMMYFUNCTION("""COMPUTED_VALUE"""),"Gil")</f>
        <v>Gil</v>
      </c>
      <c r="G732" s="107">
        <f t="shared" si="1"/>
        <v>16.82</v>
      </c>
      <c r="H732" s="108" t="str">
        <f t="shared" si="2"/>
        <v>Oct</v>
      </c>
    </row>
    <row r="733">
      <c r="A733" s="106">
        <f>IFERROR(__xludf.DUMMYFUNCTION("""COMPUTED_VALUE"""),45577.0)</f>
        <v>45577</v>
      </c>
      <c r="B733" s="103">
        <f>IFERROR(__xludf.DUMMYFUNCTION("""COMPUTED_VALUE"""),33.64)</f>
        <v>33.64</v>
      </c>
      <c r="C733" s="79" t="str">
        <f>IFERROR(__xludf.DUMMYFUNCTION("""COMPUTED_VALUE"""),"DII Crochet Collection Reversible Bath Mat")</f>
        <v>DII Crochet Collection Reversible Bath Mat</v>
      </c>
      <c r="D733" s="79" t="str">
        <f>IFERROR(__xludf.DUMMYFUNCTION("""COMPUTED_VALUE"""),"Amazon Prime Chase")</f>
        <v>Amazon Prime Chase</v>
      </c>
      <c r="E733" s="79" t="str">
        <f>IFERROR(__xludf.DUMMYFUNCTION("""COMPUTED_VALUE"""),"Household")</f>
        <v>Household</v>
      </c>
      <c r="F733" s="79" t="str">
        <f>IFERROR(__xludf.DUMMYFUNCTION("""COMPUTED_VALUE"""),"Gil")</f>
        <v>Gil</v>
      </c>
      <c r="G733" s="107">
        <f t="shared" si="1"/>
        <v>16.82</v>
      </c>
      <c r="H733" s="108" t="str">
        <f t="shared" si="2"/>
        <v>Oct</v>
      </c>
    </row>
    <row r="734">
      <c r="A734" s="106">
        <f>IFERROR(__xludf.DUMMYFUNCTION("""COMPUTED_VALUE"""),45579.0)</f>
        <v>45579</v>
      </c>
      <c r="B734" s="103">
        <f>IFERROR(__xludf.DUMMYFUNCTION("""COMPUTED_VALUE"""),31.68)</f>
        <v>31.68</v>
      </c>
      <c r="C734" s="79" t="str">
        <f>IFERROR(__xludf.DUMMYFUNCTION("""COMPUTED_VALUE"""),"Amazon - Philips Hue Smart Button")</f>
        <v>Amazon - Philips Hue Smart Button</v>
      </c>
      <c r="D734" s="79" t="str">
        <f>IFERROR(__xludf.DUMMYFUNCTION("""COMPUTED_VALUE"""),"Amazon Prime Chase")</f>
        <v>Amazon Prime Chase</v>
      </c>
      <c r="E734" s="79" t="str">
        <f>IFERROR(__xludf.DUMMYFUNCTION("""COMPUTED_VALUE"""),"Household")</f>
        <v>Household</v>
      </c>
      <c r="F734" s="79" t="str">
        <f>IFERROR(__xludf.DUMMYFUNCTION("""COMPUTED_VALUE"""),"Gil")</f>
        <v>Gil</v>
      </c>
      <c r="G734" s="107">
        <f t="shared" si="1"/>
        <v>15.84</v>
      </c>
      <c r="H734" s="108" t="str">
        <f t="shared" si="2"/>
        <v>Oct</v>
      </c>
    </row>
    <row r="735">
      <c r="A735" s="106">
        <f>IFERROR(__xludf.DUMMYFUNCTION("""COMPUTED_VALUE"""),45578.0)</f>
        <v>45578</v>
      </c>
      <c r="B735" s="103">
        <f>IFERROR(__xludf.DUMMYFUNCTION("""COMPUTED_VALUE"""),39.99)</f>
        <v>39.99</v>
      </c>
      <c r="C735" s="79" t="str">
        <f>IFERROR(__xludf.DUMMYFUNCTION("""COMPUTED_VALUE"""),"Amazon - Hooga Bulb")</f>
        <v>Amazon - Hooga Bulb</v>
      </c>
      <c r="D735" s="79" t="str">
        <f>IFERROR(__xludf.DUMMYFUNCTION("""COMPUTED_VALUE"""),"Amazon Prime Chase")</f>
        <v>Amazon Prime Chase</v>
      </c>
      <c r="E735" s="79" t="str">
        <f>IFERROR(__xludf.DUMMYFUNCTION("""COMPUTED_VALUE"""),"Personal")</f>
        <v>Personal</v>
      </c>
      <c r="F735" s="79" t="str">
        <f>IFERROR(__xludf.DUMMYFUNCTION("""COMPUTED_VALUE"""),"Gil")</f>
        <v>Gil</v>
      </c>
      <c r="G735" s="107">
        <f t="shared" si="1"/>
        <v>19.995</v>
      </c>
      <c r="H735" s="108" t="str">
        <f t="shared" si="2"/>
        <v>Oct</v>
      </c>
    </row>
    <row r="736">
      <c r="A736" s="106">
        <f>IFERROR(__xludf.DUMMYFUNCTION("""COMPUTED_VALUE"""),45577.0)</f>
        <v>45577</v>
      </c>
      <c r="B736" s="103">
        <f>IFERROR(__xludf.DUMMYFUNCTION("""COMPUTED_VALUE"""),61.76)</f>
        <v>61.76</v>
      </c>
      <c r="C736" s="79" t="str">
        <f>IFERROR(__xludf.DUMMYFUNCTION("""COMPUTED_VALUE"""),"Amazon - Jonathan Adler (Tissue Cover, Face, S&amp;P, Coasters)")</f>
        <v>Amazon - Jonathan Adler (Tissue Cover, Face, S&amp;P, Coasters)</v>
      </c>
      <c r="D736" s="79" t="str">
        <f>IFERROR(__xludf.DUMMYFUNCTION("""COMPUTED_VALUE"""),"Amazon Prime Chase")</f>
        <v>Amazon Prime Chase</v>
      </c>
      <c r="E736" s="79" t="str">
        <f>IFERROR(__xludf.DUMMYFUNCTION("""COMPUTED_VALUE"""),"Household")</f>
        <v>Household</v>
      </c>
      <c r="F736" s="79" t="str">
        <f>IFERROR(__xludf.DUMMYFUNCTION("""COMPUTED_VALUE"""),"Gil")</f>
        <v>Gil</v>
      </c>
      <c r="G736" s="107">
        <f t="shared" si="1"/>
        <v>30.88</v>
      </c>
      <c r="H736" s="108" t="str">
        <f t="shared" si="2"/>
        <v>Oct</v>
      </c>
    </row>
    <row r="737">
      <c r="A737" s="106">
        <f>IFERROR(__xludf.DUMMYFUNCTION("""COMPUTED_VALUE"""),45583.0)</f>
        <v>45583</v>
      </c>
      <c r="B737" s="103">
        <f>IFERROR(__xludf.DUMMYFUNCTION("""COMPUTED_VALUE"""),16.32)</f>
        <v>16.32</v>
      </c>
      <c r="C737" s="79" t="str">
        <f>IFERROR(__xludf.DUMMYFUNCTION("""COMPUTED_VALUE"""),"Amazon Prime Sub")</f>
        <v>Amazon Prime Sub</v>
      </c>
      <c r="D737" s="79" t="str">
        <f>IFERROR(__xludf.DUMMYFUNCTION("""COMPUTED_VALUE"""),"Amazon Prime Chase")</f>
        <v>Amazon Prime Chase</v>
      </c>
      <c r="E737" s="79" t="str">
        <f>IFERROR(__xludf.DUMMYFUNCTION("""COMPUTED_VALUE"""),"Subscriptions")</f>
        <v>Subscriptions</v>
      </c>
      <c r="F737" s="79" t="str">
        <f>IFERROR(__xludf.DUMMYFUNCTION("""COMPUTED_VALUE"""),"Gil")</f>
        <v>Gil</v>
      </c>
      <c r="G737" s="107">
        <f t="shared" si="1"/>
        <v>8.16</v>
      </c>
      <c r="H737" s="108" t="str">
        <f t="shared" si="2"/>
        <v>Oct</v>
      </c>
    </row>
    <row r="738">
      <c r="A738" s="106">
        <f>IFERROR(__xludf.DUMMYFUNCTION("""COMPUTED_VALUE"""),45584.0)</f>
        <v>45584</v>
      </c>
      <c r="B738" s="103">
        <f>IFERROR(__xludf.DUMMYFUNCTION("""COMPUTED_VALUE"""),29.65)</f>
        <v>29.65</v>
      </c>
      <c r="C738" s="79" t="str">
        <f>IFERROR(__xludf.DUMMYFUNCTION("""COMPUTED_VALUE"""),"Amazon - Omega 3 DHA Capsules")</f>
        <v>Amazon - Omega 3 DHA Capsules</v>
      </c>
      <c r="D738" s="79" t="str">
        <f>IFERROR(__xludf.DUMMYFUNCTION("""COMPUTED_VALUE"""),"Amazon Prime Chase")</f>
        <v>Amazon Prime Chase</v>
      </c>
      <c r="E738" s="79" t="str">
        <f>IFERROR(__xludf.DUMMYFUNCTION("""COMPUTED_VALUE"""),"Personal")</f>
        <v>Personal</v>
      </c>
      <c r="F738" s="79" t="str">
        <f>IFERROR(__xludf.DUMMYFUNCTION("""COMPUTED_VALUE"""),"Gil")</f>
        <v>Gil</v>
      </c>
      <c r="G738" s="107">
        <f t="shared" si="1"/>
        <v>14.825</v>
      </c>
      <c r="H738" s="108" t="str">
        <f t="shared" si="2"/>
        <v>Oct</v>
      </c>
    </row>
    <row r="739">
      <c r="A739" s="106">
        <f>IFERROR(__xludf.DUMMYFUNCTION("""COMPUTED_VALUE"""),45594.0)</f>
        <v>45594</v>
      </c>
      <c r="B739" s="103">
        <f>IFERROR(__xludf.DUMMYFUNCTION("""COMPUTED_VALUE"""),-16.45)</f>
        <v>-16.45</v>
      </c>
      <c r="C739" s="79" t="str">
        <f>IFERROR(__xludf.DUMMYFUNCTION("""COMPUTED_VALUE"""),"Rewards Redemption")</f>
        <v>Rewards Redemption</v>
      </c>
      <c r="D739" s="79" t="str">
        <f>IFERROR(__xludf.DUMMYFUNCTION("""COMPUTED_VALUE"""),"Amazon Prime Chase")</f>
        <v>Amazon Prime Chase</v>
      </c>
      <c r="E739" s="79" t="str">
        <f>IFERROR(__xludf.DUMMYFUNCTION("""COMPUTED_VALUE"""),"Household")</f>
        <v>Household</v>
      </c>
      <c r="F739" s="79" t="str">
        <f>IFERROR(__xludf.DUMMYFUNCTION("""COMPUTED_VALUE"""),"Gil")</f>
        <v>Gil</v>
      </c>
      <c r="G739" s="107">
        <f t="shared" si="1"/>
        <v>-8.225</v>
      </c>
      <c r="H739" s="108" t="str">
        <f t="shared" si="2"/>
        <v>Oct</v>
      </c>
    </row>
    <row r="740">
      <c r="A740" s="106">
        <f>IFERROR(__xludf.DUMMYFUNCTION("""COMPUTED_VALUE"""),45546.0)</f>
        <v>45546</v>
      </c>
      <c r="B740" s="103">
        <f>IFERROR(__xludf.DUMMYFUNCTION("""COMPUTED_VALUE"""),80.15)</f>
        <v>80.15</v>
      </c>
      <c r="C740" s="79" t="str">
        <f>IFERROR(__xludf.DUMMYFUNCTION("""COMPUTED_VALUE"""),"SO Studio - Chase Amazon Prime")</f>
        <v>SO Studio - Chase Amazon Prime</v>
      </c>
      <c r="D740" s="79" t="str">
        <f>IFERROR(__xludf.DUMMYFUNCTION("""COMPUTED_VALUE"""),"Shaeffer ONLY")</f>
        <v>Shaeffer ONLY</v>
      </c>
      <c r="E740" s="79"/>
      <c r="F740" s="79" t="str">
        <f>IFERROR(__xludf.DUMMYFUNCTION("""COMPUTED_VALUE"""),"Gil")</f>
        <v>Gil</v>
      </c>
      <c r="G740" s="107">
        <f t="shared" si="1"/>
        <v>40.075</v>
      </c>
      <c r="H740" s="108" t="str">
        <f t="shared" si="2"/>
        <v>Sep</v>
      </c>
    </row>
    <row r="741">
      <c r="A741" s="106">
        <f>IFERROR(__xludf.DUMMYFUNCTION("""COMPUTED_VALUE"""),45597.0)</f>
        <v>45597</v>
      </c>
      <c r="B741" s="103">
        <f>IFERROR(__xludf.DUMMYFUNCTION("""COMPUTED_VALUE"""),2700.0)</f>
        <v>2700</v>
      </c>
      <c r="C741" s="79" t="str">
        <f>IFERROR(__xludf.DUMMYFUNCTION("""COMPUTED_VALUE"""),"November rent")</f>
        <v>November rent</v>
      </c>
      <c r="D741" s="79" t="str">
        <f>IFERROR(__xludf.DUMMYFUNCTION("""COMPUTED_VALUE"""),"Checking")</f>
        <v>Checking</v>
      </c>
      <c r="E741" s="79" t="str">
        <f>IFERROR(__xludf.DUMMYFUNCTION("""COMPUTED_VALUE"""),"Rent")</f>
        <v>Rent</v>
      </c>
      <c r="F741" s="79" t="str">
        <f>IFERROR(__xludf.DUMMYFUNCTION("""COMPUTED_VALUE"""),"Shaeffer")</f>
        <v>Shaeffer</v>
      </c>
      <c r="G741" s="107">
        <f t="shared" si="1"/>
        <v>1350</v>
      </c>
      <c r="H741" s="108" t="str">
        <f t="shared" si="2"/>
        <v>Nov</v>
      </c>
    </row>
    <row r="742">
      <c r="A742" s="106">
        <f>IFERROR(__xludf.DUMMYFUNCTION("""COMPUTED_VALUE"""),45597.0)</f>
        <v>45597</v>
      </c>
      <c r="B742" s="103">
        <f>IFERROR(__xludf.DUMMYFUNCTION("""COMPUTED_VALUE"""),28.12)</f>
        <v>28.12</v>
      </c>
      <c r="C742" s="79" t="str">
        <f>IFERROR(__xludf.DUMMYFUNCTION("""COMPUTED_VALUE"""),"Windsor Farms Market")</f>
        <v>Windsor Farms Market</v>
      </c>
      <c r="D742" s="79" t="str">
        <f>IFERROR(__xludf.DUMMYFUNCTION("""COMPUTED_VALUE"""),"Amex Blue")</f>
        <v>Amex Blue</v>
      </c>
      <c r="E742" s="79" t="str">
        <f>IFERROR(__xludf.DUMMYFUNCTION("""COMPUTED_VALUE"""),"Groceries")</f>
        <v>Groceries</v>
      </c>
      <c r="F742" s="79" t="str">
        <f>IFERROR(__xludf.DUMMYFUNCTION("""COMPUTED_VALUE"""),"Gil")</f>
        <v>Gil</v>
      </c>
      <c r="G742" s="107">
        <f t="shared" si="1"/>
        <v>14.06</v>
      </c>
      <c r="H742" s="108" t="str">
        <f t="shared" si="2"/>
        <v>Nov</v>
      </c>
    </row>
    <row r="743">
      <c r="A743" s="106">
        <f>IFERROR(__xludf.DUMMYFUNCTION("""COMPUTED_VALUE"""),45598.0)</f>
        <v>45598</v>
      </c>
      <c r="B743" s="103">
        <f>IFERROR(__xludf.DUMMYFUNCTION("""COMPUTED_VALUE"""),29.06)</f>
        <v>29.06</v>
      </c>
      <c r="C743" s="79" t="str">
        <f>IFERROR(__xludf.DUMMYFUNCTION("""COMPUTED_VALUE"""),"La Cabra")</f>
        <v>La Cabra</v>
      </c>
      <c r="D743" s="79" t="str">
        <f>IFERROR(__xludf.DUMMYFUNCTION("""COMPUTED_VALUE"""),"Amex Gold")</f>
        <v>Amex Gold</v>
      </c>
      <c r="E743" s="79" t="str">
        <f>IFERROR(__xludf.DUMMYFUNCTION("""COMPUTED_VALUE"""),"Meals")</f>
        <v>Meals</v>
      </c>
      <c r="F743" s="79" t="str">
        <f>IFERROR(__xludf.DUMMYFUNCTION("""COMPUTED_VALUE"""),"Gil")</f>
        <v>Gil</v>
      </c>
      <c r="G743" s="107">
        <f t="shared" si="1"/>
        <v>14.53</v>
      </c>
      <c r="H743" s="108" t="str">
        <f t="shared" si="2"/>
        <v>Nov</v>
      </c>
    </row>
    <row r="744">
      <c r="A744" s="106">
        <f>IFERROR(__xludf.DUMMYFUNCTION("""COMPUTED_VALUE"""),45599.0)</f>
        <v>45599</v>
      </c>
      <c r="B744" s="103">
        <f>IFERROR(__xludf.DUMMYFUNCTION("""COMPUTED_VALUE"""),67.5)</f>
        <v>67.5</v>
      </c>
      <c r="C744" s="79" t="str">
        <f>IFERROR(__xludf.DUMMYFUNCTION("""COMPUTED_VALUE"""),"Rhodora")</f>
        <v>Rhodora</v>
      </c>
      <c r="D744" s="79" t="str">
        <f>IFERROR(__xludf.DUMMYFUNCTION("""COMPUTED_VALUE"""),"Amex Gold")</f>
        <v>Amex Gold</v>
      </c>
      <c r="E744" s="79" t="str">
        <f>IFERROR(__xludf.DUMMYFUNCTION("""COMPUTED_VALUE"""),"Alcohol/Weed")</f>
        <v>Alcohol/Weed</v>
      </c>
      <c r="F744" s="79" t="str">
        <f>IFERROR(__xludf.DUMMYFUNCTION("""COMPUTED_VALUE"""),"Gil")</f>
        <v>Gil</v>
      </c>
      <c r="G744" s="107">
        <f t="shared" si="1"/>
        <v>33.75</v>
      </c>
      <c r="H744" s="108" t="str">
        <f t="shared" si="2"/>
        <v>Nov</v>
      </c>
    </row>
    <row r="745">
      <c r="A745" s="106">
        <f>IFERROR(__xludf.DUMMYFUNCTION("""COMPUTED_VALUE"""),45599.0)</f>
        <v>45599</v>
      </c>
      <c r="B745" s="103">
        <f>IFERROR(__xludf.DUMMYFUNCTION("""COMPUTED_VALUE"""),147.51)</f>
        <v>147.51</v>
      </c>
      <c r="C745" s="79" t="str">
        <f>IFERROR(__xludf.DUMMYFUNCTION("""COMPUTED_VALUE"""),"The Rockwell Place")</f>
        <v>The Rockwell Place</v>
      </c>
      <c r="D745" s="79" t="str">
        <f>IFERROR(__xludf.DUMMYFUNCTION("""COMPUTED_VALUE"""),"Amex Gold")</f>
        <v>Amex Gold</v>
      </c>
      <c r="E745" s="79" t="str">
        <f>IFERROR(__xludf.DUMMYFUNCTION("""COMPUTED_VALUE"""),"Meals")</f>
        <v>Meals</v>
      </c>
      <c r="F745" s="79" t="str">
        <f>IFERROR(__xludf.DUMMYFUNCTION("""COMPUTED_VALUE"""),"Gil")</f>
        <v>Gil</v>
      </c>
      <c r="G745" s="107">
        <f t="shared" si="1"/>
        <v>73.755</v>
      </c>
      <c r="H745" s="108" t="str">
        <f t="shared" si="2"/>
        <v>Nov</v>
      </c>
    </row>
    <row r="746">
      <c r="A746" s="106">
        <f>IFERROR(__xludf.DUMMYFUNCTION("""COMPUTED_VALUE"""),45597.0)</f>
        <v>45597</v>
      </c>
      <c r="B746" s="103">
        <f>IFERROR(__xludf.DUMMYFUNCTION("""COMPUTED_VALUE"""),10.62)</f>
        <v>10.62</v>
      </c>
      <c r="C746" s="79" t="str">
        <f>IFERROR(__xludf.DUMMYFUNCTION("""COMPUTED_VALUE"""),"UberEats - Ice delivery")</f>
        <v>UberEats - Ice delivery</v>
      </c>
      <c r="D746" s="79" t="str">
        <f>IFERROR(__xludf.DUMMYFUNCTION("""COMPUTED_VALUE"""),"Capital ONE")</f>
        <v>Capital ONE</v>
      </c>
      <c r="E746" s="79" t="str">
        <f>IFERROR(__xludf.DUMMYFUNCTION("""COMPUTED_VALUE"""),"Entertainment")</f>
        <v>Entertainment</v>
      </c>
      <c r="F746" s="79" t="str">
        <f>IFERROR(__xludf.DUMMYFUNCTION("""COMPUTED_VALUE"""),"Gil")</f>
        <v>Gil</v>
      </c>
      <c r="G746" s="107">
        <f t="shared" si="1"/>
        <v>5.31</v>
      </c>
      <c r="H746" s="108" t="str">
        <f t="shared" si="2"/>
        <v>Nov</v>
      </c>
    </row>
    <row r="747">
      <c r="A747" s="106">
        <f>IFERROR(__xludf.DUMMYFUNCTION("""COMPUTED_VALUE"""),45597.0)</f>
        <v>45597</v>
      </c>
      <c r="B747" s="103">
        <f>IFERROR(__xludf.DUMMYFUNCTION("""COMPUTED_VALUE"""),331.25)</f>
        <v>331.25</v>
      </c>
      <c r="C747" s="79" t="str">
        <f>IFERROR(__xludf.DUMMYFUNCTION("""COMPUTED_VALUE"""),"236 Moore St. #38")</f>
        <v>236 Moore St. #38</v>
      </c>
      <c r="D747" s="79" t="str">
        <f>IFERROR(__xludf.DUMMYFUNCTION("""COMPUTED_VALUE"""),"Checking")</f>
        <v>Checking</v>
      </c>
      <c r="E747" s="79" t="str">
        <f>IFERROR(__xludf.DUMMYFUNCTION("""COMPUTED_VALUE"""),"Storage")</f>
        <v>Storage</v>
      </c>
      <c r="F747" s="79" t="str">
        <f>IFERROR(__xludf.DUMMYFUNCTION("""COMPUTED_VALUE"""),"Gil")</f>
        <v>Gil</v>
      </c>
      <c r="G747" s="107">
        <f t="shared" si="1"/>
        <v>165.625</v>
      </c>
      <c r="H747" s="108" t="str">
        <f t="shared" si="2"/>
        <v>Nov</v>
      </c>
    </row>
    <row r="748">
      <c r="A748" s="106">
        <f>IFERROR(__xludf.DUMMYFUNCTION("""COMPUTED_VALUE"""),45598.0)</f>
        <v>45598</v>
      </c>
      <c r="B748" s="103">
        <f>IFERROR(__xludf.DUMMYFUNCTION("""COMPUTED_VALUE"""),23.0)</f>
        <v>23</v>
      </c>
      <c r="C748" s="79" t="str">
        <f>IFERROR(__xludf.DUMMYFUNCTION("""COMPUTED_VALUE"""),"Lemonade")</f>
        <v>Lemonade</v>
      </c>
      <c r="D748" s="79" t="str">
        <f>IFERROR(__xludf.DUMMYFUNCTION("""COMPUTED_VALUE"""),"Amazon Prime Chase")</f>
        <v>Amazon Prime Chase</v>
      </c>
      <c r="E748" s="79" t="str">
        <f>IFERROR(__xludf.DUMMYFUNCTION("""COMPUTED_VALUE"""),"Insurance")</f>
        <v>Insurance</v>
      </c>
      <c r="F748" s="79" t="str">
        <f>IFERROR(__xludf.DUMMYFUNCTION("""COMPUTED_VALUE"""),"Gil")</f>
        <v>Gil</v>
      </c>
      <c r="G748" s="107">
        <f t="shared" si="1"/>
        <v>11.5</v>
      </c>
      <c r="H748" s="108" t="str">
        <f t="shared" si="2"/>
        <v>Nov</v>
      </c>
    </row>
    <row r="749">
      <c r="A749" s="106">
        <f>IFERROR(__xludf.DUMMYFUNCTION("""COMPUTED_VALUE"""),45597.0)</f>
        <v>45597</v>
      </c>
      <c r="B749" s="103">
        <f>IFERROR(__xludf.DUMMYFUNCTION("""COMPUTED_VALUE"""),10.41)</f>
        <v>10.41</v>
      </c>
      <c r="C749" s="79" t="str">
        <f>IFERROR(__xludf.DUMMYFUNCTION("""COMPUTED_VALUE"""),"Amazon S&amp;S - Nitrile Gloves")</f>
        <v>Amazon S&amp;S - Nitrile Gloves</v>
      </c>
      <c r="D749" s="79" t="str">
        <f>IFERROR(__xludf.DUMMYFUNCTION("""COMPUTED_VALUE"""),"Amazon Prime Chase")</f>
        <v>Amazon Prime Chase</v>
      </c>
      <c r="E749" s="79" t="str">
        <f>IFERROR(__xludf.DUMMYFUNCTION("""COMPUTED_VALUE"""),"Household")</f>
        <v>Household</v>
      </c>
      <c r="F749" s="79" t="str">
        <f>IFERROR(__xludf.DUMMYFUNCTION("""COMPUTED_VALUE"""),"Gil")</f>
        <v>Gil</v>
      </c>
      <c r="G749" s="107">
        <f t="shared" si="1"/>
        <v>5.205</v>
      </c>
      <c r="H749" s="108" t="str">
        <f t="shared" si="2"/>
        <v>Nov</v>
      </c>
    </row>
    <row r="750">
      <c r="A750" s="106">
        <f>IFERROR(__xludf.DUMMYFUNCTION("""COMPUTED_VALUE"""),45598.0)</f>
        <v>45598</v>
      </c>
      <c r="B750" s="103">
        <f>IFERROR(__xludf.DUMMYFUNCTION("""COMPUTED_VALUE"""),26.57)</f>
        <v>26.57</v>
      </c>
      <c r="C750" s="79" t="str">
        <f>IFERROR(__xludf.DUMMYFUNCTION("""COMPUTED_VALUE"""),"Amazon S&amp;S - Avocado Oil")</f>
        <v>Amazon S&amp;S - Avocado Oil</v>
      </c>
      <c r="D750" s="79" t="str">
        <f>IFERROR(__xludf.DUMMYFUNCTION("""COMPUTED_VALUE"""),"Amazon Prime Chase")</f>
        <v>Amazon Prime Chase</v>
      </c>
      <c r="E750" s="79" t="str">
        <f>IFERROR(__xludf.DUMMYFUNCTION("""COMPUTED_VALUE"""),"Groceries")</f>
        <v>Groceries</v>
      </c>
      <c r="F750" s="79" t="str">
        <f>IFERROR(__xludf.DUMMYFUNCTION("""COMPUTED_VALUE"""),"Gil")</f>
        <v>Gil</v>
      </c>
      <c r="G750" s="107">
        <f t="shared" si="1"/>
        <v>13.285</v>
      </c>
      <c r="H750" s="108" t="str">
        <f t="shared" si="2"/>
        <v>Nov</v>
      </c>
    </row>
    <row r="751">
      <c r="A751" s="106">
        <f>IFERROR(__xludf.DUMMYFUNCTION("""COMPUTED_VALUE"""),45598.0)</f>
        <v>45598</v>
      </c>
      <c r="B751" s="103">
        <f>IFERROR(__xludf.DUMMYFUNCTION("""COMPUTED_VALUE"""),13.87)</f>
        <v>13.87</v>
      </c>
      <c r="C751" s="79" t="str">
        <f>IFERROR(__xludf.DUMMYFUNCTION("""COMPUTED_VALUE"""),"Amazon S&amp;S - Nano Towels")</f>
        <v>Amazon S&amp;S - Nano Towels</v>
      </c>
      <c r="D751" s="79" t="str">
        <f>IFERROR(__xludf.DUMMYFUNCTION("""COMPUTED_VALUE"""),"Amazon Prime Chase")</f>
        <v>Amazon Prime Chase</v>
      </c>
      <c r="E751" s="79" t="str">
        <f>IFERROR(__xludf.DUMMYFUNCTION("""COMPUTED_VALUE"""),"Household")</f>
        <v>Household</v>
      </c>
      <c r="F751" s="79" t="str">
        <f>IFERROR(__xludf.DUMMYFUNCTION("""COMPUTED_VALUE"""),"Gil")</f>
        <v>Gil</v>
      </c>
      <c r="G751" s="107">
        <f t="shared" si="1"/>
        <v>6.935</v>
      </c>
      <c r="H751" s="108" t="str">
        <f t="shared" si="2"/>
        <v>Nov</v>
      </c>
    </row>
    <row r="752">
      <c r="A752" s="106">
        <f>IFERROR(__xludf.DUMMYFUNCTION("""COMPUTED_VALUE"""),45595.0)</f>
        <v>45595</v>
      </c>
      <c r="B752" s="103">
        <f>IFERROR(__xludf.DUMMYFUNCTION("""COMPUTED_VALUE"""),60.9)</f>
        <v>60.9</v>
      </c>
      <c r="C752" s="79" t="str">
        <f>IFERROR(__xludf.DUMMYFUNCTION("""COMPUTED_VALUE"""),"Whole Foods - 112-6896273-4337825")</f>
        <v>Whole Foods - 112-6896273-4337825</v>
      </c>
      <c r="D752" s="79" t="str">
        <f>IFERROR(__xludf.DUMMYFUNCTION("""COMPUTED_VALUE"""),"Amazon Prime Chase")</f>
        <v>Amazon Prime Chase</v>
      </c>
      <c r="E752" s="79" t="str">
        <f>IFERROR(__xludf.DUMMYFUNCTION("""COMPUTED_VALUE"""),"Groceries")</f>
        <v>Groceries</v>
      </c>
      <c r="F752" s="79" t="str">
        <f>IFERROR(__xludf.DUMMYFUNCTION("""COMPUTED_VALUE"""),"Gil")</f>
        <v>Gil</v>
      </c>
      <c r="G752" s="107">
        <f t="shared" si="1"/>
        <v>30.45</v>
      </c>
      <c r="H752" s="108" t="str">
        <f t="shared" si="2"/>
        <v>Oct</v>
      </c>
    </row>
    <row r="753">
      <c r="A753" s="106">
        <f>IFERROR(__xludf.DUMMYFUNCTION("""COMPUTED_VALUE"""),45598.0)</f>
        <v>45598</v>
      </c>
      <c r="B753" s="103">
        <f>IFERROR(__xludf.DUMMYFUNCTION("""COMPUTED_VALUE"""),23.13)</f>
        <v>23.13</v>
      </c>
      <c r="C753" s="79" t="str">
        <f>IFERROR(__xludf.DUMMYFUNCTION("""COMPUTED_VALUE"""),"Amazon S&amp;S - Yuzu")</f>
        <v>Amazon S&amp;S - Yuzu</v>
      </c>
      <c r="D753" s="79" t="str">
        <f>IFERROR(__xludf.DUMMYFUNCTION("""COMPUTED_VALUE"""),"Amazon Prime Chase")</f>
        <v>Amazon Prime Chase</v>
      </c>
      <c r="E753" s="79" t="str">
        <f>IFERROR(__xludf.DUMMYFUNCTION("""COMPUTED_VALUE"""),"Groceries")</f>
        <v>Groceries</v>
      </c>
      <c r="F753" s="79" t="str">
        <f>IFERROR(__xludf.DUMMYFUNCTION("""COMPUTED_VALUE"""),"Gil")</f>
        <v>Gil</v>
      </c>
      <c r="G753" s="107">
        <f t="shared" si="1"/>
        <v>11.565</v>
      </c>
      <c r="H753" s="108" t="str">
        <f t="shared" si="2"/>
        <v>Nov</v>
      </c>
    </row>
    <row r="754">
      <c r="A754" s="106">
        <f>IFERROR(__xludf.DUMMYFUNCTION("""COMPUTED_VALUE"""),45598.0)</f>
        <v>45598</v>
      </c>
      <c r="B754" s="103">
        <f>IFERROR(__xludf.DUMMYFUNCTION("""COMPUTED_VALUE"""),18.65)</f>
        <v>18.65</v>
      </c>
      <c r="C754" s="79" t="str">
        <f>IFERROR(__xludf.DUMMYFUNCTION("""COMPUTED_VALUE"""),"Amazon S&amp;S - Belmont Peanuts")</f>
        <v>Amazon S&amp;S - Belmont Peanuts</v>
      </c>
      <c r="D754" s="79" t="str">
        <f>IFERROR(__xludf.DUMMYFUNCTION("""COMPUTED_VALUE"""),"Amazon Prime Chase")</f>
        <v>Amazon Prime Chase</v>
      </c>
      <c r="E754" s="79" t="str">
        <f>IFERROR(__xludf.DUMMYFUNCTION("""COMPUTED_VALUE"""),"Groceries")</f>
        <v>Groceries</v>
      </c>
      <c r="F754" s="79" t="str">
        <f>IFERROR(__xludf.DUMMYFUNCTION("""COMPUTED_VALUE"""),"Gil")</f>
        <v>Gil</v>
      </c>
      <c r="G754" s="107">
        <f t="shared" si="1"/>
        <v>9.325</v>
      </c>
      <c r="H754" s="108" t="str">
        <f t="shared" si="2"/>
        <v>Nov</v>
      </c>
    </row>
    <row r="755">
      <c r="A755" s="106">
        <f>IFERROR(__xludf.DUMMYFUNCTION("""COMPUTED_VALUE"""),45595.0)</f>
        <v>45595</v>
      </c>
      <c r="B755" s="103">
        <f>IFERROR(__xludf.DUMMYFUNCTION("""COMPUTED_VALUE"""),7.25)</f>
        <v>7.25</v>
      </c>
      <c r="C755" s="79" t="str">
        <f>IFERROR(__xludf.DUMMYFUNCTION("""COMPUTED_VALUE"""),"Amazon - Sodium Citrate")</f>
        <v>Amazon - Sodium Citrate</v>
      </c>
      <c r="D755" s="79" t="str">
        <f>IFERROR(__xludf.DUMMYFUNCTION("""COMPUTED_VALUE"""),"Amazon Prime Chase")</f>
        <v>Amazon Prime Chase</v>
      </c>
      <c r="E755" s="79" t="str">
        <f>IFERROR(__xludf.DUMMYFUNCTION("""COMPUTED_VALUE"""),"Groceries")</f>
        <v>Groceries</v>
      </c>
      <c r="F755" s="79" t="str">
        <f>IFERROR(__xludf.DUMMYFUNCTION("""COMPUTED_VALUE"""),"Gil")</f>
        <v>Gil</v>
      </c>
      <c r="G755" s="107">
        <f t="shared" si="1"/>
        <v>3.625</v>
      </c>
      <c r="H755" s="108" t="str">
        <f t="shared" si="2"/>
        <v>Oct</v>
      </c>
    </row>
    <row r="756">
      <c r="A756" s="106">
        <f>IFERROR(__xludf.DUMMYFUNCTION("""COMPUTED_VALUE"""),45598.0)</f>
        <v>45598</v>
      </c>
      <c r="B756" s="103">
        <f>IFERROR(__xludf.DUMMYFUNCTION("""COMPUTED_VALUE"""),28.5)</f>
        <v>28.5</v>
      </c>
      <c r="C756" s="79" t="str">
        <f>IFERROR(__xludf.DUMMYFUNCTION("""COMPUTED_VALUE"""),"Amazon S&amp;S - Neuro-Mag")</f>
        <v>Amazon S&amp;S - Neuro-Mag</v>
      </c>
      <c r="D756" s="79" t="str">
        <f>IFERROR(__xludf.DUMMYFUNCTION("""COMPUTED_VALUE"""),"Amazon Prime Chase")</f>
        <v>Amazon Prime Chase</v>
      </c>
      <c r="E756" s="79" t="str">
        <f>IFERROR(__xludf.DUMMYFUNCTION("""COMPUTED_VALUE"""),"Personal")</f>
        <v>Personal</v>
      </c>
      <c r="F756" s="79" t="str">
        <f>IFERROR(__xludf.DUMMYFUNCTION("""COMPUTED_VALUE"""),"Gil")</f>
        <v>Gil</v>
      </c>
      <c r="G756" s="107">
        <f t="shared" si="1"/>
        <v>14.25</v>
      </c>
      <c r="H756" s="108" t="str">
        <f t="shared" si="2"/>
        <v>Nov</v>
      </c>
    </row>
    <row r="757">
      <c r="A757" s="106">
        <f>IFERROR(__xludf.DUMMYFUNCTION("""COMPUTED_VALUE"""),45594.0)</f>
        <v>45594</v>
      </c>
      <c r="B757" s="103">
        <f>IFERROR(__xludf.DUMMYFUNCTION("""COMPUTED_VALUE"""),76.5)</f>
        <v>76.5</v>
      </c>
      <c r="C757" s="79" t="str">
        <f>IFERROR(__xludf.DUMMYFUNCTION("""COMPUTED_VALUE"""),"Amazon - Tablecloths")</f>
        <v>Amazon - Tablecloths</v>
      </c>
      <c r="D757" s="79" t="str">
        <f>IFERROR(__xludf.DUMMYFUNCTION("""COMPUTED_VALUE"""),"Amazon Prime Chase")</f>
        <v>Amazon Prime Chase</v>
      </c>
      <c r="E757" s="79" t="str">
        <f>IFERROR(__xludf.DUMMYFUNCTION("""COMPUTED_VALUE"""),"Household")</f>
        <v>Household</v>
      </c>
      <c r="F757" s="79" t="str">
        <f>IFERROR(__xludf.DUMMYFUNCTION("""COMPUTED_VALUE"""),"Gil")</f>
        <v>Gil</v>
      </c>
      <c r="G757" s="107">
        <f t="shared" si="1"/>
        <v>38.25</v>
      </c>
      <c r="H757" s="108" t="str">
        <f t="shared" si="2"/>
        <v>Oct</v>
      </c>
    </row>
    <row r="758">
      <c r="A758" s="106">
        <f>IFERROR(__xludf.DUMMYFUNCTION("""COMPUTED_VALUE"""),45598.0)</f>
        <v>45598</v>
      </c>
      <c r="B758" s="103">
        <f>IFERROR(__xludf.DUMMYFUNCTION("""COMPUTED_VALUE"""),17.62)</f>
        <v>17.62</v>
      </c>
      <c r="C758" s="79" t="str">
        <f>IFERROR(__xludf.DUMMYFUNCTION("""COMPUTED_VALUE"""),"Amazon S&amp;S - Seventh Generation Liquid Dish Soap")</f>
        <v>Amazon S&amp;S - Seventh Generation Liquid Dish Soap</v>
      </c>
      <c r="D758" s="79" t="str">
        <f>IFERROR(__xludf.DUMMYFUNCTION("""COMPUTED_VALUE"""),"Amazon Prime Chase")</f>
        <v>Amazon Prime Chase</v>
      </c>
      <c r="E758" s="79" t="str">
        <f>IFERROR(__xludf.DUMMYFUNCTION("""COMPUTED_VALUE"""),"Household")</f>
        <v>Household</v>
      </c>
      <c r="F758" s="79" t="str">
        <f>IFERROR(__xludf.DUMMYFUNCTION("""COMPUTED_VALUE"""),"Gil")</f>
        <v>Gil</v>
      </c>
      <c r="G758" s="107">
        <f t="shared" si="1"/>
        <v>8.81</v>
      </c>
      <c r="H758" s="108" t="str">
        <f t="shared" si="2"/>
        <v>Nov</v>
      </c>
    </row>
    <row r="759">
      <c r="A759" s="106">
        <f>IFERROR(__xludf.DUMMYFUNCTION("""COMPUTED_VALUE"""),45598.0)</f>
        <v>45598</v>
      </c>
      <c r="B759" s="103">
        <f>IFERROR(__xludf.DUMMYFUNCTION("""COMPUTED_VALUE"""),72.18)</f>
        <v>72.18</v>
      </c>
      <c r="C759" s="79" t="str">
        <f>IFERROR(__xludf.DUMMYFUNCTION("""COMPUTED_VALUE"""),"Amazon S&amp;S - Avene Eau Thermale RetrinAL")</f>
        <v>Amazon S&amp;S - Avene Eau Thermale RetrinAL</v>
      </c>
      <c r="D759" s="79" t="str">
        <f>IFERROR(__xludf.DUMMYFUNCTION("""COMPUTED_VALUE"""),"Amazon Prime Chase")</f>
        <v>Amazon Prime Chase</v>
      </c>
      <c r="E759" s="79" t="str">
        <f>IFERROR(__xludf.DUMMYFUNCTION("""COMPUTED_VALUE"""),"Personal")</f>
        <v>Personal</v>
      </c>
      <c r="F759" s="79" t="str">
        <f>IFERROR(__xludf.DUMMYFUNCTION("""COMPUTED_VALUE"""),"Gil")</f>
        <v>Gil</v>
      </c>
      <c r="G759" s="107">
        <f t="shared" si="1"/>
        <v>36.09</v>
      </c>
      <c r="H759" s="108" t="str">
        <f t="shared" si="2"/>
        <v>Nov</v>
      </c>
    </row>
    <row r="760">
      <c r="A760" s="106">
        <f>IFERROR(__xludf.DUMMYFUNCTION("""COMPUTED_VALUE"""),45594.0)</f>
        <v>45594</v>
      </c>
      <c r="B760" s="103">
        <f>IFERROR(__xludf.DUMMYFUNCTION("""COMPUTED_VALUE"""),123.49)</f>
        <v>123.49</v>
      </c>
      <c r="C760" s="79" t="str">
        <f>IFERROR(__xludf.DUMMYFUNCTION("""COMPUTED_VALUE"""),"Whole Foods")</f>
        <v>Whole Foods</v>
      </c>
      <c r="D760" s="79" t="str">
        <f>IFERROR(__xludf.DUMMYFUNCTION("""COMPUTED_VALUE"""),"Amazon Prime Chase")</f>
        <v>Amazon Prime Chase</v>
      </c>
      <c r="E760" s="79" t="str">
        <f>IFERROR(__xludf.DUMMYFUNCTION("""COMPUTED_VALUE"""),"Groceries")</f>
        <v>Groceries</v>
      </c>
      <c r="F760" s="79" t="str">
        <f>IFERROR(__xludf.DUMMYFUNCTION("""COMPUTED_VALUE"""),"Gil")</f>
        <v>Gil</v>
      </c>
      <c r="G760" s="107">
        <f t="shared" si="1"/>
        <v>61.745</v>
      </c>
      <c r="H760" s="108" t="str">
        <f t="shared" si="2"/>
        <v>Oct</v>
      </c>
    </row>
    <row r="761">
      <c r="A761" s="106">
        <f>IFERROR(__xludf.DUMMYFUNCTION("""COMPUTED_VALUE"""),45598.0)</f>
        <v>45598</v>
      </c>
      <c r="B761" s="103">
        <f>IFERROR(__xludf.DUMMYFUNCTION("""COMPUTED_VALUE"""),51.72)</f>
        <v>51.72</v>
      </c>
      <c r="C761" s="79" t="str">
        <f>IFERROR(__xludf.DUMMYFUNCTION("""COMPUTED_VALUE"""),"Amazon S&amp;S - Tea Tree Oil Shampoo")</f>
        <v>Amazon S&amp;S - Tea Tree Oil Shampoo</v>
      </c>
      <c r="D761" s="79" t="str">
        <f>IFERROR(__xludf.DUMMYFUNCTION("""COMPUTED_VALUE"""),"Amazon Prime Chase")</f>
        <v>Amazon Prime Chase</v>
      </c>
      <c r="E761" s="79" t="str">
        <f>IFERROR(__xludf.DUMMYFUNCTION("""COMPUTED_VALUE"""),"Household")</f>
        <v>Household</v>
      </c>
      <c r="F761" s="79" t="str">
        <f>IFERROR(__xludf.DUMMYFUNCTION("""COMPUTED_VALUE"""),"Gil")</f>
        <v>Gil</v>
      </c>
      <c r="G761" s="107">
        <f t="shared" si="1"/>
        <v>25.86</v>
      </c>
      <c r="H761" s="108" t="str">
        <f t="shared" si="2"/>
        <v>Nov</v>
      </c>
    </row>
    <row r="762">
      <c r="A762" s="106">
        <f>IFERROR(__xludf.DUMMYFUNCTION("""COMPUTED_VALUE"""),45598.0)</f>
        <v>45598</v>
      </c>
      <c r="B762" s="103">
        <f>IFERROR(__xludf.DUMMYFUNCTION("""COMPUTED_VALUE"""),7.26)</f>
        <v>7.26</v>
      </c>
      <c r="C762" s="79" t="str">
        <f>IFERROR(__xludf.DUMMYFUNCTION("""COMPUTED_VALUE"""),"Amazon S&amp;S - Almonds")</f>
        <v>Amazon S&amp;S - Almonds</v>
      </c>
      <c r="D762" s="79" t="str">
        <f>IFERROR(__xludf.DUMMYFUNCTION("""COMPUTED_VALUE"""),"Amazon Prime Chase")</f>
        <v>Amazon Prime Chase</v>
      </c>
      <c r="E762" s="79" t="str">
        <f>IFERROR(__xludf.DUMMYFUNCTION("""COMPUTED_VALUE"""),"Groceries")</f>
        <v>Groceries</v>
      </c>
      <c r="F762" s="79" t="str">
        <f>IFERROR(__xludf.DUMMYFUNCTION("""COMPUTED_VALUE"""),"Gil")</f>
        <v>Gil</v>
      </c>
      <c r="G762" s="107">
        <f t="shared" si="1"/>
        <v>3.63</v>
      </c>
      <c r="H762" s="108" t="str">
        <f t="shared" si="2"/>
        <v>Nov</v>
      </c>
    </row>
    <row r="763">
      <c r="A763" s="106">
        <f>IFERROR(__xludf.DUMMYFUNCTION("""COMPUTED_VALUE"""),45598.0)</f>
        <v>45598</v>
      </c>
      <c r="B763" s="103">
        <f>IFERROR(__xludf.DUMMYFUNCTION("""COMPUTED_VALUE"""),24.22)</f>
        <v>24.22</v>
      </c>
      <c r="C763" s="79" t="str">
        <f>IFERROR(__xludf.DUMMYFUNCTION("""COMPUTED_VALUE"""),"Amazon S&amp;S - Vital Proteins Collagen Peptides")</f>
        <v>Amazon S&amp;S - Vital Proteins Collagen Peptides</v>
      </c>
      <c r="D763" s="79" t="str">
        <f>IFERROR(__xludf.DUMMYFUNCTION("""COMPUTED_VALUE"""),"Amazon Prime Chase")</f>
        <v>Amazon Prime Chase</v>
      </c>
      <c r="E763" s="79" t="str">
        <f>IFERROR(__xludf.DUMMYFUNCTION("""COMPUTED_VALUE"""),"Personal")</f>
        <v>Personal</v>
      </c>
      <c r="F763" s="79" t="str">
        <f>IFERROR(__xludf.DUMMYFUNCTION("""COMPUTED_VALUE"""),"Gil")</f>
        <v>Gil</v>
      </c>
      <c r="G763" s="107">
        <f t="shared" si="1"/>
        <v>12.11</v>
      </c>
      <c r="H763" s="108" t="str">
        <f t="shared" si="2"/>
        <v>Nov</v>
      </c>
    </row>
    <row r="764">
      <c r="A764" s="106">
        <f>IFERROR(__xludf.DUMMYFUNCTION("""COMPUTED_VALUE"""),45588.0)</f>
        <v>45588</v>
      </c>
      <c r="B764" s="103">
        <f>IFERROR(__xludf.DUMMYFUNCTION("""COMPUTED_VALUE"""),10.88)</f>
        <v>10.88</v>
      </c>
      <c r="C764" s="79" t="str">
        <f>IFERROR(__xludf.DUMMYFUNCTION("""COMPUTED_VALUE"""),"Amazon - Snail")</f>
        <v>Amazon - Snail</v>
      </c>
      <c r="D764" s="79" t="str">
        <f>IFERROR(__xludf.DUMMYFUNCTION("""COMPUTED_VALUE"""),"Amazon Prime Chase")</f>
        <v>Amazon Prime Chase</v>
      </c>
      <c r="E764" s="79" t="str">
        <f>IFERROR(__xludf.DUMMYFUNCTION("""COMPUTED_VALUE"""),"Household")</f>
        <v>Household</v>
      </c>
      <c r="F764" s="79" t="str">
        <f>IFERROR(__xludf.DUMMYFUNCTION("""COMPUTED_VALUE"""),"Gil")</f>
        <v>Gil</v>
      </c>
      <c r="G764" s="107">
        <f t="shared" si="1"/>
        <v>5.44</v>
      </c>
      <c r="H764" s="108" t="str">
        <f t="shared" si="2"/>
        <v>Oct</v>
      </c>
    </row>
    <row r="765">
      <c r="A765" s="106">
        <f>IFERROR(__xludf.DUMMYFUNCTION("""COMPUTED_VALUE"""),45598.0)</f>
        <v>45598</v>
      </c>
      <c r="B765" s="103">
        <f>IFERROR(__xludf.DUMMYFUNCTION("""COMPUTED_VALUE"""),23.56)</f>
        <v>23.56</v>
      </c>
      <c r="C765" s="79" t="str">
        <f>IFERROR(__xludf.DUMMYFUNCTION("""COMPUTED_VALUE"""),"Amazon S&amp;S - Nano Towels")</f>
        <v>Amazon S&amp;S - Nano Towels</v>
      </c>
      <c r="D765" s="79" t="str">
        <f>IFERROR(__xludf.DUMMYFUNCTION("""COMPUTED_VALUE"""),"Amazon Prime Chase")</f>
        <v>Amazon Prime Chase</v>
      </c>
      <c r="E765" s="79" t="str">
        <f>IFERROR(__xludf.DUMMYFUNCTION("""COMPUTED_VALUE"""),"Household")</f>
        <v>Household</v>
      </c>
      <c r="F765" s="79" t="str">
        <f>IFERROR(__xludf.DUMMYFUNCTION("""COMPUTED_VALUE"""),"Gil")</f>
        <v>Gil</v>
      </c>
      <c r="G765" s="107">
        <f t="shared" si="1"/>
        <v>11.78</v>
      </c>
      <c r="H765" s="108" t="str">
        <f t="shared" si="2"/>
        <v>Nov</v>
      </c>
    </row>
    <row r="766">
      <c r="A766" s="106">
        <f>IFERROR(__xludf.DUMMYFUNCTION("""COMPUTED_VALUE"""),45600.0)</f>
        <v>45600</v>
      </c>
      <c r="B766" s="103">
        <f>IFERROR(__xludf.DUMMYFUNCTION("""COMPUTED_VALUE"""),6.01)</f>
        <v>6.01</v>
      </c>
      <c r="C766" s="79" t="str">
        <f>IFERROR(__xludf.DUMMYFUNCTION("""COMPUTED_VALUE"""),"Whole Foods")</f>
        <v>Whole Foods</v>
      </c>
      <c r="D766" s="79" t="str">
        <f>IFERROR(__xludf.DUMMYFUNCTION("""COMPUTED_VALUE"""),"Amex Blue")</f>
        <v>Amex Blue</v>
      </c>
      <c r="E766" s="79" t="str">
        <f>IFERROR(__xludf.DUMMYFUNCTION("""COMPUTED_VALUE"""),"Groceries")</f>
        <v>Groceries</v>
      </c>
      <c r="F766" s="79" t="str">
        <f>IFERROR(__xludf.DUMMYFUNCTION("""COMPUTED_VALUE"""),"Gil")</f>
        <v>Gil</v>
      </c>
      <c r="G766" s="107">
        <f t="shared" si="1"/>
        <v>3.005</v>
      </c>
      <c r="H766" s="108" t="str">
        <f t="shared" si="2"/>
        <v>Nov</v>
      </c>
    </row>
    <row r="767">
      <c r="A767" s="106">
        <f>IFERROR(__xludf.DUMMYFUNCTION("""COMPUTED_VALUE"""),45592.0)</f>
        <v>45592</v>
      </c>
      <c r="B767" s="103">
        <f>IFERROR(__xludf.DUMMYFUNCTION("""COMPUTED_VALUE"""),15.14)</f>
        <v>15.14</v>
      </c>
      <c r="C767" s="79" t="str">
        <f>IFERROR(__xludf.DUMMYFUNCTION("""COMPUTED_VALUE"""),"Mr. Lemon")</f>
        <v>Mr. Lemon</v>
      </c>
      <c r="D767" s="79" t="str">
        <f>IFERROR(__xludf.DUMMYFUNCTION("""COMPUTED_VALUE"""),"Amex Gold")</f>
        <v>Amex Gold</v>
      </c>
      <c r="E767" s="79" t="str">
        <f>IFERROR(__xludf.DUMMYFUNCTION("""COMPUTED_VALUE"""),"Groceries")</f>
        <v>Groceries</v>
      </c>
      <c r="F767" s="79" t="str">
        <f>IFERROR(__xludf.DUMMYFUNCTION("""COMPUTED_VALUE"""),"Gil")</f>
        <v>Gil</v>
      </c>
      <c r="G767" s="107">
        <f t="shared" si="1"/>
        <v>7.57</v>
      </c>
      <c r="H767" s="108" t="str">
        <f t="shared" si="2"/>
        <v>Oct</v>
      </c>
    </row>
    <row r="768">
      <c r="A768" s="106">
        <f>IFERROR(__xludf.DUMMYFUNCTION("""COMPUTED_VALUE"""),45585.0)</f>
        <v>45585</v>
      </c>
      <c r="B768" s="103">
        <f>IFERROR(__xludf.DUMMYFUNCTION("""COMPUTED_VALUE"""),8.35)</f>
        <v>8.35</v>
      </c>
      <c r="C768" s="79" t="str">
        <f>IFERROR(__xludf.DUMMYFUNCTION("""COMPUTED_VALUE"""),"Ace Hardware")</f>
        <v>Ace Hardware</v>
      </c>
      <c r="D768" s="79" t="str">
        <f>IFERROR(__xludf.DUMMYFUNCTION("""COMPUTED_VALUE"""),"Amex Gold")</f>
        <v>Amex Gold</v>
      </c>
      <c r="E768" s="79" t="str">
        <f>IFERROR(__xludf.DUMMYFUNCTION("""COMPUTED_VALUE"""),"Household")</f>
        <v>Household</v>
      </c>
      <c r="F768" s="79" t="str">
        <f>IFERROR(__xludf.DUMMYFUNCTION("""COMPUTED_VALUE"""),"Gil")</f>
        <v>Gil</v>
      </c>
      <c r="G768" s="107">
        <f t="shared" si="1"/>
        <v>4.175</v>
      </c>
      <c r="H768" s="108" t="str">
        <f t="shared" si="2"/>
        <v>Oct</v>
      </c>
    </row>
    <row r="769">
      <c r="A769" s="106">
        <f>IFERROR(__xludf.DUMMYFUNCTION("""COMPUTED_VALUE"""),45573.0)</f>
        <v>45573</v>
      </c>
      <c r="B769" s="103">
        <f>IFERROR(__xludf.DUMMYFUNCTION("""COMPUTED_VALUE"""),19.0)</f>
        <v>19</v>
      </c>
      <c r="C769" s="79" t="str">
        <f>IFERROR(__xludf.DUMMYFUNCTION("""COMPUTED_VALUE"""),"Birch Coffee")</f>
        <v>Birch Coffee</v>
      </c>
      <c r="D769" s="79" t="str">
        <f>IFERROR(__xludf.DUMMYFUNCTION("""COMPUTED_VALUE"""),"Amex Gold")</f>
        <v>Amex Gold</v>
      </c>
      <c r="E769" s="79" t="str">
        <f>IFERROR(__xludf.DUMMYFUNCTION("""COMPUTED_VALUE"""),"Household")</f>
        <v>Household</v>
      </c>
      <c r="F769" s="79" t="str">
        <f>IFERROR(__xludf.DUMMYFUNCTION("""COMPUTED_VALUE"""),"Gil")</f>
        <v>Gil</v>
      </c>
      <c r="G769" s="107">
        <f t="shared" si="1"/>
        <v>9.5</v>
      </c>
      <c r="H769" s="108" t="str">
        <f t="shared" si="2"/>
        <v>Oct</v>
      </c>
    </row>
    <row r="770">
      <c r="A770" s="106">
        <f>IFERROR(__xludf.DUMMYFUNCTION("""COMPUTED_VALUE"""),45596.0)</f>
        <v>45596</v>
      </c>
      <c r="B770" s="103">
        <f>IFERROR(__xludf.DUMMYFUNCTION("""COMPUTED_VALUE"""),162.1)</f>
        <v>162.1</v>
      </c>
      <c r="C770" s="79" t="str">
        <f>IFERROR(__xludf.DUMMYFUNCTION("""COMPUTED_VALUE"""),"Amex Blue - Shaeffer PP and MTA")</f>
        <v>Amex Blue - Shaeffer PP and MTA</v>
      </c>
      <c r="D770" s="79" t="str">
        <f>IFERROR(__xludf.DUMMYFUNCTION("""COMPUTED_VALUE"""),"Shaeffer ONLY")</f>
        <v>Shaeffer ONLY</v>
      </c>
      <c r="E770" s="79"/>
      <c r="F770" s="79" t="str">
        <f>IFERROR(__xludf.DUMMYFUNCTION("""COMPUTED_VALUE"""),"Gil")</f>
        <v>Gil</v>
      </c>
      <c r="G770" s="107">
        <f t="shared" si="1"/>
        <v>81.05</v>
      </c>
      <c r="H770" s="108" t="str">
        <f t="shared" si="2"/>
        <v>Oct</v>
      </c>
    </row>
    <row r="771">
      <c r="A771" s="106">
        <f>IFERROR(__xludf.DUMMYFUNCTION("""COMPUTED_VALUE"""),45604.0)</f>
        <v>45604</v>
      </c>
      <c r="B771" s="103">
        <f>IFERROR(__xludf.DUMMYFUNCTION("""COMPUTED_VALUE"""),12.0)</f>
        <v>12</v>
      </c>
      <c r="C771" s="79" t="str">
        <f>IFERROR(__xludf.DUMMYFUNCTION("""COMPUTED_VALUE"""),"Our Daily Bread")</f>
        <v>Our Daily Bread</v>
      </c>
      <c r="D771" s="79" t="str">
        <f>IFERROR(__xludf.DUMMYFUNCTION("""COMPUTED_VALUE"""),"Amex Blue")</f>
        <v>Amex Blue</v>
      </c>
      <c r="E771" s="79" t="str">
        <f>IFERROR(__xludf.DUMMYFUNCTION("""COMPUTED_VALUE"""),"Groceries")</f>
        <v>Groceries</v>
      </c>
      <c r="F771" s="79" t="str">
        <f>IFERROR(__xludf.DUMMYFUNCTION("""COMPUTED_VALUE"""),"Gil")</f>
        <v>Gil</v>
      </c>
      <c r="G771" s="107">
        <f t="shared" si="1"/>
        <v>6</v>
      </c>
      <c r="H771" s="108" t="str">
        <f t="shared" si="2"/>
        <v>Nov</v>
      </c>
    </row>
    <row r="772">
      <c r="A772" s="106">
        <f>IFERROR(__xludf.DUMMYFUNCTION("""COMPUTED_VALUE"""),45604.0)</f>
        <v>45604</v>
      </c>
      <c r="B772" s="103">
        <f>IFERROR(__xludf.DUMMYFUNCTION("""COMPUTED_VALUE"""),114.5)</f>
        <v>114.5</v>
      </c>
      <c r="C772" s="79" t="str">
        <f>IFERROR(__xludf.DUMMYFUNCTION("""COMPUTED_VALUE"""),"Farmer's Market - Camporosso")</f>
        <v>Farmer's Market - Camporosso</v>
      </c>
      <c r="D772" s="79" t="str">
        <f>IFERROR(__xludf.DUMMYFUNCTION("""COMPUTED_VALUE"""),"Cash")</f>
        <v>Cash</v>
      </c>
      <c r="E772" s="79" t="str">
        <f>IFERROR(__xludf.DUMMYFUNCTION("""COMPUTED_VALUE"""),"Groceries")</f>
        <v>Groceries</v>
      </c>
      <c r="F772" s="79" t="str">
        <f>IFERROR(__xludf.DUMMYFUNCTION("""COMPUTED_VALUE"""),"Gil")</f>
        <v>Gil</v>
      </c>
      <c r="G772" s="107">
        <f t="shared" si="1"/>
        <v>57.25</v>
      </c>
      <c r="H772" s="108" t="str">
        <f t="shared" si="2"/>
        <v>Nov</v>
      </c>
    </row>
    <row r="773">
      <c r="A773" s="106">
        <f>IFERROR(__xludf.DUMMYFUNCTION("""COMPUTED_VALUE"""),45590.0)</f>
        <v>45590</v>
      </c>
      <c r="B773" s="103">
        <f>IFERROR(__xludf.DUMMYFUNCTION("""COMPUTED_VALUE"""),50.84)</f>
        <v>50.84</v>
      </c>
      <c r="C773" s="79" t="str">
        <f>IFERROR(__xludf.DUMMYFUNCTION("""COMPUTED_VALUE"""),"Muji")</f>
        <v>Muji</v>
      </c>
      <c r="D773" s="79" t="str">
        <f>IFERROR(__xludf.DUMMYFUNCTION("""COMPUTED_VALUE"""),"Wells Fargo")</f>
        <v>Wells Fargo</v>
      </c>
      <c r="E773" s="79" t="str">
        <f>IFERROR(__xludf.DUMMYFUNCTION("""COMPUTED_VALUE"""),"Household")</f>
        <v>Household</v>
      </c>
      <c r="F773" s="79" t="str">
        <f>IFERROR(__xludf.DUMMYFUNCTION("""COMPUTED_VALUE"""),"Gil")</f>
        <v>Gil</v>
      </c>
      <c r="G773" s="107">
        <f t="shared" si="1"/>
        <v>25.42</v>
      </c>
      <c r="H773" s="108" t="str">
        <f t="shared" si="2"/>
        <v>Oct</v>
      </c>
    </row>
    <row r="774">
      <c r="A774" s="106">
        <f>IFERROR(__xludf.DUMMYFUNCTION("""COMPUTED_VALUE"""),45604.0)</f>
        <v>45604</v>
      </c>
      <c r="B774" s="103">
        <f>IFERROR(__xludf.DUMMYFUNCTION("""COMPUTED_VALUE"""),38.04)</f>
        <v>38.04</v>
      </c>
      <c r="C774" s="79" t="str">
        <f>IFERROR(__xludf.DUMMYFUNCTION("""COMPUTED_VALUE"""),"Whole Foods ")</f>
        <v>Whole Foods </v>
      </c>
      <c r="D774" s="79" t="str">
        <f>IFERROR(__xludf.DUMMYFUNCTION("""COMPUTED_VALUE"""),"Amex Blue")</f>
        <v>Amex Blue</v>
      </c>
      <c r="E774" s="79" t="str">
        <f>IFERROR(__xludf.DUMMYFUNCTION("""COMPUTED_VALUE"""),"Groceries")</f>
        <v>Groceries</v>
      </c>
      <c r="F774" s="79" t="str">
        <f>IFERROR(__xludf.DUMMYFUNCTION("""COMPUTED_VALUE"""),"Gil")</f>
        <v>Gil</v>
      </c>
      <c r="G774" s="107">
        <f t="shared" si="1"/>
        <v>19.02</v>
      </c>
      <c r="H774" s="108" t="str">
        <f t="shared" si="2"/>
        <v>Nov</v>
      </c>
    </row>
    <row r="775">
      <c r="A775" s="106">
        <f>IFERROR(__xludf.DUMMYFUNCTION("""COMPUTED_VALUE"""),45607.0)</f>
        <v>45607</v>
      </c>
      <c r="B775" s="103">
        <f>IFERROR(__xludf.DUMMYFUNCTION("""COMPUTED_VALUE"""),59.98)</f>
        <v>59.98</v>
      </c>
      <c r="C775" s="79" t="str">
        <f>IFERROR(__xludf.DUMMYFUNCTION("""COMPUTED_VALUE"""),"Vital Proteins Collagen - eBay")</f>
        <v>Vital Proteins Collagen - eBay</v>
      </c>
      <c r="D775" s="79" t="str">
        <f>IFERROR(__xludf.DUMMYFUNCTION("""COMPUTED_VALUE"""),"Wells Fargo")</f>
        <v>Wells Fargo</v>
      </c>
      <c r="E775" s="79" t="str">
        <f>IFERROR(__xludf.DUMMYFUNCTION("""COMPUTED_VALUE"""),"Groceries")</f>
        <v>Groceries</v>
      </c>
      <c r="F775" s="79" t="str">
        <f>IFERROR(__xludf.DUMMYFUNCTION("""COMPUTED_VALUE"""),"Gil")</f>
        <v>Gil</v>
      </c>
      <c r="G775" s="107">
        <f t="shared" si="1"/>
        <v>29.99</v>
      </c>
      <c r="H775" s="108" t="str">
        <f t="shared" si="2"/>
        <v>Nov</v>
      </c>
    </row>
    <row r="776">
      <c r="A776" s="106">
        <f>IFERROR(__xludf.DUMMYFUNCTION("""COMPUTED_VALUE"""),45606.0)</f>
        <v>45606</v>
      </c>
      <c r="B776" s="103">
        <f>IFERROR(__xludf.DUMMYFUNCTION("""COMPUTED_VALUE"""),21.25)</f>
        <v>21.25</v>
      </c>
      <c r="C776" s="79" t="str">
        <f>IFERROR(__xludf.DUMMYFUNCTION("""COMPUTED_VALUE"""),"Abraço")</f>
        <v>Abraço</v>
      </c>
      <c r="D776" s="79" t="str">
        <f>IFERROR(__xludf.DUMMYFUNCTION("""COMPUTED_VALUE"""),"Amex Gold")</f>
        <v>Amex Gold</v>
      </c>
      <c r="E776" s="79" t="str">
        <f>IFERROR(__xludf.DUMMYFUNCTION("""COMPUTED_VALUE"""),"Meals")</f>
        <v>Meals</v>
      </c>
      <c r="F776" s="79" t="str">
        <f>IFERROR(__xludf.DUMMYFUNCTION("""COMPUTED_VALUE"""),"Gil")</f>
        <v>Gil</v>
      </c>
      <c r="G776" s="107">
        <f t="shared" si="1"/>
        <v>10.625</v>
      </c>
      <c r="H776" s="108" t="str">
        <f t="shared" si="2"/>
        <v>Nov</v>
      </c>
    </row>
    <row r="777">
      <c r="A777" s="106">
        <f>IFERROR(__xludf.DUMMYFUNCTION("""COMPUTED_VALUE"""),45606.0)</f>
        <v>45606</v>
      </c>
      <c r="B777" s="103">
        <f>IFERROR(__xludf.DUMMYFUNCTION("""COMPUTED_VALUE"""),62.0)</f>
        <v>62</v>
      </c>
      <c r="C777" s="79" t="str">
        <f>IFERROR(__xludf.DUMMYFUNCTION("""COMPUTED_VALUE"""),"Great NY Noodletown")</f>
        <v>Great NY Noodletown</v>
      </c>
      <c r="D777" s="79" t="str">
        <f>IFERROR(__xludf.DUMMYFUNCTION("""COMPUTED_VALUE"""),"Cash")</f>
        <v>Cash</v>
      </c>
      <c r="E777" s="79" t="str">
        <f>IFERROR(__xludf.DUMMYFUNCTION("""COMPUTED_VALUE"""),"Meals")</f>
        <v>Meals</v>
      </c>
      <c r="F777" s="79" t="str">
        <f>IFERROR(__xludf.DUMMYFUNCTION("""COMPUTED_VALUE"""),"Gil")</f>
        <v>Gil</v>
      </c>
      <c r="G777" s="107">
        <f t="shared" si="1"/>
        <v>31</v>
      </c>
      <c r="H777" s="108" t="str">
        <f t="shared" si="2"/>
        <v>Nov</v>
      </c>
    </row>
    <row r="778">
      <c r="A778" s="106">
        <f>IFERROR(__xludf.DUMMYFUNCTION("""COMPUTED_VALUE"""),45607.0)</f>
        <v>45607</v>
      </c>
      <c r="B778" s="103">
        <f>IFERROR(__xludf.DUMMYFUNCTION("""COMPUTED_VALUE"""),47.02)</f>
        <v>47.02</v>
      </c>
      <c r="C778" s="79" t="str">
        <f>IFERROR(__xludf.DUMMYFUNCTION("""COMPUTED_VALUE"""),"National Grid")</f>
        <v>National Grid</v>
      </c>
      <c r="D778" s="79" t="str">
        <f>IFERROR(__xludf.DUMMYFUNCTION("""COMPUTED_VALUE"""),"Checking")</f>
        <v>Checking</v>
      </c>
      <c r="E778" s="79" t="str">
        <f>IFERROR(__xludf.DUMMYFUNCTION("""COMPUTED_VALUE"""),"Utilities")</f>
        <v>Utilities</v>
      </c>
      <c r="F778" s="79" t="str">
        <f>IFERROR(__xludf.DUMMYFUNCTION("""COMPUTED_VALUE"""),"Gil")</f>
        <v>Gil</v>
      </c>
      <c r="G778" s="107">
        <f t="shared" si="1"/>
        <v>23.51</v>
      </c>
      <c r="H778" s="108" t="str">
        <f t="shared" si="2"/>
        <v>Nov</v>
      </c>
    </row>
    <row r="779">
      <c r="A779" s="106">
        <f>IFERROR(__xludf.DUMMYFUNCTION("""COMPUTED_VALUE"""),45608.0)</f>
        <v>45608</v>
      </c>
      <c r="B779" s="103">
        <f>IFERROR(__xludf.DUMMYFUNCTION("""COMPUTED_VALUE"""),40.88)</f>
        <v>40.88</v>
      </c>
      <c r="C779" s="79" t="str">
        <f>IFERROR(__xludf.DUMMYFUNCTION("""COMPUTED_VALUE"""),"H-Mart")</f>
        <v>H-Mart</v>
      </c>
      <c r="D779" s="79" t="str">
        <f>IFERROR(__xludf.DUMMYFUNCTION("""COMPUTED_VALUE"""),"Amex Blue")</f>
        <v>Amex Blue</v>
      </c>
      <c r="E779" s="79" t="str">
        <f>IFERROR(__xludf.DUMMYFUNCTION("""COMPUTED_VALUE"""),"Groceries")</f>
        <v>Groceries</v>
      </c>
      <c r="F779" s="79" t="str">
        <f>IFERROR(__xludf.DUMMYFUNCTION("""COMPUTED_VALUE"""),"Gil")</f>
        <v>Gil</v>
      </c>
      <c r="G779" s="107">
        <f t="shared" si="1"/>
        <v>20.44</v>
      </c>
      <c r="H779" s="108" t="str">
        <f t="shared" si="2"/>
        <v>Nov</v>
      </c>
    </row>
    <row r="780">
      <c r="A780" s="106">
        <f>IFERROR(__xludf.DUMMYFUNCTION("""COMPUTED_VALUE"""),45608.0)</f>
        <v>45608</v>
      </c>
      <c r="B780" s="103">
        <f>IFERROR(__xludf.DUMMYFUNCTION("""COMPUTED_VALUE"""),-73.49)</f>
        <v>-73.49</v>
      </c>
      <c r="C780" s="79" t="str">
        <f>IFERROR(__xludf.DUMMYFUNCTION("""COMPUTED_VALUE"""),"Chase Amazon Prime Card point redemption")</f>
        <v>Chase Amazon Prime Card point redemption</v>
      </c>
      <c r="D780" s="79" t="str">
        <f>IFERROR(__xludf.DUMMYFUNCTION("""COMPUTED_VALUE"""),"Amazon Prime Chase")</f>
        <v>Amazon Prime Chase</v>
      </c>
      <c r="E780" s="79" t="str">
        <f>IFERROR(__xludf.DUMMYFUNCTION("""COMPUTED_VALUE"""),"Household")</f>
        <v>Household</v>
      </c>
      <c r="F780" s="79" t="str">
        <f>IFERROR(__xludf.DUMMYFUNCTION("""COMPUTED_VALUE"""),"Gil")</f>
        <v>Gil</v>
      </c>
      <c r="G780" s="107">
        <f t="shared" si="1"/>
        <v>-36.745</v>
      </c>
      <c r="H780" s="108" t="str">
        <f t="shared" si="2"/>
        <v>Nov</v>
      </c>
    </row>
    <row r="781">
      <c r="A781" s="106">
        <f>IFERROR(__xludf.DUMMYFUNCTION("""COMPUTED_VALUE"""),45608.0)</f>
        <v>45608</v>
      </c>
      <c r="B781" s="103">
        <f>IFERROR(__xludf.DUMMYFUNCTION("""COMPUTED_VALUE"""),-67.42)</f>
        <v>-67.42</v>
      </c>
      <c r="C781" s="79" t="str">
        <f>IFERROR(__xludf.DUMMYFUNCTION("""COMPUTED_VALUE"""),"Amex Blue points redemption")</f>
        <v>Amex Blue points redemption</v>
      </c>
      <c r="D781" s="79" t="str">
        <f>IFERROR(__xludf.DUMMYFUNCTION("""COMPUTED_VALUE"""),"Amex Blue")</f>
        <v>Amex Blue</v>
      </c>
      <c r="E781" s="79" t="str">
        <f>IFERROR(__xludf.DUMMYFUNCTION("""COMPUTED_VALUE"""),"Groceries")</f>
        <v>Groceries</v>
      </c>
      <c r="F781" s="79" t="str">
        <f>IFERROR(__xludf.DUMMYFUNCTION("""COMPUTED_VALUE"""),"Gil")</f>
        <v>Gil</v>
      </c>
      <c r="G781" s="107">
        <f t="shared" si="1"/>
        <v>-33.71</v>
      </c>
      <c r="H781" s="108" t="str">
        <f t="shared" si="2"/>
        <v>Nov</v>
      </c>
    </row>
    <row r="782">
      <c r="A782" s="106">
        <f>IFERROR(__xludf.DUMMYFUNCTION("""COMPUTED_VALUE"""),45608.0)</f>
        <v>45608</v>
      </c>
      <c r="B782" s="103">
        <f>IFERROR(__xludf.DUMMYFUNCTION("""COMPUTED_VALUE"""),-30.11)</f>
        <v>-30.11</v>
      </c>
      <c r="C782" s="79" t="str">
        <f>IFERROR(__xludf.DUMMYFUNCTION("""COMPUTED_VALUE"""),"Amex Gold points redemption")</f>
        <v>Amex Gold points redemption</v>
      </c>
      <c r="D782" s="79" t="str">
        <f>IFERROR(__xludf.DUMMYFUNCTION("""COMPUTED_VALUE"""),"Amex Gold")</f>
        <v>Amex Gold</v>
      </c>
      <c r="E782" s="79" t="str">
        <f>IFERROR(__xludf.DUMMYFUNCTION("""COMPUTED_VALUE"""),"Meals")</f>
        <v>Meals</v>
      </c>
      <c r="F782" s="79" t="str">
        <f>IFERROR(__xludf.DUMMYFUNCTION("""COMPUTED_VALUE"""),"Gil")</f>
        <v>Gil</v>
      </c>
      <c r="G782" s="107">
        <f t="shared" si="1"/>
        <v>-15.055</v>
      </c>
      <c r="H782" s="108" t="str">
        <f t="shared" si="2"/>
        <v>Nov</v>
      </c>
    </row>
    <row r="783">
      <c r="A783" s="106">
        <f>IFERROR(__xludf.DUMMYFUNCTION("""COMPUTED_VALUE"""),45610.0)</f>
        <v>45610</v>
      </c>
      <c r="B783" s="103">
        <f>IFERROR(__xludf.DUMMYFUNCTION("""COMPUTED_VALUE"""),44.35)</f>
        <v>44.35</v>
      </c>
      <c r="C783" s="79" t="str">
        <f>IFERROR(__xludf.DUMMYFUNCTION("""COMPUTED_VALUE"""),"Hudson Grace")</f>
        <v>Hudson Grace</v>
      </c>
      <c r="D783" s="79" t="str">
        <f>IFERROR(__xludf.DUMMYFUNCTION("""COMPUTED_VALUE"""),"Amex Gold")</f>
        <v>Amex Gold</v>
      </c>
      <c r="E783" s="79" t="str">
        <f>IFERROR(__xludf.DUMMYFUNCTION("""COMPUTED_VALUE"""),"Household")</f>
        <v>Household</v>
      </c>
      <c r="F783" s="79" t="str">
        <f>IFERROR(__xludf.DUMMYFUNCTION("""COMPUTED_VALUE"""),"Gil")</f>
        <v>Gil</v>
      </c>
      <c r="G783" s="107">
        <f t="shared" si="1"/>
        <v>22.175</v>
      </c>
      <c r="H783" s="108" t="str">
        <f t="shared" si="2"/>
        <v>Nov</v>
      </c>
    </row>
    <row r="784">
      <c r="A784" s="106">
        <f>IFERROR(__xludf.DUMMYFUNCTION("""COMPUTED_VALUE"""),45611.0)</f>
        <v>45611</v>
      </c>
      <c r="B784" s="103">
        <f>IFERROR(__xludf.DUMMYFUNCTION("""COMPUTED_VALUE"""),11.0)</f>
        <v>11</v>
      </c>
      <c r="C784" s="79" t="str">
        <f>IFERROR(__xludf.DUMMYFUNCTION("""COMPUTED_VALUE"""),"Our Daily Bread")</f>
        <v>Our Daily Bread</v>
      </c>
      <c r="D784" s="79" t="str">
        <f>IFERROR(__xludf.DUMMYFUNCTION("""COMPUTED_VALUE"""),"Amex Blue")</f>
        <v>Amex Blue</v>
      </c>
      <c r="E784" s="79" t="str">
        <f>IFERROR(__xludf.DUMMYFUNCTION("""COMPUTED_VALUE"""),"Groceries")</f>
        <v>Groceries</v>
      </c>
      <c r="F784" s="79" t="str">
        <f>IFERROR(__xludf.DUMMYFUNCTION("""COMPUTED_VALUE"""),"Gil")</f>
        <v>Gil</v>
      </c>
      <c r="G784" s="107">
        <f t="shared" si="1"/>
        <v>5.5</v>
      </c>
      <c r="H784" s="108" t="str">
        <f t="shared" si="2"/>
        <v>Nov</v>
      </c>
    </row>
    <row r="785">
      <c r="A785" s="106">
        <f>IFERROR(__xludf.DUMMYFUNCTION("""COMPUTED_VALUE"""),45611.0)</f>
        <v>45611</v>
      </c>
      <c r="B785" s="103">
        <f>IFERROR(__xludf.DUMMYFUNCTION("""COMPUTED_VALUE"""),58.0)</f>
        <v>58</v>
      </c>
      <c r="C785" s="79" t="str">
        <f>IFERROR(__xludf.DUMMYFUNCTION("""COMPUTED_VALUE"""),"Farmer's Market - Camporosso")</f>
        <v>Farmer's Market - Camporosso</v>
      </c>
      <c r="D785" s="79" t="str">
        <f>IFERROR(__xludf.DUMMYFUNCTION("""COMPUTED_VALUE"""),"Cash")</f>
        <v>Cash</v>
      </c>
      <c r="E785" s="79" t="str">
        <f>IFERROR(__xludf.DUMMYFUNCTION("""COMPUTED_VALUE"""),"Groceries")</f>
        <v>Groceries</v>
      </c>
      <c r="F785" s="79" t="str">
        <f>IFERROR(__xludf.DUMMYFUNCTION("""COMPUTED_VALUE"""),"Gil")</f>
        <v>Gil</v>
      </c>
      <c r="G785" s="107">
        <f t="shared" si="1"/>
        <v>29</v>
      </c>
      <c r="H785" s="108" t="str">
        <f t="shared" si="2"/>
        <v>Nov</v>
      </c>
    </row>
    <row r="786">
      <c r="A786" s="106">
        <f>IFERROR(__xludf.DUMMYFUNCTION("""COMPUTED_VALUE"""),45612.0)</f>
        <v>45612</v>
      </c>
      <c r="B786" s="103">
        <f>IFERROR(__xludf.DUMMYFUNCTION("""COMPUTED_VALUE"""),74.68)</f>
        <v>74.68</v>
      </c>
      <c r="C786" s="79" t="str">
        <f>IFERROR(__xludf.DUMMYFUNCTION("""COMPUTED_VALUE"""),"Dickson's ")</f>
        <v>Dickson's </v>
      </c>
      <c r="D786" s="79" t="str">
        <f>IFERROR(__xludf.DUMMYFUNCTION("""COMPUTED_VALUE"""),"Amex Blue")</f>
        <v>Amex Blue</v>
      </c>
      <c r="E786" s="79" t="str">
        <f>IFERROR(__xludf.DUMMYFUNCTION("""COMPUTED_VALUE"""),"Groceries")</f>
        <v>Groceries</v>
      </c>
      <c r="F786" s="79" t="str">
        <f>IFERROR(__xludf.DUMMYFUNCTION("""COMPUTED_VALUE"""),"Gil")</f>
        <v>Gil</v>
      </c>
      <c r="G786" s="107">
        <f t="shared" si="1"/>
        <v>37.34</v>
      </c>
      <c r="H786" s="108" t="str">
        <f t="shared" si="2"/>
        <v>Nov</v>
      </c>
    </row>
    <row r="787">
      <c r="A787" s="106">
        <f>IFERROR(__xludf.DUMMYFUNCTION("""COMPUTED_VALUE"""),45566.0)</f>
        <v>45566</v>
      </c>
      <c r="B787" s="103">
        <f>IFERROR(__xludf.DUMMYFUNCTION("""COMPUTED_VALUE"""),331.25)</f>
        <v>331.25</v>
      </c>
      <c r="C787" s="79" t="str">
        <f>IFERROR(__xludf.DUMMYFUNCTION("""COMPUTED_VALUE"""),"236 Moore St. #38")</f>
        <v>236 Moore St. #38</v>
      </c>
      <c r="D787" s="79" t="str">
        <f>IFERROR(__xludf.DUMMYFUNCTION("""COMPUTED_VALUE"""),"Checking")</f>
        <v>Checking</v>
      </c>
      <c r="E787" s="79" t="str">
        <f>IFERROR(__xludf.DUMMYFUNCTION("""COMPUTED_VALUE"""),"Storage")</f>
        <v>Storage</v>
      </c>
      <c r="F787" s="79" t="str">
        <f>IFERROR(__xludf.DUMMYFUNCTION("""COMPUTED_VALUE"""),"Gil")</f>
        <v>Gil</v>
      </c>
      <c r="G787" s="107">
        <f t="shared" si="1"/>
        <v>165.625</v>
      </c>
      <c r="H787" s="108" t="str">
        <f t="shared" si="2"/>
        <v>Oct</v>
      </c>
    </row>
    <row r="788">
      <c r="A788" s="106">
        <f>IFERROR(__xludf.DUMMYFUNCTION("""COMPUTED_VALUE"""),45612.0)</f>
        <v>45612</v>
      </c>
      <c r="B788" s="103">
        <f>IFERROR(__xludf.DUMMYFUNCTION("""COMPUTED_VALUE"""),80.63)</f>
        <v>80.63</v>
      </c>
      <c r="C788" s="79" t="str">
        <f>IFERROR(__xludf.DUMMYFUNCTION("""COMPUTED_VALUE"""),"Rebalancing extra Storage Rent entry 1/3/24")</f>
        <v>Rebalancing extra Storage Rent entry 1/3/24</v>
      </c>
      <c r="D788" s="79" t="str">
        <f>IFERROR(__xludf.DUMMYFUNCTION("""COMPUTED_VALUE"""),"Shaeffer ONLY")</f>
        <v>Shaeffer ONLY</v>
      </c>
      <c r="E788" s="79"/>
      <c r="F788" s="79" t="str">
        <f>IFERROR(__xludf.DUMMYFUNCTION("""COMPUTED_VALUE"""),"Gil")</f>
        <v>Gil</v>
      </c>
      <c r="G788" s="107">
        <f t="shared" si="1"/>
        <v>40.315</v>
      </c>
      <c r="H788" s="108" t="str">
        <f t="shared" si="2"/>
        <v>Nov</v>
      </c>
    </row>
    <row r="789">
      <c r="A789" s="106">
        <f>IFERROR(__xludf.DUMMYFUNCTION("""COMPUTED_VALUE"""),45613.0)</f>
        <v>45613</v>
      </c>
      <c r="B789" s="103">
        <f>IFERROR(__xludf.DUMMYFUNCTION("""COMPUTED_VALUE"""),10.71)</f>
        <v>10.71</v>
      </c>
      <c r="C789" s="79" t="str">
        <f>IFERROR(__xludf.DUMMYFUNCTION("""COMPUTED_VALUE"""),"Variety Coffee")</f>
        <v>Variety Coffee</v>
      </c>
      <c r="D789" s="79" t="str">
        <f>IFERROR(__xludf.DUMMYFUNCTION("""COMPUTED_VALUE"""),"Amex Gold")</f>
        <v>Amex Gold</v>
      </c>
      <c r="E789" s="79" t="str">
        <f>IFERROR(__xludf.DUMMYFUNCTION("""COMPUTED_VALUE"""),"Meals")</f>
        <v>Meals</v>
      </c>
      <c r="F789" s="79" t="str">
        <f>IFERROR(__xludf.DUMMYFUNCTION("""COMPUTED_VALUE"""),"Gil")</f>
        <v>Gil</v>
      </c>
      <c r="G789" s="107">
        <f t="shared" si="1"/>
        <v>5.355</v>
      </c>
      <c r="H789" s="108" t="str">
        <f t="shared" si="2"/>
        <v>Nov</v>
      </c>
    </row>
    <row r="790">
      <c r="A790" s="106">
        <f>IFERROR(__xludf.DUMMYFUNCTION("""COMPUTED_VALUE"""),45612.0)</f>
        <v>45612</v>
      </c>
      <c r="B790" s="103">
        <f>IFERROR(__xludf.DUMMYFUNCTION("""COMPUTED_VALUE"""),59.88)</f>
        <v>59.88</v>
      </c>
      <c r="C790" s="79" t="str">
        <f>IFERROR(__xludf.DUMMYFUNCTION("""COMPUTED_VALUE"""),"El Jefe Taco Truck")</f>
        <v>El Jefe Taco Truck</v>
      </c>
      <c r="D790" s="79" t="str">
        <f>IFERROR(__xludf.DUMMYFUNCTION("""COMPUTED_VALUE"""),"Amex Gold")</f>
        <v>Amex Gold</v>
      </c>
      <c r="E790" s="79" t="str">
        <f>IFERROR(__xludf.DUMMYFUNCTION("""COMPUTED_VALUE"""),"Meals")</f>
        <v>Meals</v>
      </c>
      <c r="F790" s="79" t="str">
        <f>IFERROR(__xludf.DUMMYFUNCTION("""COMPUTED_VALUE"""),"Gil")</f>
        <v>Gil</v>
      </c>
      <c r="G790" s="107">
        <f t="shared" si="1"/>
        <v>29.94</v>
      </c>
      <c r="H790" s="108" t="str">
        <f t="shared" si="2"/>
        <v>Nov</v>
      </c>
    </row>
    <row r="791">
      <c r="A791" s="106">
        <f>IFERROR(__xludf.DUMMYFUNCTION("""COMPUTED_VALUE"""),45577.0)</f>
        <v>45577</v>
      </c>
      <c r="B791" s="103">
        <f>IFERROR(__xludf.DUMMYFUNCTION("""COMPUTED_VALUE"""),39.25)</f>
        <v>39.25</v>
      </c>
      <c r="C791" s="79" t="str">
        <f>IFERROR(__xludf.DUMMYFUNCTION("""COMPUTED_VALUE"""),"Uber Eats - Klom Klorm")</f>
        <v>Uber Eats - Klom Klorm</v>
      </c>
      <c r="D791" s="79" t="str">
        <f>IFERROR(__xludf.DUMMYFUNCTION("""COMPUTED_VALUE"""),"Capital ONE")</f>
        <v>Capital ONE</v>
      </c>
      <c r="E791" s="79" t="str">
        <f>IFERROR(__xludf.DUMMYFUNCTION("""COMPUTED_VALUE"""),"Meals")</f>
        <v>Meals</v>
      </c>
      <c r="F791" s="79" t="str">
        <f>IFERROR(__xludf.DUMMYFUNCTION("""COMPUTED_VALUE"""),"Gil")</f>
        <v>Gil</v>
      </c>
      <c r="G791" s="107">
        <f t="shared" si="1"/>
        <v>19.625</v>
      </c>
      <c r="H791" s="108" t="str">
        <f t="shared" si="2"/>
        <v>Oct</v>
      </c>
    </row>
    <row r="792">
      <c r="A792" s="106">
        <f>IFERROR(__xludf.DUMMYFUNCTION("""COMPUTED_VALUE"""),45606.0)</f>
        <v>45606</v>
      </c>
      <c r="B792" s="103">
        <f>IFERROR(__xludf.DUMMYFUNCTION("""COMPUTED_VALUE"""),22.99)</f>
        <v>22.99</v>
      </c>
      <c r="C792" s="79" t="str">
        <f>IFERROR(__xludf.DUMMYFUNCTION("""COMPUTED_VALUE"""),"YouTube Premium - AMEX Delta")</f>
        <v>YouTube Premium - AMEX Delta</v>
      </c>
      <c r="D792" s="79" t="str">
        <f>IFERROR(__xludf.DUMMYFUNCTION("""COMPUTED_VALUE"""),"Other")</f>
        <v>Other</v>
      </c>
      <c r="E792" s="79" t="str">
        <f>IFERROR(__xludf.DUMMYFUNCTION("""COMPUTED_VALUE"""),"Subscriptions")</f>
        <v>Subscriptions</v>
      </c>
      <c r="F792" s="79" t="str">
        <f>IFERROR(__xludf.DUMMYFUNCTION("""COMPUTED_VALUE"""),"Gil")</f>
        <v>Gil</v>
      </c>
      <c r="G792" s="107">
        <f t="shared" si="1"/>
        <v>11.495</v>
      </c>
      <c r="H792" s="108" t="str">
        <f t="shared" si="2"/>
        <v>Nov</v>
      </c>
    </row>
    <row r="793">
      <c r="A793" s="106">
        <f>IFERROR(__xludf.DUMMYFUNCTION("""COMPUTED_VALUE"""),45618.0)</f>
        <v>45618</v>
      </c>
      <c r="B793" s="103">
        <f>IFERROR(__xludf.DUMMYFUNCTION("""COMPUTED_VALUE"""),37.0)</f>
        <v>37</v>
      </c>
      <c r="C793" s="79" t="str">
        <f>IFERROR(__xludf.DUMMYFUNCTION("""COMPUTED_VALUE"""),"Farmer's Market - Camporosso")</f>
        <v>Farmer's Market - Camporosso</v>
      </c>
      <c r="D793" s="79" t="str">
        <f>IFERROR(__xludf.DUMMYFUNCTION("""COMPUTED_VALUE"""),"Cash")</f>
        <v>Cash</v>
      </c>
      <c r="E793" s="79" t="str">
        <f>IFERROR(__xludf.DUMMYFUNCTION("""COMPUTED_VALUE"""),"Groceries")</f>
        <v>Groceries</v>
      </c>
      <c r="F793" s="79" t="str">
        <f>IFERROR(__xludf.DUMMYFUNCTION("""COMPUTED_VALUE"""),"Gil")</f>
        <v>Gil</v>
      </c>
      <c r="G793" s="107">
        <f t="shared" si="1"/>
        <v>18.5</v>
      </c>
      <c r="H793" s="108" t="str">
        <f t="shared" si="2"/>
        <v>Nov</v>
      </c>
    </row>
    <row r="794">
      <c r="A794" s="106">
        <f>IFERROR(__xludf.DUMMYFUNCTION("""COMPUTED_VALUE"""),45627.0)</f>
        <v>45627</v>
      </c>
      <c r="B794" s="103">
        <f>IFERROR(__xludf.DUMMYFUNCTION("""COMPUTED_VALUE"""),331.25)</f>
        <v>331.25</v>
      </c>
      <c r="C794" s="79" t="str">
        <f>IFERROR(__xludf.DUMMYFUNCTION("""COMPUTED_VALUE"""),"236 Moore St. #38")</f>
        <v>236 Moore St. #38</v>
      </c>
      <c r="D794" s="79" t="str">
        <f>IFERROR(__xludf.DUMMYFUNCTION("""COMPUTED_VALUE"""),"Checking")</f>
        <v>Checking</v>
      </c>
      <c r="E794" s="79" t="str">
        <f>IFERROR(__xludf.DUMMYFUNCTION("""COMPUTED_VALUE"""),"Storage")</f>
        <v>Storage</v>
      </c>
      <c r="F794" s="79" t="str">
        <f>IFERROR(__xludf.DUMMYFUNCTION("""COMPUTED_VALUE"""),"Gil")</f>
        <v>Gil</v>
      </c>
      <c r="G794" s="107">
        <f t="shared" si="1"/>
        <v>165.625</v>
      </c>
      <c r="H794" s="108" t="str">
        <f t="shared" si="2"/>
        <v>Dec</v>
      </c>
    </row>
    <row r="795">
      <c r="A795" s="106">
        <f>IFERROR(__xludf.DUMMYFUNCTION("""COMPUTED_VALUE"""),45618.0)</f>
        <v>45618</v>
      </c>
      <c r="B795" s="103">
        <f>IFERROR(__xludf.DUMMYFUNCTION("""COMPUTED_VALUE"""),57.52)</f>
        <v>57.52</v>
      </c>
      <c r="C795" s="79" t="str">
        <f>IFERROR(__xludf.DUMMYFUNCTION("""COMPUTED_VALUE"""),"Wegman's - Citi Premier")</f>
        <v>Wegman's - Citi Premier</v>
      </c>
      <c r="D795" s="79" t="str">
        <f>IFERROR(__xludf.DUMMYFUNCTION("""COMPUTED_VALUE"""),"Other")</f>
        <v>Other</v>
      </c>
      <c r="E795" s="79" t="str">
        <f>IFERROR(__xludf.DUMMYFUNCTION("""COMPUTED_VALUE"""),"Groceries")</f>
        <v>Groceries</v>
      </c>
      <c r="F795" s="79" t="str">
        <f>IFERROR(__xludf.DUMMYFUNCTION("""COMPUTED_VALUE"""),"Gil")</f>
        <v>Gil</v>
      </c>
      <c r="G795" s="107">
        <f t="shared" si="1"/>
        <v>28.76</v>
      </c>
      <c r="H795" s="108" t="str">
        <f t="shared" si="2"/>
        <v>Nov</v>
      </c>
    </row>
    <row r="796">
      <c r="A796" s="106">
        <f>IFERROR(__xludf.DUMMYFUNCTION("""COMPUTED_VALUE"""),45620.0)</f>
        <v>45620</v>
      </c>
      <c r="B796" s="103">
        <f>IFERROR(__xludf.DUMMYFUNCTION("""COMPUTED_VALUE"""),120.98)</f>
        <v>120.98</v>
      </c>
      <c r="C796" s="79" t="str">
        <f>IFERROR(__xludf.DUMMYFUNCTION("""COMPUTED_VALUE"""),"Dickson's - Mercato")</f>
        <v>Dickson's - Mercato</v>
      </c>
      <c r="D796" s="79" t="str">
        <f>IFERROR(__xludf.DUMMYFUNCTION("""COMPUTED_VALUE"""),"Amex Blue")</f>
        <v>Amex Blue</v>
      </c>
      <c r="E796" s="79" t="str">
        <f>IFERROR(__xludf.DUMMYFUNCTION("""COMPUTED_VALUE"""),"Groceries")</f>
        <v>Groceries</v>
      </c>
      <c r="F796" s="79" t="str">
        <f>IFERROR(__xludf.DUMMYFUNCTION("""COMPUTED_VALUE"""),"Gil")</f>
        <v>Gil</v>
      </c>
      <c r="G796" s="107">
        <f t="shared" si="1"/>
        <v>60.49</v>
      </c>
      <c r="H796" s="108" t="str">
        <f t="shared" si="2"/>
        <v>Nov</v>
      </c>
    </row>
    <row r="797">
      <c r="A797" s="106">
        <f>IFERROR(__xludf.DUMMYFUNCTION("""COMPUTED_VALUE"""),45621.0)</f>
        <v>45621</v>
      </c>
      <c r="B797" s="103">
        <f>IFERROR(__xludf.DUMMYFUNCTION("""COMPUTED_VALUE"""),64.94)</f>
        <v>64.94</v>
      </c>
      <c r="C797" s="79" t="str">
        <f>IFERROR(__xludf.DUMMYFUNCTION("""COMPUTED_VALUE"""),"Whole Foods")</f>
        <v>Whole Foods</v>
      </c>
      <c r="D797" s="79" t="str">
        <f>IFERROR(__xludf.DUMMYFUNCTION("""COMPUTED_VALUE"""),"Amazon Prime Chase")</f>
        <v>Amazon Prime Chase</v>
      </c>
      <c r="E797" s="79" t="str">
        <f>IFERROR(__xludf.DUMMYFUNCTION("""COMPUTED_VALUE"""),"Groceries")</f>
        <v>Groceries</v>
      </c>
      <c r="F797" s="79" t="str">
        <f>IFERROR(__xludf.DUMMYFUNCTION("""COMPUTED_VALUE"""),"Gil")</f>
        <v>Gil</v>
      </c>
      <c r="G797" s="107">
        <f t="shared" si="1"/>
        <v>32.47</v>
      </c>
      <c r="H797" s="108" t="str">
        <f t="shared" si="2"/>
        <v>Nov</v>
      </c>
    </row>
    <row r="798">
      <c r="A798" s="106">
        <f>IFERROR(__xludf.DUMMYFUNCTION("""COMPUTED_VALUE"""),45623.0)</f>
        <v>45623</v>
      </c>
      <c r="B798" s="103">
        <f>IFERROR(__xludf.DUMMYFUNCTION("""COMPUTED_VALUE"""),21.0)</f>
        <v>21</v>
      </c>
      <c r="C798" s="79" t="str">
        <f>IFERROR(__xludf.DUMMYFUNCTION("""COMPUTED_VALUE"""),"Farmer's Market ")</f>
        <v>Farmer's Market </v>
      </c>
      <c r="D798" s="79" t="str">
        <f>IFERROR(__xludf.DUMMYFUNCTION("""COMPUTED_VALUE"""),"Cash")</f>
        <v>Cash</v>
      </c>
      <c r="E798" s="79" t="str">
        <f>IFERROR(__xludf.DUMMYFUNCTION("""COMPUTED_VALUE"""),"Groceries")</f>
        <v>Groceries</v>
      </c>
      <c r="F798" s="79" t="str">
        <f>IFERROR(__xludf.DUMMYFUNCTION("""COMPUTED_VALUE"""),"Gil")</f>
        <v>Gil</v>
      </c>
      <c r="G798" s="107">
        <f t="shared" si="1"/>
        <v>10.5</v>
      </c>
      <c r="H798" s="108" t="str">
        <f t="shared" si="2"/>
        <v>Nov</v>
      </c>
    </row>
    <row r="799">
      <c r="A799" s="106">
        <f>IFERROR(__xludf.DUMMYFUNCTION("""COMPUTED_VALUE"""),45624.0)</f>
        <v>45624</v>
      </c>
      <c r="B799" s="103">
        <f>IFERROR(__xludf.DUMMYFUNCTION("""COMPUTED_VALUE"""),27.0)</f>
        <v>27</v>
      </c>
      <c r="C799" s="79" t="str">
        <f>IFERROR(__xludf.DUMMYFUNCTION("""COMPUTED_VALUE"""),"Porco's Philly - Citi Premier")</f>
        <v>Porco's Philly - Citi Premier</v>
      </c>
      <c r="D799" s="79" t="str">
        <f>IFERROR(__xludf.DUMMYFUNCTION("""COMPUTED_VALUE"""),"Other")</f>
        <v>Other</v>
      </c>
      <c r="E799" s="79" t="str">
        <f>IFERROR(__xludf.DUMMYFUNCTION("""COMPUTED_VALUE"""),"Meals")</f>
        <v>Meals</v>
      </c>
      <c r="F799" s="79" t="str">
        <f>IFERROR(__xludf.DUMMYFUNCTION("""COMPUTED_VALUE"""),"Gil")</f>
        <v>Gil</v>
      </c>
      <c r="G799" s="107">
        <f t="shared" si="1"/>
        <v>13.5</v>
      </c>
      <c r="H799" s="108" t="str">
        <f t="shared" si="2"/>
        <v>Nov</v>
      </c>
    </row>
    <row r="800">
      <c r="A800" s="106">
        <f>IFERROR(__xludf.DUMMYFUNCTION("""COMPUTED_VALUE"""),45626.0)</f>
        <v>45626</v>
      </c>
      <c r="B800" s="103">
        <f>IFERROR(__xludf.DUMMYFUNCTION("""COMPUTED_VALUE"""),44.0)</f>
        <v>44</v>
      </c>
      <c r="C800" s="79" t="str">
        <f>IFERROR(__xludf.DUMMYFUNCTION("""COMPUTED_VALUE"""),"Resident Advisor - Robert Hood (BSMNT) - Citi Premier")</f>
        <v>Resident Advisor - Robert Hood (BSMNT) - Citi Premier</v>
      </c>
      <c r="D800" s="79" t="str">
        <f>IFERROR(__xludf.DUMMYFUNCTION("""COMPUTED_VALUE"""),"Other")</f>
        <v>Other</v>
      </c>
      <c r="E800" s="79" t="str">
        <f>IFERROR(__xludf.DUMMYFUNCTION("""COMPUTED_VALUE"""),"Entertainment")</f>
        <v>Entertainment</v>
      </c>
      <c r="F800" s="79" t="str">
        <f>IFERROR(__xludf.DUMMYFUNCTION("""COMPUTED_VALUE"""),"Gil")</f>
        <v>Gil</v>
      </c>
      <c r="G800" s="107">
        <f t="shared" si="1"/>
        <v>22</v>
      </c>
      <c r="H800" s="108" t="str">
        <f t="shared" si="2"/>
        <v>Nov</v>
      </c>
    </row>
    <row r="801">
      <c r="A801" s="106">
        <f>IFERROR(__xludf.DUMMYFUNCTION("""COMPUTED_VALUE"""),45626.0)</f>
        <v>45626</v>
      </c>
      <c r="B801" s="103">
        <f>IFERROR(__xludf.DUMMYFUNCTION("""COMPUTED_VALUE"""),12.31)</f>
        <v>12.31</v>
      </c>
      <c r="C801" s="79" t="str">
        <f>IFERROR(__xludf.DUMMYFUNCTION("""COMPUTED_VALUE"""),"Reanimator Coffee - Citi Premier")</f>
        <v>Reanimator Coffee - Citi Premier</v>
      </c>
      <c r="D801" s="79" t="str">
        <f>IFERROR(__xludf.DUMMYFUNCTION("""COMPUTED_VALUE"""),"Other")</f>
        <v>Other</v>
      </c>
      <c r="E801" s="79" t="str">
        <f>IFERROR(__xludf.DUMMYFUNCTION("""COMPUTED_VALUE"""),"Travel")</f>
        <v>Travel</v>
      </c>
      <c r="F801" s="79" t="str">
        <f>IFERROR(__xludf.DUMMYFUNCTION("""COMPUTED_VALUE"""),"Gil")</f>
        <v>Gil</v>
      </c>
      <c r="G801" s="107">
        <f t="shared" si="1"/>
        <v>6.155</v>
      </c>
      <c r="H801" s="108" t="str">
        <f t="shared" si="2"/>
        <v>Nov</v>
      </c>
    </row>
    <row r="802">
      <c r="A802" s="106">
        <f>IFERROR(__xludf.DUMMYFUNCTION("""COMPUTED_VALUE"""),45629.0)</f>
        <v>45629</v>
      </c>
      <c r="B802" s="103">
        <f>IFERROR(__xludf.DUMMYFUNCTION("""COMPUTED_VALUE"""),82.61)</f>
        <v>82.61</v>
      </c>
      <c r="C802" s="79" t="str">
        <f>IFERROR(__xludf.DUMMYFUNCTION("""COMPUTED_VALUE"""),"Dickson's - Mercato - Citi Premier")</f>
        <v>Dickson's - Mercato - Citi Premier</v>
      </c>
      <c r="D802" s="79" t="str">
        <f>IFERROR(__xludf.DUMMYFUNCTION("""COMPUTED_VALUE"""),"Other")</f>
        <v>Other</v>
      </c>
      <c r="E802" s="79" t="str">
        <f>IFERROR(__xludf.DUMMYFUNCTION("""COMPUTED_VALUE"""),"Groceries")</f>
        <v>Groceries</v>
      </c>
      <c r="F802" s="79" t="str">
        <f>IFERROR(__xludf.DUMMYFUNCTION("""COMPUTED_VALUE"""),"Gil")</f>
        <v>Gil</v>
      </c>
      <c r="G802" s="107">
        <f t="shared" si="1"/>
        <v>41.305</v>
      </c>
      <c r="H802" s="108" t="str">
        <f t="shared" si="2"/>
        <v>Dec</v>
      </c>
    </row>
    <row r="803">
      <c r="A803" s="106">
        <f>IFERROR(__xludf.DUMMYFUNCTION("""COMPUTED_VALUE"""),45628.0)</f>
        <v>45628</v>
      </c>
      <c r="B803" s="103">
        <f>IFERROR(__xludf.DUMMYFUNCTION("""COMPUTED_VALUE"""),23.0)</f>
        <v>23</v>
      </c>
      <c r="C803" s="79" t="str">
        <f>IFERROR(__xludf.DUMMYFUNCTION("""COMPUTED_VALUE"""),"Lemonade ")</f>
        <v>Lemonade </v>
      </c>
      <c r="D803" s="79" t="str">
        <f>IFERROR(__xludf.DUMMYFUNCTION("""COMPUTED_VALUE"""),"Amazon Prime Chase")</f>
        <v>Amazon Prime Chase</v>
      </c>
      <c r="E803" s="79" t="str">
        <f>IFERROR(__xludf.DUMMYFUNCTION("""COMPUTED_VALUE"""),"Insurance")</f>
        <v>Insurance</v>
      </c>
      <c r="F803" s="79" t="str">
        <f>IFERROR(__xludf.DUMMYFUNCTION("""COMPUTED_VALUE"""),"Gil")</f>
        <v>Gil</v>
      </c>
      <c r="G803" s="107">
        <f t="shared" si="1"/>
        <v>11.5</v>
      </c>
      <c r="H803" s="108" t="str">
        <f t="shared" si="2"/>
        <v>Dec</v>
      </c>
    </row>
    <row r="804">
      <c r="A804" s="106">
        <f>IFERROR(__xludf.DUMMYFUNCTION("""COMPUTED_VALUE"""),45630.0)</f>
        <v>45630</v>
      </c>
      <c r="B804" s="103">
        <f>IFERROR(__xludf.DUMMYFUNCTION("""COMPUTED_VALUE"""),318.34)</f>
        <v>318.34</v>
      </c>
      <c r="C804" s="79" t="str">
        <f>IFERROR(__xludf.DUMMYFUNCTION("""COMPUTED_VALUE"""),"ConEd")</f>
        <v>ConEd</v>
      </c>
      <c r="D804" s="79" t="str">
        <f>IFERROR(__xludf.DUMMYFUNCTION("""COMPUTED_VALUE"""),"Checking")</f>
        <v>Checking</v>
      </c>
      <c r="E804" s="79" t="str">
        <f>IFERROR(__xludf.DUMMYFUNCTION("""COMPUTED_VALUE"""),"Utilities")</f>
        <v>Utilities</v>
      </c>
      <c r="F804" s="79" t="str">
        <f>IFERROR(__xludf.DUMMYFUNCTION("""COMPUTED_VALUE"""),"Gil")</f>
        <v>Gil</v>
      </c>
      <c r="G804" s="107">
        <f t="shared" si="1"/>
        <v>159.17</v>
      </c>
      <c r="H804" s="108" t="str">
        <f t="shared" si="2"/>
        <v>Dec</v>
      </c>
    </row>
    <row r="805">
      <c r="A805" s="106">
        <f>IFERROR(__xludf.DUMMYFUNCTION("""COMPUTED_VALUE"""),45630.0)</f>
        <v>45630</v>
      </c>
      <c r="B805" s="103">
        <f>IFERROR(__xludf.DUMMYFUNCTION("""COMPUTED_VALUE"""),27.74)</f>
        <v>27.74</v>
      </c>
      <c r="C805" s="79" t="str">
        <f>IFERROR(__xludf.DUMMYFUNCTION("""COMPUTED_VALUE"""),"Whole Foods")</f>
        <v>Whole Foods</v>
      </c>
      <c r="D805" s="79" t="str">
        <f>IFERROR(__xludf.DUMMYFUNCTION("""COMPUTED_VALUE"""),"Amex Blue")</f>
        <v>Amex Blue</v>
      </c>
      <c r="E805" s="79" t="str">
        <f>IFERROR(__xludf.DUMMYFUNCTION("""COMPUTED_VALUE"""),"Groceries")</f>
        <v>Groceries</v>
      </c>
      <c r="F805" s="79" t="str">
        <f>IFERROR(__xludf.DUMMYFUNCTION("""COMPUTED_VALUE"""),"Gil")</f>
        <v>Gil</v>
      </c>
      <c r="G805" s="107">
        <f t="shared" si="1"/>
        <v>13.87</v>
      </c>
      <c r="H805" s="108" t="str">
        <f t="shared" si="2"/>
        <v>Dec</v>
      </c>
    </row>
    <row r="806">
      <c r="A806" s="106">
        <f>IFERROR(__xludf.DUMMYFUNCTION("""COMPUTED_VALUE"""),45632.0)</f>
        <v>45632</v>
      </c>
      <c r="B806" s="103">
        <f>IFERROR(__xludf.DUMMYFUNCTION("""COMPUTED_VALUE"""),67.47)</f>
        <v>67.47</v>
      </c>
      <c r="C806" s="79" t="str">
        <f>IFERROR(__xludf.DUMMYFUNCTION("""COMPUTED_VALUE"""),"Cassette")</f>
        <v>Cassette</v>
      </c>
      <c r="D806" s="79" t="str">
        <f>IFERROR(__xludf.DUMMYFUNCTION("""COMPUTED_VALUE"""),"Amex Gold")</f>
        <v>Amex Gold</v>
      </c>
      <c r="E806" s="79" t="str">
        <f>IFERROR(__xludf.DUMMYFUNCTION("""COMPUTED_VALUE"""),"Alcohol/Weed")</f>
        <v>Alcohol/Weed</v>
      </c>
      <c r="F806" s="79" t="str">
        <f>IFERROR(__xludf.DUMMYFUNCTION("""COMPUTED_VALUE"""),"Gil")</f>
        <v>Gil</v>
      </c>
      <c r="G806" s="107">
        <f t="shared" si="1"/>
        <v>33.735</v>
      </c>
      <c r="H806" s="108" t="str">
        <f t="shared" si="2"/>
        <v>Dec</v>
      </c>
    </row>
    <row r="807">
      <c r="A807" s="106">
        <f>IFERROR(__xludf.DUMMYFUNCTION("""COMPUTED_VALUE"""),45633.0)</f>
        <v>45633</v>
      </c>
      <c r="B807" s="103">
        <f>IFERROR(__xludf.DUMMYFUNCTION("""COMPUTED_VALUE"""),-33.48)</f>
        <v>-33.48</v>
      </c>
      <c r="C807" s="79" t="str">
        <f>IFERROR(__xludf.DUMMYFUNCTION("""COMPUTED_VALUE"""),"Amazon Chase Card Rewards Redemption")</f>
        <v>Amazon Chase Card Rewards Redemption</v>
      </c>
      <c r="D807" s="79" t="str">
        <f>IFERROR(__xludf.DUMMYFUNCTION("""COMPUTED_VALUE"""),"Amazon Prime Chase")</f>
        <v>Amazon Prime Chase</v>
      </c>
      <c r="E807" s="79" t="str">
        <f>IFERROR(__xludf.DUMMYFUNCTION("""COMPUTED_VALUE"""),"Household")</f>
        <v>Household</v>
      </c>
      <c r="F807" s="79" t="str">
        <f>IFERROR(__xludf.DUMMYFUNCTION("""COMPUTED_VALUE"""),"Gil")</f>
        <v>Gil</v>
      </c>
      <c r="G807" s="107">
        <f t="shared" si="1"/>
        <v>-16.74</v>
      </c>
      <c r="H807" s="108" t="str">
        <f t="shared" si="2"/>
        <v>Dec</v>
      </c>
    </row>
    <row r="808">
      <c r="A808" s="106">
        <f>IFERROR(__xludf.DUMMYFUNCTION("""COMPUTED_VALUE"""),45633.0)</f>
        <v>45633</v>
      </c>
      <c r="B808" s="103">
        <f>IFERROR(__xludf.DUMMYFUNCTION("""COMPUTED_VALUE"""),49.71)</f>
        <v>49.71</v>
      </c>
      <c r="C808" s="79" t="str">
        <f>IFERROR(__xludf.DUMMYFUNCTION("""COMPUTED_VALUE"""),"Uber Eats - Klom Klorm")</f>
        <v>Uber Eats - Klom Klorm</v>
      </c>
      <c r="D808" s="79" t="str">
        <f>IFERROR(__xludf.DUMMYFUNCTION("""COMPUTED_VALUE"""),"Amex Gold")</f>
        <v>Amex Gold</v>
      </c>
      <c r="E808" s="79" t="str">
        <f>IFERROR(__xludf.DUMMYFUNCTION("""COMPUTED_VALUE"""),"Meals")</f>
        <v>Meals</v>
      </c>
      <c r="F808" s="79" t="str">
        <f>IFERROR(__xludf.DUMMYFUNCTION("""COMPUTED_VALUE"""),"Gil")</f>
        <v>Gil</v>
      </c>
      <c r="G808" s="107">
        <f t="shared" si="1"/>
        <v>24.855</v>
      </c>
      <c r="H808" s="108" t="str">
        <f t="shared" si="2"/>
        <v>Dec</v>
      </c>
    </row>
    <row r="809">
      <c r="A809" s="106">
        <f>IFERROR(__xludf.DUMMYFUNCTION("""COMPUTED_VALUE"""),45635.0)</f>
        <v>45635</v>
      </c>
      <c r="B809" s="103">
        <f>IFERROR(__xludf.DUMMYFUNCTION("""COMPUTED_VALUE"""),24.0)</f>
        <v>24</v>
      </c>
      <c r="C809" s="79" t="str">
        <f>IFERROR(__xludf.DUMMYFUNCTION("""COMPUTED_VALUE"""),"Lani's Farm")</f>
        <v>Lani's Farm</v>
      </c>
      <c r="D809" s="79" t="str">
        <f>IFERROR(__xludf.DUMMYFUNCTION("""COMPUTED_VALUE"""),"Cash")</f>
        <v>Cash</v>
      </c>
      <c r="E809" s="79" t="str">
        <f>IFERROR(__xludf.DUMMYFUNCTION("""COMPUTED_VALUE"""),"Groceries")</f>
        <v>Groceries</v>
      </c>
      <c r="F809" s="79" t="str">
        <f>IFERROR(__xludf.DUMMYFUNCTION("""COMPUTED_VALUE"""),"Gil")</f>
        <v>Gil</v>
      </c>
      <c r="G809" s="107">
        <f t="shared" si="1"/>
        <v>12</v>
      </c>
      <c r="H809" s="108" t="str">
        <f t="shared" si="2"/>
        <v>Dec</v>
      </c>
    </row>
    <row r="810">
      <c r="A810" s="106">
        <f>IFERROR(__xludf.DUMMYFUNCTION("""COMPUTED_VALUE"""),45635.0)</f>
        <v>45635</v>
      </c>
      <c r="B810" s="103">
        <f>IFERROR(__xludf.DUMMYFUNCTION("""COMPUTED_VALUE"""),55.13)</f>
        <v>55.13</v>
      </c>
      <c r="C810" s="79" t="str">
        <f>IFERROR(__xludf.DUMMYFUNCTION("""COMPUTED_VALUE"""),"Whole Foods ")</f>
        <v>Whole Foods </v>
      </c>
      <c r="D810" s="79" t="str">
        <f>IFERROR(__xludf.DUMMYFUNCTION("""COMPUTED_VALUE"""),"Amazon Prime Chase")</f>
        <v>Amazon Prime Chase</v>
      </c>
      <c r="E810" s="79" t="str">
        <f>IFERROR(__xludf.DUMMYFUNCTION("""COMPUTED_VALUE"""),"Groceries")</f>
        <v>Groceries</v>
      </c>
      <c r="F810" s="79" t="str">
        <f>IFERROR(__xludf.DUMMYFUNCTION("""COMPUTED_VALUE"""),"Gil")</f>
        <v>Gil</v>
      </c>
      <c r="G810" s="107">
        <f t="shared" si="1"/>
        <v>27.565</v>
      </c>
      <c r="H810" s="108" t="str">
        <f t="shared" si="2"/>
        <v>Dec</v>
      </c>
    </row>
    <row r="811">
      <c r="A811" s="106">
        <f>IFERROR(__xludf.DUMMYFUNCTION("""COMPUTED_VALUE"""),45640.0)</f>
        <v>45640</v>
      </c>
      <c r="B811" s="103">
        <f>IFERROR(__xludf.DUMMYFUNCTION("""COMPUTED_VALUE"""),117.6)</f>
        <v>117.6</v>
      </c>
      <c r="C811" s="79" t="str">
        <f>IFERROR(__xludf.DUMMYFUNCTION("""COMPUTED_VALUE"""),"Etys - Retrospective Vintage - Black Stools - Citi Premier")</f>
        <v>Etys - Retrospective Vintage - Black Stools - Citi Premier</v>
      </c>
      <c r="D811" s="79" t="str">
        <f>IFERROR(__xludf.DUMMYFUNCTION("""COMPUTED_VALUE"""),"Other")</f>
        <v>Other</v>
      </c>
      <c r="E811" s="79" t="str">
        <f>IFERROR(__xludf.DUMMYFUNCTION("""COMPUTED_VALUE"""),"Household")</f>
        <v>Household</v>
      </c>
      <c r="F811" s="79" t="str">
        <f>IFERROR(__xludf.DUMMYFUNCTION("""COMPUTED_VALUE"""),"Gil")</f>
        <v>Gil</v>
      </c>
      <c r="G811" s="107">
        <f t="shared" si="1"/>
        <v>58.8</v>
      </c>
      <c r="H811" s="108" t="str">
        <f t="shared" si="2"/>
        <v>Dec</v>
      </c>
    </row>
    <row r="812">
      <c r="A812" s="106">
        <f>IFERROR(__xludf.DUMMYFUNCTION("""COMPUTED_VALUE"""),45636.0)</f>
        <v>45636</v>
      </c>
      <c r="B812" s="103">
        <f>IFERROR(__xludf.DUMMYFUNCTION("""COMPUTED_VALUE"""),30.47)</f>
        <v>30.47</v>
      </c>
      <c r="C812" s="79" t="str">
        <f>IFERROR(__xludf.DUMMYFUNCTION("""COMPUTED_VALUE"""),"Vinyl Wine - Citi Premier ")</f>
        <v>Vinyl Wine - Citi Premier </v>
      </c>
      <c r="D812" s="79" t="str">
        <f>IFERROR(__xludf.DUMMYFUNCTION("""COMPUTED_VALUE"""),"Other")</f>
        <v>Other</v>
      </c>
      <c r="E812" s="79" t="str">
        <f>IFERROR(__xludf.DUMMYFUNCTION("""COMPUTED_VALUE"""),"Gifts/Donations")</f>
        <v>Gifts/Donations</v>
      </c>
      <c r="F812" s="79" t="str">
        <f>IFERROR(__xludf.DUMMYFUNCTION("""COMPUTED_VALUE"""),"Gil")</f>
        <v>Gil</v>
      </c>
      <c r="G812" s="107">
        <f t="shared" si="1"/>
        <v>15.235</v>
      </c>
      <c r="H812" s="108" t="str">
        <f t="shared" si="2"/>
        <v>Dec</v>
      </c>
    </row>
    <row r="813">
      <c r="A813" s="106">
        <f>IFERROR(__xludf.DUMMYFUNCTION("""COMPUTED_VALUE"""),45637.0)</f>
        <v>45637</v>
      </c>
      <c r="B813" s="103">
        <f>IFERROR(__xludf.DUMMYFUNCTION("""COMPUTED_VALUE"""),48.0)</f>
        <v>48</v>
      </c>
      <c r="C813" s="79" t="str">
        <f>IFERROR(__xludf.DUMMYFUNCTION("""COMPUTED_VALUE"""),"The Bowery Hotel Bar - Citi Premier")</f>
        <v>The Bowery Hotel Bar - Citi Premier</v>
      </c>
      <c r="D813" s="79" t="str">
        <f>IFERROR(__xludf.DUMMYFUNCTION("""COMPUTED_VALUE"""),"Other")</f>
        <v>Other</v>
      </c>
      <c r="E813" s="79" t="str">
        <f>IFERROR(__xludf.DUMMYFUNCTION("""COMPUTED_VALUE"""),"Alcohol/Weed")</f>
        <v>Alcohol/Weed</v>
      </c>
      <c r="F813" s="79" t="str">
        <f>IFERROR(__xludf.DUMMYFUNCTION("""COMPUTED_VALUE"""),"Gil")</f>
        <v>Gil</v>
      </c>
      <c r="G813" s="107">
        <f t="shared" si="1"/>
        <v>24</v>
      </c>
      <c r="H813" s="108" t="str">
        <f t="shared" si="2"/>
        <v>Dec</v>
      </c>
    </row>
    <row r="814">
      <c r="A814" s="106">
        <f>IFERROR(__xludf.DUMMYFUNCTION("""COMPUTED_VALUE"""),45599.0)</f>
        <v>45599</v>
      </c>
      <c r="B814" s="103">
        <f>IFERROR(__xludf.DUMMYFUNCTION("""COMPUTED_VALUE"""),50.0)</f>
        <v>50</v>
      </c>
      <c r="C814" s="79" t="str">
        <f>IFERROR(__xludf.DUMMYFUNCTION("""COMPUTED_VALUE"""),"Lyft")</f>
        <v>Lyft</v>
      </c>
      <c r="D814" s="79" t="str">
        <f>IFERROR(__xludf.DUMMYFUNCTION("""COMPUTED_VALUE"""),"Other")</f>
        <v>Other</v>
      </c>
      <c r="E814" s="79" t="str">
        <f>IFERROR(__xludf.DUMMYFUNCTION("""COMPUTED_VALUE"""),"Transportation")</f>
        <v>Transportation</v>
      </c>
      <c r="F814" s="79" t="str">
        <f>IFERROR(__xludf.DUMMYFUNCTION("""COMPUTED_VALUE"""),"Shaeffer")</f>
        <v>Shaeffer</v>
      </c>
      <c r="G814" s="107">
        <f t="shared" si="1"/>
        <v>25</v>
      </c>
      <c r="H814" s="108" t="str">
        <f t="shared" si="2"/>
        <v>Nov</v>
      </c>
    </row>
    <row r="815">
      <c r="A815" s="106">
        <f>IFERROR(__xludf.DUMMYFUNCTION("""COMPUTED_VALUE"""),45598.0)</f>
        <v>45598</v>
      </c>
      <c r="B815" s="103">
        <f>IFERROR(__xludf.DUMMYFUNCTION("""COMPUTED_VALUE"""),137.87)</f>
        <v>137.87</v>
      </c>
      <c r="C815" s="79" t="str">
        <f>IFERROR(__xludf.DUMMYFUNCTION("""COMPUTED_VALUE"""),"Dina Martina tickets")</f>
        <v>Dina Martina tickets</v>
      </c>
      <c r="D815" s="79" t="str">
        <f>IFERROR(__xludf.DUMMYFUNCTION("""COMPUTED_VALUE"""),"Other")</f>
        <v>Other</v>
      </c>
      <c r="E815" s="79" t="str">
        <f>IFERROR(__xludf.DUMMYFUNCTION("""COMPUTED_VALUE"""),"Entertainment")</f>
        <v>Entertainment</v>
      </c>
      <c r="F815" s="79" t="str">
        <f>IFERROR(__xludf.DUMMYFUNCTION("""COMPUTED_VALUE"""),"Shaeffer")</f>
        <v>Shaeffer</v>
      </c>
      <c r="G815" s="107">
        <f t="shared" si="1"/>
        <v>68.935</v>
      </c>
      <c r="H815" s="108" t="str">
        <f t="shared" si="2"/>
        <v>Nov</v>
      </c>
    </row>
    <row r="816">
      <c r="A816" s="106">
        <f>IFERROR(__xludf.DUMMYFUNCTION("""COMPUTED_VALUE"""),45601.0)</f>
        <v>45601</v>
      </c>
      <c r="B816" s="103">
        <f>IFERROR(__xludf.DUMMYFUNCTION("""COMPUTED_VALUE"""),419.98)</f>
        <v>419.98</v>
      </c>
      <c r="C816" s="79" t="str">
        <f>IFERROR(__xludf.DUMMYFUNCTION("""COMPUTED_VALUE"""),"Booking.com - Albuquerque Hotel")</f>
        <v>Booking.com - Albuquerque Hotel</v>
      </c>
      <c r="D816" s="79" t="str">
        <f>IFERROR(__xludf.DUMMYFUNCTION("""COMPUTED_VALUE"""),"Other")</f>
        <v>Other</v>
      </c>
      <c r="E816" s="79" t="str">
        <f>IFERROR(__xludf.DUMMYFUNCTION("""COMPUTED_VALUE"""),"Travel")</f>
        <v>Travel</v>
      </c>
      <c r="F816" s="79" t="str">
        <f>IFERROR(__xludf.DUMMYFUNCTION("""COMPUTED_VALUE"""),"Shaeffer")</f>
        <v>Shaeffer</v>
      </c>
      <c r="G816" s="107">
        <f t="shared" si="1"/>
        <v>209.99</v>
      </c>
      <c r="H816" s="108" t="str">
        <f t="shared" si="2"/>
        <v>Nov</v>
      </c>
    </row>
    <row r="817">
      <c r="A817" s="106">
        <f>IFERROR(__xludf.DUMMYFUNCTION("""COMPUTED_VALUE"""),45622.0)</f>
        <v>45622</v>
      </c>
      <c r="B817" s="103">
        <f>IFERROR(__xludf.DUMMYFUNCTION("""COMPUTED_VALUE"""),46.82)</f>
        <v>46.82</v>
      </c>
      <c r="C817" s="79" t="str">
        <f>IFERROR(__xludf.DUMMYFUNCTION("""COMPUTED_VALUE"""),"Wholefoods")</f>
        <v>Wholefoods</v>
      </c>
      <c r="D817" s="79" t="str">
        <f>IFERROR(__xludf.DUMMYFUNCTION("""COMPUTED_VALUE"""),"Other")</f>
        <v>Other</v>
      </c>
      <c r="E817" s="79" t="str">
        <f>IFERROR(__xludf.DUMMYFUNCTION("""COMPUTED_VALUE"""),"Groceries")</f>
        <v>Groceries</v>
      </c>
      <c r="F817" s="79" t="str">
        <f>IFERROR(__xludf.DUMMYFUNCTION("""COMPUTED_VALUE"""),"Shaeffer")</f>
        <v>Shaeffer</v>
      </c>
      <c r="G817" s="107">
        <f t="shared" si="1"/>
        <v>23.41</v>
      </c>
      <c r="H817" s="108" t="str">
        <f t="shared" si="2"/>
        <v>Nov</v>
      </c>
    </row>
    <row r="818">
      <c r="A818" s="106">
        <f>IFERROR(__xludf.DUMMYFUNCTION("""COMPUTED_VALUE"""),45641.0)</f>
        <v>45641</v>
      </c>
      <c r="B818" s="103">
        <f>IFERROR(__xludf.DUMMYFUNCTION("""COMPUTED_VALUE"""),67.02)</f>
        <v>67.02</v>
      </c>
      <c r="C818" s="79" t="str">
        <f>IFERROR(__xludf.DUMMYFUNCTION("""COMPUTED_VALUE"""),"King Thai")</f>
        <v>King Thai</v>
      </c>
      <c r="D818" s="79" t="str">
        <f>IFERROR(__xludf.DUMMYFUNCTION("""COMPUTED_VALUE"""),"Jet Blue")</f>
        <v>Jet Blue</v>
      </c>
      <c r="E818" s="79" t="str">
        <f>IFERROR(__xludf.DUMMYFUNCTION("""COMPUTED_VALUE"""),"Meals")</f>
        <v>Meals</v>
      </c>
      <c r="F818" s="79" t="str">
        <f>IFERROR(__xludf.DUMMYFUNCTION("""COMPUTED_VALUE"""),"Shaeffer")</f>
        <v>Shaeffer</v>
      </c>
      <c r="G818" s="107">
        <f t="shared" si="1"/>
        <v>33.51</v>
      </c>
      <c r="H818" s="108" t="str">
        <f t="shared" si="2"/>
        <v>Dec</v>
      </c>
    </row>
    <row r="819">
      <c r="A819" s="106">
        <f>IFERROR(__xludf.DUMMYFUNCTION("""COMPUTED_VALUE"""),45600.0)</f>
        <v>45600</v>
      </c>
      <c r="B819" s="103">
        <f>IFERROR(__xludf.DUMMYFUNCTION("""COMPUTED_VALUE"""),22.9)</f>
        <v>22.9</v>
      </c>
      <c r="C819" s="79" t="str">
        <f>IFERROR(__xludf.DUMMYFUNCTION("""COMPUTED_VALUE"""),"Birch - coffee")</f>
        <v>Birch - coffee</v>
      </c>
      <c r="D819" s="79" t="str">
        <f>IFERROR(__xludf.DUMMYFUNCTION("""COMPUTED_VALUE"""),"Chase Reserve")</f>
        <v>Chase Reserve</v>
      </c>
      <c r="E819" s="79" t="str">
        <f>IFERROR(__xludf.DUMMYFUNCTION("""COMPUTED_VALUE"""),"Groceries")</f>
        <v>Groceries</v>
      </c>
      <c r="F819" s="79" t="str">
        <f>IFERROR(__xludf.DUMMYFUNCTION("""COMPUTED_VALUE"""),"Shaeffer")</f>
        <v>Shaeffer</v>
      </c>
      <c r="G819" s="107">
        <f t="shared" si="1"/>
        <v>11.45</v>
      </c>
      <c r="H819" s="108" t="str">
        <f t="shared" si="2"/>
        <v>Nov</v>
      </c>
    </row>
    <row r="820">
      <c r="A820" s="106">
        <f>IFERROR(__xludf.DUMMYFUNCTION("""COMPUTED_VALUE"""),45615.0)</f>
        <v>45615</v>
      </c>
      <c r="B820" s="103">
        <f>IFERROR(__xludf.DUMMYFUNCTION("""COMPUTED_VALUE"""),20.81)</f>
        <v>20.81</v>
      </c>
      <c r="C820" s="79" t="str">
        <f>IFERROR(__xludf.DUMMYFUNCTION("""COMPUTED_VALUE"""),"Birch")</f>
        <v>Birch</v>
      </c>
      <c r="D820" s="79" t="str">
        <f>IFERROR(__xludf.DUMMYFUNCTION("""COMPUTED_VALUE"""),"Chase Reserve")</f>
        <v>Chase Reserve</v>
      </c>
      <c r="E820" s="79" t="str">
        <f>IFERROR(__xludf.DUMMYFUNCTION("""COMPUTED_VALUE"""),"Groceries")</f>
        <v>Groceries</v>
      </c>
      <c r="F820" s="79" t="str">
        <f>IFERROR(__xludf.DUMMYFUNCTION("""COMPUTED_VALUE"""),"Shaeffer")</f>
        <v>Shaeffer</v>
      </c>
      <c r="G820" s="107">
        <f t="shared" si="1"/>
        <v>10.405</v>
      </c>
      <c r="H820" s="108" t="str">
        <f t="shared" si="2"/>
        <v>Nov</v>
      </c>
    </row>
    <row r="821">
      <c r="A821" s="106">
        <f>IFERROR(__xludf.DUMMYFUNCTION("""COMPUTED_VALUE"""),45615.0)</f>
        <v>45615</v>
      </c>
      <c r="B821" s="103">
        <f>IFERROR(__xludf.DUMMYFUNCTION("""COMPUTED_VALUE"""),9.99)</f>
        <v>9.99</v>
      </c>
      <c r="C821" s="79" t="str">
        <f>IFERROR(__xludf.DUMMYFUNCTION("""COMPUTED_VALUE"""),"Hulu")</f>
        <v>Hulu</v>
      </c>
      <c r="D821" s="79" t="str">
        <f>IFERROR(__xludf.DUMMYFUNCTION("""COMPUTED_VALUE"""),"Chase Reserve")</f>
        <v>Chase Reserve</v>
      </c>
      <c r="E821" s="79" t="str">
        <f>IFERROR(__xludf.DUMMYFUNCTION("""COMPUTED_VALUE"""),"Subscriptions")</f>
        <v>Subscriptions</v>
      </c>
      <c r="F821" s="79" t="str">
        <f>IFERROR(__xludf.DUMMYFUNCTION("""COMPUTED_VALUE"""),"Shaeffer")</f>
        <v>Shaeffer</v>
      </c>
      <c r="G821" s="107">
        <f t="shared" si="1"/>
        <v>4.995</v>
      </c>
      <c r="H821" s="108" t="str">
        <f t="shared" si="2"/>
        <v>Nov</v>
      </c>
    </row>
    <row r="822">
      <c r="A822" s="106">
        <f>IFERROR(__xludf.DUMMYFUNCTION("""COMPUTED_VALUE"""),45617.0)</f>
        <v>45617</v>
      </c>
      <c r="B822" s="103">
        <f>IFERROR(__xludf.DUMMYFUNCTION("""COMPUTED_VALUE"""),76.79)</f>
        <v>76.79</v>
      </c>
      <c r="C822" s="79" t="str">
        <f>IFERROR(__xludf.DUMMYFUNCTION("""COMPUTED_VALUE"""),"Flowers on 9th - moms bd")</f>
        <v>Flowers on 9th - moms bd</v>
      </c>
      <c r="D822" s="79" t="str">
        <f>IFERROR(__xludf.DUMMYFUNCTION("""COMPUTED_VALUE"""),"Chase Reserve")</f>
        <v>Chase Reserve</v>
      </c>
      <c r="E822" s="79" t="str">
        <f>IFERROR(__xludf.DUMMYFUNCTION("""COMPUTED_VALUE"""),"Gifts/Donations")</f>
        <v>Gifts/Donations</v>
      </c>
      <c r="F822" s="79" t="str">
        <f>IFERROR(__xludf.DUMMYFUNCTION("""COMPUTED_VALUE"""),"Shaeffer")</f>
        <v>Shaeffer</v>
      </c>
      <c r="G822" s="107">
        <f t="shared" si="1"/>
        <v>38.395</v>
      </c>
      <c r="H822" s="108" t="str">
        <f t="shared" si="2"/>
        <v>Nov</v>
      </c>
    </row>
    <row r="823">
      <c r="A823" s="106">
        <f>IFERROR(__xludf.DUMMYFUNCTION("""COMPUTED_VALUE"""),45635.0)</f>
        <v>45635</v>
      </c>
      <c r="B823" s="103">
        <f>IFERROR(__xludf.DUMMYFUNCTION("""COMPUTED_VALUE"""),16.97)</f>
        <v>16.97</v>
      </c>
      <c r="C823" s="79" t="str">
        <f>IFERROR(__xludf.DUMMYFUNCTION("""COMPUTED_VALUE"""),"Laird Superfood")</f>
        <v>Laird Superfood</v>
      </c>
      <c r="D823" s="79" t="str">
        <f>IFERROR(__xludf.DUMMYFUNCTION("""COMPUTED_VALUE"""),"Chase Reserve")</f>
        <v>Chase Reserve</v>
      </c>
      <c r="E823" s="79" t="str">
        <f>IFERROR(__xludf.DUMMYFUNCTION("""COMPUTED_VALUE"""),"Groceries")</f>
        <v>Groceries</v>
      </c>
      <c r="F823" s="79" t="str">
        <f>IFERROR(__xludf.DUMMYFUNCTION("""COMPUTED_VALUE"""),"Shaeffer")</f>
        <v>Shaeffer</v>
      </c>
      <c r="G823" s="107">
        <f t="shared" si="1"/>
        <v>8.485</v>
      </c>
      <c r="H823" s="108" t="str">
        <f t="shared" si="2"/>
        <v>Dec</v>
      </c>
    </row>
    <row r="824">
      <c r="A824" s="106">
        <f>IFERROR(__xludf.DUMMYFUNCTION("""COMPUTED_VALUE"""),45638.0)</f>
        <v>45638</v>
      </c>
      <c r="B824" s="103">
        <f>IFERROR(__xludf.DUMMYFUNCTION("""COMPUTED_VALUE"""),371.44)</f>
        <v>371.44</v>
      </c>
      <c r="C824" s="79" t="str">
        <f>IFERROR(__xludf.DUMMYFUNCTION("""COMPUTED_VALUE"""),"Flights to NM")</f>
        <v>Flights to NM</v>
      </c>
      <c r="D824" s="79" t="str">
        <f>IFERROR(__xludf.DUMMYFUNCTION("""COMPUTED_VALUE"""),"Chase Reserve")</f>
        <v>Chase Reserve</v>
      </c>
      <c r="E824" s="79" t="str">
        <f>IFERROR(__xludf.DUMMYFUNCTION("""COMPUTED_VALUE"""),"Travel")</f>
        <v>Travel</v>
      </c>
      <c r="F824" s="79" t="str">
        <f>IFERROR(__xludf.DUMMYFUNCTION("""COMPUTED_VALUE"""),"Shaeffer")</f>
        <v>Shaeffer</v>
      </c>
      <c r="G824" s="107">
        <f t="shared" si="1"/>
        <v>185.72</v>
      </c>
      <c r="H824" s="108" t="str">
        <f t="shared" si="2"/>
        <v>Dec</v>
      </c>
    </row>
    <row r="825">
      <c r="A825" s="106">
        <f>IFERROR(__xludf.DUMMYFUNCTION("""COMPUTED_VALUE"""),45640.0)</f>
        <v>45640</v>
      </c>
      <c r="B825" s="103">
        <f>IFERROR(__xludf.DUMMYFUNCTION("""COMPUTED_VALUE"""),54.42)</f>
        <v>54.42</v>
      </c>
      <c r="C825" s="79" t="str">
        <f>IFERROR(__xludf.DUMMYFUNCTION("""COMPUTED_VALUE"""),"Chamber Street Wines")</f>
        <v>Chamber Street Wines</v>
      </c>
      <c r="D825" s="79" t="str">
        <f>IFERROR(__xludf.DUMMYFUNCTION("""COMPUTED_VALUE"""),"Chase Reserve")</f>
        <v>Chase Reserve</v>
      </c>
      <c r="E825" s="79" t="str">
        <f>IFERROR(__xludf.DUMMYFUNCTION("""COMPUTED_VALUE"""),"Meals")</f>
        <v>Meals</v>
      </c>
      <c r="F825" s="79" t="str">
        <f>IFERROR(__xludf.DUMMYFUNCTION("""COMPUTED_VALUE"""),"Shaeffer")</f>
        <v>Shaeffer</v>
      </c>
      <c r="G825" s="107">
        <f t="shared" si="1"/>
        <v>27.21</v>
      </c>
      <c r="H825" s="108" t="str">
        <f t="shared" si="2"/>
        <v>Dec</v>
      </c>
    </row>
    <row r="826">
      <c r="A826" s="106">
        <f>IFERROR(__xludf.DUMMYFUNCTION("""COMPUTED_VALUE"""),45645.0)</f>
        <v>45645</v>
      </c>
      <c r="B826" s="103">
        <f>IFERROR(__xludf.DUMMYFUNCTION("""COMPUTED_VALUE"""),9.99)</f>
        <v>9.99</v>
      </c>
      <c r="C826" s="79" t="str">
        <f>IFERROR(__xludf.DUMMYFUNCTION("""COMPUTED_VALUE"""),"Hulu")</f>
        <v>Hulu</v>
      </c>
      <c r="D826" s="79" t="str">
        <f>IFERROR(__xludf.DUMMYFUNCTION("""COMPUTED_VALUE"""),"Chase Reserve")</f>
        <v>Chase Reserve</v>
      </c>
      <c r="E826" s="79" t="str">
        <f>IFERROR(__xludf.DUMMYFUNCTION("""COMPUTED_VALUE"""),"Subscriptions")</f>
        <v>Subscriptions</v>
      </c>
      <c r="F826" s="79" t="str">
        <f>IFERROR(__xludf.DUMMYFUNCTION("""COMPUTED_VALUE"""),"Shaeffer")</f>
        <v>Shaeffer</v>
      </c>
      <c r="G826" s="107">
        <f t="shared" si="1"/>
        <v>4.995</v>
      </c>
      <c r="H826" s="108" t="str">
        <f t="shared" si="2"/>
        <v>Dec</v>
      </c>
    </row>
    <row r="827">
      <c r="A827" s="106">
        <f>IFERROR(__xludf.DUMMYFUNCTION("""COMPUTED_VALUE"""),45647.0)</f>
        <v>45647</v>
      </c>
      <c r="B827" s="103">
        <f>IFERROR(__xludf.DUMMYFUNCTION("""COMPUTED_VALUE"""),22.64)</f>
        <v>22.64</v>
      </c>
      <c r="C827" s="79" t="str">
        <f>IFERROR(__xludf.DUMMYFUNCTION("""COMPUTED_VALUE"""),"Uber - Baby's All Right - Amex Green")</f>
        <v>Uber - Baby's All Right - Amex Green</v>
      </c>
      <c r="D827" s="79" t="str">
        <f>IFERROR(__xludf.DUMMYFUNCTION("""COMPUTED_VALUE"""),"Other")</f>
        <v>Other</v>
      </c>
      <c r="E827" s="79" t="str">
        <f>IFERROR(__xludf.DUMMYFUNCTION("""COMPUTED_VALUE"""),"Transportation")</f>
        <v>Transportation</v>
      </c>
      <c r="F827" s="79" t="str">
        <f>IFERROR(__xludf.DUMMYFUNCTION("""COMPUTED_VALUE"""),"Shaeffer")</f>
        <v>Shaeffer</v>
      </c>
      <c r="G827" s="107">
        <f t="shared" si="1"/>
        <v>11.32</v>
      </c>
      <c r="H827" s="108" t="str">
        <f t="shared" si="2"/>
        <v>Dec</v>
      </c>
    </row>
    <row r="828">
      <c r="A828" s="106">
        <f>IFERROR(__xludf.DUMMYFUNCTION("""COMPUTED_VALUE"""),45652.0)</f>
        <v>45652</v>
      </c>
      <c r="B828" s="103">
        <f>IFERROR(__xludf.DUMMYFUNCTION("""COMPUTED_VALUE"""),53.88)</f>
        <v>53.88</v>
      </c>
      <c r="C828" s="79" t="str">
        <f>IFERROR(__xludf.DUMMYFUNCTION("""COMPUTED_VALUE"""),"Banh Shop - DFW - Citi Premier")</f>
        <v>Banh Shop - DFW - Citi Premier</v>
      </c>
      <c r="D828" s="79" t="str">
        <f>IFERROR(__xludf.DUMMYFUNCTION("""COMPUTED_VALUE"""),"Other")</f>
        <v>Other</v>
      </c>
      <c r="E828" s="79" t="str">
        <f>IFERROR(__xludf.DUMMYFUNCTION("""COMPUTED_VALUE"""),"Travel")</f>
        <v>Travel</v>
      </c>
      <c r="F828" s="79" t="str">
        <f>IFERROR(__xludf.DUMMYFUNCTION("""COMPUTED_VALUE"""),"Gil")</f>
        <v>Gil</v>
      </c>
      <c r="G828" s="107">
        <f t="shared" si="1"/>
        <v>26.94</v>
      </c>
      <c r="H828" s="108" t="str">
        <f t="shared" si="2"/>
        <v>Dec</v>
      </c>
    </row>
    <row r="829">
      <c r="A829" s="106">
        <f>IFERROR(__xludf.DUMMYFUNCTION("""COMPUTED_VALUE"""),45653.0)</f>
        <v>45653</v>
      </c>
      <c r="B829" s="103">
        <f>IFERROR(__xludf.DUMMYFUNCTION("""COMPUTED_VALUE"""),13.88)</f>
        <v>13.88</v>
      </c>
      <c r="C829" s="79" t="str">
        <f>IFERROR(__xludf.DUMMYFUNCTION("""COMPUTED_VALUE"""),"Remedy Coffee - ABQ - Citi Premier")</f>
        <v>Remedy Coffee - ABQ - Citi Premier</v>
      </c>
      <c r="D829" s="79" t="str">
        <f>IFERROR(__xludf.DUMMYFUNCTION("""COMPUTED_VALUE"""),"Other")</f>
        <v>Other</v>
      </c>
      <c r="E829" s="79" t="str">
        <f>IFERROR(__xludf.DUMMYFUNCTION("""COMPUTED_VALUE"""),"Travel")</f>
        <v>Travel</v>
      </c>
      <c r="F829" s="79" t="str">
        <f>IFERROR(__xludf.DUMMYFUNCTION("""COMPUTED_VALUE"""),"Gil")</f>
        <v>Gil</v>
      </c>
      <c r="G829" s="107">
        <f t="shared" si="1"/>
        <v>6.94</v>
      </c>
      <c r="H829" s="108" t="str">
        <f t="shared" si="2"/>
        <v>Dec</v>
      </c>
    </row>
    <row r="830">
      <c r="A830" s="106">
        <f>IFERROR(__xludf.DUMMYFUNCTION("""COMPUTED_VALUE"""),45653.0)</f>
        <v>45653</v>
      </c>
      <c r="B830" s="103">
        <f>IFERROR(__xludf.DUMMYFUNCTION("""COMPUTED_VALUE"""),70.26)</f>
        <v>70.26</v>
      </c>
      <c r="C830" s="79" t="str">
        <f>IFERROR(__xludf.DUMMYFUNCTION("""COMPUTED_VALUE"""),"Duran's Grocery - ABQ - Citi Premier")</f>
        <v>Duran's Grocery - ABQ - Citi Premier</v>
      </c>
      <c r="D830" s="79" t="str">
        <f>IFERROR(__xludf.DUMMYFUNCTION("""COMPUTED_VALUE"""),"Other")</f>
        <v>Other</v>
      </c>
      <c r="E830" s="79" t="str">
        <f>IFERROR(__xludf.DUMMYFUNCTION("""COMPUTED_VALUE"""),"Travel")</f>
        <v>Travel</v>
      </c>
      <c r="F830" s="79" t="str">
        <f>IFERROR(__xludf.DUMMYFUNCTION("""COMPUTED_VALUE"""),"Gil")</f>
        <v>Gil</v>
      </c>
      <c r="G830" s="107">
        <f t="shared" si="1"/>
        <v>35.13</v>
      </c>
      <c r="H830" s="108" t="str">
        <f t="shared" si="2"/>
        <v>Dec</v>
      </c>
    </row>
    <row r="831">
      <c r="A831" s="106">
        <f>IFERROR(__xludf.DUMMYFUNCTION("""COMPUTED_VALUE"""),45653.0)</f>
        <v>45653</v>
      </c>
      <c r="B831" s="103">
        <f>IFERROR(__xludf.DUMMYFUNCTION("""COMPUTED_VALUE"""),58.94)</f>
        <v>58.94</v>
      </c>
      <c r="C831" s="79" t="str">
        <f>IFERROR(__xludf.DUMMYFUNCTION("""COMPUTED_VALUE"""),"Lowe's Market - ABQ - Citi Premier ")</f>
        <v>Lowe's Market - ABQ - Citi Premier </v>
      </c>
      <c r="D831" s="79" t="str">
        <f>IFERROR(__xludf.DUMMYFUNCTION("""COMPUTED_VALUE"""),"Other")</f>
        <v>Other</v>
      </c>
      <c r="E831" s="79" t="str">
        <f>IFERROR(__xludf.DUMMYFUNCTION("""COMPUTED_VALUE"""),"Travel")</f>
        <v>Travel</v>
      </c>
      <c r="F831" s="79" t="str">
        <f>IFERROR(__xludf.DUMMYFUNCTION("""COMPUTED_VALUE"""),"Gil")</f>
        <v>Gil</v>
      </c>
      <c r="G831" s="107">
        <f t="shared" si="1"/>
        <v>29.47</v>
      </c>
      <c r="H831" s="108" t="str">
        <f t="shared" si="2"/>
        <v>Dec</v>
      </c>
    </row>
    <row r="832">
      <c r="A832" s="106">
        <f>IFERROR(__xludf.DUMMYFUNCTION("""COMPUTED_VALUE"""),45653.0)</f>
        <v>45653</v>
      </c>
      <c r="B832" s="103">
        <f>IFERROR(__xludf.DUMMYFUNCTION("""COMPUTED_VALUE"""),96.8)</f>
        <v>96.8</v>
      </c>
      <c r="C832" s="79" t="str">
        <f>IFERROR(__xludf.DUMMYFUNCTION("""COMPUTED_VALUE"""),"Apothecary - ABQ - Citi Premier ")</f>
        <v>Apothecary - ABQ - Citi Premier </v>
      </c>
      <c r="D832" s="79" t="str">
        <f>IFERROR(__xludf.DUMMYFUNCTION("""COMPUTED_VALUE"""),"Other")</f>
        <v>Other</v>
      </c>
      <c r="E832" s="79" t="str">
        <f>IFERROR(__xludf.DUMMYFUNCTION("""COMPUTED_VALUE"""),"Travel")</f>
        <v>Travel</v>
      </c>
      <c r="F832" s="79" t="str">
        <f>IFERROR(__xludf.DUMMYFUNCTION("""COMPUTED_VALUE"""),"Gil")</f>
        <v>Gil</v>
      </c>
      <c r="G832" s="107">
        <f t="shared" si="1"/>
        <v>48.4</v>
      </c>
      <c r="H832" s="108" t="str">
        <f t="shared" si="2"/>
        <v>Dec</v>
      </c>
    </row>
    <row r="833">
      <c r="A833" s="106">
        <f>IFERROR(__xludf.DUMMYFUNCTION("""COMPUTED_VALUE"""),45649.0)</f>
        <v>45649</v>
      </c>
      <c r="B833" s="103">
        <f>IFERROR(__xludf.DUMMYFUNCTION("""COMPUTED_VALUE"""),181.28)</f>
        <v>181.28</v>
      </c>
      <c r="C833" s="79" t="str">
        <f>IFERROR(__xludf.DUMMYFUNCTION("""COMPUTED_VALUE"""),"X-mas wine - Starr")</f>
        <v>X-mas wine - Starr</v>
      </c>
      <c r="D833" s="79" t="str">
        <f>IFERROR(__xludf.DUMMYFUNCTION("""COMPUTED_VALUE"""),"Chase Reserve")</f>
        <v>Chase Reserve</v>
      </c>
      <c r="E833" s="79" t="str">
        <f>IFERROR(__xludf.DUMMYFUNCTION("""COMPUTED_VALUE"""),"Alcohol/Weed")</f>
        <v>Alcohol/Weed</v>
      </c>
      <c r="F833" s="79" t="str">
        <f>IFERROR(__xludf.DUMMYFUNCTION("""COMPUTED_VALUE"""),"Gil")</f>
        <v>Gil</v>
      </c>
      <c r="G833" s="107">
        <f t="shared" si="1"/>
        <v>90.64</v>
      </c>
      <c r="H833" s="108" t="str">
        <f t="shared" si="2"/>
        <v>Dec</v>
      </c>
    </row>
    <row r="834">
      <c r="A834" s="106">
        <f>IFERROR(__xludf.DUMMYFUNCTION("""COMPUTED_VALUE"""),45649.0)</f>
        <v>45649</v>
      </c>
      <c r="B834" s="103">
        <f>IFERROR(__xludf.DUMMYFUNCTION("""COMPUTED_VALUE"""),41.0)</f>
        <v>41</v>
      </c>
      <c r="C834" s="79" t="str">
        <f>IFERROR(__xludf.DUMMYFUNCTION("""COMPUTED_VALUE"""),"Rodriguez Flower = Alane Flowers")</f>
        <v>Rodriguez Flower = Alane Flowers</v>
      </c>
      <c r="D834" s="79" t="str">
        <f>IFERROR(__xludf.DUMMYFUNCTION("""COMPUTED_VALUE"""),"Chase Reserve")</f>
        <v>Chase Reserve</v>
      </c>
      <c r="E834" s="79" t="str">
        <f>IFERROR(__xludf.DUMMYFUNCTION("""COMPUTED_VALUE"""),"Gifts/Donations")</f>
        <v>Gifts/Donations</v>
      </c>
      <c r="F834" s="79" t="str">
        <f>IFERROR(__xludf.DUMMYFUNCTION("""COMPUTED_VALUE"""),"Shaeffer")</f>
        <v>Shaeffer</v>
      </c>
      <c r="G834" s="107">
        <f t="shared" si="1"/>
        <v>20.5</v>
      </c>
      <c r="H834" s="108" t="str">
        <f t="shared" si="2"/>
        <v>Dec</v>
      </c>
    </row>
    <row r="835">
      <c r="A835" s="106">
        <f>IFERROR(__xludf.DUMMYFUNCTION("""COMPUTED_VALUE"""),45652.0)</f>
        <v>45652</v>
      </c>
      <c r="B835" s="103">
        <f>IFERROR(__xludf.DUMMYFUNCTION("""COMPUTED_VALUE"""),62.12)</f>
        <v>62.12</v>
      </c>
      <c r="C835" s="79" t="str">
        <f>IFERROR(__xludf.DUMMYFUNCTION("""COMPUTED_VALUE"""),"Lyft to airport")</f>
        <v>Lyft to airport</v>
      </c>
      <c r="D835" s="79" t="str">
        <f>IFERROR(__xludf.DUMMYFUNCTION("""COMPUTED_VALUE"""),"Chase Reserve")</f>
        <v>Chase Reserve</v>
      </c>
      <c r="E835" s="79" t="str">
        <f>IFERROR(__xludf.DUMMYFUNCTION("""COMPUTED_VALUE"""),"Travel")</f>
        <v>Travel</v>
      </c>
      <c r="F835" s="79" t="str">
        <f>IFERROR(__xludf.DUMMYFUNCTION("""COMPUTED_VALUE"""),"Shaeffer")</f>
        <v>Shaeffer</v>
      </c>
      <c r="G835" s="107">
        <f t="shared" si="1"/>
        <v>31.06</v>
      </c>
      <c r="H835" s="108" t="str">
        <f t="shared" si="2"/>
        <v>Dec</v>
      </c>
    </row>
    <row r="836">
      <c r="A836" s="106">
        <f>IFERROR(__xludf.DUMMYFUNCTION("""COMPUTED_VALUE"""),45654.0)</f>
        <v>45654</v>
      </c>
      <c r="B836" s="103">
        <f>IFERROR(__xludf.DUMMYFUNCTION("""COMPUTED_VALUE"""),16.83)</f>
        <v>16.83</v>
      </c>
      <c r="C836" s="79" t="str">
        <f>IFERROR(__xludf.DUMMYFUNCTION("""COMPUTED_VALUE"""),"Lyft in ABQ")</f>
        <v>Lyft in ABQ</v>
      </c>
      <c r="D836" s="79" t="str">
        <f>IFERROR(__xludf.DUMMYFUNCTION("""COMPUTED_VALUE"""),"Chase Reserve")</f>
        <v>Chase Reserve</v>
      </c>
      <c r="E836" s="79" t="str">
        <f>IFERROR(__xludf.DUMMYFUNCTION("""COMPUTED_VALUE"""),"Travel")</f>
        <v>Travel</v>
      </c>
      <c r="F836" s="79" t="str">
        <f>IFERROR(__xludf.DUMMYFUNCTION("""COMPUTED_VALUE"""),"Shaeffer")</f>
        <v>Shaeffer</v>
      </c>
      <c r="G836" s="107">
        <f t="shared" si="1"/>
        <v>8.415</v>
      </c>
      <c r="H836" s="108" t="str">
        <f t="shared" si="2"/>
        <v>Dec</v>
      </c>
    </row>
    <row r="837">
      <c r="A837" s="106">
        <f>IFERROR(__xludf.DUMMYFUNCTION("""COMPUTED_VALUE"""),45655.0)</f>
        <v>45655</v>
      </c>
      <c r="B837" s="103">
        <f>IFERROR(__xludf.DUMMYFUNCTION("""COMPUTED_VALUE"""),32.0)</f>
        <v>32</v>
      </c>
      <c r="C837" s="79" t="str">
        <f>IFERROR(__xludf.DUMMYFUNCTION("""COMPUTED_VALUE"""),"Bar Uno")</f>
        <v>Bar Uno</v>
      </c>
      <c r="D837" s="79" t="str">
        <f>IFERROR(__xludf.DUMMYFUNCTION("""COMPUTED_VALUE"""),"Chase Reserve")</f>
        <v>Chase Reserve</v>
      </c>
      <c r="E837" s="79" t="str">
        <f>IFERROR(__xludf.DUMMYFUNCTION("""COMPUTED_VALUE"""),"Alcohol/Weed")</f>
        <v>Alcohol/Weed</v>
      </c>
      <c r="F837" s="79" t="str">
        <f>IFERROR(__xludf.DUMMYFUNCTION("""COMPUTED_VALUE"""),"Shaeffer")</f>
        <v>Shaeffer</v>
      </c>
      <c r="G837" s="107">
        <f t="shared" si="1"/>
        <v>16</v>
      </c>
      <c r="H837" s="108" t="str">
        <f t="shared" si="2"/>
        <v>Dec</v>
      </c>
    </row>
    <row r="838">
      <c r="A838" s="106">
        <f>IFERROR(__xludf.DUMMYFUNCTION("""COMPUTED_VALUE"""),45658.0)</f>
        <v>45658</v>
      </c>
      <c r="B838" s="103">
        <f>IFERROR(__xludf.DUMMYFUNCTION("""COMPUTED_VALUE"""),1044.77)</f>
        <v>1044.77</v>
      </c>
      <c r="C838" s="79" t="str">
        <f>IFERROR(__xludf.DUMMYFUNCTION("""COMPUTED_VALUE"""),"Pinon Court - Old Santa Fe Inn")</f>
        <v>Pinon Court - Old Santa Fe Inn</v>
      </c>
      <c r="D838" s="79" t="str">
        <f>IFERROR(__xludf.DUMMYFUNCTION("""COMPUTED_VALUE"""),"Chase Reserve")</f>
        <v>Chase Reserve</v>
      </c>
      <c r="E838" s="79" t="str">
        <f>IFERROR(__xludf.DUMMYFUNCTION("""COMPUTED_VALUE"""),"Travel")</f>
        <v>Travel</v>
      </c>
      <c r="F838" s="79" t="str">
        <f>IFERROR(__xludf.DUMMYFUNCTION("""COMPUTED_VALUE"""),"Shaeffer")</f>
        <v>Shaeffer</v>
      </c>
      <c r="G838" s="107">
        <f t="shared" si="1"/>
        <v>522.385</v>
      </c>
      <c r="H838" s="108" t="str">
        <f t="shared" si="2"/>
        <v>Jan</v>
      </c>
    </row>
    <row r="839">
      <c r="A839" s="106">
        <f>IFERROR(__xludf.DUMMYFUNCTION("""COMPUTED_VALUE"""),45660.0)</f>
        <v>45660</v>
      </c>
      <c r="B839" s="103">
        <f>IFERROR(__xludf.DUMMYFUNCTION("""COMPUTED_VALUE"""),367.82)</f>
        <v>367.82</v>
      </c>
      <c r="C839" s="79" t="str">
        <f>IFERROR(__xludf.DUMMYFUNCTION("""COMPUTED_VALUE"""),"Thrifty Rentals - NM rental car")</f>
        <v>Thrifty Rentals - NM rental car</v>
      </c>
      <c r="D839" s="79" t="str">
        <f>IFERROR(__xludf.DUMMYFUNCTION("""COMPUTED_VALUE"""),"Chase Reserve")</f>
        <v>Chase Reserve</v>
      </c>
      <c r="E839" s="79" t="str">
        <f>IFERROR(__xludf.DUMMYFUNCTION("""COMPUTED_VALUE"""),"Travel")</f>
        <v>Travel</v>
      </c>
      <c r="F839" s="79" t="str">
        <f>IFERROR(__xludf.DUMMYFUNCTION("""COMPUTED_VALUE"""),"Shaeffer")</f>
        <v>Shaeffer</v>
      </c>
      <c r="G839" s="107">
        <f t="shared" si="1"/>
        <v>183.91</v>
      </c>
      <c r="H839" s="108" t="str">
        <f t="shared" si="2"/>
        <v>Jan</v>
      </c>
    </row>
    <row r="840">
      <c r="A840" s="106">
        <f>IFERROR(__xludf.DUMMYFUNCTION("""COMPUTED_VALUE"""),45601.0)</f>
        <v>45601</v>
      </c>
      <c r="B840" s="103">
        <f>IFERROR(__xludf.DUMMYFUNCTION("""COMPUTED_VALUE"""),45.0)</f>
        <v>45</v>
      </c>
      <c r="C840" s="79" t="str">
        <f>IFERROR(__xludf.DUMMYFUNCTION("""COMPUTED_VALUE"""),"Laundry")</f>
        <v>Laundry</v>
      </c>
      <c r="D840" s="79" t="str">
        <f>IFERROR(__xludf.DUMMYFUNCTION("""COMPUTED_VALUE"""),"Checking")</f>
        <v>Checking</v>
      </c>
      <c r="E840" s="79" t="str">
        <f>IFERROR(__xludf.DUMMYFUNCTION("""COMPUTED_VALUE"""),"Household")</f>
        <v>Household</v>
      </c>
      <c r="F840" s="79" t="str">
        <f>IFERROR(__xludf.DUMMYFUNCTION("""COMPUTED_VALUE"""),"Shaeffer")</f>
        <v>Shaeffer</v>
      </c>
      <c r="G840" s="107">
        <f t="shared" si="1"/>
        <v>22.5</v>
      </c>
      <c r="H840" s="108" t="str">
        <f t="shared" si="2"/>
        <v>Nov</v>
      </c>
    </row>
    <row r="841">
      <c r="A841" s="106">
        <f>IFERROR(__xludf.DUMMYFUNCTION("""COMPUTED_VALUE"""),45610.0)</f>
        <v>45610</v>
      </c>
      <c r="B841" s="103">
        <f>IFERROR(__xludf.DUMMYFUNCTION("""COMPUTED_VALUE"""),60.0)</f>
        <v>60</v>
      </c>
      <c r="C841" s="79" t="str">
        <f>IFERROR(__xludf.DUMMYFUNCTION("""COMPUTED_VALUE"""),"Laundry")</f>
        <v>Laundry</v>
      </c>
      <c r="D841" s="79" t="str">
        <f>IFERROR(__xludf.DUMMYFUNCTION("""COMPUTED_VALUE"""),"Checking")</f>
        <v>Checking</v>
      </c>
      <c r="E841" s="79" t="str">
        <f>IFERROR(__xludf.DUMMYFUNCTION("""COMPUTED_VALUE"""),"Household")</f>
        <v>Household</v>
      </c>
      <c r="F841" s="79" t="str">
        <f>IFERROR(__xludf.DUMMYFUNCTION("""COMPUTED_VALUE"""),"Shaeffer")</f>
        <v>Shaeffer</v>
      </c>
      <c r="G841" s="107">
        <f t="shared" si="1"/>
        <v>30</v>
      </c>
      <c r="H841" s="108" t="str">
        <f t="shared" si="2"/>
        <v>Nov</v>
      </c>
    </row>
    <row r="842">
      <c r="A842" s="106">
        <f>IFERROR(__xludf.DUMMYFUNCTION("""COMPUTED_VALUE"""),45622.0)</f>
        <v>45622</v>
      </c>
      <c r="B842" s="103">
        <f>IFERROR(__xludf.DUMMYFUNCTION("""COMPUTED_VALUE"""),40.0)</f>
        <v>40</v>
      </c>
      <c r="C842" s="79" t="str">
        <f>IFERROR(__xludf.DUMMYFUNCTION("""COMPUTED_VALUE"""),"Laundry")</f>
        <v>Laundry</v>
      </c>
      <c r="D842" s="79" t="str">
        <f>IFERROR(__xludf.DUMMYFUNCTION("""COMPUTED_VALUE"""),"Checking")</f>
        <v>Checking</v>
      </c>
      <c r="E842" s="79" t="str">
        <f>IFERROR(__xludf.DUMMYFUNCTION("""COMPUTED_VALUE"""),"Household")</f>
        <v>Household</v>
      </c>
      <c r="F842" s="79" t="str">
        <f>IFERROR(__xludf.DUMMYFUNCTION("""COMPUTED_VALUE"""),"Shaeffer")</f>
        <v>Shaeffer</v>
      </c>
      <c r="G842" s="107">
        <f t="shared" si="1"/>
        <v>20</v>
      </c>
      <c r="H842" s="108" t="str">
        <f t="shared" si="2"/>
        <v>Nov</v>
      </c>
    </row>
    <row r="843">
      <c r="A843" s="106">
        <f>IFERROR(__xludf.DUMMYFUNCTION("""COMPUTED_VALUE"""),45627.0)</f>
        <v>45627</v>
      </c>
      <c r="B843" s="103">
        <f>IFERROR(__xludf.DUMMYFUNCTION("""COMPUTED_VALUE"""),2700.0)</f>
        <v>2700</v>
      </c>
      <c r="C843" s="79" t="str">
        <f>IFERROR(__xludf.DUMMYFUNCTION("""COMPUTED_VALUE"""),"Dec. rent")</f>
        <v>Dec. rent</v>
      </c>
      <c r="D843" s="79" t="str">
        <f>IFERROR(__xludf.DUMMYFUNCTION("""COMPUTED_VALUE"""),"Checking")</f>
        <v>Checking</v>
      </c>
      <c r="E843" s="79" t="str">
        <f>IFERROR(__xludf.DUMMYFUNCTION("""COMPUTED_VALUE"""),"Rent")</f>
        <v>Rent</v>
      </c>
      <c r="F843" s="79" t="str">
        <f>IFERROR(__xludf.DUMMYFUNCTION("""COMPUTED_VALUE"""),"Shaeffer")</f>
        <v>Shaeffer</v>
      </c>
      <c r="G843" s="107">
        <f t="shared" si="1"/>
        <v>1350</v>
      </c>
      <c r="H843" s="108" t="str">
        <f t="shared" si="2"/>
        <v>Dec</v>
      </c>
    </row>
    <row r="844">
      <c r="A844" s="106">
        <f>IFERROR(__xludf.DUMMYFUNCTION("""COMPUTED_VALUE"""),45629.0)</f>
        <v>45629</v>
      </c>
      <c r="B844" s="103">
        <f>IFERROR(__xludf.DUMMYFUNCTION("""COMPUTED_VALUE"""),35.0)</f>
        <v>35</v>
      </c>
      <c r="C844" s="79" t="str">
        <f>IFERROR(__xludf.DUMMYFUNCTION("""COMPUTED_VALUE"""),"Laundry")</f>
        <v>Laundry</v>
      </c>
      <c r="D844" s="79" t="str">
        <f>IFERROR(__xludf.DUMMYFUNCTION("""COMPUTED_VALUE"""),"Checking")</f>
        <v>Checking</v>
      </c>
      <c r="E844" s="79" t="str">
        <f>IFERROR(__xludf.DUMMYFUNCTION("""COMPUTED_VALUE"""),"Household")</f>
        <v>Household</v>
      </c>
      <c r="F844" s="79" t="str">
        <f>IFERROR(__xludf.DUMMYFUNCTION("""COMPUTED_VALUE"""),"Shaeffer")</f>
        <v>Shaeffer</v>
      </c>
      <c r="G844" s="107">
        <f t="shared" si="1"/>
        <v>17.5</v>
      </c>
      <c r="H844" s="108" t="str">
        <f t="shared" si="2"/>
        <v>Dec</v>
      </c>
    </row>
    <row r="845">
      <c r="A845" s="106">
        <f>IFERROR(__xludf.DUMMYFUNCTION("""COMPUTED_VALUE"""),45630.0)</f>
        <v>45630</v>
      </c>
      <c r="B845" s="103">
        <f>IFERROR(__xludf.DUMMYFUNCTION("""COMPUTED_VALUE"""),30.0)</f>
        <v>30</v>
      </c>
      <c r="C845" s="79" t="str">
        <f>IFERROR(__xludf.DUMMYFUNCTION("""COMPUTED_VALUE"""),"laundry")</f>
        <v>laundry</v>
      </c>
      <c r="D845" s="79" t="str">
        <f>IFERROR(__xludf.DUMMYFUNCTION("""COMPUTED_VALUE"""),"Checking")</f>
        <v>Checking</v>
      </c>
      <c r="E845" s="79" t="str">
        <f>IFERROR(__xludf.DUMMYFUNCTION("""COMPUTED_VALUE"""),"Household")</f>
        <v>Household</v>
      </c>
      <c r="F845" s="79" t="str">
        <f>IFERROR(__xludf.DUMMYFUNCTION("""COMPUTED_VALUE"""),"Shaeffer")</f>
        <v>Shaeffer</v>
      </c>
      <c r="G845" s="107">
        <f t="shared" si="1"/>
        <v>15</v>
      </c>
      <c r="H845" s="108" t="str">
        <f t="shared" si="2"/>
        <v>Dec</v>
      </c>
    </row>
    <row r="846">
      <c r="A846" s="106">
        <f>IFERROR(__xludf.DUMMYFUNCTION("""COMPUTED_VALUE"""),45644.0)</f>
        <v>45644</v>
      </c>
      <c r="B846" s="103">
        <f>IFERROR(__xludf.DUMMYFUNCTION("""COMPUTED_VALUE"""),45.0)</f>
        <v>45</v>
      </c>
      <c r="C846" s="79" t="str">
        <f>IFERROR(__xludf.DUMMYFUNCTION("""COMPUTED_VALUE"""),"Laundry")</f>
        <v>Laundry</v>
      </c>
      <c r="D846" s="79" t="str">
        <f>IFERROR(__xludf.DUMMYFUNCTION("""COMPUTED_VALUE"""),"Checking")</f>
        <v>Checking</v>
      </c>
      <c r="E846" s="79" t="str">
        <f>IFERROR(__xludf.DUMMYFUNCTION("""COMPUTED_VALUE"""),"Household")</f>
        <v>Household</v>
      </c>
      <c r="F846" s="79" t="str">
        <f>IFERROR(__xludf.DUMMYFUNCTION("""COMPUTED_VALUE"""),"Shaeffer")</f>
        <v>Shaeffer</v>
      </c>
      <c r="G846" s="107">
        <f t="shared" si="1"/>
        <v>22.5</v>
      </c>
      <c r="H846" s="108" t="str">
        <f t="shared" si="2"/>
        <v>Dec</v>
      </c>
    </row>
    <row r="847">
      <c r="A847" s="106">
        <f>IFERROR(__xludf.DUMMYFUNCTION("""COMPUTED_VALUE"""),45649.0)</f>
        <v>45649</v>
      </c>
      <c r="B847" s="103">
        <f>IFERROR(__xludf.DUMMYFUNCTION("""COMPUTED_VALUE"""),50.0)</f>
        <v>50</v>
      </c>
      <c r="C847" s="79" t="str">
        <f>IFERROR(__xludf.DUMMYFUNCTION("""COMPUTED_VALUE"""),"laundry")</f>
        <v>laundry</v>
      </c>
      <c r="D847" s="79" t="str">
        <f>IFERROR(__xludf.DUMMYFUNCTION("""COMPUTED_VALUE"""),"Checking")</f>
        <v>Checking</v>
      </c>
      <c r="E847" s="79" t="str">
        <f>IFERROR(__xludf.DUMMYFUNCTION("""COMPUTED_VALUE"""),"Household")</f>
        <v>Household</v>
      </c>
      <c r="F847" s="79" t="str">
        <f>IFERROR(__xludf.DUMMYFUNCTION("""COMPUTED_VALUE"""),"Shaeffer")</f>
        <v>Shaeffer</v>
      </c>
      <c r="G847" s="107">
        <f t="shared" si="1"/>
        <v>25</v>
      </c>
      <c r="H847" s="108" t="str">
        <f t="shared" si="2"/>
        <v>Dec</v>
      </c>
    </row>
    <row r="848">
      <c r="A848" s="106">
        <f>IFERROR(__xludf.DUMMYFUNCTION("""COMPUTED_VALUE"""),45658.0)</f>
        <v>45658</v>
      </c>
      <c r="B848" s="103">
        <f>IFERROR(__xludf.DUMMYFUNCTION("""COMPUTED_VALUE"""),2700.0)</f>
        <v>2700</v>
      </c>
      <c r="C848" s="79" t="str">
        <f>IFERROR(__xludf.DUMMYFUNCTION("""COMPUTED_VALUE"""),"Jan rent")</f>
        <v>Jan rent</v>
      </c>
      <c r="D848" s="79" t="str">
        <f>IFERROR(__xludf.DUMMYFUNCTION("""COMPUTED_VALUE"""),"Checking")</f>
        <v>Checking</v>
      </c>
      <c r="E848" s="79" t="str">
        <f>IFERROR(__xludf.DUMMYFUNCTION("""COMPUTED_VALUE"""),"Rent")</f>
        <v>Rent</v>
      </c>
      <c r="F848" s="79" t="str">
        <f>IFERROR(__xludf.DUMMYFUNCTION("""COMPUTED_VALUE"""),"Shaeffer")</f>
        <v>Shaeffer</v>
      </c>
      <c r="G848" s="107">
        <f t="shared" si="1"/>
        <v>1350</v>
      </c>
      <c r="H848" s="108" t="str">
        <f t="shared" si="2"/>
        <v>Jan</v>
      </c>
    </row>
    <row r="849">
      <c r="A849" s="106">
        <f>IFERROR(__xludf.DUMMYFUNCTION("""COMPUTED_VALUE"""),45297.0)</f>
        <v>45297</v>
      </c>
      <c r="B849" s="103">
        <f>IFERROR(__xludf.DUMMYFUNCTION("""COMPUTED_VALUE"""),43.0)</f>
        <v>43</v>
      </c>
      <c r="C849" s="79" t="str">
        <f>IFERROR(__xludf.DUMMYFUNCTION("""COMPUTED_VALUE"""),"Laundry")</f>
        <v>Laundry</v>
      </c>
      <c r="D849" s="79" t="str">
        <f>IFERROR(__xludf.DUMMYFUNCTION("""COMPUTED_VALUE"""),"Checking")</f>
        <v>Checking</v>
      </c>
      <c r="E849" s="79" t="str">
        <f>IFERROR(__xludf.DUMMYFUNCTION("""COMPUTED_VALUE"""),"Household")</f>
        <v>Household</v>
      </c>
      <c r="F849" s="79" t="str">
        <f>IFERROR(__xludf.DUMMYFUNCTION("""COMPUTED_VALUE"""),"Shaeffer")</f>
        <v>Shaeffer</v>
      </c>
      <c r="G849" s="107">
        <f t="shared" si="1"/>
        <v>21.5</v>
      </c>
      <c r="H849" s="108" t="str">
        <f t="shared" si="2"/>
        <v>Jan</v>
      </c>
    </row>
    <row r="850">
      <c r="A850" s="106">
        <f>IFERROR(__xludf.DUMMYFUNCTION("""COMPUTED_VALUE"""),45658.0)</f>
        <v>45658</v>
      </c>
      <c r="B850" s="103">
        <f>IFERROR(__xludf.DUMMYFUNCTION("""COMPUTED_VALUE"""),2700.0)</f>
        <v>2700</v>
      </c>
      <c r="C850" s="79" t="str">
        <f>IFERROR(__xludf.DUMMYFUNCTION("""COMPUTED_VALUE"""),"Jan Rent")</f>
        <v>Jan Rent</v>
      </c>
      <c r="D850" s="79" t="str">
        <f>IFERROR(__xludf.DUMMYFUNCTION("""COMPUTED_VALUE"""),"Checking")</f>
        <v>Checking</v>
      </c>
      <c r="E850" s="79" t="str">
        <f>IFERROR(__xludf.DUMMYFUNCTION("""COMPUTED_VALUE"""),"Rent")</f>
        <v>Rent</v>
      </c>
      <c r="F850" s="79" t="str">
        <f>IFERROR(__xludf.DUMMYFUNCTION("""COMPUTED_VALUE"""),"Shaeffer")</f>
        <v>Shaeffer</v>
      </c>
      <c r="G850" s="107">
        <f t="shared" si="1"/>
        <v>1350</v>
      </c>
      <c r="H850" s="108" t="str">
        <f t="shared" si="2"/>
        <v>Jan</v>
      </c>
    </row>
    <row r="851">
      <c r="A851" s="106">
        <f>IFERROR(__xludf.DUMMYFUNCTION("""COMPUTED_VALUE"""),45655.0)</f>
        <v>45655</v>
      </c>
      <c r="B851" s="103">
        <f>IFERROR(__xludf.DUMMYFUNCTION("""COMPUTED_VALUE"""),31.16)</f>
        <v>31.16</v>
      </c>
      <c r="C851" s="79" t="str">
        <f>IFERROR(__xludf.DUMMYFUNCTION("""COMPUTED_VALUE"""),"Maria's")</f>
        <v>Maria's</v>
      </c>
      <c r="D851" s="79" t="str">
        <f>IFERROR(__xludf.DUMMYFUNCTION("""COMPUTED_VALUE"""),"Jet Blue")</f>
        <v>Jet Blue</v>
      </c>
      <c r="E851" s="79" t="str">
        <f>IFERROR(__xludf.DUMMYFUNCTION("""COMPUTED_VALUE"""),"Travel")</f>
        <v>Travel</v>
      </c>
      <c r="F851" s="79" t="str">
        <f>IFERROR(__xludf.DUMMYFUNCTION("""COMPUTED_VALUE"""),"Shaeffer")</f>
        <v>Shaeffer</v>
      </c>
      <c r="G851" s="107">
        <f t="shared" si="1"/>
        <v>15.58</v>
      </c>
      <c r="H851" s="108" t="str">
        <f t="shared" si="2"/>
        <v>Dec</v>
      </c>
    </row>
    <row r="852">
      <c r="A852" s="106">
        <f>IFERROR(__xludf.DUMMYFUNCTION("""COMPUTED_VALUE"""),45658.0)</f>
        <v>45658</v>
      </c>
      <c r="B852" s="103">
        <f>IFERROR(__xludf.DUMMYFUNCTION("""COMPUTED_VALUE"""),572.05)</f>
        <v>572.05</v>
      </c>
      <c r="C852" s="79" t="str">
        <f>IFERROR(__xludf.DUMMYFUNCTION("""COMPUTED_VALUE"""),"Ojo Caliente")</f>
        <v>Ojo Caliente</v>
      </c>
      <c r="D852" s="79" t="str">
        <f>IFERROR(__xludf.DUMMYFUNCTION("""COMPUTED_VALUE"""),"Jet Blue")</f>
        <v>Jet Blue</v>
      </c>
      <c r="E852" s="79" t="str">
        <f>IFERROR(__xludf.DUMMYFUNCTION("""COMPUTED_VALUE"""),"Travel")</f>
        <v>Travel</v>
      </c>
      <c r="F852" s="79" t="str">
        <f>IFERROR(__xludf.DUMMYFUNCTION("""COMPUTED_VALUE"""),"Shaeffer")</f>
        <v>Shaeffer</v>
      </c>
      <c r="G852" s="107">
        <f t="shared" si="1"/>
        <v>286.025</v>
      </c>
      <c r="H852" s="108" t="str">
        <f t="shared" si="2"/>
        <v>Jan</v>
      </c>
    </row>
    <row r="853">
      <c r="A853" s="106">
        <f>IFERROR(__xludf.DUMMYFUNCTION("""COMPUTED_VALUE"""),45659.0)</f>
        <v>45659</v>
      </c>
      <c r="B853" s="103">
        <f>IFERROR(__xludf.DUMMYFUNCTION("""COMPUTED_VALUE"""),14.7)</f>
        <v>14.7</v>
      </c>
      <c r="C853" s="79" t="str">
        <f>IFERROR(__xludf.DUMMYFUNCTION("""COMPUTED_VALUE"""),"Ojo Take out")</f>
        <v>Ojo Take out</v>
      </c>
      <c r="D853" s="79" t="str">
        <f>IFERROR(__xludf.DUMMYFUNCTION("""COMPUTED_VALUE"""),"Jet Blue")</f>
        <v>Jet Blue</v>
      </c>
      <c r="E853" s="79" t="str">
        <f>IFERROR(__xludf.DUMMYFUNCTION("""COMPUTED_VALUE"""),"Travel")</f>
        <v>Travel</v>
      </c>
      <c r="F853" s="79" t="str">
        <f>IFERROR(__xludf.DUMMYFUNCTION("""COMPUTED_VALUE"""),"Shaeffer")</f>
        <v>Shaeffer</v>
      </c>
      <c r="G853" s="107">
        <f t="shared" si="1"/>
        <v>7.35</v>
      </c>
      <c r="H853" s="108" t="str">
        <f t="shared" si="2"/>
        <v>Jan</v>
      </c>
    </row>
    <row r="854">
      <c r="A854" s="106">
        <f>IFERROR(__xludf.DUMMYFUNCTION("""COMPUTED_VALUE"""),45653.0)</f>
        <v>45653</v>
      </c>
      <c r="B854" s="103">
        <f>IFERROR(__xludf.DUMMYFUNCTION("""COMPUTED_VALUE"""),41.0)</f>
        <v>41</v>
      </c>
      <c r="C854" s="79" t="str">
        <f>IFERROR(__xludf.DUMMYFUNCTION("""COMPUTED_VALUE"""),"River of Lights")</f>
        <v>River of Lights</v>
      </c>
      <c r="D854" s="79" t="str">
        <f>IFERROR(__xludf.DUMMYFUNCTION("""COMPUTED_VALUE"""),"Other")</f>
        <v>Other</v>
      </c>
      <c r="E854" s="79" t="str">
        <f>IFERROR(__xludf.DUMMYFUNCTION("""COMPUTED_VALUE"""),"Travel")</f>
        <v>Travel</v>
      </c>
      <c r="F854" s="79" t="str">
        <f>IFERROR(__xludf.DUMMYFUNCTION("""COMPUTED_VALUE"""),"Shaeffer")</f>
        <v>Shaeffer</v>
      </c>
      <c r="G854" s="107">
        <f t="shared" si="1"/>
        <v>20.5</v>
      </c>
      <c r="H854" s="108" t="str">
        <f t="shared" si="2"/>
        <v>Dec</v>
      </c>
    </row>
    <row r="855">
      <c r="A855" s="106">
        <f>IFERROR(__xludf.DUMMYFUNCTION("""COMPUTED_VALUE"""),45654.0)</f>
        <v>45654</v>
      </c>
      <c r="B855" s="103">
        <f>IFERROR(__xludf.DUMMYFUNCTION("""COMPUTED_VALUE"""),248.92)</f>
        <v>248.92</v>
      </c>
      <c r="C855" s="79" t="str">
        <f>IFERROR(__xludf.DUMMYFUNCTION("""COMPUTED_VALUE"""),"Sky Railway")</f>
        <v>Sky Railway</v>
      </c>
      <c r="D855" s="79" t="str">
        <f>IFERROR(__xludf.DUMMYFUNCTION("""COMPUTED_VALUE"""),"Other")</f>
        <v>Other</v>
      </c>
      <c r="E855" s="79" t="str">
        <f>IFERROR(__xludf.DUMMYFUNCTION("""COMPUTED_VALUE"""),"Travel")</f>
        <v>Travel</v>
      </c>
      <c r="F855" s="79" t="str">
        <f>IFERROR(__xludf.DUMMYFUNCTION("""COMPUTED_VALUE"""),"Shaeffer")</f>
        <v>Shaeffer</v>
      </c>
      <c r="G855" s="107">
        <f t="shared" si="1"/>
        <v>124.46</v>
      </c>
      <c r="H855" s="108" t="str">
        <f t="shared" si="2"/>
        <v>Dec</v>
      </c>
    </row>
    <row r="856">
      <c r="A856" s="106">
        <f>IFERROR(__xludf.DUMMYFUNCTION("""COMPUTED_VALUE"""),45611.0)</f>
        <v>45611</v>
      </c>
      <c r="B856" s="103">
        <f>IFERROR(__xludf.DUMMYFUNCTION("""COMPUTED_VALUE"""),485.11)</f>
        <v>485.11</v>
      </c>
      <c r="C856" s="79" t="str">
        <f>IFERROR(__xludf.DUMMYFUNCTION("""COMPUTED_VALUE"""),"Health insurance ")</f>
        <v>Health insurance </v>
      </c>
      <c r="D856" s="79" t="str">
        <f>IFERROR(__xludf.DUMMYFUNCTION("""COMPUTED_VALUE"""),"Other")</f>
        <v>Other</v>
      </c>
      <c r="E856" s="79" t="str">
        <f>IFERROR(__xludf.DUMMYFUNCTION("""COMPUTED_VALUE"""),"Insurance")</f>
        <v>Insurance</v>
      </c>
      <c r="F856" s="79" t="str">
        <f>IFERROR(__xludf.DUMMYFUNCTION("""COMPUTED_VALUE"""),"Shaeffer")</f>
        <v>Shaeffer</v>
      </c>
      <c r="G856" s="107">
        <f t="shared" si="1"/>
        <v>242.555</v>
      </c>
      <c r="H856" s="108" t="str">
        <f t="shared" si="2"/>
        <v>Nov</v>
      </c>
    </row>
    <row r="857">
      <c r="A857" s="106">
        <f>IFERROR(__xludf.DUMMYFUNCTION("""COMPUTED_VALUE"""),45625.0)</f>
        <v>45625</v>
      </c>
      <c r="B857" s="103">
        <f>IFERROR(__xludf.DUMMYFUNCTION("""COMPUTED_VALUE"""),485.13)</f>
        <v>485.13</v>
      </c>
      <c r="C857" s="79" t="str">
        <f>IFERROR(__xludf.DUMMYFUNCTION("""COMPUTED_VALUE"""),"Health Insurance ")</f>
        <v>Health Insurance </v>
      </c>
      <c r="D857" s="79" t="str">
        <f>IFERROR(__xludf.DUMMYFUNCTION("""COMPUTED_VALUE"""),"Other")</f>
        <v>Other</v>
      </c>
      <c r="E857" s="79" t="str">
        <f>IFERROR(__xludf.DUMMYFUNCTION("""COMPUTED_VALUE"""),"Insurance")</f>
        <v>Insurance</v>
      </c>
      <c r="F857" s="79" t="str">
        <f>IFERROR(__xludf.DUMMYFUNCTION("""COMPUTED_VALUE"""),"Shaeffer")</f>
        <v>Shaeffer</v>
      </c>
      <c r="G857" s="107">
        <f t="shared" si="1"/>
        <v>242.565</v>
      </c>
      <c r="H857" s="108" t="str">
        <f t="shared" si="2"/>
        <v>Nov</v>
      </c>
    </row>
    <row r="858">
      <c r="A858" s="106">
        <f>IFERROR(__xludf.DUMMYFUNCTION("""COMPUTED_VALUE"""),45639.0)</f>
        <v>45639</v>
      </c>
      <c r="B858" s="103">
        <f>IFERROR(__xludf.DUMMYFUNCTION("""COMPUTED_VALUE"""),485.11)</f>
        <v>485.11</v>
      </c>
      <c r="C858" s="79" t="str">
        <f>IFERROR(__xludf.DUMMYFUNCTION("""COMPUTED_VALUE"""),"Health Insurance ")</f>
        <v>Health Insurance </v>
      </c>
      <c r="D858" s="79" t="str">
        <f>IFERROR(__xludf.DUMMYFUNCTION("""COMPUTED_VALUE"""),"Other")</f>
        <v>Other</v>
      </c>
      <c r="E858" s="79" t="str">
        <f>IFERROR(__xludf.DUMMYFUNCTION("""COMPUTED_VALUE"""),"Insurance")</f>
        <v>Insurance</v>
      </c>
      <c r="F858" s="79" t="str">
        <f>IFERROR(__xludf.DUMMYFUNCTION("""COMPUTED_VALUE"""),"Shaeffer")</f>
        <v>Shaeffer</v>
      </c>
      <c r="G858" s="107">
        <f t="shared" si="1"/>
        <v>242.555</v>
      </c>
      <c r="H858" s="108" t="str">
        <f t="shared" si="2"/>
        <v>Dec</v>
      </c>
    </row>
    <row r="859">
      <c r="A859" s="106">
        <f>IFERROR(__xludf.DUMMYFUNCTION("""COMPUTED_VALUE"""),45657.0)</f>
        <v>45657</v>
      </c>
      <c r="B859" s="103">
        <f>IFERROR(__xludf.DUMMYFUNCTION("""COMPUTED_VALUE"""),485.13)</f>
        <v>485.13</v>
      </c>
      <c r="C859" s="79" t="str">
        <f>IFERROR(__xludf.DUMMYFUNCTION("""COMPUTED_VALUE"""),"Health insurance ")</f>
        <v>Health insurance </v>
      </c>
      <c r="D859" s="79" t="str">
        <f>IFERROR(__xludf.DUMMYFUNCTION("""COMPUTED_VALUE"""),"Other")</f>
        <v>Other</v>
      </c>
      <c r="E859" s="79" t="str">
        <f>IFERROR(__xludf.DUMMYFUNCTION("""COMPUTED_VALUE"""),"Insurance")</f>
        <v>Insurance</v>
      </c>
      <c r="F859" s="79" t="str">
        <f>IFERROR(__xludf.DUMMYFUNCTION("""COMPUTED_VALUE"""),"Shaeffer")</f>
        <v>Shaeffer</v>
      </c>
      <c r="G859" s="107">
        <f t="shared" si="1"/>
        <v>242.565</v>
      </c>
      <c r="H859" s="108" t="str">
        <f t="shared" si="2"/>
        <v>Dec</v>
      </c>
    </row>
    <row r="860">
      <c r="A860" s="106">
        <f>IFERROR(__xludf.DUMMYFUNCTION("""COMPUTED_VALUE"""),45666.0)</f>
        <v>45666</v>
      </c>
      <c r="B860" s="103">
        <f>IFERROR(__xludf.DUMMYFUNCTION("""COMPUTED_VALUE"""),101.45)</f>
        <v>101.45</v>
      </c>
      <c r="C860" s="79" t="str">
        <f>IFERROR(__xludf.DUMMYFUNCTION("""COMPUTED_VALUE"""),"Dickson's - Mercato - Citi Premier")</f>
        <v>Dickson's - Mercato - Citi Premier</v>
      </c>
      <c r="D860" s="79" t="str">
        <f>IFERROR(__xludf.DUMMYFUNCTION("""COMPUTED_VALUE"""),"Other")</f>
        <v>Other</v>
      </c>
      <c r="E860" s="79" t="str">
        <f>IFERROR(__xludf.DUMMYFUNCTION("""COMPUTED_VALUE"""),"Groceries")</f>
        <v>Groceries</v>
      </c>
      <c r="F860" s="79" t="str">
        <f>IFERROR(__xludf.DUMMYFUNCTION("""COMPUTED_VALUE"""),"Shaeffer")</f>
        <v>Shaeffer</v>
      </c>
      <c r="G860" s="107">
        <f t="shared" si="1"/>
        <v>50.725</v>
      </c>
      <c r="H860" s="108" t="str">
        <f t="shared" si="2"/>
        <v>Jan</v>
      </c>
    </row>
    <row r="861">
      <c r="A861" s="106">
        <f>IFERROR(__xludf.DUMMYFUNCTION("""COMPUTED_VALUE"""),45668.0)</f>
        <v>45668</v>
      </c>
      <c r="B861" s="103">
        <f>IFERROR(__xludf.DUMMYFUNCTION("""COMPUTED_VALUE"""),5.5)</f>
        <v>5.5</v>
      </c>
      <c r="C861" s="79" t="str">
        <f>IFERROR(__xludf.DUMMYFUNCTION("""COMPUTED_VALUE"""),"Pearl River Mart")</f>
        <v>Pearl River Mart</v>
      </c>
      <c r="D861" s="79" t="str">
        <f>IFERROR(__xludf.DUMMYFUNCTION("""COMPUTED_VALUE"""),"Amex Blue")</f>
        <v>Amex Blue</v>
      </c>
      <c r="E861" s="79" t="str">
        <f>IFERROR(__xludf.DUMMYFUNCTION("""COMPUTED_VALUE"""),"Groceries")</f>
        <v>Groceries</v>
      </c>
      <c r="F861" s="79" t="str">
        <f>IFERROR(__xludf.DUMMYFUNCTION("""COMPUTED_VALUE"""),"Gil")</f>
        <v>Gil</v>
      </c>
      <c r="G861" s="107">
        <f t="shared" si="1"/>
        <v>2.75</v>
      </c>
      <c r="H861" s="108" t="str">
        <f t="shared" si="2"/>
        <v>Jan</v>
      </c>
    </row>
    <row r="862">
      <c r="A862" s="106">
        <f>IFERROR(__xludf.DUMMYFUNCTION("""COMPUTED_VALUE"""),45664.0)</f>
        <v>45664</v>
      </c>
      <c r="B862" s="103">
        <f>IFERROR(__xludf.DUMMYFUNCTION("""COMPUTED_VALUE"""),41.3)</f>
        <v>41.3</v>
      </c>
      <c r="C862" s="79" t="str">
        <f>IFERROR(__xludf.DUMMYFUNCTION("""COMPUTED_VALUE"""),"Whole Foods - Prime")</f>
        <v>Whole Foods - Prime</v>
      </c>
      <c r="D862" s="79" t="str">
        <f>IFERROR(__xludf.DUMMYFUNCTION("""COMPUTED_VALUE"""),"Amazon Prime Chase")</f>
        <v>Amazon Prime Chase</v>
      </c>
      <c r="E862" s="79" t="str">
        <f>IFERROR(__xludf.DUMMYFUNCTION("""COMPUTED_VALUE"""),"Groceries")</f>
        <v>Groceries</v>
      </c>
      <c r="F862" s="79" t="str">
        <f>IFERROR(__xludf.DUMMYFUNCTION("""COMPUTED_VALUE"""),"Gil")</f>
        <v>Gil</v>
      </c>
      <c r="G862" s="107">
        <f t="shared" si="1"/>
        <v>20.65</v>
      </c>
      <c r="H862" s="108" t="str">
        <f t="shared" si="2"/>
        <v>Jan</v>
      </c>
    </row>
    <row r="863">
      <c r="A863" s="106">
        <f>IFERROR(__xludf.DUMMYFUNCTION("""COMPUTED_VALUE"""),45663.0)</f>
        <v>45663</v>
      </c>
      <c r="B863" s="103">
        <f>IFERROR(__xludf.DUMMYFUNCTION("""COMPUTED_VALUE"""),144.52)</f>
        <v>144.52</v>
      </c>
      <c r="C863" s="79" t="str">
        <f>IFERROR(__xludf.DUMMYFUNCTION("""COMPUTED_VALUE"""),"Whole Foods - Prime")</f>
        <v>Whole Foods - Prime</v>
      </c>
      <c r="D863" s="79" t="str">
        <f>IFERROR(__xludf.DUMMYFUNCTION("""COMPUTED_VALUE"""),"Amazon Prime Chase")</f>
        <v>Amazon Prime Chase</v>
      </c>
      <c r="E863" s="79" t="str">
        <f>IFERROR(__xludf.DUMMYFUNCTION("""COMPUTED_VALUE"""),"Groceries")</f>
        <v>Groceries</v>
      </c>
      <c r="F863" s="79" t="str">
        <f>IFERROR(__xludf.DUMMYFUNCTION("""COMPUTED_VALUE"""),"Gil")</f>
        <v>Gil</v>
      </c>
      <c r="G863" s="107">
        <f t="shared" si="1"/>
        <v>72.26</v>
      </c>
      <c r="H863" s="108" t="str">
        <f t="shared" si="2"/>
        <v>Jan</v>
      </c>
    </row>
    <row r="864">
      <c r="A864" s="106">
        <f>IFERROR(__xludf.DUMMYFUNCTION("""COMPUTED_VALUE"""),45662.0)</f>
        <v>45662</v>
      </c>
      <c r="B864" s="103">
        <f>IFERROR(__xludf.DUMMYFUNCTION("""COMPUTED_VALUE"""),9.25)</f>
        <v>9.25</v>
      </c>
      <c r="C864" s="79" t="str">
        <f>IFERROR(__xludf.DUMMYFUNCTION("""COMPUTED_VALUE"""),"Til Death - Citi Premier")</f>
        <v>Til Death - Citi Premier</v>
      </c>
      <c r="D864" s="79" t="str">
        <f>IFERROR(__xludf.DUMMYFUNCTION("""COMPUTED_VALUE"""),"Other")</f>
        <v>Other</v>
      </c>
      <c r="E864" s="79" t="str">
        <f>IFERROR(__xludf.DUMMYFUNCTION("""COMPUTED_VALUE"""),"Meals")</f>
        <v>Meals</v>
      </c>
      <c r="F864" s="79" t="str">
        <f>IFERROR(__xludf.DUMMYFUNCTION("""COMPUTED_VALUE"""),"Gil")</f>
        <v>Gil</v>
      </c>
      <c r="G864" s="107">
        <f t="shared" si="1"/>
        <v>4.625</v>
      </c>
      <c r="H864" s="108" t="str">
        <f t="shared" si="2"/>
        <v>Jan</v>
      </c>
    </row>
    <row r="865">
      <c r="A865" s="106">
        <f>IFERROR(__xludf.DUMMYFUNCTION("""COMPUTED_VALUE"""),45661.0)</f>
        <v>45661</v>
      </c>
      <c r="B865" s="103">
        <f>IFERROR(__xludf.DUMMYFUNCTION("""COMPUTED_VALUE"""),70.38)</f>
        <v>70.38</v>
      </c>
      <c r="C865" s="79" t="str">
        <f>IFERROR(__xludf.DUMMYFUNCTION("""COMPUTED_VALUE"""),"Zatar Cafe - Citi Premier")</f>
        <v>Zatar Cafe - Citi Premier</v>
      </c>
      <c r="D865" s="79" t="str">
        <f>IFERROR(__xludf.DUMMYFUNCTION("""COMPUTED_VALUE"""),"Other")</f>
        <v>Other</v>
      </c>
      <c r="E865" s="79" t="str">
        <f>IFERROR(__xludf.DUMMYFUNCTION("""COMPUTED_VALUE"""),"Meals")</f>
        <v>Meals</v>
      </c>
      <c r="F865" s="79" t="str">
        <f>IFERROR(__xludf.DUMMYFUNCTION("""COMPUTED_VALUE"""),"Gil")</f>
        <v>Gil</v>
      </c>
      <c r="G865" s="107">
        <f t="shared" si="1"/>
        <v>35.19</v>
      </c>
      <c r="H865" s="108" t="str">
        <f t="shared" si="2"/>
        <v>Jan</v>
      </c>
    </row>
    <row r="866">
      <c r="A866" s="106">
        <f>IFERROR(__xludf.DUMMYFUNCTION("""COMPUTED_VALUE"""),45660.0)</f>
        <v>45660</v>
      </c>
      <c r="B866" s="103">
        <f>IFERROR(__xludf.DUMMYFUNCTION("""COMPUTED_VALUE"""),29.69)</f>
        <v>29.69</v>
      </c>
      <c r="C866" s="79" t="str">
        <f>IFERROR(__xludf.DUMMYFUNCTION("""COMPUTED_VALUE"""),"Uber - LGA - Amex Green")</f>
        <v>Uber - LGA - Amex Green</v>
      </c>
      <c r="D866" s="79" t="str">
        <f>IFERROR(__xludf.DUMMYFUNCTION("""COMPUTED_VALUE"""),"Other")</f>
        <v>Other</v>
      </c>
      <c r="E866" s="79" t="str">
        <f>IFERROR(__xludf.DUMMYFUNCTION("""COMPUTED_VALUE"""),"Travel")</f>
        <v>Travel</v>
      </c>
      <c r="F866" s="79" t="str">
        <f>IFERROR(__xludf.DUMMYFUNCTION("""COMPUTED_VALUE"""),"Gil")</f>
        <v>Gil</v>
      </c>
      <c r="G866" s="107">
        <f t="shared" si="1"/>
        <v>14.845</v>
      </c>
      <c r="H866" s="108" t="str">
        <f t="shared" si="2"/>
        <v>Jan</v>
      </c>
    </row>
    <row r="867">
      <c r="A867" s="106">
        <f>IFERROR(__xludf.DUMMYFUNCTION("""COMPUTED_VALUE"""),45658.0)</f>
        <v>45658</v>
      </c>
      <c r="B867" s="103">
        <f>IFERROR(__xludf.DUMMYFUNCTION("""COMPUTED_VALUE"""),17.16)</f>
        <v>17.16</v>
      </c>
      <c r="C867" s="79" t="str">
        <f>IFERROR(__xludf.DUMMYFUNCTION("""COMPUTED_VALUE"""),"Chavez Gallery and Coffee Shop - Chimayo - Citi Premier")</f>
        <v>Chavez Gallery and Coffee Shop - Chimayo - Citi Premier</v>
      </c>
      <c r="D867" s="79" t="str">
        <f>IFERROR(__xludf.DUMMYFUNCTION("""COMPUTED_VALUE"""),"Other")</f>
        <v>Other</v>
      </c>
      <c r="E867" s="79" t="str">
        <f>IFERROR(__xludf.DUMMYFUNCTION("""COMPUTED_VALUE"""),"Travel")</f>
        <v>Travel</v>
      </c>
      <c r="F867" s="79" t="str">
        <f>IFERROR(__xludf.DUMMYFUNCTION("""COMPUTED_VALUE"""),"Gil")</f>
        <v>Gil</v>
      </c>
      <c r="G867" s="107">
        <f t="shared" si="1"/>
        <v>8.58</v>
      </c>
      <c r="H867" s="108" t="str">
        <f t="shared" si="2"/>
        <v>Jan</v>
      </c>
    </row>
    <row r="868">
      <c r="A868" s="106">
        <f>IFERROR(__xludf.DUMMYFUNCTION("""COMPUTED_VALUE"""),45657.0)</f>
        <v>45657</v>
      </c>
      <c r="B868" s="103">
        <f>IFERROR(__xludf.DUMMYFUNCTION("""COMPUTED_VALUE"""),76.91)</f>
        <v>76.91</v>
      </c>
      <c r="C868" s="79" t="str">
        <f>IFERROR(__xludf.DUMMYFUNCTION("""COMPUTED_VALUE"""),"Sky Railway Train - Drinks - Citi Premier")</f>
        <v>Sky Railway Train - Drinks - Citi Premier</v>
      </c>
      <c r="D868" s="79" t="str">
        <f>IFERROR(__xludf.DUMMYFUNCTION("""COMPUTED_VALUE"""),"Other")</f>
        <v>Other</v>
      </c>
      <c r="E868" s="79" t="str">
        <f>IFERROR(__xludf.DUMMYFUNCTION("""COMPUTED_VALUE"""),"Travel")</f>
        <v>Travel</v>
      </c>
      <c r="F868" s="79" t="str">
        <f>IFERROR(__xludf.DUMMYFUNCTION("""COMPUTED_VALUE"""),"Gil")</f>
        <v>Gil</v>
      </c>
      <c r="G868" s="107">
        <f t="shared" si="1"/>
        <v>38.455</v>
      </c>
      <c r="H868" s="108" t="str">
        <f t="shared" si="2"/>
        <v>Dec</v>
      </c>
    </row>
    <row r="869">
      <c r="A869" s="106">
        <f>IFERROR(__xludf.DUMMYFUNCTION("""COMPUTED_VALUE"""),45657.0)</f>
        <v>45657</v>
      </c>
      <c r="B869" s="103">
        <f>IFERROR(__xludf.DUMMYFUNCTION("""COMPUTED_VALUE"""),48.04)</f>
        <v>48.04</v>
      </c>
      <c r="C869" s="79" t="str">
        <f>IFERROR(__xludf.DUMMYFUNCTION("""COMPUTED_VALUE"""),"La Mama - Santa Fe - Citi Premier")</f>
        <v>La Mama - Santa Fe - Citi Premier</v>
      </c>
      <c r="D869" s="79" t="str">
        <f>IFERROR(__xludf.DUMMYFUNCTION("""COMPUTED_VALUE"""),"Other")</f>
        <v>Other</v>
      </c>
      <c r="E869" s="79" t="str">
        <f>IFERROR(__xludf.DUMMYFUNCTION("""COMPUTED_VALUE"""),"Travel")</f>
        <v>Travel</v>
      </c>
      <c r="F869" s="79" t="str">
        <f>IFERROR(__xludf.DUMMYFUNCTION("""COMPUTED_VALUE"""),"Gil")</f>
        <v>Gil</v>
      </c>
      <c r="G869" s="107">
        <f t="shared" si="1"/>
        <v>24.02</v>
      </c>
      <c r="H869" s="108" t="str">
        <f t="shared" si="2"/>
        <v>Dec</v>
      </c>
    </row>
    <row r="870">
      <c r="A870" s="106">
        <f>IFERROR(__xludf.DUMMYFUNCTION("""COMPUTED_VALUE"""),45656.0)</f>
        <v>45656</v>
      </c>
      <c r="B870" s="103">
        <f>IFERROR(__xludf.DUMMYFUNCTION("""COMPUTED_VALUE"""),38.46)</f>
        <v>38.46</v>
      </c>
      <c r="C870" s="79" t="str">
        <f>IFERROR(__xludf.DUMMYFUNCTION("""COMPUTED_VALUE"""),"Jean Cocteau Cinema - Citi Premier ")</f>
        <v>Jean Cocteau Cinema - Citi Premier </v>
      </c>
      <c r="D870" s="79" t="str">
        <f>IFERROR(__xludf.DUMMYFUNCTION("""COMPUTED_VALUE"""),"Other")</f>
        <v>Other</v>
      </c>
      <c r="E870" s="79" t="str">
        <f>IFERROR(__xludf.DUMMYFUNCTION("""COMPUTED_VALUE"""),"Travel")</f>
        <v>Travel</v>
      </c>
      <c r="F870" s="79" t="str">
        <f>IFERROR(__xludf.DUMMYFUNCTION("""COMPUTED_VALUE"""),"Gil")</f>
        <v>Gil</v>
      </c>
      <c r="G870" s="107">
        <f t="shared" si="1"/>
        <v>19.23</v>
      </c>
      <c r="H870" s="108" t="str">
        <f t="shared" si="2"/>
        <v>Dec</v>
      </c>
    </row>
    <row r="871">
      <c r="A871" s="106">
        <f>IFERROR(__xludf.DUMMYFUNCTION("""COMPUTED_VALUE"""),45656.0)</f>
        <v>45656</v>
      </c>
      <c r="B871" s="103">
        <f>IFERROR(__xludf.DUMMYFUNCTION("""COMPUTED_VALUE"""),140.64)</f>
        <v>140.64</v>
      </c>
      <c r="C871" s="79" t="str">
        <f>IFERROR(__xludf.DUMMYFUNCTION("""COMPUTED_VALUE"""),"Meowolf - Santa Fe - Citi Premier")</f>
        <v>Meowolf - Santa Fe - Citi Premier</v>
      </c>
      <c r="D871" s="79" t="str">
        <f>IFERROR(__xludf.DUMMYFUNCTION("""COMPUTED_VALUE"""),"Other")</f>
        <v>Other</v>
      </c>
      <c r="E871" s="79" t="str">
        <f>IFERROR(__xludf.DUMMYFUNCTION("""COMPUTED_VALUE"""),"Travel")</f>
        <v>Travel</v>
      </c>
      <c r="F871" s="79" t="str">
        <f>IFERROR(__xludf.DUMMYFUNCTION("""COMPUTED_VALUE"""),"Gil")</f>
        <v>Gil</v>
      </c>
      <c r="G871" s="107">
        <f t="shared" si="1"/>
        <v>70.32</v>
      </c>
      <c r="H871" s="108" t="str">
        <f t="shared" si="2"/>
        <v>Dec</v>
      </c>
    </row>
    <row r="872">
      <c r="A872" s="106">
        <f>IFERROR(__xludf.DUMMYFUNCTION("""COMPUTED_VALUE"""),45655.0)</f>
        <v>45655</v>
      </c>
      <c r="B872" s="103">
        <f>IFERROR(__xludf.DUMMYFUNCTION("""COMPUTED_VALUE"""),49.5)</f>
        <v>49.5</v>
      </c>
      <c r="C872" s="79" t="str">
        <f>IFERROR(__xludf.DUMMYFUNCTION("""COMPUTED_VALUE"""),"ATG - Knees Over Toes - Amex Green")</f>
        <v>ATG - Knees Over Toes - Amex Green</v>
      </c>
      <c r="D872" s="79" t="str">
        <f>IFERROR(__xludf.DUMMYFUNCTION("""COMPUTED_VALUE"""),"Other")</f>
        <v>Other</v>
      </c>
      <c r="E872" s="79" t="str">
        <f>IFERROR(__xludf.DUMMYFUNCTION("""COMPUTED_VALUE"""),"Subscriptions")</f>
        <v>Subscriptions</v>
      </c>
      <c r="F872" s="79" t="str">
        <f>IFERROR(__xludf.DUMMYFUNCTION("""COMPUTED_VALUE"""),"Gil")</f>
        <v>Gil</v>
      </c>
      <c r="G872" s="107">
        <f t="shared" si="1"/>
        <v>24.75</v>
      </c>
      <c r="H872" s="108" t="str">
        <f t="shared" si="2"/>
        <v>Dec</v>
      </c>
    </row>
    <row r="873">
      <c r="A873" s="106">
        <f>IFERROR(__xludf.DUMMYFUNCTION("""COMPUTED_VALUE"""),45654.0)</f>
        <v>45654</v>
      </c>
      <c r="B873" s="103">
        <f>IFERROR(__xludf.DUMMYFUNCTION("""COMPUTED_VALUE"""),14.46)</f>
        <v>14.46</v>
      </c>
      <c r="C873" s="79" t="str">
        <f>IFERROR(__xludf.DUMMYFUNCTION("""COMPUTED_VALUE"""),"Uber - ABQ - Amex Green")</f>
        <v>Uber - ABQ - Amex Green</v>
      </c>
      <c r="D873" s="79" t="str">
        <f>IFERROR(__xludf.DUMMYFUNCTION("""COMPUTED_VALUE"""),"Other")</f>
        <v>Other</v>
      </c>
      <c r="E873" s="79" t="str">
        <f>IFERROR(__xludf.DUMMYFUNCTION("""COMPUTED_VALUE"""),"Travel")</f>
        <v>Travel</v>
      </c>
      <c r="F873" s="79" t="str">
        <f>IFERROR(__xludf.DUMMYFUNCTION("""COMPUTED_VALUE"""),"Gil")</f>
        <v>Gil</v>
      </c>
      <c r="G873" s="107">
        <f t="shared" si="1"/>
        <v>7.23</v>
      </c>
      <c r="H873" s="108" t="str">
        <f t="shared" si="2"/>
        <v>Dec</v>
      </c>
    </row>
    <row r="874">
      <c r="A874" s="106">
        <f>IFERROR(__xludf.DUMMYFUNCTION("""COMPUTED_VALUE"""),45654.0)</f>
        <v>45654</v>
      </c>
      <c r="B874" s="103">
        <f>IFERROR(__xludf.DUMMYFUNCTION("""COMPUTED_VALUE"""),11.17)</f>
        <v>11.17</v>
      </c>
      <c r="C874" s="79" t="str">
        <f>IFERROR(__xludf.DUMMYFUNCTION("""COMPUTED_VALUE"""),"Blackbird Coffee House - Citi Premier")</f>
        <v>Blackbird Coffee House - Citi Premier</v>
      </c>
      <c r="D874" s="79" t="str">
        <f>IFERROR(__xludf.DUMMYFUNCTION("""COMPUTED_VALUE"""),"Other")</f>
        <v>Other</v>
      </c>
      <c r="E874" s="79" t="str">
        <f>IFERROR(__xludf.DUMMYFUNCTION("""COMPUTED_VALUE"""),"Travel")</f>
        <v>Travel</v>
      </c>
      <c r="F874" s="79" t="str">
        <f>IFERROR(__xludf.DUMMYFUNCTION("""COMPUTED_VALUE"""),"Gil")</f>
        <v>Gil</v>
      </c>
      <c r="G874" s="107">
        <f t="shared" si="1"/>
        <v>5.585</v>
      </c>
      <c r="H874" s="108" t="str">
        <f t="shared" si="2"/>
        <v>Dec</v>
      </c>
    </row>
    <row r="875">
      <c r="A875" s="106">
        <f>IFERROR(__xludf.DUMMYFUNCTION("""COMPUTED_VALUE"""),45673.0)</f>
        <v>45673</v>
      </c>
      <c r="B875" s="103">
        <f>IFERROR(__xludf.DUMMYFUNCTION("""COMPUTED_VALUE"""),33.53)</f>
        <v>33.53</v>
      </c>
      <c r="C875" s="79" t="str">
        <f>IFERROR(__xludf.DUMMYFUNCTION("""COMPUTED_VALUE"""),"Whole Foods ")</f>
        <v>Whole Foods </v>
      </c>
      <c r="D875" s="79" t="str">
        <f>IFERROR(__xludf.DUMMYFUNCTION("""COMPUTED_VALUE"""),"Amex Blue")</f>
        <v>Amex Blue</v>
      </c>
      <c r="E875" s="79" t="str">
        <f>IFERROR(__xludf.DUMMYFUNCTION("""COMPUTED_VALUE"""),"Groceries")</f>
        <v>Groceries</v>
      </c>
      <c r="F875" s="79" t="str">
        <f>IFERROR(__xludf.DUMMYFUNCTION("""COMPUTED_VALUE"""),"Gil")</f>
        <v>Gil</v>
      </c>
      <c r="G875" s="107">
        <f t="shared" si="1"/>
        <v>16.765</v>
      </c>
      <c r="H875" s="108" t="str">
        <f t="shared" si="2"/>
        <v>Jan</v>
      </c>
    </row>
    <row r="876">
      <c r="A876" s="106">
        <f>IFERROR(__xludf.DUMMYFUNCTION("""COMPUTED_VALUE"""),45674.0)</f>
        <v>45674</v>
      </c>
      <c r="B876" s="103">
        <f>IFERROR(__xludf.DUMMYFUNCTION("""COMPUTED_VALUE"""),-44.59)</f>
        <v>-44.59</v>
      </c>
      <c r="C876" s="79" t="str">
        <f>IFERROR(__xludf.DUMMYFUNCTION("""COMPUTED_VALUE"""),"Amazon Chase Cash Back Redemption")</f>
        <v>Amazon Chase Cash Back Redemption</v>
      </c>
      <c r="D876" s="79" t="str">
        <f>IFERROR(__xludf.DUMMYFUNCTION("""COMPUTED_VALUE"""),"Amazon Prime Chase")</f>
        <v>Amazon Prime Chase</v>
      </c>
      <c r="E876" s="79" t="str">
        <f>IFERROR(__xludf.DUMMYFUNCTION("""COMPUTED_VALUE"""),"Groceries")</f>
        <v>Groceries</v>
      </c>
      <c r="F876" s="79" t="str">
        <f>IFERROR(__xludf.DUMMYFUNCTION("""COMPUTED_VALUE"""),"Gil")</f>
        <v>Gil</v>
      </c>
      <c r="G876" s="107">
        <f t="shared" si="1"/>
        <v>-22.295</v>
      </c>
      <c r="H876" s="108" t="str">
        <f t="shared" si="2"/>
        <v>Jan</v>
      </c>
    </row>
    <row r="877">
      <c r="A877" s="106">
        <f>IFERROR(__xludf.DUMMYFUNCTION("""COMPUTED_VALUE"""),45677.0)</f>
        <v>45677</v>
      </c>
      <c r="B877" s="103">
        <f>IFERROR(__xludf.DUMMYFUNCTION("""COMPUTED_VALUE"""),65.02)</f>
        <v>65.02</v>
      </c>
      <c r="C877" s="79" t="str">
        <f>IFERROR(__xludf.DUMMYFUNCTION("""COMPUTED_VALUE"""),"Kalustyan's")</f>
        <v>Kalustyan's</v>
      </c>
      <c r="D877" s="79" t="str">
        <f>IFERROR(__xludf.DUMMYFUNCTION("""COMPUTED_VALUE"""),"Cash")</f>
        <v>Cash</v>
      </c>
      <c r="E877" s="79" t="str">
        <f>IFERROR(__xludf.DUMMYFUNCTION("""COMPUTED_VALUE"""),"Groceries")</f>
        <v>Groceries</v>
      </c>
      <c r="F877" s="79" t="str">
        <f>IFERROR(__xludf.DUMMYFUNCTION("""COMPUTED_VALUE"""),"Gil")</f>
        <v>Gil</v>
      </c>
      <c r="G877" s="107">
        <f t="shared" si="1"/>
        <v>32.51</v>
      </c>
      <c r="H877" s="108" t="str">
        <f t="shared" si="2"/>
        <v>Jan</v>
      </c>
    </row>
    <row r="878">
      <c r="A878" s="106">
        <f>IFERROR(__xludf.DUMMYFUNCTION("""COMPUTED_VALUE"""),45679.0)</f>
        <v>45679</v>
      </c>
      <c r="B878" s="103">
        <f>IFERROR(__xludf.DUMMYFUNCTION("""COMPUTED_VALUE"""),6.0)</f>
        <v>6</v>
      </c>
      <c r="C878" s="79" t="str">
        <f>IFERROR(__xludf.DUMMYFUNCTION("""COMPUTED_VALUE"""),"Breezy Hill Orchards - USQ Greenmarket")</f>
        <v>Breezy Hill Orchards - USQ Greenmarket</v>
      </c>
      <c r="D878" s="79" t="str">
        <f>IFERROR(__xludf.DUMMYFUNCTION("""COMPUTED_VALUE"""),"Cash")</f>
        <v>Cash</v>
      </c>
      <c r="E878" s="79" t="str">
        <f>IFERROR(__xludf.DUMMYFUNCTION("""COMPUTED_VALUE"""),"Groceries")</f>
        <v>Groceries</v>
      </c>
      <c r="F878" s="79" t="str">
        <f>IFERROR(__xludf.DUMMYFUNCTION("""COMPUTED_VALUE"""),"Gil")</f>
        <v>Gil</v>
      </c>
      <c r="G878" s="107">
        <f t="shared" si="1"/>
        <v>3</v>
      </c>
      <c r="H878" s="108" t="str">
        <f t="shared" si="2"/>
        <v>Jan</v>
      </c>
    </row>
    <row r="879">
      <c r="A879" s="106">
        <f>IFERROR(__xludf.DUMMYFUNCTION("""COMPUTED_VALUE"""),45678.0)</f>
        <v>45678</v>
      </c>
      <c r="B879" s="103">
        <f>IFERROR(__xludf.DUMMYFUNCTION("""COMPUTED_VALUE"""),48.3)</f>
        <v>48.3</v>
      </c>
      <c r="C879" s="79" t="str">
        <f>IFERROR(__xludf.DUMMYFUNCTION("""COMPUTED_VALUE"""),"Kalustyan's")</f>
        <v>Kalustyan's</v>
      </c>
      <c r="D879" s="79" t="str">
        <f>IFERROR(__xludf.DUMMYFUNCTION("""COMPUTED_VALUE"""),"Cash")</f>
        <v>Cash</v>
      </c>
      <c r="E879" s="79" t="str">
        <f>IFERROR(__xludf.DUMMYFUNCTION("""COMPUTED_VALUE"""),"Groceries")</f>
        <v>Groceries</v>
      </c>
      <c r="F879" s="79" t="str">
        <f>IFERROR(__xludf.DUMMYFUNCTION("""COMPUTED_VALUE"""),"Gil")</f>
        <v>Gil</v>
      </c>
      <c r="G879" s="107">
        <f t="shared" si="1"/>
        <v>24.15</v>
      </c>
      <c r="H879" s="108" t="str">
        <f t="shared" si="2"/>
        <v>Jan</v>
      </c>
    </row>
    <row r="880">
      <c r="A880" s="106">
        <f>IFERROR(__xludf.DUMMYFUNCTION("""COMPUTED_VALUE"""),45695.0)</f>
        <v>45695</v>
      </c>
      <c r="B880" s="103">
        <f>IFERROR(__xludf.DUMMYFUNCTION("""COMPUTED_VALUE"""),40.0)</f>
        <v>40</v>
      </c>
      <c r="C880" s="79" t="str">
        <f>IFERROR(__xludf.DUMMYFUNCTION("""COMPUTED_VALUE"""),"Laundry ")</f>
        <v>Laundry </v>
      </c>
      <c r="D880" s="79" t="str">
        <f>IFERROR(__xludf.DUMMYFUNCTION("""COMPUTED_VALUE"""),"Cash")</f>
        <v>Cash</v>
      </c>
      <c r="E880" s="79" t="str">
        <f>IFERROR(__xludf.DUMMYFUNCTION("""COMPUTED_VALUE"""),"Household")</f>
        <v>Household</v>
      </c>
      <c r="F880" s="79" t="str">
        <f>IFERROR(__xludf.DUMMYFUNCTION("""COMPUTED_VALUE"""),"Gil")</f>
        <v>Gil</v>
      </c>
      <c r="G880" s="107">
        <f t="shared" si="1"/>
        <v>20</v>
      </c>
      <c r="H880" s="108" t="str">
        <f t="shared" si="2"/>
        <v>Feb</v>
      </c>
    </row>
    <row r="881">
      <c r="A881" s="106">
        <f>IFERROR(__xludf.DUMMYFUNCTION("""COMPUTED_VALUE"""),45685.0)</f>
        <v>45685</v>
      </c>
      <c r="B881" s="103">
        <f>IFERROR(__xludf.DUMMYFUNCTION("""COMPUTED_VALUE"""),5.99)</f>
        <v>5.99</v>
      </c>
      <c r="C881" s="79" t="str">
        <f>IFERROR(__xludf.DUMMYFUNCTION("""COMPUTED_VALUE"""),"Flow - movie rental")</f>
        <v>Flow - movie rental</v>
      </c>
      <c r="D881" s="79" t="str">
        <f>IFERROR(__xludf.DUMMYFUNCTION("""COMPUTED_VALUE"""),"Other")</f>
        <v>Other</v>
      </c>
      <c r="E881" s="79" t="str">
        <f>IFERROR(__xludf.DUMMYFUNCTION("""COMPUTED_VALUE"""),"Entertainment")</f>
        <v>Entertainment</v>
      </c>
      <c r="F881" s="79" t="str">
        <f>IFERROR(__xludf.DUMMYFUNCTION("""COMPUTED_VALUE"""),"Gil")</f>
        <v>Gil</v>
      </c>
      <c r="G881" s="107">
        <f t="shared" si="1"/>
        <v>2.995</v>
      </c>
      <c r="H881" s="108" t="str">
        <f t="shared" si="2"/>
        <v>Jan</v>
      </c>
    </row>
    <row r="882">
      <c r="A882" s="106">
        <f>IFERROR(__xludf.DUMMYFUNCTION("""COMPUTED_VALUE"""),45689.0)</f>
        <v>45689</v>
      </c>
      <c r="B882" s="103">
        <f>IFERROR(__xludf.DUMMYFUNCTION("""COMPUTED_VALUE"""),9.99)</f>
        <v>9.99</v>
      </c>
      <c r="C882" s="79" t="str">
        <f>IFERROR(__xludf.DUMMYFUNCTION("""COMPUTED_VALUE"""),"Anora - movie rental")</f>
        <v>Anora - movie rental</v>
      </c>
      <c r="D882" s="79" t="str">
        <f>IFERROR(__xludf.DUMMYFUNCTION("""COMPUTED_VALUE"""),"Other")</f>
        <v>Other</v>
      </c>
      <c r="E882" s="79" t="str">
        <f>IFERROR(__xludf.DUMMYFUNCTION("""COMPUTED_VALUE"""),"Entertainment")</f>
        <v>Entertainment</v>
      </c>
      <c r="F882" s="79" t="str">
        <f>IFERROR(__xludf.DUMMYFUNCTION("""COMPUTED_VALUE"""),"Shaeffer")</f>
        <v>Shaeffer</v>
      </c>
      <c r="G882" s="107">
        <f t="shared" si="1"/>
        <v>4.995</v>
      </c>
      <c r="H882" s="108" t="str">
        <f t="shared" si="2"/>
        <v>Feb</v>
      </c>
    </row>
    <row r="883">
      <c r="A883" s="106">
        <f>IFERROR(__xludf.DUMMYFUNCTION("""COMPUTED_VALUE"""),45687.0)</f>
        <v>45687</v>
      </c>
      <c r="B883" s="103">
        <f>IFERROR(__xludf.DUMMYFUNCTION("""COMPUTED_VALUE"""),219.96)</f>
        <v>219.96</v>
      </c>
      <c r="C883" s="79" t="str">
        <f>IFERROR(__xludf.DUMMYFUNCTION("""COMPUTED_VALUE"""),"Sunset Blvd tickets")</f>
        <v>Sunset Blvd tickets</v>
      </c>
      <c r="D883" s="79" t="str">
        <f>IFERROR(__xludf.DUMMYFUNCTION("""COMPUTED_VALUE"""),"Other")</f>
        <v>Other</v>
      </c>
      <c r="E883" s="79" t="str">
        <f>IFERROR(__xludf.DUMMYFUNCTION("""COMPUTED_VALUE"""),"Entertainment")</f>
        <v>Entertainment</v>
      </c>
      <c r="F883" s="79" t="str">
        <f>IFERROR(__xludf.DUMMYFUNCTION("""COMPUTED_VALUE"""),"Shaeffer")</f>
        <v>Shaeffer</v>
      </c>
      <c r="G883" s="107">
        <f t="shared" si="1"/>
        <v>109.98</v>
      </c>
      <c r="H883" s="108" t="str">
        <f t="shared" si="2"/>
        <v>Jan</v>
      </c>
    </row>
    <row r="884">
      <c r="A884" s="106">
        <f>IFERROR(__xludf.DUMMYFUNCTION("""COMPUTED_VALUE"""),45679.0)</f>
        <v>45679</v>
      </c>
      <c r="B884" s="103">
        <f>IFERROR(__xludf.DUMMYFUNCTION("""COMPUTED_VALUE"""),76.99)</f>
        <v>76.99</v>
      </c>
      <c r="C884" s="79" t="str">
        <f>IFERROR(__xludf.DUMMYFUNCTION("""COMPUTED_VALUE"""),"Optimum")</f>
        <v>Optimum</v>
      </c>
      <c r="D884" s="79" t="str">
        <f>IFERROR(__xludf.DUMMYFUNCTION("""COMPUTED_VALUE"""),"Amex Delta Skymiles")</f>
        <v>Amex Delta Skymiles</v>
      </c>
      <c r="E884" s="79" t="str">
        <f>IFERROR(__xludf.DUMMYFUNCTION("""COMPUTED_VALUE"""),"Internet")</f>
        <v>Internet</v>
      </c>
      <c r="F884" s="79" t="str">
        <f>IFERROR(__xludf.DUMMYFUNCTION("""COMPUTED_VALUE"""),"Shaeffer")</f>
        <v>Shaeffer</v>
      </c>
      <c r="G884" s="107">
        <f t="shared" si="1"/>
        <v>38.495</v>
      </c>
      <c r="H884" s="108" t="str">
        <f t="shared" si="2"/>
        <v>Jan</v>
      </c>
    </row>
    <row r="885">
      <c r="A885" s="106">
        <f>IFERROR(__xludf.DUMMYFUNCTION("""COMPUTED_VALUE"""),45667.0)</f>
        <v>45667</v>
      </c>
      <c r="B885" s="103">
        <f>IFERROR(__xludf.DUMMYFUNCTION("""COMPUTED_VALUE"""),23.95)</f>
        <v>23.95</v>
      </c>
      <c r="C885" s="79" t="str">
        <f>IFERROR(__xludf.DUMMYFUNCTION("""COMPUTED_VALUE"""),"irving wine")</f>
        <v>irving wine</v>
      </c>
      <c r="D885" s="79" t="str">
        <f>IFERROR(__xludf.DUMMYFUNCTION("""COMPUTED_VALUE"""),"Chase Reserve")</f>
        <v>Chase Reserve</v>
      </c>
      <c r="E885" s="79" t="str">
        <f>IFERROR(__xludf.DUMMYFUNCTION("""COMPUTED_VALUE"""),"Alcohol/Weed")</f>
        <v>Alcohol/Weed</v>
      </c>
      <c r="F885" s="79" t="str">
        <f>IFERROR(__xludf.DUMMYFUNCTION("""COMPUTED_VALUE"""),"Shaeffer")</f>
        <v>Shaeffer</v>
      </c>
      <c r="G885" s="107">
        <f t="shared" si="1"/>
        <v>11.975</v>
      </c>
      <c r="H885" s="108" t="str">
        <f t="shared" si="2"/>
        <v>Jan</v>
      </c>
    </row>
    <row r="886">
      <c r="A886" s="106">
        <f>IFERROR(__xludf.DUMMYFUNCTION("""COMPUTED_VALUE"""),45667.0)</f>
        <v>45667</v>
      </c>
      <c r="B886" s="103">
        <f>IFERROR(__xludf.DUMMYFUNCTION("""COMPUTED_VALUE"""),41.52)</f>
        <v>41.52</v>
      </c>
      <c r="C886" s="79" t="str">
        <f>IFERROR(__xludf.DUMMYFUNCTION("""COMPUTED_VALUE"""),"Laird")</f>
        <v>Laird</v>
      </c>
      <c r="D886" s="79" t="str">
        <f>IFERROR(__xludf.DUMMYFUNCTION("""COMPUTED_VALUE"""),"Chase Reserve")</f>
        <v>Chase Reserve</v>
      </c>
      <c r="E886" s="79" t="str">
        <f>IFERROR(__xludf.DUMMYFUNCTION("""COMPUTED_VALUE"""),"Household")</f>
        <v>Household</v>
      </c>
      <c r="F886" s="79" t="str">
        <f>IFERROR(__xludf.DUMMYFUNCTION("""COMPUTED_VALUE"""),"Shaeffer")</f>
        <v>Shaeffer</v>
      </c>
      <c r="G886" s="107">
        <f t="shared" si="1"/>
        <v>20.76</v>
      </c>
      <c r="H886" s="108" t="str">
        <f t="shared" si="2"/>
        <v>Jan</v>
      </c>
    </row>
    <row r="887">
      <c r="A887" s="106">
        <f>IFERROR(__xludf.DUMMYFUNCTION("""COMPUTED_VALUE"""),45676.0)</f>
        <v>45676</v>
      </c>
      <c r="B887" s="103">
        <f>IFERROR(__xludf.DUMMYFUNCTION("""COMPUTED_VALUE"""),9.99)</f>
        <v>9.99</v>
      </c>
      <c r="C887" s="79" t="str">
        <f>IFERROR(__xludf.DUMMYFUNCTION("""COMPUTED_VALUE"""),"Hulu")</f>
        <v>Hulu</v>
      </c>
      <c r="D887" s="79" t="str">
        <f>IFERROR(__xludf.DUMMYFUNCTION("""COMPUTED_VALUE"""),"Chase Reserve")</f>
        <v>Chase Reserve</v>
      </c>
      <c r="E887" s="79" t="str">
        <f>IFERROR(__xludf.DUMMYFUNCTION("""COMPUTED_VALUE"""),"Subscriptions")</f>
        <v>Subscriptions</v>
      </c>
      <c r="F887" s="79" t="str">
        <f>IFERROR(__xludf.DUMMYFUNCTION("""COMPUTED_VALUE"""),"Shaeffer")</f>
        <v>Shaeffer</v>
      </c>
      <c r="G887" s="107">
        <f t="shared" si="1"/>
        <v>4.995</v>
      </c>
      <c r="H887" s="108" t="str">
        <f t="shared" si="2"/>
        <v>Jan</v>
      </c>
    </row>
    <row r="888">
      <c r="A888" s="106">
        <f>IFERROR(__xludf.DUMMYFUNCTION("""COMPUTED_VALUE"""),45698.0)</f>
        <v>45698</v>
      </c>
      <c r="B888" s="103">
        <f>IFERROR(__xludf.DUMMYFUNCTION("""COMPUTED_VALUE"""),48.88)</f>
        <v>48.88</v>
      </c>
      <c r="C888" s="79" t="str">
        <f>IFERROR(__xludf.DUMMYFUNCTION("""COMPUTED_VALUE"""),"Ebay - tv trays")</f>
        <v>Ebay - tv trays</v>
      </c>
      <c r="D888" s="79" t="str">
        <f>IFERROR(__xludf.DUMMYFUNCTION("""COMPUTED_VALUE"""),"Other")</f>
        <v>Other</v>
      </c>
      <c r="E888" s="79" t="str">
        <f>IFERROR(__xludf.DUMMYFUNCTION("""COMPUTED_VALUE"""),"Household")</f>
        <v>Household</v>
      </c>
      <c r="F888" s="79" t="str">
        <f>IFERROR(__xludf.DUMMYFUNCTION("""COMPUTED_VALUE"""),"Shaeffer")</f>
        <v>Shaeffer</v>
      </c>
      <c r="G888" s="107">
        <f t="shared" si="1"/>
        <v>24.44</v>
      </c>
      <c r="H888" s="108" t="str">
        <f t="shared" si="2"/>
        <v>Feb</v>
      </c>
    </row>
    <row r="889">
      <c r="A889" s="106">
        <f>IFERROR(__xludf.DUMMYFUNCTION("""COMPUTED_VALUE"""),45680.0)</f>
        <v>45680</v>
      </c>
      <c r="B889" s="103">
        <f>IFERROR(__xludf.DUMMYFUNCTION("""COMPUTED_VALUE"""),16.46)</f>
        <v>16.46</v>
      </c>
      <c r="C889" s="79" t="str">
        <f>IFERROR(__xludf.DUMMYFUNCTION("""COMPUTED_VALUE"""),"Mr Lemon")</f>
        <v>Mr Lemon</v>
      </c>
      <c r="D889" s="79" t="str">
        <f>IFERROR(__xludf.DUMMYFUNCTION("""COMPUTED_VALUE"""),"Chase Reserve")</f>
        <v>Chase Reserve</v>
      </c>
      <c r="E889" s="79" t="str">
        <f>IFERROR(__xludf.DUMMYFUNCTION("""COMPUTED_VALUE"""),"Groceries")</f>
        <v>Groceries</v>
      </c>
      <c r="F889" s="79" t="str">
        <f>IFERROR(__xludf.DUMMYFUNCTION("""COMPUTED_VALUE"""),"Shaeffer")</f>
        <v>Shaeffer</v>
      </c>
      <c r="G889" s="107">
        <f t="shared" si="1"/>
        <v>8.23</v>
      </c>
      <c r="H889" s="108" t="str">
        <f t="shared" si="2"/>
        <v>Jan</v>
      </c>
    </row>
    <row r="890">
      <c r="A890" s="106">
        <f>IFERROR(__xludf.DUMMYFUNCTION("""COMPUTED_VALUE"""),45682.0)</f>
        <v>45682</v>
      </c>
      <c r="B890" s="103">
        <f>IFERROR(__xludf.DUMMYFUNCTION("""COMPUTED_VALUE"""),8.98)</f>
        <v>8.98</v>
      </c>
      <c r="C890" s="79" t="str">
        <f>IFERROR(__xludf.DUMMYFUNCTION("""COMPUTED_VALUE"""),"Mr Lemon")</f>
        <v>Mr Lemon</v>
      </c>
      <c r="D890" s="79" t="str">
        <f>IFERROR(__xludf.DUMMYFUNCTION("""COMPUTED_VALUE"""),"Chase Reserve")</f>
        <v>Chase Reserve</v>
      </c>
      <c r="E890" s="79" t="str">
        <f>IFERROR(__xludf.DUMMYFUNCTION("""COMPUTED_VALUE"""),"Groceries")</f>
        <v>Groceries</v>
      </c>
      <c r="F890" s="79" t="str">
        <f>IFERROR(__xludf.DUMMYFUNCTION("""COMPUTED_VALUE"""),"Shaeffer")</f>
        <v>Shaeffer</v>
      </c>
      <c r="G890" s="107">
        <f t="shared" si="1"/>
        <v>4.49</v>
      </c>
      <c r="H890" s="108" t="str">
        <f t="shared" si="2"/>
        <v>Jan</v>
      </c>
    </row>
    <row r="891">
      <c r="A891" s="106">
        <f>IFERROR(__xludf.DUMMYFUNCTION("""COMPUTED_VALUE"""),45683.0)</f>
        <v>45683</v>
      </c>
      <c r="B891" s="103">
        <f>IFERROR(__xludf.DUMMYFUNCTION("""COMPUTED_VALUE"""),40.96)</f>
        <v>40.96</v>
      </c>
      <c r="C891" s="79" t="str">
        <f>IFERROR(__xludf.DUMMYFUNCTION("""COMPUTED_VALUE"""),"Lucille Lortel - Gary Gulman drinks")</f>
        <v>Lucille Lortel - Gary Gulman drinks</v>
      </c>
      <c r="D891" s="79" t="str">
        <f>IFERROR(__xludf.DUMMYFUNCTION("""COMPUTED_VALUE"""),"Chase Reserve")</f>
        <v>Chase Reserve</v>
      </c>
      <c r="E891" s="79" t="str">
        <f>IFERROR(__xludf.DUMMYFUNCTION("""COMPUTED_VALUE"""),"Entertainment")</f>
        <v>Entertainment</v>
      </c>
      <c r="F891" s="79" t="str">
        <f>IFERROR(__xludf.DUMMYFUNCTION("""COMPUTED_VALUE"""),"Shaeffer")</f>
        <v>Shaeffer</v>
      </c>
      <c r="G891" s="107">
        <f t="shared" si="1"/>
        <v>20.48</v>
      </c>
      <c r="H891" s="108" t="str">
        <f t="shared" si="2"/>
        <v>Jan</v>
      </c>
    </row>
    <row r="892">
      <c r="A892" s="106">
        <f>IFERROR(__xludf.DUMMYFUNCTION("""COMPUTED_VALUE"""),45698.0)</f>
        <v>45698</v>
      </c>
      <c r="B892" s="103">
        <f>IFERROR(__xludf.DUMMYFUNCTION("""COMPUTED_VALUE"""),44.5)</f>
        <v>44.5</v>
      </c>
      <c r="C892" s="79" t="str">
        <f>IFERROR(__xludf.DUMMYFUNCTION("""COMPUTED_VALUE"""),"Wine")</f>
        <v>Wine</v>
      </c>
      <c r="D892" s="79" t="str">
        <f>IFERROR(__xludf.DUMMYFUNCTION("""COMPUTED_VALUE"""),"Chase Reserve")</f>
        <v>Chase Reserve</v>
      </c>
      <c r="E892" s="79" t="str">
        <f>IFERROR(__xludf.DUMMYFUNCTION("""COMPUTED_VALUE"""),"Alcohol/Weed")</f>
        <v>Alcohol/Weed</v>
      </c>
      <c r="F892" s="79" t="str">
        <f>IFERROR(__xludf.DUMMYFUNCTION("""COMPUTED_VALUE"""),"Shaeffer")</f>
        <v>Shaeffer</v>
      </c>
      <c r="G892" s="107">
        <f t="shared" si="1"/>
        <v>22.25</v>
      </c>
      <c r="H892" s="108" t="str">
        <f t="shared" si="2"/>
        <v>Feb</v>
      </c>
    </row>
    <row r="893">
      <c r="A893" s="106">
        <f>IFERROR(__xludf.DUMMYFUNCTION("""COMPUTED_VALUE"""),45687.0)</f>
        <v>45687</v>
      </c>
      <c r="B893" s="103">
        <f>IFERROR(__xludf.DUMMYFUNCTION("""COMPUTED_VALUE"""),158.0)</f>
        <v>158</v>
      </c>
      <c r="C893" s="79" t="str">
        <f>IFERROR(__xludf.DUMMYFUNCTION("""COMPUTED_VALUE"""),"laundry month of Jan")</f>
        <v>laundry month of Jan</v>
      </c>
      <c r="D893" s="79" t="str">
        <f>IFERROR(__xludf.DUMMYFUNCTION("""COMPUTED_VALUE"""),"Checking")</f>
        <v>Checking</v>
      </c>
      <c r="E893" s="79" t="str">
        <f>IFERROR(__xludf.DUMMYFUNCTION("""COMPUTED_VALUE"""),"Household")</f>
        <v>Household</v>
      </c>
      <c r="F893" s="79" t="str">
        <f>IFERROR(__xludf.DUMMYFUNCTION("""COMPUTED_VALUE"""),"Shaeffer")</f>
        <v>Shaeffer</v>
      </c>
      <c r="G893" s="107">
        <f t="shared" si="1"/>
        <v>79</v>
      </c>
      <c r="H893" s="108" t="str">
        <f t="shared" si="2"/>
        <v>Jan</v>
      </c>
    </row>
    <row r="894">
      <c r="A894" s="106">
        <f>IFERROR(__xludf.DUMMYFUNCTION("""COMPUTED_VALUE"""),45672.0)</f>
        <v>45672</v>
      </c>
      <c r="B894" s="103">
        <f>IFERROR(__xludf.DUMMYFUNCTION("""COMPUTED_VALUE"""),485.11)</f>
        <v>485.11</v>
      </c>
      <c r="C894" s="79" t="str">
        <f>IFERROR(__xludf.DUMMYFUNCTION("""COMPUTED_VALUE"""),"Healthcare - Altu")</f>
        <v>Healthcare - Altu</v>
      </c>
      <c r="D894" s="79" t="str">
        <f>IFERROR(__xludf.DUMMYFUNCTION("""COMPUTED_VALUE"""),"Checking")</f>
        <v>Checking</v>
      </c>
      <c r="E894" s="79" t="str">
        <f>IFERROR(__xludf.DUMMYFUNCTION("""COMPUTED_VALUE"""),"Insurance")</f>
        <v>Insurance</v>
      </c>
      <c r="F894" s="79" t="str">
        <f>IFERROR(__xludf.DUMMYFUNCTION("""COMPUTED_VALUE"""),"Shaeffer")</f>
        <v>Shaeffer</v>
      </c>
      <c r="G894" s="107">
        <f t="shared" si="1"/>
        <v>242.555</v>
      </c>
      <c r="H894" s="108" t="str">
        <f t="shared" si="2"/>
        <v>Jan</v>
      </c>
    </row>
    <row r="895">
      <c r="A895" s="106">
        <f>IFERROR(__xludf.DUMMYFUNCTION("""COMPUTED_VALUE"""),45688.0)</f>
        <v>45688</v>
      </c>
      <c r="B895" s="103">
        <f>IFERROR(__xludf.DUMMYFUNCTION("""COMPUTED_VALUE"""),485.13)</f>
        <v>485.13</v>
      </c>
      <c r="C895" s="79" t="str">
        <f>IFERROR(__xludf.DUMMYFUNCTION("""COMPUTED_VALUE"""),"Health Insurance - Altu benefits")</f>
        <v>Health Insurance - Altu benefits</v>
      </c>
      <c r="D895" s="79" t="str">
        <f>IFERROR(__xludf.DUMMYFUNCTION("""COMPUTED_VALUE"""),"Checking")</f>
        <v>Checking</v>
      </c>
      <c r="E895" s="79" t="str">
        <f>IFERROR(__xludf.DUMMYFUNCTION("""COMPUTED_VALUE"""),"Insurance")</f>
        <v>Insurance</v>
      </c>
      <c r="F895" s="79" t="str">
        <f>IFERROR(__xludf.DUMMYFUNCTION("""COMPUTED_VALUE"""),"Shaeffer")</f>
        <v>Shaeffer</v>
      </c>
      <c r="G895" s="107">
        <f t="shared" si="1"/>
        <v>242.565</v>
      </c>
      <c r="H895" s="108" t="str">
        <f t="shared" si="2"/>
        <v>Jan</v>
      </c>
    </row>
    <row r="896">
      <c r="A896" s="106">
        <f>IFERROR(__xludf.DUMMYFUNCTION("""COMPUTED_VALUE"""),45728.0)</f>
        <v>45728</v>
      </c>
      <c r="B896" s="103">
        <f>IFERROR(__xludf.DUMMYFUNCTION("""COMPUTED_VALUE"""),-106.75)</f>
        <v>-106.75</v>
      </c>
      <c r="C896" s="79" t="str">
        <f>IFERROR(__xludf.DUMMYFUNCTION("""COMPUTED_VALUE"""),"Amex Blue Points Redemption ")</f>
        <v>Amex Blue Points Redemption </v>
      </c>
      <c r="D896" s="79" t="str">
        <f>IFERROR(__xludf.DUMMYFUNCTION("""COMPUTED_VALUE"""),"Amex Blue")</f>
        <v>Amex Blue</v>
      </c>
      <c r="E896" s="79" t="str">
        <f>IFERROR(__xludf.DUMMYFUNCTION("""COMPUTED_VALUE"""),"Groceries")</f>
        <v>Groceries</v>
      </c>
      <c r="F896" s="79" t="str">
        <f>IFERROR(__xludf.DUMMYFUNCTION("""COMPUTED_VALUE"""),"Shaeffer")</f>
        <v>Shaeffer</v>
      </c>
      <c r="G896" s="107">
        <f t="shared" si="1"/>
        <v>-53.375</v>
      </c>
      <c r="H896" s="108" t="str">
        <f t="shared" si="2"/>
        <v>Mar</v>
      </c>
    </row>
    <row r="897">
      <c r="A897" s="106">
        <f>IFERROR(__xludf.DUMMYFUNCTION("""COMPUTED_VALUE"""),45728.0)</f>
        <v>45728</v>
      </c>
      <c r="B897" s="103">
        <f>IFERROR(__xludf.DUMMYFUNCTION("""COMPUTED_VALUE"""),-133.94)</f>
        <v>-133.94</v>
      </c>
      <c r="C897" s="79" t="str">
        <f>IFERROR(__xludf.DUMMYFUNCTION("""COMPUTED_VALUE"""),"Chase Amazon Prime Cash Back ")</f>
        <v>Chase Amazon Prime Cash Back </v>
      </c>
      <c r="D897" s="79" t="str">
        <f>IFERROR(__xludf.DUMMYFUNCTION("""COMPUTED_VALUE"""),"Amazon Prime Chase")</f>
        <v>Amazon Prime Chase</v>
      </c>
      <c r="E897" s="79" t="str">
        <f>IFERROR(__xludf.DUMMYFUNCTION("""COMPUTED_VALUE"""),"Household")</f>
        <v>Household</v>
      </c>
      <c r="F897" s="79" t="str">
        <f>IFERROR(__xludf.DUMMYFUNCTION("""COMPUTED_VALUE"""),"Gil")</f>
        <v>Gil</v>
      </c>
      <c r="G897" s="107">
        <f t="shared" si="1"/>
        <v>-66.97</v>
      </c>
      <c r="H897" s="108" t="str">
        <f t="shared" si="2"/>
        <v>Mar</v>
      </c>
    </row>
    <row r="898">
      <c r="A898" s="106">
        <f>IFERROR(__xludf.DUMMYFUNCTION("""COMPUTED_VALUE"""),45729.0)</f>
        <v>45729</v>
      </c>
      <c r="B898" s="103">
        <f>IFERROR(__xludf.DUMMYFUNCTION("""COMPUTED_VALUE"""),17.5)</f>
        <v>17.5</v>
      </c>
      <c r="C898" s="79" t="str">
        <f>IFERROR(__xludf.DUMMYFUNCTION("""COMPUTED_VALUE"""),"Bangkok Thai Grocery")</f>
        <v>Bangkok Thai Grocery</v>
      </c>
      <c r="D898" s="79" t="str">
        <f>IFERROR(__xludf.DUMMYFUNCTION("""COMPUTED_VALUE"""),"Cash")</f>
        <v>Cash</v>
      </c>
      <c r="E898" s="79" t="str">
        <f>IFERROR(__xludf.DUMMYFUNCTION("""COMPUTED_VALUE"""),"Groceries")</f>
        <v>Groceries</v>
      </c>
      <c r="F898" s="79" t="str">
        <f>IFERROR(__xludf.DUMMYFUNCTION("""COMPUTED_VALUE"""),"Gil")</f>
        <v>Gil</v>
      </c>
      <c r="G898" s="107">
        <f t="shared" si="1"/>
        <v>8.75</v>
      </c>
      <c r="H898" s="108" t="str">
        <f t="shared" si="2"/>
        <v>Mar</v>
      </c>
    </row>
    <row r="899">
      <c r="A899" s="106">
        <f>IFERROR(__xludf.DUMMYFUNCTION("""COMPUTED_VALUE"""),45731.0)</f>
        <v>45731</v>
      </c>
      <c r="B899" s="103">
        <f>IFERROR(__xludf.DUMMYFUNCTION("""COMPUTED_VALUE"""),116.92)</f>
        <v>116.92</v>
      </c>
      <c r="C899" s="79" t="str">
        <f>IFERROR(__xludf.DUMMYFUNCTION("""COMPUTED_VALUE"""),"National Grid")</f>
        <v>National Grid</v>
      </c>
      <c r="D899" s="79" t="str">
        <f>IFERROR(__xludf.DUMMYFUNCTION("""COMPUTED_VALUE"""),"Checking")</f>
        <v>Checking</v>
      </c>
      <c r="E899" s="79" t="str">
        <f>IFERROR(__xludf.DUMMYFUNCTION("""COMPUTED_VALUE"""),"Utilities")</f>
        <v>Utilities</v>
      </c>
      <c r="F899" s="79" t="str">
        <f>IFERROR(__xludf.DUMMYFUNCTION("""COMPUTED_VALUE"""),"Gil")</f>
        <v>Gil</v>
      </c>
      <c r="G899" s="107">
        <f t="shared" si="1"/>
        <v>58.46</v>
      </c>
      <c r="H899" s="108" t="str">
        <f t="shared" si="2"/>
        <v>Mar</v>
      </c>
    </row>
    <row r="900">
      <c r="A900" s="106">
        <f>IFERROR(__xludf.DUMMYFUNCTION("""COMPUTED_VALUE"""),45731.0)</f>
        <v>45731</v>
      </c>
      <c r="B900" s="103">
        <f>IFERROR(__xludf.DUMMYFUNCTION("""COMPUTED_VALUE"""),112.6)</f>
        <v>112.6</v>
      </c>
      <c r="C900" s="79" t="str">
        <f>IFERROR(__xludf.DUMMYFUNCTION("""COMPUTED_VALUE"""),"Coned")</f>
        <v>Coned</v>
      </c>
      <c r="D900" s="79" t="str">
        <f>IFERROR(__xludf.DUMMYFUNCTION("""COMPUTED_VALUE"""),"Checking")</f>
        <v>Checking</v>
      </c>
      <c r="E900" s="79" t="str">
        <f>IFERROR(__xludf.DUMMYFUNCTION("""COMPUTED_VALUE"""),"Utilities")</f>
        <v>Utilities</v>
      </c>
      <c r="F900" s="79" t="str">
        <f>IFERROR(__xludf.DUMMYFUNCTION("""COMPUTED_VALUE"""),"Gil")</f>
        <v>Gil</v>
      </c>
      <c r="G900" s="107">
        <f t="shared" si="1"/>
        <v>56.3</v>
      </c>
      <c r="H900" s="108" t="str">
        <f t="shared" si="2"/>
        <v>Mar</v>
      </c>
    </row>
    <row r="901">
      <c r="A901" s="106">
        <f>IFERROR(__xludf.DUMMYFUNCTION("""COMPUTED_VALUE"""),45292.0)</f>
        <v>45292</v>
      </c>
      <c r="B901" s="103">
        <f>IFERROR(__xludf.DUMMYFUNCTION("""COMPUTED_VALUE"""),53.89)</f>
        <v>53.89</v>
      </c>
      <c r="C901" s="79" t="str">
        <f>IFERROR(__xludf.DUMMYFUNCTION("""COMPUTED_VALUE"""),"C.O. Bigelow")</f>
        <v>C.O. Bigelow</v>
      </c>
      <c r="D901" s="79" t="str">
        <f>IFERROR(__xludf.DUMMYFUNCTION("""COMPUTED_VALUE"""),"Amex Blue")</f>
        <v>Amex Blue</v>
      </c>
      <c r="E901" s="79" t="str">
        <f>IFERROR(__xludf.DUMMYFUNCTION("""COMPUTED_VALUE"""),"Household")</f>
        <v>Household</v>
      </c>
      <c r="F901" s="79" t="str">
        <f>IFERROR(__xludf.DUMMYFUNCTION("""COMPUTED_VALUE"""),"Gil")</f>
        <v>Gil</v>
      </c>
      <c r="G901" s="107">
        <f t="shared" si="1"/>
        <v>26.945</v>
      </c>
      <c r="H901" s="108" t="str">
        <f t="shared" si="2"/>
        <v>Jan</v>
      </c>
    </row>
    <row r="902">
      <c r="A902" s="106">
        <f>IFERROR(__xludf.DUMMYFUNCTION("""COMPUTED_VALUE"""),45292.0)</f>
        <v>45292</v>
      </c>
      <c r="B902" s="103">
        <f>IFERROR(__xludf.DUMMYFUNCTION("""COMPUTED_VALUE"""),43.25)</f>
        <v>43.25</v>
      </c>
      <c r="C902" s="79" t="str">
        <f>IFERROR(__xludf.DUMMYFUNCTION("""COMPUTED_VALUE"""),"Birch Coffee")</f>
        <v>Birch Coffee</v>
      </c>
      <c r="D902" s="79" t="str">
        <f>IFERROR(__xludf.DUMMYFUNCTION("""COMPUTED_VALUE"""),"Amex Gold")</f>
        <v>Amex Gold</v>
      </c>
      <c r="E902" s="79" t="str">
        <f>IFERROR(__xludf.DUMMYFUNCTION("""COMPUTED_VALUE"""),"Groceries")</f>
        <v>Groceries</v>
      </c>
      <c r="F902" s="79" t="str">
        <f>IFERROR(__xludf.DUMMYFUNCTION("""COMPUTED_VALUE"""),"Gil")</f>
        <v>Gil</v>
      </c>
      <c r="G902" s="107">
        <f t="shared" si="1"/>
        <v>21.625</v>
      </c>
      <c r="H902" s="108" t="str">
        <f t="shared" si="2"/>
        <v>Jan</v>
      </c>
    </row>
    <row r="903">
      <c r="A903" s="106">
        <f>IFERROR(__xludf.DUMMYFUNCTION("""COMPUTED_VALUE"""),45292.0)</f>
        <v>45292</v>
      </c>
      <c r="B903" s="103">
        <f>IFERROR(__xludf.DUMMYFUNCTION("""COMPUTED_VALUE"""),44.83)</f>
        <v>44.83</v>
      </c>
      <c r="C903" s="79" t="str">
        <f>IFERROR(__xludf.DUMMYFUNCTION("""COMPUTED_VALUE"""),"La Cabra")</f>
        <v>La Cabra</v>
      </c>
      <c r="D903" s="79" t="str">
        <f>IFERROR(__xludf.DUMMYFUNCTION("""COMPUTED_VALUE"""),"Amex Gold")</f>
        <v>Amex Gold</v>
      </c>
      <c r="E903" s="79" t="str">
        <f>IFERROR(__xludf.DUMMYFUNCTION("""COMPUTED_VALUE"""),"Meals")</f>
        <v>Meals</v>
      </c>
      <c r="F903" s="79" t="str">
        <f>IFERROR(__xludf.DUMMYFUNCTION("""COMPUTED_VALUE"""),"Gil")</f>
        <v>Gil</v>
      </c>
      <c r="G903" s="107">
        <f t="shared" si="1"/>
        <v>22.415</v>
      </c>
      <c r="H903" s="108" t="str">
        <f t="shared" si="2"/>
        <v>Jan</v>
      </c>
    </row>
    <row r="904">
      <c r="A904" s="106">
        <f>IFERROR(__xludf.DUMMYFUNCTION("""COMPUTED_VALUE"""),45292.0)</f>
        <v>45292</v>
      </c>
      <c r="B904" s="103">
        <f>IFERROR(__xludf.DUMMYFUNCTION("""COMPUTED_VALUE"""),6.26)</f>
        <v>6.26</v>
      </c>
      <c r="C904" s="79" t="str">
        <f>IFERROR(__xludf.DUMMYFUNCTION("""COMPUTED_VALUE"""),"La Cabra")</f>
        <v>La Cabra</v>
      </c>
      <c r="D904" s="79" t="str">
        <f>IFERROR(__xludf.DUMMYFUNCTION("""COMPUTED_VALUE"""),"Amex Gold")</f>
        <v>Amex Gold</v>
      </c>
      <c r="E904" s="79" t="str">
        <f>IFERROR(__xludf.DUMMYFUNCTION("""COMPUTED_VALUE"""),"Meals")</f>
        <v>Meals</v>
      </c>
      <c r="F904" s="79" t="str">
        <f>IFERROR(__xludf.DUMMYFUNCTION("""COMPUTED_VALUE"""),"Gil")</f>
        <v>Gil</v>
      </c>
      <c r="G904" s="107">
        <f t="shared" si="1"/>
        <v>3.13</v>
      </c>
      <c r="H904" s="108" t="str">
        <f t="shared" si="2"/>
        <v>Jan</v>
      </c>
    </row>
    <row r="905">
      <c r="A905" s="106">
        <f>IFERROR(__xludf.DUMMYFUNCTION("""COMPUTED_VALUE"""),45293.0)</f>
        <v>45293</v>
      </c>
      <c r="B905" s="103">
        <f>IFERROR(__xludf.DUMMYFUNCTION("""COMPUTED_VALUE"""),6.09)</f>
        <v>6.09</v>
      </c>
      <c r="C905" s="79" t="str">
        <f>IFERROR(__xludf.DUMMYFUNCTION("""COMPUTED_VALUE"""),"Mr. Lemon")</f>
        <v>Mr. Lemon</v>
      </c>
      <c r="D905" s="79" t="str">
        <f>IFERROR(__xludf.DUMMYFUNCTION("""COMPUTED_VALUE"""),"Amex Blue")</f>
        <v>Amex Blue</v>
      </c>
      <c r="E905" s="79" t="str">
        <f>IFERROR(__xludf.DUMMYFUNCTION("""COMPUTED_VALUE"""),"Groceries")</f>
        <v>Groceries</v>
      </c>
      <c r="F905" s="79" t="str">
        <f>IFERROR(__xludf.DUMMYFUNCTION("""COMPUTED_VALUE"""),"Gil")</f>
        <v>Gil</v>
      </c>
      <c r="G905" s="107">
        <f t="shared" si="1"/>
        <v>3.045</v>
      </c>
      <c r="H905" s="108" t="str">
        <f t="shared" si="2"/>
        <v>Jan</v>
      </c>
    </row>
    <row r="906">
      <c r="A906" s="106">
        <f>IFERROR(__xludf.DUMMYFUNCTION("""COMPUTED_VALUE"""),45294.0)</f>
        <v>45294</v>
      </c>
      <c r="B906" s="103">
        <f>IFERROR(__xludf.DUMMYFUNCTION("""COMPUTED_VALUE"""),12.0)</f>
        <v>12</v>
      </c>
      <c r="C906" s="79" t="str">
        <f>IFERROR(__xludf.DUMMYFUNCTION("""COMPUTED_VALUE"""),"Our Daily Bread")</f>
        <v>Our Daily Bread</v>
      </c>
      <c r="D906" s="79" t="str">
        <f>IFERROR(__xludf.DUMMYFUNCTION("""COMPUTED_VALUE"""),"Amex Blue")</f>
        <v>Amex Blue</v>
      </c>
      <c r="E906" s="79" t="str">
        <f>IFERROR(__xludf.DUMMYFUNCTION("""COMPUTED_VALUE"""),"Groceries")</f>
        <v>Groceries</v>
      </c>
      <c r="F906" s="79" t="str">
        <f>IFERROR(__xludf.DUMMYFUNCTION("""COMPUTED_VALUE"""),"Gil")</f>
        <v>Gil</v>
      </c>
      <c r="G906" s="107">
        <f t="shared" si="1"/>
        <v>6</v>
      </c>
      <c r="H906" s="108" t="str">
        <f t="shared" si="2"/>
        <v>Jan</v>
      </c>
    </row>
    <row r="907">
      <c r="A907" s="106">
        <f>IFERROR(__xludf.DUMMYFUNCTION("""COMPUTED_VALUE"""),45294.0)</f>
        <v>45294</v>
      </c>
      <c r="B907" s="103">
        <f>IFERROR(__xludf.DUMMYFUNCTION("""COMPUTED_VALUE"""),68.0)</f>
        <v>68</v>
      </c>
      <c r="C907" s="79" t="str">
        <f>IFERROR(__xludf.DUMMYFUNCTION("""COMPUTED_VALUE"""),"Norwich Meadows")</f>
        <v>Norwich Meadows</v>
      </c>
      <c r="D907" s="79" t="str">
        <f>IFERROR(__xludf.DUMMYFUNCTION("""COMPUTED_VALUE"""),"Other")</f>
        <v>Other</v>
      </c>
      <c r="E907" s="79" t="str">
        <f>IFERROR(__xludf.DUMMYFUNCTION("""COMPUTED_VALUE"""),"Groceries")</f>
        <v>Groceries</v>
      </c>
      <c r="F907" s="79" t="str">
        <f>IFERROR(__xludf.DUMMYFUNCTION("""COMPUTED_VALUE"""),"Gil")</f>
        <v>Gil</v>
      </c>
      <c r="G907" s="107">
        <f t="shared" si="1"/>
        <v>34</v>
      </c>
      <c r="H907" s="108" t="str">
        <f t="shared" si="2"/>
        <v>Jan</v>
      </c>
    </row>
    <row r="908">
      <c r="A908" s="106">
        <f>IFERROR(__xludf.DUMMYFUNCTION("""COMPUTED_VALUE"""),45294.0)</f>
        <v>45294</v>
      </c>
      <c r="B908" s="103">
        <f>IFERROR(__xludf.DUMMYFUNCTION("""COMPUTED_VALUE"""),161.25)</f>
        <v>161.25</v>
      </c>
      <c r="C908" s="79" t="str">
        <f>IFERROR(__xludf.DUMMYFUNCTION("""COMPUTED_VALUE"""),"Storage Unit")</f>
        <v>Storage Unit</v>
      </c>
      <c r="D908" s="79" t="str">
        <f>IFERROR(__xludf.DUMMYFUNCTION("""COMPUTED_VALUE"""),"Storage")</f>
        <v>Storage</v>
      </c>
      <c r="E908" s="79" t="str">
        <f>IFERROR(__xludf.DUMMYFUNCTION("""COMPUTED_VALUE"""),"Storage")</f>
        <v>Storage</v>
      </c>
      <c r="F908" s="79" t="str">
        <f>IFERROR(__xludf.DUMMYFUNCTION("""COMPUTED_VALUE"""),"Gil")</f>
        <v>Gil</v>
      </c>
      <c r="G908" s="107">
        <f t="shared" si="1"/>
        <v>80.625</v>
      </c>
      <c r="H908" s="108" t="str">
        <f t="shared" si="2"/>
        <v>Jan</v>
      </c>
    </row>
    <row r="909">
      <c r="A909" s="106">
        <f>IFERROR(__xludf.DUMMYFUNCTION("""COMPUTED_VALUE"""),45295.0)</f>
        <v>45295</v>
      </c>
      <c r="B909" s="103">
        <f>IFERROR(__xludf.DUMMYFUNCTION("""COMPUTED_VALUE"""),9.47)</f>
        <v>9.47</v>
      </c>
      <c r="C909" s="79" t="str">
        <f>IFERROR(__xludf.DUMMYFUNCTION("""COMPUTED_VALUE"""),"UberEats - La Isla")</f>
        <v>UberEats - La Isla</v>
      </c>
      <c r="D909" s="79" t="str">
        <f>IFERROR(__xludf.DUMMYFUNCTION("""COMPUTED_VALUE"""),"Capital ONE")</f>
        <v>Capital ONE</v>
      </c>
      <c r="E909" s="79" t="str">
        <f>IFERROR(__xludf.DUMMYFUNCTION("""COMPUTED_VALUE"""),"Groceries")</f>
        <v>Groceries</v>
      </c>
      <c r="F909" s="79" t="str">
        <f>IFERROR(__xludf.DUMMYFUNCTION("""COMPUTED_VALUE"""),"Shaeffer")</f>
        <v>Shaeffer</v>
      </c>
      <c r="G909" s="107">
        <f t="shared" si="1"/>
        <v>4.735</v>
      </c>
      <c r="H909" s="108" t="str">
        <f t="shared" si="2"/>
        <v>Jan</v>
      </c>
    </row>
    <row r="910">
      <c r="A910" s="106">
        <f>IFERROR(__xludf.DUMMYFUNCTION("""COMPUTED_VALUE"""),45296.0)</f>
        <v>45296</v>
      </c>
      <c r="B910" s="103">
        <f>IFERROR(__xludf.DUMMYFUNCTION("""COMPUTED_VALUE"""),22.05)</f>
        <v>22.05</v>
      </c>
      <c r="C910" s="79" t="str">
        <f>IFERROR(__xludf.DUMMYFUNCTION("""COMPUTED_VALUE"""),"I'Milky")</f>
        <v>I'Milky</v>
      </c>
      <c r="D910" s="79" t="str">
        <f>IFERROR(__xludf.DUMMYFUNCTION("""COMPUTED_VALUE"""),"Amex Gold")</f>
        <v>Amex Gold</v>
      </c>
      <c r="E910" s="79" t="str">
        <f>IFERROR(__xludf.DUMMYFUNCTION("""COMPUTED_VALUE"""),"Meals")</f>
        <v>Meals</v>
      </c>
      <c r="F910" s="79" t="str">
        <f>IFERROR(__xludf.DUMMYFUNCTION("""COMPUTED_VALUE"""),"Gil")</f>
        <v>Gil</v>
      </c>
      <c r="G910" s="107">
        <f t="shared" si="1"/>
        <v>11.025</v>
      </c>
      <c r="H910" s="108" t="str">
        <f t="shared" si="2"/>
        <v>Jan</v>
      </c>
    </row>
    <row r="911">
      <c r="A911" s="106">
        <f>IFERROR(__xludf.DUMMYFUNCTION("""COMPUTED_VALUE"""),45296.0)</f>
        <v>45296</v>
      </c>
      <c r="B911" s="103">
        <f>IFERROR(__xludf.DUMMYFUNCTION("""COMPUTED_VALUE"""),29.95)</f>
        <v>29.95</v>
      </c>
      <c r="C911" s="79" t="str">
        <f>IFERROR(__xludf.DUMMYFUNCTION("""COMPUTED_VALUE"""),"HP Instant Ink - Aug '23 through Dec '23")</f>
        <v>HP Instant Ink - Aug '23 through Dec '23</v>
      </c>
      <c r="D911" s="79" t="str">
        <f>IFERROR(__xludf.DUMMYFUNCTION("""COMPUTED_VALUE"""),"Amazon Prime Chase")</f>
        <v>Amazon Prime Chase</v>
      </c>
      <c r="E911" s="79" t="str">
        <f>IFERROR(__xludf.DUMMYFUNCTION("""COMPUTED_VALUE"""),"Subscriptions")</f>
        <v>Subscriptions</v>
      </c>
      <c r="F911" s="79" t="str">
        <f>IFERROR(__xludf.DUMMYFUNCTION("""COMPUTED_VALUE"""),"Gil")</f>
        <v>Gil</v>
      </c>
      <c r="G911" s="107">
        <f t="shared" si="1"/>
        <v>14.975</v>
      </c>
      <c r="H911" s="108" t="str">
        <f t="shared" si="2"/>
        <v>Jan</v>
      </c>
    </row>
    <row r="912">
      <c r="A912" s="106">
        <f>IFERROR(__xludf.DUMMYFUNCTION("""COMPUTED_VALUE"""),45296.0)</f>
        <v>45296</v>
      </c>
      <c r="B912" s="103">
        <f>IFERROR(__xludf.DUMMYFUNCTION("""COMPUTED_VALUE"""),6.25)</f>
        <v>6.25</v>
      </c>
      <c r="C912" s="79" t="str">
        <f>IFERROR(__xludf.DUMMYFUNCTION("""COMPUTED_VALUE"""),"% Arabica %")</f>
        <v>% Arabica %</v>
      </c>
      <c r="D912" s="79" t="str">
        <f>IFERROR(__xludf.DUMMYFUNCTION("""COMPUTED_VALUE"""),"Amex Gold")</f>
        <v>Amex Gold</v>
      </c>
      <c r="E912" s="79" t="str">
        <f>IFERROR(__xludf.DUMMYFUNCTION("""COMPUTED_VALUE"""),"Meals")</f>
        <v>Meals</v>
      </c>
      <c r="F912" s="79" t="str">
        <f>IFERROR(__xludf.DUMMYFUNCTION("""COMPUTED_VALUE"""),"Gil")</f>
        <v>Gil</v>
      </c>
      <c r="G912" s="107">
        <f t="shared" si="1"/>
        <v>3.125</v>
      </c>
      <c r="H912" s="108" t="str">
        <f t="shared" si="2"/>
        <v>Jan</v>
      </c>
    </row>
    <row r="913">
      <c r="A913" s="106">
        <f>IFERROR(__xludf.DUMMYFUNCTION("""COMPUTED_VALUE"""),45296.0)</f>
        <v>45296</v>
      </c>
      <c r="B913" s="103">
        <f>IFERROR(__xludf.DUMMYFUNCTION("""COMPUTED_VALUE"""),15.0)</f>
        <v>15</v>
      </c>
      <c r="C913" s="79" t="str">
        <f>IFERROR(__xludf.DUMMYFUNCTION("""COMPUTED_VALUE"""),"TV Eye")</f>
        <v>TV Eye</v>
      </c>
      <c r="D913" s="79" t="str">
        <f>IFERROR(__xludf.DUMMYFUNCTION("""COMPUTED_VALUE"""),"Cash")</f>
        <v>Cash</v>
      </c>
      <c r="E913" s="79" t="str">
        <f>IFERROR(__xludf.DUMMYFUNCTION("""COMPUTED_VALUE"""),"Liquor")</f>
        <v>Liquor</v>
      </c>
      <c r="F913" s="79" t="str">
        <f>IFERROR(__xludf.DUMMYFUNCTION("""COMPUTED_VALUE"""),"Gil")</f>
        <v>Gil</v>
      </c>
      <c r="G913" s="107">
        <f t="shared" si="1"/>
        <v>7.5</v>
      </c>
      <c r="H913" s="108" t="str">
        <f t="shared" si="2"/>
        <v>Jan</v>
      </c>
    </row>
    <row r="914">
      <c r="A914" s="106">
        <f>IFERROR(__xludf.DUMMYFUNCTION("""COMPUTED_VALUE"""),45262.0)</f>
        <v>45262</v>
      </c>
      <c r="B914" s="103">
        <f>IFERROR(__xludf.DUMMYFUNCTION("""COMPUTED_VALUE"""),23.0)</f>
        <v>23</v>
      </c>
      <c r="C914" s="79" t="str">
        <f>IFERROR(__xludf.DUMMYFUNCTION("""COMPUTED_VALUE"""),"Lemonade")</f>
        <v>Lemonade</v>
      </c>
      <c r="D914" s="79" t="str">
        <f>IFERROR(__xludf.DUMMYFUNCTION("""COMPUTED_VALUE"""),"Amazon Prime Chase")</f>
        <v>Amazon Prime Chase</v>
      </c>
      <c r="E914" s="79" t="str">
        <f>IFERROR(__xludf.DUMMYFUNCTION("""COMPUTED_VALUE"""),"Insurance")</f>
        <v>Insurance</v>
      </c>
      <c r="F914" s="79" t="str">
        <f>IFERROR(__xludf.DUMMYFUNCTION("""COMPUTED_VALUE"""),"Gil")</f>
        <v>Gil</v>
      </c>
      <c r="G914" s="107">
        <f t="shared" si="1"/>
        <v>11.5</v>
      </c>
      <c r="H914" s="108" t="str">
        <f t="shared" si="2"/>
        <v>Dec</v>
      </c>
    </row>
    <row r="915">
      <c r="A915" s="106">
        <f>IFERROR(__xludf.DUMMYFUNCTION("""COMPUTED_VALUE"""),45293.0)</f>
        <v>45293</v>
      </c>
      <c r="B915" s="103">
        <f>IFERROR(__xludf.DUMMYFUNCTION("""COMPUTED_VALUE"""),23.0)</f>
        <v>23</v>
      </c>
      <c r="C915" s="79" t="str">
        <f>IFERROR(__xludf.DUMMYFUNCTION("""COMPUTED_VALUE"""),"Lemonade")</f>
        <v>Lemonade</v>
      </c>
      <c r="D915" s="79" t="str">
        <f>IFERROR(__xludf.DUMMYFUNCTION("""COMPUTED_VALUE"""),"Amazon Prime Chase")</f>
        <v>Amazon Prime Chase</v>
      </c>
      <c r="E915" s="79" t="str">
        <f>IFERROR(__xludf.DUMMYFUNCTION("""COMPUTED_VALUE"""),"Insurance")</f>
        <v>Insurance</v>
      </c>
      <c r="F915" s="79" t="str">
        <f>IFERROR(__xludf.DUMMYFUNCTION("""COMPUTED_VALUE"""),"Gil")</f>
        <v>Gil</v>
      </c>
      <c r="G915" s="107">
        <f t="shared" si="1"/>
        <v>11.5</v>
      </c>
      <c r="H915" s="108" t="str">
        <f t="shared" si="2"/>
        <v>Jan</v>
      </c>
    </row>
    <row r="916">
      <c r="A916" s="106">
        <f>IFERROR(__xludf.DUMMYFUNCTION("""COMPUTED_VALUE"""),45293.0)</f>
        <v>45293</v>
      </c>
      <c r="B916" s="103">
        <f>IFERROR(__xludf.DUMMYFUNCTION("""COMPUTED_VALUE"""),7.95)</f>
        <v>7.95</v>
      </c>
      <c r="C916" s="79" t="str">
        <f>IFERROR(__xludf.DUMMYFUNCTION("""COMPUTED_VALUE"""),"Audible")</f>
        <v>Audible</v>
      </c>
      <c r="D916" s="79" t="str">
        <f>IFERROR(__xludf.DUMMYFUNCTION("""COMPUTED_VALUE"""),"Amazon Prime Chase")</f>
        <v>Amazon Prime Chase</v>
      </c>
      <c r="E916" s="79" t="str">
        <f>IFERROR(__xludf.DUMMYFUNCTION("""COMPUTED_VALUE"""),"Subscriptions")</f>
        <v>Subscriptions</v>
      </c>
      <c r="F916" s="79" t="str">
        <f>IFERROR(__xludf.DUMMYFUNCTION("""COMPUTED_VALUE"""),"Gil")</f>
        <v>Gil</v>
      </c>
      <c r="G916" s="107">
        <f t="shared" si="1"/>
        <v>3.975</v>
      </c>
      <c r="H916" s="108" t="str">
        <f t="shared" si="2"/>
        <v>Jan</v>
      </c>
    </row>
    <row r="917">
      <c r="A917" s="106">
        <f>IFERROR(__xludf.DUMMYFUNCTION("""COMPUTED_VALUE"""),45294.0)</f>
        <v>45294</v>
      </c>
      <c r="B917" s="103">
        <f>IFERROR(__xludf.DUMMYFUNCTION("""COMPUTED_VALUE"""),287.0)</f>
        <v>287</v>
      </c>
      <c r="C917" s="79" t="str">
        <f>IFERROR(__xludf.DUMMYFUNCTION("""COMPUTED_VALUE"""),"Butcher Box ")</f>
        <v>Butcher Box </v>
      </c>
      <c r="D917" s="79" t="str">
        <f>IFERROR(__xludf.DUMMYFUNCTION("""COMPUTED_VALUE"""),"Amazon Prime Chase")</f>
        <v>Amazon Prime Chase</v>
      </c>
      <c r="E917" s="79" t="str">
        <f>IFERROR(__xludf.DUMMYFUNCTION("""COMPUTED_VALUE"""),"Groceries")</f>
        <v>Groceries</v>
      </c>
      <c r="F917" s="79" t="str">
        <f>IFERROR(__xludf.DUMMYFUNCTION("""COMPUTED_VALUE"""),"Gil")</f>
        <v>Gil</v>
      </c>
      <c r="G917" s="107">
        <f t="shared" si="1"/>
        <v>143.5</v>
      </c>
      <c r="H917" s="108" t="str">
        <f t="shared" si="2"/>
        <v>Jan</v>
      </c>
    </row>
    <row r="918">
      <c r="A918" s="106">
        <f>IFERROR(__xludf.DUMMYFUNCTION("""COMPUTED_VALUE"""),45298.0)</f>
        <v>45298</v>
      </c>
      <c r="B918" s="103">
        <f>IFERROR(__xludf.DUMMYFUNCTION("""COMPUTED_VALUE"""),8.0)</f>
        <v>8</v>
      </c>
      <c r="C918" s="79" t="str">
        <f>IFERROR(__xludf.DUMMYFUNCTION("""COMPUTED_VALUE"""),"Mineola Diner - Tip")</f>
        <v>Mineola Diner - Tip</v>
      </c>
      <c r="D918" s="79" t="str">
        <f>IFERROR(__xludf.DUMMYFUNCTION("""COMPUTED_VALUE"""),"Cash")</f>
        <v>Cash</v>
      </c>
      <c r="E918" s="79" t="str">
        <f>IFERROR(__xludf.DUMMYFUNCTION("""COMPUTED_VALUE"""),"Meals")</f>
        <v>Meals</v>
      </c>
      <c r="F918" s="79" t="str">
        <f>IFERROR(__xludf.DUMMYFUNCTION("""COMPUTED_VALUE"""),"Gil")</f>
        <v>Gil</v>
      </c>
      <c r="G918" s="107">
        <f t="shared" si="1"/>
        <v>4</v>
      </c>
      <c r="H918" s="108" t="str">
        <f t="shared" si="2"/>
        <v>Jan</v>
      </c>
    </row>
    <row r="919">
      <c r="A919" s="106">
        <f>IFERROR(__xludf.DUMMYFUNCTION("""COMPUTED_VALUE"""),45296.0)</f>
        <v>45296</v>
      </c>
      <c r="B919" s="103">
        <f>IFERROR(__xludf.DUMMYFUNCTION("""COMPUTED_VALUE"""),44.0)</f>
        <v>44</v>
      </c>
      <c r="C919" s="79" t="str">
        <f>IFERROR(__xludf.DUMMYFUNCTION("""COMPUTED_VALUE"""),"Laundry")</f>
        <v>Laundry</v>
      </c>
      <c r="D919" s="79" t="str">
        <f>IFERROR(__xludf.DUMMYFUNCTION("""COMPUTED_VALUE"""),"Zelle")</f>
        <v>Zelle</v>
      </c>
      <c r="E919" s="79" t="str">
        <f>IFERROR(__xludf.DUMMYFUNCTION("""COMPUTED_VALUE"""),"Household")</f>
        <v>Household</v>
      </c>
      <c r="F919" s="79" t="str">
        <f>IFERROR(__xludf.DUMMYFUNCTION("""COMPUTED_VALUE"""),"Gil")</f>
        <v>Gil</v>
      </c>
      <c r="G919" s="107">
        <f t="shared" si="1"/>
        <v>22</v>
      </c>
      <c r="H919" s="108" t="str">
        <f t="shared" si="2"/>
        <v>Jan</v>
      </c>
    </row>
    <row r="920">
      <c r="A920" s="106">
        <f>IFERROR(__xludf.DUMMYFUNCTION("""COMPUTED_VALUE"""),45299.0)</f>
        <v>45299</v>
      </c>
      <c r="B920" s="103">
        <f>IFERROR(__xludf.DUMMYFUNCTION("""COMPUTED_VALUE"""),61.98)</f>
        <v>61.98</v>
      </c>
      <c r="C920" s="79" t="str">
        <f>IFERROR(__xludf.DUMMYFUNCTION("""COMPUTED_VALUE"""),"Optimum - December")</f>
        <v>Optimum - December</v>
      </c>
      <c r="D920" s="79" t="str">
        <f>IFERROR(__xludf.DUMMYFUNCTION("""COMPUTED_VALUE"""),"Amex Delta Skymiles")</f>
        <v>Amex Delta Skymiles</v>
      </c>
      <c r="E920" s="79" t="str">
        <f>IFERROR(__xludf.DUMMYFUNCTION("""COMPUTED_VALUE"""),"Internet")</f>
        <v>Internet</v>
      </c>
      <c r="F920" s="79" t="str">
        <f>IFERROR(__xludf.DUMMYFUNCTION("""COMPUTED_VALUE"""),"Shaeffer")</f>
        <v>Shaeffer</v>
      </c>
      <c r="G920" s="107">
        <f t="shared" si="1"/>
        <v>30.99</v>
      </c>
      <c r="H920" s="108" t="str">
        <f t="shared" si="2"/>
        <v>Jan</v>
      </c>
    </row>
    <row r="921">
      <c r="A921" s="106">
        <f>IFERROR(__xludf.DUMMYFUNCTION("""COMPUTED_VALUE"""),45297.0)</f>
        <v>45297</v>
      </c>
      <c r="B921" s="103">
        <f>IFERROR(__xludf.DUMMYFUNCTION("""COMPUTED_VALUE"""),3.99)</f>
        <v>3.99</v>
      </c>
      <c r="C921" s="79" t="str">
        <f>IFERROR(__xludf.DUMMYFUNCTION("""COMPUTED_VALUE"""),"Apple movie rental")</f>
        <v>Apple movie rental</v>
      </c>
      <c r="D921" s="79" t="str">
        <f>IFERROR(__xludf.DUMMYFUNCTION("""COMPUTED_VALUE"""),"Other")</f>
        <v>Other</v>
      </c>
      <c r="E921" s="79" t="str">
        <f>IFERROR(__xludf.DUMMYFUNCTION("""COMPUTED_VALUE"""),"Entertainment")</f>
        <v>Entertainment</v>
      </c>
      <c r="F921" s="79" t="str">
        <f>IFERROR(__xludf.DUMMYFUNCTION("""COMPUTED_VALUE"""),"Shaeffer")</f>
        <v>Shaeffer</v>
      </c>
      <c r="G921" s="107">
        <f t="shared" si="1"/>
        <v>1.995</v>
      </c>
      <c r="H921" s="108" t="str">
        <f t="shared" si="2"/>
        <v>Jan</v>
      </c>
    </row>
    <row r="922">
      <c r="A922" s="106">
        <f>IFERROR(__xludf.DUMMYFUNCTION("""COMPUTED_VALUE"""),45300.0)</f>
        <v>45300</v>
      </c>
      <c r="B922" s="103">
        <f>IFERROR(__xludf.DUMMYFUNCTION("""COMPUTED_VALUE"""),14.53)</f>
        <v>14.53</v>
      </c>
      <c r="C922" s="79" t="str">
        <f>IFERROR(__xludf.DUMMYFUNCTION("""COMPUTED_VALUE"""),"Mr. Lemon")</f>
        <v>Mr. Lemon</v>
      </c>
      <c r="D922" s="79" t="str">
        <f>IFERROR(__xludf.DUMMYFUNCTION("""COMPUTED_VALUE"""),"Amex Blue")</f>
        <v>Amex Blue</v>
      </c>
      <c r="E922" s="79" t="str">
        <f>IFERROR(__xludf.DUMMYFUNCTION("""COMPUTED_VALUE"""),"Groceries")</f>
        <v>Groceries</v>
      </c>
      <c r="F922" s="79" t="str">
        <f>IFERROR(__xludf.DUMMYFUNCTION("""COMPUTED_VALUE"""),"Shaeffer")</f>
        <v>Shaeffer</v>
      </c>
      <c r="G922" s="107">
        <f t="shared" si="1"/>
        <v>7.265</v>
      </c>
      <c r="H922" s="108" t="str">
        <f t="shared" si="2"/>
        <v>Jan</v>
      </c>
    </row>
    <row r="923">
      <c r="A923" s="106">
        <f>IFERROR(__xludf.DUMMYFUNCTION("""COMPUTED_VALUE"""),45301.0)</f>
        <v>45301</v>
      </c>
      <c r="B923" s="103">
        <f>IFERROR(__xludf.DUMMYFUNCTION("""COMPUTED_VALUE"""),35.5)</f>
        <v>35.5</v>
      </c>
      <c r="C923" s="79" t="str">
        <f>IFERROR(__xludf.DUMMYFUNCTION("""COMPUTED_VALUE"""),"Nitehawk")</f>
        <v>Nitehawk</v>
      </c>
      <c r="D923" s="79" t="str">
        <f>IFERROR(__xludf.DUMMYFUNCTION("""COMPUTED_VALUE"""),"Amex Gold")</f>
        <v>Amex Gold</v>
      </c>
      <c r="E923" s="79" t="str">
        <f>IFERROR(__xludf.DUMMYFUNCTION("""COMPUTED_VALUE"""),"Entertainment")</f>
        <v>Entertainment</v>
      </c>
      <c r="F923" s="79" t="str">
        <f>IFERROR(__xludf.DUMMYFUNCTION("""COMPUTED_VALUE"""),"Gil")</f>
        <v>Gil</v>
      </c>
      <c r="G923" s="107">
        <f t="shared" si="1"/>
        <v>17.75</v>
      </c>
      <c r="H923" s="108" t="str">
        <f t="shared" si="2"/>
        <v>Jan</v>
      </c>
    </row>
    <row r="924">
      <c r="A924" s="106">
        <f>IFERROR(__xludf.DUMMYFUNCTION("""COMPUTED_VALUE"""),45302.0)</f>
        <v>45302</v>
      </c>
      <c r="B924" s="103">
        <f>IFERROR(__xludf.DUMMYFUNCTION("""COMPUTED_VALUE"""),8.99)</f>
        <v>8.99</v>
      </c>
      <c r="C924" s="79" t="str">
        <f>IFERROR(__xludf.DUMMYFUNCTION("""COMPUTED_VALUE"""),"Walgreens")</f>
        <v>Walgreens</v>
      </c>
      <c r="D924" s="79" t="str">
        <f>IFERROR(__xludf.DUMMYFUNCTION("""COMPUTED_VALUE"""),"Amex Blue")</f>
        <v>Amex Blue</v>
      </c>
      <c r="E924" s="79" t="str">
        <f>IFERROR(__xludf.DUMMYFUNCTION("""COMPUTED_VALUE"""),"Household")</f>
        <v>Household</v>
      </c>
      <c r="F924" s="79" t="str">
        <f>IFERROR(__xludf.DUMMYFUNCTION("""COMPUTED_VALUE"""),"Gil")</f>
        <v>Gil</v>
      </c>
      <c r="G924" s="107">
        <f t="shared" si="1"/>
        <v>4.495</v>
      </c>
      <c r="H924" s="108" t="str">
        <f t="shared" si="2"/>
        <v>Jan</v>
      </c>
    </row>
    <row r="925">
      <c r="A925" s="106">
        <f>IFERROR(__xludf.DUMMYFUNCTION("""COMPUTED_VALUE"""),45303.0)</f>
        <v>45303</v>
      </c>
      <c r="B925" s="103">
        <f>IFERROR(__xludf.DUMMYFUNCTION("""COMPUTED_VALUE"""),15.24)</f>
        <v>15.24</v>
      </c>
      <c r="C925" s="79" t="str">
        <f>IFERROR(__xludf.DUMMYFUNCTION("""COMPUTED_VALUE"""),"Amazon - Casper Nightlight")</f>
        <v>Amazon - Casper Nightlight</v>
      </c>
      <c r="D925" s="79" t="str">
        <f>IFERROR(__xludf.DUMMYFUNCTION("""COMPUTED_VALUE"""),"Discover")</f>
        <v>Discover</v>
      </c>
      <c r="E925" s="79" t="str">
        <f>IFERROR(__xludf.DUMMYFUNCTION("""COMPUTED_VALUE"""),"Household")</f>
        <v>Household</v>
      </c>
      <c r="F925" s="79" t="str">
        <f>IFERROR(__xludf.DUMMYFUNCTION("""COMPUTED_VALUE"""),"Gil")</f>
        <v>Gil</v>
      </c>
      <c r="G925" s="107">
        <f t="shared" si="1"/>
        <v>7.62</v>
      </c>
      <c r="H925" s="108" t="str">
        <f t="shared" si="2"/>
        <v>Jan</v>
      </c>
    </row>
    <row r="926">
      <c r="A926" s="106">
        <f>IFERROR(__xludf.DUMMYFUNCTION("""COMPUTED_VALUE"""),45303.0)</f>
        <v>45303</v>
      </c>
      <c r="B926" s="103">
        <f>IFERROR(__xludf.DUMMYFUNCTION("""COMPUTED_VALUE"""),21.0)</f>
        <v>21</v>
      </c>
      <c r="C926" s="79" t="str">
        <f>IFERROR(__xludf.DUMMYFUNCTION("""COMPUTED_VALUE"""),"Norwich Meadows ")</f>
        <v>Norwich Meadows </v>
      </c>
      <c r="D926" s="79" t="str">
        <f>IFERROR(__xludf.DUMMYFUNCTION("""COMPUTED_VALUE"""),"Cash")</f>
        <v>Cash</v>
      </c>
      <c r="E926" s="79" t="str">
        <f>IFERROR(__xludf.DUMMYFUNCTION("""COMPUTED_VALUE"""),"Groceries")</f>
        <v>Groceries</v>
      </c>
      <c r="F926" s="79" t="str">
        <f>IFERROR(__xludf.DUMMYFUNCTION("""COMPUTED_VALUE"""),"Gil")</f>
        <v>Gil</v>
      </c>
      <c r="G926" s="107">
        <f t="shared" si="1"/>
        <v>10.5</v>
      </c>
      <c r="H926" s="108" t="str">
        <f t="shared" si="2"/>
        <v>Jan</v>
      </c>
    </row>
    <row r="927">
      <c r="A927" s="106">
        <f>IFERROR(__xludf.DUMMYFUNCTION("""COMPUTED_VALUE"""),45303.0)</f>
        <v>45303</v>
      </c>
      <c r="B927" s="103">
        <f>IFERROR(__xludf.DUMMYFUNCTION("""COMPUTED_VALUE"""),46.43)</f>
        <v>46.43</v>
      </c>
      <c r="C927" s="79" t="str">
        <f>IFERROR(__xludf.DUMMYFUNCTION("""COMPUTED_VALUE"""),"Dickson's")</f>
        <v>Dickson's</v>
      </c>
      <c r="D927" s="79" t="str">
        <f>IFERROR(__xludf.DUMMYFUNCTION("""COMPUTED_VALUE"""),"Amex Blue")</f>
        <v>Amex Blue</v>
      </c>
      <c r="E927" s="79" t="str">
        <f>IFERROR(__xludf.DUMMYFUNCTION("""COMPUTED_VALUE"""),"Groceries")</f>
        <v>Groceries</v>
      </c>
      <c r="F927" s="79" t="str">
        <f>IFERROR(__xludf.DUMMYFUNCTION("""COMPUTED_VALUE"""),"Gil")</f>
        <v>Gil</v>
      </c>
      <c r="G927" s="107">
        <f t="shared" si="1"/>
        <v>23.215</v>
      </c>
      <c r="H927" s="108" t="str">
        <f t="shared" si="2"/>
        <v>Jan</v>
      </c>
    </row>
    <row r="928">
      <c r="A928" s="106">
        <f>IFERROR(__xludf.DUMMYFUNCTION("""COMPUTED_VALUE"""),45292.0)</f>
        <v>45292</v>
      </c>
      <c r="B928" s="103">
        <f>IFERROR(__xludf.DUMMYFUNCTION("""COMPUTED_VALUE"""),2700.0)</f>
        <v>2700</v>
      </c>
      <c r="C928" s="79" t="str">
        <f>IFERROR(__xludf.DUMMYFUNCTION("""COMPUTED_VALUE"""),"Jan rent")</f>
        <v>Jan rent</v>
      </c>
      <c r="D928" s="79" t="str">
        <f>IFERROR(__xludf.DUMMYFUNCTION("""COMPUTED_VALUE"""),"Rent")</f>
        <v>Rent</v>
      </c>
      <c r="E928" s="79" t="str">
        <f>IFERROR(__xludf.DUMMYFUNCTION("""COMPUTED_VALUE"""),"Rent")</f>
        <v>Rent</v>
      </c>
      <c r="F928" s="79" t="str">
        <f>IFERROR(__xludf.DUMMYFUNCTION("""COMPUTED_VALUE"""),"Gil")</f>
        <v>Gil</v>
      </c>
      <c r="G928" s="107">
        <f t="shared" si="1"/>
        <v>1350</v>
      </c>
      <c r="H928" s="108" t="str">
        <f t="shared" si="2"/>
        <v>Jan</v>
      </c>
    </row>
    <row r="929">
      <c r="B929" s="103"/>
      <c r="F929" s="79" t="str">
        <f>IFERROR(__xludf.DUMMYFUNCTION("""COMPUTED_VALUE"""),"Shaeffer")</f>
        <v>Shaeffer</v>
      </c>
      <c r="G929" s="107">
        <f t="shared" si="1"/>
        <v>0</v>
      </c>
      <c r="H929" s="108" t="str">
        <f t="shared" si="2"/>
        <v>#VALUE!</v>
      </c>
    </row>
    <row r="930">
      <c r="B930" s="103"/>
      <c r="G930" s="107">
        <f t="shared" si="1"/>
        <v>0</v>
      </c>
      <c r="H930" s="108" t="str">
        <f t="shared" si="2"/>
        <v>#VALUE!</v>
      </c>
    </row>
    <row r="931">
      <c r="B931" s="103"/>
      <c r="G931" s="107">
        <f t="shared" si="1"/>
        <v>0</v>
      </c>
      <c r="H931" s="108" t="str">
        <f t="shared" si="2"/>
        <v>#VALUE!</v>
      </c>
    </row>
    <row r="932">
      <c r="B932" s="103"/>
      <c r="G932" s="107">
        <f t="shared" si="1"/>
        <v>0</v>
      </c>
      <c r="H932" s="108" t="str">
        <f t="shared" si="2"/>
        <v>#VALUE!</v>
      </c>
    </row>
    <row r="933">
      <c r="B933" s="103"/>
      <c r="G933" s="107">
        <f t="shared" si="1"/>
        <v>0</v>
      </c>
      <c r="H933" s="108" t="str">
        <f t="shared" si="2"/>
        <v>#VALUE!</v>
      </c>
    </row>
    <row r="934">
      <c r="B934" s="103"/>
      <c r="G934" s="107">
        <f t="shared" si="1"/>
        <v>0</v>
      </c>
      <c r="H934" s="108" t="str">
        <f t="shared" si="2"/>
        <v>#VALUE!</v>
      </c>
    </row>
    <row r="935">
      <c r="B935" s="103"/>
      <c r="G935" s="107">
        <f t="shared" si="1"/>
        <v>0</v>
      </c>
      <c r="H935" s="108" t="str">
        <f t="shared" si="2"/>
        <v>#VALUE!</v>
      </c>
    </row>
    <row r="936">
      <c r="B936" s="103"/>
      <c r="G936" s="107">
        <f t="shared" si="1"/>
        <v>0</v>
      </c>
      <c r="H936" s="108" t="str">
        <f t="shared" si="2"/>
        <v>#VALUE!</v>
      </c>
    </row>
    <row r="937">
      <c r="B937" s="103"/>
      <c r="G937" s="107">
        <f t="shared" si="1"/>
        <v>0</v>
      </c>
      <c r="H937" s="108" t="str">
        <f t="shared" si="2"/>
        <v>#VALUE!</v>
      </c>
    </row>
    <row r="938">
      <c r="B938" s="103"/>
      <c r="G938" s="107">
        <f t="shared" si="1"/>
        <v>0</v>
      </c>
      <c r="H938" s="108" t="str">
        <f t="shared" si="2"/>
        <v>#VALUE!</v>
      </c>
    </row>
    <row r="939">
      <c r="B939" s="103"/>
      <c r="G939" s="107">
        <f t="shared" si="1"/>
        <v>0</v>
      </c>
      <c r="H939" s="108" t="str">
        <f t="shared" si="2"/>
        <v>#VALUE!</v>
      </c>
    </row>
    <row r="940">
      <c r="B940" s="103"/>
      <c r="G940" s="107">
        <f t="shared" si="1"/>
        <v>0</v>
      </c>
      <c r="H940" s="108" t="str">
        <f t="shared" si="2"/>
        <v>#VALUE!</v>
      </c>
    </row>
    <row r="941">
      <c r="B941" s="103"/>
      <c r="G941" s="107">
        <f t="shared" si="1"/>
        <v>0</v>
      </c>
      <c r="H941" s="108" t="str">
        <f t="shared" si="2"/>
        <v>#VALUE!</v>
      </c>
    </row>
    <row r="942">
      <c r="B942" s="103"/>
      <c r="G942" s="107">
        <f t="shared" si="1"/>
        <v>0</v>
      </c>
      <c r="H942" s="108" t="str">
        <f t="shared" si="2"/>
        <v>#VALUE!</v>
      </c>
    </row>
    <row r="943">
      <c r="B943" s="103"/>
      <c r="G943" s="107">
        <f t="shared" si="1"/>
        <v>0</v>
      </c>
      <c r="H943" s="108" t="str">
        <f t="shared" si="2"/>
        <v>#VALUE!</v>
      </c>
    </row>
    <row r="944">
      <c r="B944" s="103"/>
      <c r="G944" s="107">
        <f t="shared" si="1"/>
        <v>0</v>
      </c>
      <c r="H944" s="108" t="str">
        <f t="shared" si="2"/>
        <v>#VALUE!</v>
      </c>
    </row>
    <row r="945">
      <c r="B945" s="103"/>
      <c r="G945" s="107">
        <f t="shared" si="1"/>
        <v>0</v>
      </c>
      <c r="H945" s="108" t="str">
        <f t="shared" si="2"/>
        <v>#VALUE!</v>
      </c>
    </row>
    <row r="946">
      <c r="B946" s="103"/>
      <c r="G946" s="107">
        <f t="shared" si="1"/>
        <v>0</v>
      </c>
      <c r="H946" s="108" t="str">
        <f t="shared" si="2"/>
        <v>#VALUE!</v>
      </c>
    </row>
    <row r="947">
      <c r="B947" s="103"/>
      <c r="G947" s="107">
        <f t="shared" si="1"/>
        <v>0</v>
      </c>
      <c r="H947" s="108" t="str">
        <f t="shared" si="2"/>
        <v>#VALUE!</v>
      </c>
    </row>
    <row r="948">
      <c r="B948" s="103"/>
      <c r="G948" s="107">
        <f t="shared" si="1"/>
        <v>0</v>
      </c>
      <c r="H948" s="108" t="str">
        <f t="shared" si="2"/>
        <v>#VALUE!</v>
      </c>
    </row>
    <row r="949">
      <c r="B949" s="103"/>
      <c r="G949" s="107">
        <f t="shared" si="1"/>
        <v>0</v>
      </c>
      <c r="H949" s="108" t="str">
        <f t="shared" si="2"/>
        <v>#VALUE!</v>
      </c>
    </row>
    <row r="950">
      <c r="B950" s="103"/>
      <c r="G950" s="107">
        <f t="shared" si="1"/>
        <v>0</v>
      </c>
      <c r="H950" s="108" t="str">
        <f t="shared" si="2"/>
        <v>#VALUE!</v>
      </c>
    </row>
    <row r="951">
      <c r="B951" s="103"/>
      <c r="G951" s="107">
        <f t="shared" si="1"/>
        <v>0</v>
      </c>
      <c r="H951" s="108" t="str">
        <f t="shared" si="2"/>
        <v>#VALUE!</v>
      </c>
    </row>
    <row r="952">
      <c r="B952" s="103"/>
      <c r="G952" s="107">
        <f t="shared" si="1"/>
        <v>0</v>
      </c>
      <c r="H952" s="108" t="str">
        <f t="shared" si="2"/>
        <v>#VALUE!</v>
      </c>
    </row>
    <row r="953">
      <c r="B953" s="103"/>
      <c r="G953" s="107">
        <f t="shared" si="1"/>
        <v>0</v>
      </c>
      <c r="H953" s="108" t="str">
        <f t="shared" si="2"/>
        <v>#VALUE!</v>
      </c>
    </row>
    <row r="954">
      <c r="B954" s="103"/>
      <c r="G954" s="107">
        <f t="shared" si="1"/>
        <v>0</v>
      </c>
      <c r="H954" s="108" t="str">
        <f t="shared" si="2"/>
        <v>#VALUE!</v>
      </c>
    </row>
    <row r="955">
      <c r="B955" s="103"/>
      <c r="G955" s="107">
        <f t="shared" si="1"/>
        <v>0</v>
      </c>
      <c r="H955" s="108" t="str">
        <f t="shared" si="2"/>
        <v>#VALUE!</v>
      </c>
    </row>
    <row r="956">
      <c r="B956" s="103"/>
      <c r="G956" s="107">
        <f t="shared" si="1"/>
        <v>0</v>
      </c>
      <c r="H956" s="108" t="str">
        <f t="shared" si="2"/>
        <v>#VALUE!</v>
      </c>
    </row>
    <row r="957">
      <c r="B957" s="103"/>
      <c r="G957" s="107">
        <f t="shared" si="1"/>
        <v>0</v>
      </c>
      <c r="H957" s="108" t="str">
        <f t="shared" si="2"/>
        <v>#VALUE!</v>
      </c>
    </row>
    <row r="958">
      <c r="B958" s="103"/>
      <c r="G958" s="107">
        <f t="shared" si="1"/>
        <v>0</v>
      </c>
      <c r="H958" s="108" t="str">
        <f t="shared" si="2"/>
        <v>#VALUE!</v>
      </c>
    </row>
    <row r="959">
      <c r="B959" s="103"/>
      <c r="G959" s="107">
        <f t="shared" si="1"/>
        <v>0</v>
      </c>
      <c r="H959" s="108" t="str">
        <f t="shared" si="2"/>
        <v>#VALUE!</v>
      </c>
    </row>
    <row r="960">
      <c r="B960" s="103"/>
      <c r="G960" s="107">
        <f t="shared" si="1"/>
        <v>0</v>
      </c>
      <c r="H960" s="108" t="str">
        <f t="shared" si="2"/>
        <v>#VALUE!</v>
      </c>
    </row>
    <row r="961">
      <c r="B961" s="103"/>
      <c r="G961" s="107">
        <f t="shared" si="1"/>
        <v>0</v>
      </c>
      <c r="H961" s="108" t="str">
        <f t="shared" si="2"/>
        <v>#VALUE!</v>
      </c>
    </row>
    <row r="962">
      <c r="B962" s="103"/>
      <c r="G962" s="107">
        <f t="shared" si="1"/>
        <v>0</v>
      </c>
      <c r="H962" s="108" t="str">
        <f t="shared" si="2"/>
        <v>#VALUE!</v>
      </c>
    </row>
    <row r="963">
      <c r="B963" s="103"/>
      <c r="G963" s="107">
        <f t="shared" si="1"/>
        <v>0</v>
      </c>
      <c r="H963" s="108" t="str">
        <f t="shared" si="2"/>
        <v>#VALUE!</v>
      </c>
    </row>
    <row r="964">
      <c r="B964" s="103"/>
      <c r="G964" s="107">
        <f t="shared" si="1"/>
        <v>0</v>
      </c>
      <c r="H964" s="108" t="str">
        <f t="shared" si="2"/>
        <v>#VALUE!</v>
      </c>
    </row>
    <row r="965">
      <c r="B965" s="103"/>
      <c r="G965" s="107">
        <f t="shared" si="1"/>
        <v>0</v>
      </c>
      <c r="H965" s="108" t="str">
        <f t="shared" si="2"/>
        <v>#VALUE!</v>
      </c>
    </row>
    <row r="966">
      <c r="B966" s="103"/>
      <c r="G966" s="107">
        <f t="shared" si="1"/>
        <v>0</v>
      </c>
      <c r="H966" s="108" t="str">
        <f t="shared" si="2"/>
        <v>#VALUE!</v>
      </c>
    </row>
    <row r="967">
      <c r="B967" s="103"/>
      <c r="G967" s="107">
        <f t="shared" si="1"/>
        <v>0</v>
      </c>
      <c r="H967" s="108" t="str">
        <f t="shared" si="2"/>
        <v>#VALUE!</v>
      </c>
    </row>
    <row r="968">
      <c r="B968" s="103"/>
      <c r="G968" s="107">
        <f t="shared" si="1"/>
        <v>0</v>
      </c>
      <c r="H968" s="108" t="str">
        <f t="shared" si="2"/>
        <v>#VALUE!</v>
      </c>
    </row>
    <row r="969">
      <c r="B969" s="103"/>
      <c r="G969" s="107">
        <f t="shared" si="1"/>
        <v>0</v>
      </c>
      <c r="H969" s="108" t="str">
        <f t="shared" si="2"/>
        <v>#VALUE!</v>
      </c>
    </row>
    <row r="970">
      <c r="B970" s="103"/>
      <c r="G970" s="107">
        <f t="shared" si="1"/>
        <v>0</v>
      </c>
      <c r="H970" s="108" t="str">
        <f t="shared" si="2"/>
        <v>#VALUE!</v>
      </c>
    </row>
    <row r="971">
      <c r="B971" s="103"/>
      <c r="G971" s="107">
        <f t="shared" si="1"/>
        <v>0</v>
      </c>
      <c r="H971" s="108" t="str">
        <f t="shared" si="2"/>
        <v>#VALUE!</v>
      </c>
    </row>
    <row r="972">
      <c r="B972" s="103"/>
      <c r="G972" s="107">
        <f t="shared" si="1"/>
        <v>0</v>
      </c>
      <c r="H972" s="108" t="str">
        <f t="shared" si="2"/>
        <v>#VALUE!</v>
      </c>
    </row>
    <row r="973">
      <c r="B973" s="103"/>
      <c r="G973" s="107">
        <f t="shared" si="1"/>
        <v>0</v>
      </c>
      <c r="H973" s="108" t="str">
        <f t="shared" si="2"/>
        <v>#VALUE!</v>
      </c>
    </row>
    <row r="974">
      <c r="B974" s="103"/>
      <c r="G974" s="107">
        <f t="shared" si="1"/>
        <v>0</v>
      </c>
      <c r="H974" s="108" t="str">
        <f t="shared" si="2"/>
        <v>#VALUE!</v>
      </c>
    </row>
    <row r="975">
      <c r="B975" s="103"/>
      <c r="G975" s="107">
        <f t="shared" si="1"/>
        <v>0</v>
      </c>
      <c r="H975" s="108" t="str">
        <f t="shared" si="2"/>
        <v>#VALUE!</v>
      </c>
    </row>
    <row r="976">
      <c r="B976" s="103"/>
      <c r="G976" s="107">
        <f t="shared" si="1"/>
        <v>0</v>
      </c>
      <c r="H976" s="108" t="str">
        <f t="shared" si="2"/>
        <v>#VALUE!</v>
      </c>
    </row>
    <row r="977">
      <c r="B977" s="103"/>
      <c r="G977" s="107">
        <f t="shared" si="1"/>
        <v>0</v>
      </c>
      <c r="H977" s="108" t="str">
        <f t="shared" si="2"/>
        <v>#VALUE!</v>
      </c>
    </row>
    <row r="978">
      <c r="B978" s="103"/>
      <c r="G978" s="107">
        <f t="shared" si="1"/>
        <v>0</v>
      </c>
      <c r="H978" s="108" t="str">
        <f t="shared" si="2"/>
        <v>#VALUE!</v>
      </c>
    </row>
    <row r="979">
      <c r="B979" s="103"/>
      <c r="G979" s="107">
        <f t="shared" si="1"/>
        <v>0</v>
      </c>
      <c r="H979" s="108" t="str">
        <f t="shared" si="2"/>
        <v>#VALUE!</v>
      </c>
    </row>
    <row r="980">
      <c r="B980" s="103"/>
      <c r="G980" s="107">
        <f t="shared" si="1"/>
        <v>0</v>
      </c>
      <c r="H980" s="108" t="str">
        <f t="shared" si="2"/>
        <v>#VALUE!</v>
      </c>
    </row>
    <row r="981">
      <c r="B981" s="103"/>
      <c r="G981" s="107">
        <f t="shared" si="1"/>
        <v>0</v>
      </c>
      <c r="H981" s="108" t="str">
        <f t="shared" si="2"/>
        <v>#VALUE!</v>
      </c>
    </row>
    <row r="982">
      <c r="B982" s="103"/>
      <c r="G982" s="107">
        <f t="shared" si="1"/>
        <v>0</v>
      </c>
      <c r="H982" s="108" t="str">
        <f t="shared" si="2"/>
        <v>#VALUE!</v>
      </c>
    </row>
    <row r="983">
      <c r="B983" s="103"/>
      <c r="G983" s="107">
        <f t="shared" si="1"/>
        <v>0</v>
      </c>
      <c r="H983" s="108" t="str">
        <f t="shared" si="2"/>
        <v>#VALUE!</v>
      </c>
    </row>
    <row r="984">
      <c r="B984" s="103"/>
      <c r="G984" s="107">
        <f t="shared" si="1"/>
        <v>0</v>
      </c>
      <c r="H984" s="108" t="str">
        <f t="shared" si="2"/>
        <v>#VALUE!</v>
      </c>
    </row>
    <row r="985">
      <c r="B985" s="103"/>
      <c r="G985" s="107">
        <f t="shared" si="1"/>
        <v>0</v>
      </c>
      <c r="H985" s="108" t="str">
        <f t="shared" si="2"/>
        <v>#VALUE!</v>
      </c>
    </row>
    <row r="986">
      <c r="B986" s="103"/>
      <c r="G986" s="107">
        <f t="shared" si="1"/>
        <v>0</v>
      </c>
      <c r="H986" s="108" t="str">
        <f t="shared" si="2"/>
        <v>#VALUE!</v>
      </c>
    </row>
    <row r="987">
      <c r="B987" s="103"/>
      <c r="G987" s="107">
        <f t="shared" si="1"/>
        <v>0</v>
      </c>
      <c r="H987" s="108" t="str">
        <f t="shared" si="2"/>
        <v>#VALUE!</v>
      </c>
    </row>
    <row r="988">
      <c r="B988" s="103"/>
      <c r="G988" s="107">
        <f t="shared" si="1"/>
        <v>0</v>
      </c>
      <c r="H988" s="108" t="str">
        <f t="shared" si="2"/>
        <v>#VALUE!</v>
      </c>
    </row>
    <row r="989">
      <c r="B989" s="103"/>
      <c r="G989" s="107">
        <f t="shared" si="1"/>
        <v>0</v>
      </c>
      <c r="H989" s="108" t="str">
        <f t="shared" si="2"/>
        <v>#VALUE!</v>
      </c>
    </row>
    <row r="990">
      <c r="B990" s="103"/>
      <c r="G990" s="107">
        <f t="shared" si="1"/>
        <v>0</v>
      </c>
      <c r="H990" s="108" t="str">
        <f t="shared" si="2"/>
        <v>#VALUE!</v>
      </c>
    </row>
    <row r="991">
      <c r="B991" s="103"/>
      <c r="G991" s="107">
        <f t="shared" si="1"/>
        <v>0</v>
      </c>
      <c r="H991" s="108" t="str">
        <f t="shared" si="2"/>
        <v>#VALUE!</v>
      </c>
    </row>
    <row r="992">
      <c r="B992" s="103"/>
      <c r="G992" s="107">
        <f t="shared" si="1"/>
        <v>0</v>
      </c>
      <c r="H992" s="108" t="str">
        <f t="shared" si="2"/>
        <v>#VALUE!</v>
      </c>
    </row>
    <row r="993">
      <c r="B993" s="103"/>
      <c r="G993" s="107">
        <f t="shared" si="1"/>
        <v>0</v>
      </c>
      <c r="H993" s="108" t="str">
        <f t="shared" si="2"/>
        <v>#VALUE!</v>
      </c>
    </row>
    <row r="994">
      <c r="B994" s="103"/>
      <c r="G994" s="107">
        <f t="shared" si="1"/>
        <v>0</v>
      </c>
      <c r="H994" s="108" t="str">
        <f t="shared" si="2"/>
        <v>#VALUE!</v>
      </c>
    </row>
    <row r="995">
      <c r="B995" s="103"/>
      <c r="G995" s="107">
        <f t="shared" si="1"/>
        <v>0</v>
      </c>
      <c r="H995" s="108" t="str">
        <f t="shared" si="2"/>
        <v>#VALUE!</v>
      </c>
    </row>
    <row r="996">
      <c r="B996" s="103"/>
      <c r="G996" s="107">
        <f t="shared" si="1"/>
        <v>0</v>
      </c>
      <c r="H996" s="108" t="str">
        <f t="shared" si="2"/>
        <v>#VALUE!</v>
      </c>
    </row>
    <row r="997">
      <c r="B997" s="103"/>
      <c r="G997" s="107">
        <f t="shared" si="1"/>
        <v>0</v>
      </c>
      <c r="H997" s="108" t="str">
        <f t="shared" si="2"/>
        <v>#VALUE!</v>
      </c>
    </row>
    <row r="998">
      <c r="B998" s="103"/>
      <c r="G998" s="107">
        <f t="shared" si="1"/>
        <v>0</v>
      </c>
      <c r="H998" s="108" t="str">
        <f t="shared" si="2"/>
        <v>#VALUE!</v>
      </c>
    </row>
    <row r="999">
      <c r="B999" s="103"/>
      <c r="G999" s="107">
        <f t="shared" si="1"/>
        <v>0</v>
      </c>
      <c r="H999" s="108" t="str">
        <f t="shared" si="2"/>
        <v>#VALUE!</v>
      </c>
    </row>
    <row r="1000">
      <c r="B1000" s="103"/>
      <c r="G1000" s="107">
        <f t="shared" si="1"/>
        <v>0</v>
      </c>
      <c r="H1000" s="108" t="str">
        <f t="shared" si="2"/>
        <v>#VALUE!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28.0"/>
  </cols>
  <sheetData>
    <row r="1">
      <c r="A1" s="102" t="str">
        <f>IFERROR(__xludf.DUMMYFUNCTION("QUERY(IMPORTRANGE(""https://docs.google.com/spreadsheets/d/1ImQFcJoVLADSXlCV12sTbdZdxM9zXkulluBIP8sm_M4/edit?usp=sharing"", ""Form Responses 2!K:N""), ""SELECT Col1, Col2, Col3, Col4 WHERE Col1 IS NOT NULL"")"),"Date")</f>
        <v>Date</v>
      </c>
      <c r="B1" s="109" t="str">
        <f>IFERROR(__xludf.DUMMYFUNCTION("""COMPUTED_VALUE"""),"Amount (00.00)")</f>
        <v>Amount (00.00)</v>
      </c>
      <c r="C1" s="79" t="str">
        <f>IFERROR(__xludf.DUMMYFUNCTION("""COMPUTED_VALUE"""),"Description")</f>
        <v>Description</v>
      </c>
      <c r="D1" s="79" t="str">
        <f>IFERROR(__xludf.DUMMYFUNCTION("""COMPUTED_VALUE"""),"Expense Category (Choose 1)")</f>
        <v>Expense Category (Choose 1)</v>
      </c>
      <c r="E1" s="79" t="s">
        <v>64</v>
      </c>
      <c r="F1" s="82" t="str">
        <f>IFERROR(__xludf.DUMMYFUNCTION("QUERY(IMPORTRANGE(""https://docs.google.com/spreadsheets/d/1ImQFcJoVLADSXlCV12sTbdZdxM9zXkulluBIP8sm_M4/edit?usp=sharing"", ""Form Responses 2!J:J""), ""SELECT Col1 WHERE Col1 IS NOT NULL"")
"),"Shaeffer or Gil")</f>
        <v>Shaeffer or Gil</v>
      </c>
    </row>
    <row r="2">
      <c r="A2" s="85">
        <f>IFERROR(__xludf.DUMMYFUNCTION("""COMPUTED_VALUE"""),45304.0)</f>
        <v>45304</v>
      </c>
      <c r="B2" s="110">
        <f>IFERROR(__xludf.DUMMYFUNCTION("""COMPUTED_VALUE"""),16.62)</f>
        <v>16.62</v>
      </c>
      <c r="C2" s="79" t="str">
        <f>IFERROR(__xludf.DUMMYFUNCTION("""COMPUTED_VALUE"""),"Thai Hot Box")</f>
        <v>Thai Hot Box</v>
      </c>
      <c r="D2" s="79" t="str">
        <f>IFERROR(__xludf.DUMMYFUNCTION("""COMPUTED_VALUE"""),"Work Meals")</f>
        <v>Work Meals</v>
      </c>
      <c r="E2" s="108" t="str">
        <f t="shared" ref="E2:E1000" si="1">TEXT(DATEVALUE($A2), "mmm")</f>
        <v>Jan</v>
      </c>
      <c r="F2" s="79" t="str">
        <f>IFERROR(__xludf.DUMMYFUNCTION("""COMPUTED_VALUE"""),"Gil")</f>
        <v>Gil</v>
      </c>
    </row>
    <row r="3">
      <c r="A3" s="85">
        <f>IFERROR(__xludf.DUMMYFUNCTION("""COMPUTED_VALUE"""),45304.0)</f>
        <v>45304</v>
      </c>
      <c r="B3" s="110">
        <f>IFERROR(__xludf.DUMMYFUNCTION("""COMPUTED_VALUE"""),18.89)</f>
        <v>18.89</v>
      </c>
      <c r="C3" s="79" t="str">
        <f>IFERROR(__xludf.DUMMYFUNCTION("""COMPUTED_VALUE"""),"bbq olive ")</f>
        <v>bbq olive </v>
      </c>
      <c r="D3" s="79" t="str">
        <f>IFERROR(__xludf.DUMMYFUNCTION("""COMPUTED_VALUE"""),"Meals")</f>
        <v>Meals</v>
      </c>
      <c r="E3" s="108" t="str">
        <f t="shared" si="1"/>
        <v>Jan</v>
      </c>
      <c r="F3" s="79" t="str">
        <f>IFERROR(__xludf.DUMMYFUNCTION("""COMPUTED_VALUE"""),"Gil")</f>
        <v>Gil</v>
      </c>
    </row>
    <row r="4">
      <c r="A4" s="85">
        <f>IFERROR(__xludf.DUMMYFUNCTION("""COMPUTED_VALUE"""),45305.0)</f>
        <v>45305</v>
      </c>
      <c r="B4" s="110">
        <f>IFERROR(__xludf.DUMMYFUNCTION("""COMPUTED_VALUE"""),9.71)</f>
        <v>9.71</v>
      </c>
      <c r="C4" s="79" t="str">
        <f>IFERROR(__xludf.DUMMYFUNCTION("""COMPUTED_VALUE"""),"Mano's Pizzeria")</f>
        <v>Mano's Pizzeria</v>
      </c>
      <c r="D4" s="79" t="str">
        <f>IFERROR(__xludf.DUMMYFUNCTION("""COMPUTED_VALUE"""),"Meals")</f>
        <v>Meals</v>
      </c>
      <c r="E4" s="108" t="str">
        <f t="shared" si="1"/>
        <v>Jan</v>
      </c>
      <c r="F4" s="79" t="str">
        <f>IFERROR(__xludf.DUMMYFUNCTION("""COMPUTED_VALUE"""),"Gil")</f>
        <v>Gil</v>
      </c>
    </row>
    <row r="5">
      <c r="A5" s="85">
        <f>IFERROR(__xludf.DUMMYFUNCTION("""COMPUTED_VALUE"""),45305.0)</f>
        <v>45305</v>
      </c>
      <c r="B5" s="111">
        <f>IFERROR(__xludf.DUMMYFUNCTION("""COMPUTED_VALUE"""),32.0)</f>
        <v>32</v>
      </c>
      <c r="C5" s="79" t="str">
        <f>IFERROR(__xludf.DUMMYFUNCTION("""COMPUTED_VALUE"""),"Amazon- lint shaver")</f>
        <v>Amazon- lint shaver</v>
      </c>
      <c r="D5" s="79" t="str">
        <f>IFERROR(__xludf.DUMMYFUNCTION("""COMPUTED_VALUE"""),"Studio")</f>
        <v>Studio</v>
      </c>
      <c r="E5" s="108" t="str">
        <f t="shared" si="1"/>
        <v>Jan</v>
      </c>
      <c r="F5" s="79" t="str">
        <f>IFERROR(__xludf.DUMMYFUNCTION("""COMPUTED_VALUE"""),"Shaeffer")</f>
        <v>Shaeffer</v>
      </c>
    </row>
    <row r="6">
      <c r="A6" s="85">
        <f>IFERROR(__xludf.DUMMYFUNCTION("""COMPUTED_VALUE"""),45306.0)</f>
        <v>45306</v>
      </c>
      <c r="B6" s="110">
        <f>IFERROR(__xludf.DUMMYFUNCTION("""COMPUTED_VALUE"""),4.34)</f>
        <v>4.34</v>
      </c>
      <c r="C6" s="79" t="str">
        <f>IFERROR(__xludf.DUMMYFUNCTION("""COMPUTED_VALUE"""),"Westside Market")</f>
        <v>Westside Market</v>
      </c>
      <c r="D6" s="79" t="str">
        <f>IFERROR(__xludf.DUMMYFUNCTION("""COMPUTED_VALUE"""),"Work Meals")</f>
        <v>Work Meals</v>
      </c>
      <c r="E6" s="108" t="str">
        <f t="shared" si="1"/>
        <v>Jan</v>
      </c>
      <c r="F6" s="79" t="str">
        <f>IFERROR(__xludf.DUMMYFUNCTION("""COMPUTED_VALUE"""),"Gil")</f>
        <v>Gil</v>
      </c>
    </row>
    <row r="7">
      <c r="A7" s="85">
        <f>IFERROR(__xludf.DUMMYFUNCTION("""COMPUTED_VALUE"""),45302.0)</f>
        <v>45302</v>
      </c>
      <c r="B7" s="110">
        <f>IFERROR(__xludf.DUMMYFUNCTION("""COMPUTED_VALUE"""),3.26)</f>
        <v>3.26</v>
      </c>
      <c r="C7" s="79" t="str">
        <f>IFERROR(__xludf.DUMMYFUNCTION("""COMPUTED_VALUE"""),"Google One")</f>
        <v>Google One</v>
      </c>
      <c r="D7" s="79" t="str">
        <f>IFERROR(__xludf.DUMMYFUNCTION("""COMPUTED_VALUE"""),"Subscriptions")</f>
        <v>Subscriptions</v>
      </c>
      <c r="E7" s="108" t="str">
        <f t="shared" si="1"/>
        <v>Jan</v>
      </c>
      <c r="F7" s="79" t="str">
        <f>IFERROR(__xludf.DUMMYFUNCTION("""COMPUTED_VALUE"""),"Gil")</f>
        <v>Gil</v>
      </c>
    </row>
    <row r="8">
      <c r="A8" s="85">
        <f>IFERROR(__xludf.DUMMYFUNCTION("""COMPUTED_VALUE"""),45306.0)</f>
        <v>45306</v>
      </c>
      <c r="B8" s="110">
        <f>IFERROR(__xludf.DUMMYFUNCTION("""COMPUTED_VALUE"""),12.0)</f>
        <v>12</v>
      </c>
      <c r="C8" s="79" t="str">
        <f>IFERROR(__xludf.DUMMYFUNCTION("""COMPUTED_VALUE"""),"Google Domains - gilcalderon.com")</f>
        <v>Google Domains - gilcalderon.com</v>
      </c>
      <c r="D8" s="79" t="str">
        <f>IFERROR(__xludf.DUMMYFUNCTION("""COMPUTED_VALUE"""),"Personal")</f>
        <v>Personal</v>
      </c>
      <c r="E8" s="108" t="str">
        <f t="shared" si="1"/>
        <v>Jan</v>
      </c>
      <c r="F8" s="79" t="str">
        <f>IFERROR(__xludf.DUMMYFUNCTION("""COMPUTED_VALUE"""),"Gil")</f>
        <v>Gil</v>
      </c>
    </row>
    <row r="9">
      <c r="A9" s="85">
        <f>IFERROR(__xludf.DUMMYFUNCTION("""COMPUTED_VALUE"""),45308.0)</f>
        <v>45308</v>
      </c>
      <c r="B9" s="111">
        <f>IFERROR(__xludf.DUMMYFUNCTION("""COMPUTED_VALUE"""),96.9)</f>
        <v>96.9</v>
      </c>
      <c r="C9" s="79" t="str">
        <f>IFERROR(__xludf.DUMMYFUNCTION("""COMPUTED_VALUE"""),"YMCA")</f>
        <v>YMCA</v>
      </c>
      <c r="D9" s="79" t="str">
        <f>IFERROR(__xludf.DUMMYFUNCTION("""COMPUTED_VALUE"""),"Gym")</f>
        <v>Gym</v>
      </c>
      <c r="E9" s="108" t="str">
        <f t="shared" si="1"/>
        <v>Jan</v>
      </c>
      <c r="F9" s="79" t="str">
        <f>IFERROR(__xludf.DUMMYFUNCTION("""COMPUTED_VALUE"""),"Shaeffer")</f>
        <v>Shaeffer</v>
      </c>
    </row>
    <row r="10">
      <c r="A10" s="85">
        <f>IFERROR(__xludf.DUMMYFUNCTION("""COMPUTED_VALUE"""),45308.0)</f>
        <v>45308</v>
      </c>
      <c r="B10" s="111">
        <f>IFERROR(__xludf.DUMMYFUNCTION("""COMPUTED_VALUE"""),43.68)</f>
        <v>43.68</v>
      </c>
      <c r="C10" s="79" t="str">
        <f>IFERROR(__xludf.DUMMYFUNCTION("""COMPUTED_VALUE"""),"Classico Grocery")</f>
        <v>Classico Grocery</v>
      </c>
      <c r="D10" s="79" t="str">
        <f>IFERROR(__xludf.DUMMYFUNCTION("""COMPUTED_VALUE"""),"Alcohol/Weed")</f>
        <v>Alcohol/Weed</v>
      </c>
      <c r="E10" s="108" t="str">
        <f t="shared" si="1"/>
        <v>Jan</v>
      </c>
      <c r="F10" s="79" t="str">
        <f>IFERROR(__xludf.DUMMYFUNCTION("""COMPUTED_VALUE"""),"Shaeffer")</f>
        <v>Shaeffer</v>
      </c>
    </row>
    <row r="11">
      <c r="A11" s="85">
        <f>IFERROR(__xludf.DUMMYFUNCTION("""COMPUTED_VALUE"""),45308.0)</f>
        <v>45308</v>
      </c>
      <c r="B11" s="110">
        <f>IFERROR(__xludf.DUMMYFUNCTION("""COMPUTED_VALUE"""),6.14)</f>
        <v>6.14</v>
      </c>
      <c r="C11" s="79" t="str">
        <f>IFERROR(__xludf.DUMMYFUNCTION("""COMPUTED_VALUE"""),"Westside Market")</f>
        <v>Westside Market</v>
      </c>
      <c r="D11" s="79" t="str">
        <f>IFERROR(__xludf.DUMMYFUNCTION("""COMPUTED_VALUE"""),"Work Meals")</f>
        <v>Work Meals</v>
      </c>
      <c r="E11" s="108" t="str">
        <f t="shared" si="1"/>
        <v>Jan</v>
      </c>
      <c r="F11" s="79" t="str">
        <f>IFERROR(__xludf.DUMMYFUNCTION("""COMPUTED_VALUE"""),"Gil")</f>
        <v>Gil</v>
      </c>
    </row>
    <row r="12">
      <c r="A12" s="85">
        <f>IFERROR(__xludf.DUMMYFUNCTION("""COMPUTED_VALUE"""),45310.0)</f>
        <v>45310</v>
      </c>
      <c r="B12" s="110">
        <f>IFERROR(__xludf.DUMMYFUNCTION("""COMPUTED_VALUE"""),6.53)</f>
        <v>6.53</v>
      </c>
      <c r="C12" s="79" t="str">
        <f>IFERROR(__xludf.DUMMYFUNCTION("""COMPUTED_VALUE"""),"Google Workspace")</f>
        <v>Google Workspace</v>
      </c>
      <c r="D12" s="79" t="str">
        <f>IFERROR(__xludf.DUMMYFUNCTION("""COMPUTED_VALUE"""),"Subscriptions")</f>
        <v>Subscriptions</v>
      </c>
      <c r="E12" s="108" t="str">
        <f t="shared" si="1"/>
        <v>Jan</v>
      </c>
      <c r="F12" s="79" t="str">
        <f>IFERROR(__xludf.DUMMYFUNCTION("""COMPUTED_VALUE"""),"Gil")</f>
        <v>Gil</v>
      </c>
    </row>
    <row r="13">
      <c r="A13" s="85">
        <f>IFERROR(__xludf.DUMMYFUNCTION("""COMPUTED_VALUE"""),45310.0)</f>
        <v>45310</v>
      </c>
      <c r="B13" s="110">
        <f>IFERROR(__xludf.DUMMYFUNCTION("""COMPUTED_VALUE"""),14.86)</f>
        <v>14.86</v>
      </c>
      <c r="C13" s="79" t="str">
        <f>IFERROR(__xludf.DUMMYFUNCTION("""COMPUTED_VALUE"""),"Dos Toros")</f>
        <v>Dos Toros</v>
      </c>
      <c r="D13" s="79" t="str">
        <f>IFERROR(__xludf.DUMMYFUNCTION("""COMPUTED_VALUE"""),"Meals")</f>
        <v>Meals</v>
      </c>
      <c r="E13" s="108" t="str">
        <f t="shared" si="1"/>
        <v>Jan</v>
      </c>
      <c r="F13" s="79" t="str">
        <f>IFERROR(__xludf.DUMMYFUNCTION("""COMPUTED_VALUE"""),"Gil")</f>
        <v>Gil</v>
      </c>
    </row>
    <row r="14">
      <c r="A14" s="85">
        <f>IFERROR(__xludf.DUMMYFUNCTION("""COMPUTED_VALUE"""),45310.0)</f>
        <v>45310</v>
      </c>
      <c r="B14" s="110">
        <f>IFERROR(__xludf.DUMMYFUNCTION("""COMPUTED_VALUE"""),44.58)</f>
        <v>44.58</v>
      </c>
      <c r="C14" s="79" t="str">
        <f>IFERROR(__xludf.DUMMYFUNCTION("""COMPUTED_VALUE"""),"eBay - Alessi Breadbox")</f>
        <v>eBay - Alessi Breadbox</v>
      </c>
      <c r="D14" s="79" t="str">
        <f>IFERROR(__xludf.DUMMYFUNCTION("""COMPUTED_VALUE"""),"Household")</f>
        <v>Household</v>
      </c>
      <c r="E14" s="108" t="str">
        <f t="shared" si="1"/>
        <v>Jan</v>
      </c>
      <c r="F14" s="79" t="str">
        <f>IFERROR(__xludf.DUMMYFUNCTION("""COMPUTED_VALUE"""),"Gil")</f>
        <v>Gil</v>
      </c>
    </row>
    <row r="15">
      <c r="A15" s="85">
        <f>IFERROR(__xludf.DUMMYFUNCTION("""COMPUTED_VALUE"""),45311.0)</f>
        <v>45311</v>
      </c>
      <c r="B15" s="110">
        <f>IFERROR(__xludf.DUMMYFUNCTION("""COMPUTED_VALUE"""),26.2)</f>
        <v>26.2</v>
      </c>
      <c r="C15" s="79" t="str">
        <f>IFERROR(__xludf.DUMMYFUNCTION("""COMPUTED_VALUE"""),"Peg's Cavalier")</f>
        <v>Peg's Cavalier</v>
      </c>
      <c r="D15" s="79" t="str">
        <f>IFERROR(__xludf.DUMMYFUNCTION("""COMPUTED_VALUE"""),"Alcohol/Weed")</f>
        <v>Alcohol/Weed</v>
      </c>
      <c r="E15" s="108" t="str">
        <f t="shared" si="1"/>
        <v>Jan</v>
      </c>
      <c r="F15" s="79" t="str">
        <f>IFERROR(__xludf.DUMMYFUNCTION("""COMPUTED_VALUE"""),"Gil")</f>
        <v>Gil</v>
      </c>
    </row>
    <row r="16">
      <c r="A16" s="85">
        <f>IFERROR(__xludf.DUMMYFUNCTION("""COMPUTED_VALUE"""),45313.0)</f>
        <v>45313</v>
      </c>
      <c r="B16" s="110">
        <f>IFERROR(__xludf.DUMMYFUNCTION("""COMPUTED_VALUE"""),17.5)</f>
        <v>17.5</v>
      </c>
      <c r="C16" s="79" t="str">
        <f>IFERROR(__xludf.DUMMYFUNCTION("""COMPUTED_VALUE"""),"DMV - License Replacement")</f>
        <v>DMV - License Replacement</v>
      </c>
      <c r="D16" s="79" t="str">
        <f>IFERROR(__xludf.DUMMYFUNCTION("""COMPUTED_VALUE"""),"Personal")</f>
        <v>Personal</v>
      </c>
      <c r="E16" s="108" t="str">
        <f t="shared" si="1"/>
        <v>Jan</v>
      </c>
      <c r="F16" s="79" t="str">
        <f>IFERROR(__xludf.DUMMYFUNCTION("""COMPUTED_VALUE"""),"Gil")</f>
        <v>Gil</v>
      </c>
    </row>
    <row r="17">
      <c r="A17" s="85">
        <f>IFERROR(__xludf.DUMMYFUNCTION("""COMPUTED_VALUE"""),45314.0)</f>
        <v>45314</v>
      </c>
      <c r="B17" s="110">
        <f>IFERROR(__xludf.DUMMYFUNCTION("""COMPUTED_VALUE"""),299.82)</f>
        <v>299.82</v>
      </c>
      <c r="C17" s="79" t="str">
        <f>IFERROR(__xludf.DUMMYFUNCTION("""COMPUTED_VALUE"""),"Equinox")</f>
        <v>Equinox</v>
      </c>
      <c r="D17" s="79" t="str">
        <f>IFERROR(__xludf.DUMMYFUNCTION("""COMPUTED_VALUE"""),"Gym")</f>
        <v>Gym</v>
      </c>
      <c r="E17" s="108" t="str">
        <f t="shared" si="1"/>
        <v>Jan</v>
      </c>
      <c r="F17" s="79" t="str">
        <f>IFERROR(__xludf.DUMMYFUNCTION("""COMPUTED_VALUE"""),"Gil")</f>
        <v>Gil</v>
      </c>
    </row>
    <row r="18">
      <c r="A18" s="85">
        <f>IFERROR(__xludf.DUMMYFUNCTION("""COMPUTED_VALUE"""),45318.0)</f>
        <v>45318</v>
      </c>
      <c r="B18" s="110">
        <f>IFERROR(__xludf.DUMMYFUNCTION("""COMPUTED_VALUE"""),14.32)</f>
        <v>14.32</v>
      </c>
      <c r="C18" s="79" t="str">
        <f>IFERROR(__xludf.DUMMYFUNCTION("""COMPUTED_VALUE"""),"UberEats - Thai Hot Box")</f>
        <v>UberEats - Thai Hot Box</v>
      </c>
      <c r="D18" s="79" t="str">
        <f>IFERROR(__xludf.DUMMYFUNCTION("""COMPUTED_VALUE"""),"Work Meals")</f>
        <v>Work Meals</v>
      </c>
      <c r="E18" s="108" t="str">
        <f t="shared" si="1"/>
        <v>Jan</v>
      </c>
      <c r="F18" s="79" t="str">
        <f>IFERROR(__xludf.DUMMYFUNCTION("""COMPUTED_VALUE"""),"Gil")</f>
        <v>Gil</v>
      </c>
    </row>
    <row r="19">
      <c r="A19" s="85">
        <f>IFERROR(__xludf.DUMMYFUNCTION("""COMPUTED_VALUE"""),45319.0)</f>
        <v>45319</v>
      </c>
      <c r="B19" s="110">
        <f>IFERROR(__xludf.DUMMYFUNCTION("""COMPUTED_VALUE"""),5.25)</f>
        <v>5.25</v>
      </c>
      <c r="C19" s="79" t="str">
        <f>IFERROR(__xludf.DUMMYFUNCTION("""COMPUTED_VALUE"""),"Abraço")</f>
        <v>Abraço</v>
      </c>
      <c r="D19" s="79" t="str">
        <f>IFERROR(__xludf.DUMMYFUNCTION("""COMPUTED_VALUE"""),"Meals")</f>
        <v>Meals</v>
      </c>
      <c r="E19" s="108" t="str">
        <f t="shared" si="1"/>
        <v>Jan</v>
      </c>
      <c r="F19" s="79" t="str">
        <f>IFERROR(__xludf.DUMMYFUNCTION("""COMPUTED_VALUE"""),"Gil")</f>
        <v>Gil</v>
      </c>
    </row>
    <row r="20">
      <c r="A20" s="85">
        <f>IFERROR(__xludf.DUMMYFUNCTION("""COMPUTED_VALUE"""),45324.0)</f>
        <v>45324</v>
      </c>
      <c r="B20" s="110">
        <f>IFERROR(__xludf.DUMMYFUNCTION("""COMPUTED_VALUE"""),7.08)</f>
        <v>7.08</v>
      </c>
      <c r="C20" s="79" t="str">
        <f>IFERROR(__xludf.DUMMYFUNCTION("""COMPUTED_VALUE"""),"I'Milky")</f>
        <v>I'Milky</v>
      </c>
      <c r="D20" s="79" t="str">
        <f>IFERROR(__xludf.DUMMYFUNCTION("""COMPUTED_VALUE"""),"Meals")</f>
        <v>Meals</v>
      </c>
      <c r="E20" s="108" t="str">
        <f t="shared" si="1"/>
        <v>Feb</v>
      </c>
      <c r="F20" s="79" t="str">
        <f>IFERROR(__xludf.DUMMYFUNCTION("""COMPUTED_VALUE"""),"Gil")</f>
        <v>Gil</v>
      </c>
    </row>
    <row r="21">
      <c r="A21" s="85">
        <f>IFERROR(__xludf.DUMMYFUNCTION("""COMPUTED_VALUE"""),45324.0)</f>
        <v>45324</v>
      </c>
      <c r="B21" s="110">
        <f>IFERROR(__xludf.DUMMYFUNCTION("""COMPUTED_VALUE"""),331.25)</f>
        <v>331.25</v>
      </c>
      <c r="C21" s="79" t="str">
        <f>IFERROR(__xludf.DUMMYFUNCTION("""COMPUTED_VALUE"""),"236 Moore St.")</f>
        <v>236 Moore St.</v>
      </c>
      <c r="D21" s="79" t="str">
        <f>IFERROR(__xludf.DUMMYFUNCTION("""COMPUTED_VALUE"""),"Storage")</f>
        <v>Storage</v>
      </c>
      <c r="E21" s="108" t="str">
        <f t="shared" si="1"/>
        <v>Feb</v>
      </c>
      <c r="F21" s="79" t="str">
        <f>IFERROR(__xludf.DUMMYFUNCTION("""COMPUTED_VALUE"""),"Gil")</f>
        <v>Gil</v>
      </c>
    </row>
    <row r="22">
      <c r="A22" s="85">
        <f>IFERROR(__xludf.DUMMYFUNCTION("""COMPUTED_VALUE"""),45296.0)</f>
        <v>45296</v>
      </c>
      <c r="B22" s="110">
        <f>IFERROR(__xludf.DUMMYFUNCTION("""COMPUTED_VALUE"""),6.25)</f>
        <v>6.25</v>
      </c>
      <c r="C22" s="79" t="str">
        <f>IFERROR(__xludf.DUMMYFUNCTION("""COMPUTED_VALUE"""),"Arabica")</f>
        <v>Arabica</v>
      </c>
      <c r="D22" s="79" t="str">
        <f>IFERROR(__xludf.DUMMYFUNCTION("""COMPUTED_VALUE"""),"Meals")</f>
        <v>Meals</v>
      </c>
      <c r="E22" s="108" t="str">
        <f t="shared" si="1"/>
        <v>Jan</v>
      </c>
      <c r="F22" s="79" t="str">
        <f>IFERROR(__xludf.DUMMYFUNCTION("""COMPUTED_VALUE"""),"Gil")</f>
        <v>Gil</v>
      </c>
    </row>
    <row r="23">
      <c r="A23" s="85">
        <f>IFERROR(__xludf.DUMMYFUNCTION("""COMPUTED_VALUE"""),45296.0)</f>
        <v>45296</v>
      </c>
      <c r="B23" s="110">
        <f>IFERROR(__xludf.DUMMYFUNCTION("""COMPUTED_VALUE"""),22.05)</f>
        <v>22.05</v>
      </c>
      <c r="C23" s="79" t="str">
        <f>IFERROR(__xludf.DUMMYFUNCTION("""COMPUTED_VALUE"""),"I'Milky")</f>
        <v>I'Milky</v>
      </c>
      <c r="D23" s="79" t="str">
        <f>IFERROR(__xludf.DUMMYFUNCTION("""COMPUTED_VALUE"""),"Work Meals")</f>
        <v>Work Meals</v>
      </c>
      <c r="E23" s="108" t="str">
        <f t="shared" si="1"/>
        <v>Jan</v>
      </c>
      <c r="F23" s="79" t="str">
        <f>IFERROR(__xludf.DUMMYFUNCTION("""COMPUTED_VALUE"""),"Gil")</f>
        <v>Gil</v>
      </c>
    </row>
    <row r="24">
      <c r="A24" s="85">
        <f>IFERROR(__xludf.DUMMYFUNCTION("""COMPUTED_VALUE"""),45292.0)</f>
        <v>45292</v>
      </c>
      <c r="B24" s="110">
        <f>IFERROR(__xludf.DUMMYFUNCTION("""COMPUTED_VALUE"""),4.2)</f>
        <v>4.2</v>
      </c>
      <c r="C24" s="79" t="str">
        <f>IFERROR(__xludf.DUMMYFUNCTION("""COMPUTED_VALUE"""),"Amazon - Palmer's Cocoa Butter")</f>
        <v>Amazon - Palmer's Cocoa Butter</v>
      </c>
      <c r="D24" s="79" t="str">
        <f>IFERROR(__xludf.DUMMYFUNCTION("""COMPUTED_VALUE"""),"Personal")</f>
        <v>Personal</v>
      </c>
      <c r="E24" s="108" t="str">
        <f t="shared" si="1"/>
        <v>Jan</v>
      </c>
      <c r="F24" s="79" t="str">
        <f>IFERROR(__xludf.DUMMYFUNCTION("""COMPUTED_VALUE"""),"Gil")</f>
        <v>Gil</v>
      </c>
    </row>
    <row r="25">
      <c r="A25" s="85">
        <f>IFERROR(__xludf.DUMMYFUNCTION("""COMPUTED_VALUE"""),45292.0)</f>
        <v>45292</v>
      </c>
      <c r="B25" s="110">
        <f>IFERROR(__xludf.DUMMYFUNCTION("""COMPUTED_VALUE"""),10.88)</f>
        <v>10.88</v>
      </c>
      <c r="C25" s="79" t="str">
        <f>IFERROR(__xludf.DUMMYFUNCTION("""COMPUTED_VALUE"""),"Amazon - Foot Deodorant")</f>
        <v>Amazon - Foot Deodorant</v>
      </c>
      <c r="D25" s="79" t="str">
        <f>IFERROR(__xludf.DUMMYFUNCTION("""COMPUTED_VALUE"""),"Personal")</f>
        <v>Personal</v>
      </c>
      <c r="E25" s="108" t="str">
        <f t="shared" si="1"/>
        <v>Jan</v>
      </c>
      <c r="F25" s="79" t="str">
        <f>IFERROR(__xludf.DUMMYFUNCTION("""COMPUTED_VALUE"""),"Gil")</f>
        <v>Gil</v>
      </c>
    </row>
    <row r="26">
      <c r="A26" s="85">
        <f>IFERROR(__xludf.DUMMYFUNCTION("""COMPUTED_VALUE"""),45292.0)</f>
        <v>45292</v>
      </c>
      <c r="B26" s="110">
        <f>IFERROR(__xludf.DUMMYFUNCTION("""COMPUTED_VALUE"""),37.02)</f>
        <v>37.02</v>
      </c>
      <c r="C26" s="79" t="str">
        <f>IFERROR(__xludf.DUMMYFUNCTION("""COMPUTED_VALUE"""),"Amazon - MD SolarSciences BB Creme")</f>
        <v>Amazon - MD SolarSciences BB Creme</v>
      </c>
      <c r="D26" s="79" t="str">
        <f>IFERROR(__xludf.DUMMYFUNCTION("""COMPUTED_VALUE"""),"Personal")</f>
        <v>Personal</v>
      </c>
      <c r="E26" s="108" t="str">
        <f t="shared" si="1"/>
        <v>Jan</v>
      </c>
      <c r="F26" s="79" t="str">
        <f>IFERROR(__xludf.DUMMYFUNCTION("""COMPUTED_VALUE"""),"Gil")</f>
        <v>Gil</v>
      </c>
    </row>
    <row r="27">
      <c r="A27" s="85">
        <f>IFERROR(__xludf.DUMMYFUNCTION("""COMPUTED_VALUE"""),45292.0)</f>
        <v>45292</v>
      </c>
      <c r="B27" s="110">
        <f>IFERROR(__xludf.DUMMYFUNCTION("""COMPUTED_VALUE"""),11.65)</f>
        <v>11.65</v>
      </c>
      <c r="C27" s="79" t="str">
        <f>IFERROR(__xludf.DUMMYFUNCTION("""COMPUTED_VALUE"""),"Amazon - Lutein")</f>
        <v>Amazon - Lutein</v>
      </c>
      <c r="D27" s="79" t="str">
        <f>IFERROR(__xludf.DUMMYFUNCTION("""COMPUTED_VALUE"""),"Personal")</f>
        <v>Personal</v>
      </c>
      <c r="E27" s="108" t="str">
        <f t="shared" si="1"/>
        <v>Jan</v>
      </c>
      <c r="F27" s="79" t="str">
        <f>IFERROR(__xludf.DUMMYFUNCTION("""COMPUTED_VALUE"""),"Gil")</f>
        <v>Gil</v>
      </c>
    </row>
    <row r="28">
      <c r="A28" s="85">
        <f>IFERROR(__xludf.DUMMYFUNCTION("""COMPUTED_VALUE"""),45306.0)</f>
        <v>45306</v>
      </c>
      <c r="B28" s="111">
        <f>IFERROR(__xludf.DUMMYFUNCTION("""COMPUTED_VALUE"""),38.1)</f>
        <v>38.1</v>
      </c>
      <c r="C28" s="79" t="str">
        <f>IFERROR(__xludf.DUMMYFUNCTION("""COMPUTED_VALUE"""),"Apple-music app")</f>
        <v>Apple-music app</v>
      </c>
      <c r="D28" s="79" t="str">
        <f>IFERROR(__xludf.DUMMYFUNCTION("""COMPUTED_VALUE"""),"Personal")</f>
        <v>Personal</v>
      </c>
      <c r="E28" s="108" t="str">
        <f t="shared" si="1"/>
        <v>Jan</v>
      </c>
      <c r="F28" s="79" t="str">
        <f>IFERROR(__xludf.DUMMYFUNCTION("""COMPUTED_VALUE"""),"Shaeffer")</f>
        <v>Shaeffer</v>
      </c>
    </row>
    <row r="29">
      <c r="A29" s="85">
        <f>IFERROR(__xludf.DUMMYFUNCTION("""COMPUTED_VALUE"""),45322.0)</f>
        <v>45322</v>
      </c>
      <c r="B29" s="111">
        <f>IFERROR(__xludf.DUMMYFUNCTION("""COMPUTED_VALUE"""),1.99)</f>
        <v>1.99</v>
      </c>
      <c r="C29" s="79" t="str">
        <f>IFERROR(__xludf.DUMMYFUNCTION("""COMPUTED_VALUE"""),"Gmail storage")</f>
        <v>Gmail storage</v>
      </c>
      <c r="D29" s="79" t="str">
        <f>IFERROR(__xludf.DUMMYFUNCTION("""COMPUTED_VALUE"""),"Subscriptions")</f>
        <v>Subscriptions</v>
      </c>
      <c r="E29" s="108" t="str">
        <f t="shared" si="1"/>
        <v>Jan</v>
      </c>
      <c r="F29" s="79" t="str">
        <f>IFERROR(__xludf.DUMMYFUNCTION("""COMPUTED_VALUE"""),"Shaeffer")</f>
        <v>Shaeffer</v>
      </c>
    </row>
    <row r="30">
      <c r="A30" s="85">
        <f>IFERROR(__xludf.DUMMYFUNCTION("""COMPUTED_VALUE"""),45324.0)</f>
        <v>45324</v>
      </c>
      <c r="B30" s="111">
        <f>IFERROR(__xludf.DUMMYFUNCTION("""COMPUTED_VALUE"""),9.99)</f>
        <v>9.99</v>
      </c>
      <c r="C30" s="79" t="str">
        <f>IFERROR(__xludf.DUMMYFUNCTION("""COMPUTED_VALUE"""),"Icloud storage")</f>
        <v>Icloud storage</v>
      </c>
      <c r="D30" s="79" t="str">
        <f>IFERROR(__xludf.DUMMYFUNCTION("""COMPUTED_VALUE"""),"Subscriptions")</f>
        <v>Subscriptions</v>
      </c>
      <c r="E30" s="108" t="str">
        <f t="shared" si="1"/>
        <v>Feb</v>
      </c>
      <c r="F30" s="79" t="str">
        <f>IFERROR(__xludf.DUMMYFUNCTION("""COMPUTED_VALUE"""),"Shaeffer")</f>
        <v>Shaeffer</v>
      </c>
    </row>
    <row r="31">
      <c r="A31" s="85">
        <f>IFERROR(__xludf.DUMMYFUNCTION("""COMPUTED_VALUE"""),45310.0)</f>
        <v>45310</v>
      </c>
      <c r="B31" s="111">
        <f>IFERROR(__xludf.DUMMYFUNCTION("""COMPUTED_VALUE"""),35.0)</f>
        <v>35</v>
      </c>
      <c r="C31" s="79" t="str">
        <f>IFERROR(__xludf.DUMMYFUNCTION("""COMPUTED_VALUE"""),"Julia - vintage")</f>
        <v>Julia - vintage</v>
      </c>
      <c r="D31" s="79" t="str">
        <f>IFERROR(__xludf.DUMMYFUNCTION("""COMPUTED_VALUE"""),"Clothing")</f>
        <v>Clothing</v>
      </c>
      <c r="E31" s="108" t="str">
        <f t="shared" si="1"/>
        <v>Jan</v>
      </c>
      <c r="F31" s="79" t="str">
        <f>IFERROR(__xludf.DUMMYFUNCTION("""COMPUTED_VALUE"""),"Shaeffer")</f>
        <v>Shaeffer</v>
      </c>
    </row>
    <row r="32">
      <c r="A32" s="85">
        <f>IFERROR(__xludf.DUMMYFUNCTION("""COMPUTED_VALUE"""),45313.0)</f>
        <v>45313</v>
      </c>
      <c r="B32" s="111">
        <f>IFERROR(__xludf.DUMMYFUNCTION("""COMPUTED_VALUE"""),22.0)</f>
        <v>22</v>
      </c>
      <c r="C32" s="79" t="str">
        <f>IFERROR(__xludf.DUMMYFUNCTION("""COMPUTED_VALUE"""),"Tori - venmo")</f>
        <v>Tori - venmo</v>
      </c>
      <c r="D32" s="79" t="str">
        <f>IFERROR(__xludf.DUMMYFUNCTION("""COMPUTED_VALUE"""),"Entertainment")</f>
        <v>Entertainment</v>
      </c>
      <c r="E32" s="108" t="str">
        <f t="shared" si="1"/>
        <v>Jan</v>
      </c>
      <c r="F32" s="79" t="str">
        <f>IFERROR(__xludf.DUMMYFUNCTION("""COMPUTED_VALUE"""),"Shaeffer")</f>
        <v>Shaeffer</v>
      </c>
    </row>
    <row r="33">
      <c r="A33" s="85">
        <f>IFERROR(__xludf.DUMMYFUNCTION("""COMPUTED_VALUE"""),45314.0)</f>
        <v>45314</v>
      </c>
      <c r="B33" s="111">
        <f>IFERROR(__xludf.DUMMYFUNCTION("""COMPUTED_VALUE"""),150.0)</f>
        <v>150</v>
      </c>
      <c r="C33" s="79" t="str">
        <f>IFERROR(__xludf.DUMMYFUNCTION("""COMPUTED_VALUE"""),"MADONNA BITCH")</f>
        <v>MADONNA BITCH</v>
      </c>
      <c r="D33" s="79" t="str">
        <f>IFERROR(__xludf.DUMMYFUNCTION("""COMPUTED_VALUE"""),"Entertainment")</f>
        <v>Entertainment</v>
      </c>
      <c r="E33" s="108" t="str">
        <f t="shared" si="1"/>
        <v>Jan</v>
      </c>
      <c r="F33" s="79" t="str">
        <f>IFERROR(__xludf.DUMMYFUNCTION("""COMPUTED_VALUE"""),"Shaeffer")</f>
        <v>Shaeffer</v>
      </c>
    </row>
    <row r="34">
      <c r="A34" s="85">
        <f>IFERROR(__xludf.DUMMYFUNCTION("""COMPUTED_VALUE"""),45315.0)</f>
        <v>45315</v>
      </c>
      <c r="B34" s="111">
        <f>IFERROR(__xludf.DUMMYFUNCTION("""COMPUTED_VALUE"""),31.0)</f>
        <v>31</v>
      </c>
      <c r="C34" s="79" t="str">
        <f>IFERROR(__xludf.DUMMYFUNCTION("""COMPUTED_VALUE"""),"Venmo- Kim-Pre Madonna drinks -")</f>
        <v>Venmo- Kim-Pre Madonna drinks -</v>
      </c>
      <c r="D34" s="79" t="str">
        <f>IFERROR(__xludf.DUMMYFUNCTION("""COMPUTED_VALUE"""),"Alcohol/Weed")</f>
        <v>Alcohol/Weed</v>
      </c>
      <c r="E34" s="108" t="str">
        <f t="shared" si="1"/>
        <v>Jan</v>
      </c>
      <c r="F34" s="79" t="str">
        <f>IFERROR(__xludf.DUMMYFUNCTION("""COMPUTED_VALUE"""),"Shaeffer")</f>
        <v>Shaeffer</v>
      </c>
    </row>
    <row r="35">
      <c r="A35" s="85">
        <f>IFERROR(__xludf.DUMMYFUNCTION("""COMPUTED_VALUE"""),45325.0)</f>
        <v>45325</v>
      </c>
      <c r="B35" s="111">
        <f>IFERROR(__xludf.DUMMYFUNCTION("""COMPUTED_VALUE"""),30.0)</f>
        <v>30</v>
      </c>
      <c r="C35" s="79" t="str">
        <f>IFERROR(__xludf.DUMMYFUNCTION("""COMPUTED_VALUE"""),"Nov internet - Miko- 323")</f>
        <v>Nov internet - Miko- 323</v>
      </c>
      <c r="D35" s="79" t="str">
        <f>IFERROR(__xludf.DUMMYFUNCTION("""COMPUTED_VALUE"""),"Studio")</f>
        <v>Studio</v>
      </c>
      <c r="E35" s="108" t="str">
        <f t="shared" si="1"/>
        <v>Feb</v>
      </c>
      <c r="F35" s="79" t="str">
        <f>IFERROR(__xludf.DUMMYFUNCTION("""COMPUTED_VALUE"""),"Shaeffer")</f>
        <v>Shaeffer</v>
      </c>
    </row>
    <row r="36">
      <c r="A36" s="85">
        <f>IFERROR(__xludf.DUMMYFUNCTION("""COMPUTED_VALUE"""),45294.0)</f>
        <v>45294</v>
      </c>
      <c r="B36" s="111">
        <f>IFERROR(__xludf.DUMMYFUNCTION("""COMPUTED_VALUE"""),60.8)</f>
        <v>60.8</v>
      </c>
      <c r="C36" s="79" t="str">
        <f>IFERROR(__xludf.DUMMYFUNCTION("""COMPUTED_VALUE"""),"Kuumba Made-perfume")</f>
        <v>Kuumba Made-perfume</v>
      </c>
      <c r="D36" s="79" t="str">
        <f>IFERROR(__xludf.DUMMYFUNCTION("""COMPUTED_VALUE"""),"Personal")</f>
        <v>Personal</v>
      </c>
      <c r="E36" s="108" t="str">
        <f t="shared" si="1"/>
        <v>Jan</v>
      </c>
      <c r="F36" s="79" t="str">
        <f>IFERROR(__xludf.DUMMYFUNCTION("""COMPUTED_VALUE"""),"Shaeffer")</f>
        <v>Shaeffer</v>
      </c>
    </row>
    <row r="37">
      <c r="A37" s="85">
        <f>IFERROR(__xludf.DUMMYFUNCTION("""COMPUTED_VALUE"""),45308.0)</f>
        <v>45308</v>
      </c>
      <c r="B37" s="111">
        <f>IFERROR(__xludf.DUMMYFUNCTION("""COMPUTED_VALUE"""),47.4)</f>
        <v>47.4</v>
      </c>
      <c r="C37" s="79" t="str">
        <f>IFERROR(__xludf.DUMMYFUNCTION("""COMPUTED_VALUE"""),"Block - markers")</f>
        <v>Block - markers</v>
      </c>
      <c r="D37" s="79" t="str">
        <f>IFERROR(__xludf.DUMMYFUNCTION("""COMPUTED_VALUE"""),"Personal")</f>
        <v>Personal</v>
      </c>
      <c r="E37" s="108" t="str">
        <f t="shared" si="1"/>
        <v>Jan</v>
      </c>
      <c r="F37" s="79" t="str">
        <f>IFERROR(__xludf.DUMMYFUNCTION("""COMPUTED_VALUE"""),"Shaeffer")</f>
        <v>Shaeffer</v>
      </c>
    </row>
    <row r="38">
      <c r="A38" s="85">
        <f>IFERROR(__xludf.DUMMYFUNCTION("""COMPUTED_VALUE"""),45309.0)</f>
        <v>45309</v>
      </c>
      <c r="B38" s="111">
        <f>IFERROR(__xludf.DUMMYFUNCTION("""COMPUTED_VALUE"""),44.98)</f>
        <v>44.98</v>
      </c>
      <c r="C38" s="79" t="str">
        <f>IFERROR(__xludf.DUMMYFUNCTION("""COMPUTED_VALUE"""),"Erth wellness - mushrooms")</f>
        <v>Erth wellness - mushrooms</v>
      </c>
      <c r="D38" s="79" t="str">
        <f>IFERROR(__xludf.DUMMYFUNCTION("""COMPUTED_VALUE"""),"Alcohol/Weed")</f>
        <v>Alcohol/Weed</v>
      </c>
      <c r="E38" s="108" t="str">
        <f t="shared" si="1"/>
        <v>Jan</v>
      </c>
      <c r="F38" s="79" t="str">
        <f>IFERROR(__xludf.DUMMYFUNCTION("""COMPUTED_VALUE"""),"Shaeffer")</f>
        <v>Shaeffer</v>
      </c>
    </row>
    <row r="39">
      <c r="A39" s="85">
        <f>IFERROR(__xludf.DUMMYFUNCTION("""COMPUTED_VALUE"""),45310.0)</f>
        <v>45310</v>
      </c>
      <c r="B39" s="111">
        <f>IFERROR(__xludf.DUMMYFUNCTION("""COMPUTED_VALUE"""),10.07)</f>
        <v>10.07</v>
      </c>
      <c r="C39" s="79" t="str">
        <f>IFERROR(__xludf.DUMMYFUNCTION("""COMPUTED_VALUE"""),"Harumatsu- takahachi bakery")</f>
        <v>Harumatsu- takahachi bakery</v>
      </c>
      <c r="D39" s="79" t="str">
        <f>IFERROR(__xludf.DUMMYFUNCTION("""COMPUTED_VALUE"""),"Meals")</f>
        <v>Meals</v>
      </c>
      <c r="E39" s="108" t="str">
        <f t="shared" si="1"/>
        <v>Jan</v>
      </c>
      <c r="F39" s="79" t="str">
        <f>IFERROR(__xludf.DUMMYFUNCTION("""COMPUTED_VALUE"""),"Shaeffer")</f>
        <v>Shaeffer</v>
      </c>
    </row>
    <row r="40">
      <c r="A40" s="85">
        <f>IFERROR(__xludf.DUMMYFUNCTION("""COMPUTED_VALUE"""),45310.0)</f>
        <v>45310</v>
      </c>
      <c r="B40" s="111">
        <f>IFERROR(__xludf.DUMMYFUNCTION("""COMPUTED_VALUE"""),19.9)</f>
        <v>19.9</v>
      </c>
      <c r="C40" s="79" t="str">
        <f>IFERROR(__xludf.DUMMYFUNCTION("""COMPUTED_VALUE"""),"Dead Rabbit")</f>
        <v>Dead Rabbit</v>
      </c>
      <c r="D40" s="79" t="str">
        <f>IFERROR(__xludf.DUMMYFUNCTION("""COMPUTED_VALUE"""),"Alcohol/Weed")</f>
        <v>Alcohol/Weed</v>
      </c>
      <c r="E40" s="108" t="str">
        <f t="shared" si="1"/>
        <v>Jan</v>
      </c>
      <c r="F40" s="79" t="str">
        <f>IFERROR(__xludf.DUMMYFUNCTION("""COMPUTED_VALUE"""),"Shaeffer")</f>
        <v>Shaeffer</v>
      </c>
    </row>
    <row r="41">
      <c r="A41" s="85">
        <f>IFERROR(__xludf.DUMMYFUNCTION("""COMPUTED_VALUE"""),45318.0)</f>
        <v>45318</v>
      </c>
      <c r="B41" s="111">
        <f>IFERROR(__xludf.DUMMYFUNCTION("""COMPUTED_VALUE"""),43.12)</f>
        <v>43.12</v>
      </c>
      <c r="C41" s="79" t="str">
        <f>IFERROR(__xludf.DUMMYFUNCTION("""COMPUTED_VALUE"""),"Gordos Cantina")</f>
        <v>Gordos Cantina</v>
      </c>
      <c r="D41" s="79" t="str">
        <f>IFERROR(__xludf.DUMMYFUNCTION("""COMPUTED_VALUE"""),"Meals")</f>
        <v>Meals</v>
      </c>
      <c r="E41" s="108" t="str">
        <f t="shared" si="1"/>
        <v>Jan</v>
      </c>
      <c r="F41" s="79" t="str">
        <f>IFERROR(__xludf.DUMMYFUNCTION("""COMPUTED_VALUE"""),"Shaeffer")</f>
        <v>Shaeffer</v>
      </c>
    </row>
    <row r="42">
      <c r="A42" s="85">
        <f>IFERROR(__xludf.DUMMYFUNCTION("""COMPUTED_VALUE"""),45319.0)</f>
        <v>45319</v>
      </c>
      <c r="B42" s="111">
        <f>IFERROR(__xludf.DUMMYFUNCTION("""COMPUTED_VALUE"""),123.09)</f>
        <v>123.09</v>
      </c>
      <c r="C42" s="79" t="str">
        <f>IFERROR(__xludf.DUMMYFUNCTION("""COMPUTED_VALUE"""),"Thistle and Spire")</f>
        <v>Thistle and Spire</v>
      </c>
      <c r="D42" s="79" t="str">
        <f>IFERROR(__xludf.DUMMYFUNCTION("""COMPUTED_VALUE"""),"Clothing")</f>
        <v>Clothing</v>
      </c>
      <c r="E42" s="108" t="str">
        <f t="shared" si="1"/>
        <v>Jan</v>
      </c>
      <c r="F42" s="79" t="str">
        <f>IFERROR(__xludf.DUMMYFUNCTION("""COMPUTED_VALUE"""),"Shaeffer")</f>
        <v>Shaeffer</v>
      </c>
    </row>
    <row r="43">
      <c r="A43" s="85">
        <f>IFERROR(__xludf.DUMMYFUNCTION("""COMPUTED_VALUE"""),45319.0)</f>
        <v>45319</v>
      </c>
      <c r="B43" s="111">
        <f>IFERROR(__xludf.DUMMYFUNCTION("""COMPUTED_VALUE"""),50.99)</f>
        <v>50.99</v>
      </c>
      <c r="C43" s="79" t="str">
        <f>IFERROR(__xludf.DUMMYFUNCTION("""COMPUTED_VALUE"""),"Perfect Corset")</f>
        <v>Perfect Corset</v>
      </c>
      <c r="D43" s="79" t="str">
        <f>IFERROR(__xludf.DUMMYFUNCTION("""COMPUTED_VALUE"""),"Clothing")</f>
        <v>Clothing</v>
      </c>
      <c r="E43" s="108" t="str">
        <f t="shared" si="1"/>
        <v>Jan</v>
      </c>
      <c r="F43" s="79" t="str">
        <f>IFERROR(__xludf.DUMMYFUNCTION("""COMPUTED_VALUE"""),"Shaeffer")</f>
        <v>Shaeffer</v>
      </c>
    </row>
    <row r="44">
      <c r="A44" s="85">
        <f>IFERROR(__xludf.DUMMYFUNCTION("""COMPUTED_VALUE"""),45322.0)</f>
        <v>45322</v>
      </c>
      <c r="B44" s="111">
        <f>IFERROR(__xludf.DUMMYFUNCTION("""COMPUTED_VALUE"""),33.63)</f>
        <v>33.63</v>
      </c>
      <c r="C44" s="79" t="str">
        <f>IFERROR(__xludf.DUMMYFUNCTION("""COMPUTED_VALUE"""),"Taotronics - headphones")</f>
        <v>Taotronics - headphones</v>
      </c>
      <c r="D44" s="79" t="str">
        <f>IFERROR(__xludf.DUMMYFUNCTION("""COMPUTED_VALUE"""),"Personal")</f>
        <v>Personal</v>
      </c>
      <c r="E44" s="108" t="str">
        <f t="shared" si="1"/>
        <v>Jan</v>
      </c>
      <c r="F44" s="79" t="str">
        <f>IFERROR(__xludf.DUMMYFUNCTION("""COMPUTED_VALUE"""),"Shaeffer")</f>
        <v>Shaeffer</v>
      </c>
    </row>
    <row r="45">
      <c r="A45" s="85">
        <f>IFERROR(__xludf.DUMMYFUNCTION("""COMPUTED_VALUE"""),45322.0)</f>
        <v>45322</v>
      </c>
      <c r="B45" s="110">
        <f>IFERROR(__xludf.DUMMYFUNCTION("""COMPUTED_VALUE"""),136.0)</f>
        <v>136</v>
      </c>
      <c r="C45" s="79" t="str">
        <f>IFERROR(__xludf.DUMMYFUNCTION("""COMPUTED_VALUE"""),"MTA")</f>
        <v>MTA</v>
      </c>
      <c r="D45" s="79" t="str">
        <f>IFERROR(__xludf.DUMMYFUNCTION("""COMPUTED_VALUE"""),"Transportation")</f>
        <v>Transportation</v>
      </c>
      <c r="E45" s="108" t="str">
        <f t="shared" si="1"/>
        <v>Jan</v>
      </c>
      <c r="F45" s="79" t="str">
        <f>IFERROR(__xludf.DUMMYFUNCTION("""COMPUTED_VALUE"""),"Gil")</f>
        <v>Gil</v>
      </c>
    </row>
    <row r="46">
      <c r="A46" s="85">
        <f>IFERROR(__xludf.DUMMYFUNCTION("""COMPUTED_VALUE"""),45311.0)</f>
        <v>45311</v>
      </c>
      <c r="B46" s="111">
        <f>IFERROR(__xludf.DUMMYFUNCTION("""COMPUTED_VALUE"""),16.96)</f>
        <v>16.96</v>
      </c>
      <c r="C46" s="79" t="str">
        <f>IFERROR(__xludf.DUMMYFUNCTION("""COMPUTED_VALUE"""),"Hama natural")</f>
        <v>Hama natural</v>
      </c>
      <c r="D46" s="79" t="str">
        <f>IFERROR(__xludf.DUMMYFUNCTION("""COMPUTED_VALUE"""),"Meals")</f>
        <v>Meals</v>
      </c>
      <c r="E46" s="108" t="str">
        <f t="shared" si="1"/>
        <v>Jan</v>
      </c>
      <c r="F46" s="79" t="str">
        <f>IFERROR(__xludf.DUMMYFUNCTION("""COMPUTED_VALUE"""),"Shaeffer")</f>
        <v>Shaeffer</v>
      </c>
    </row>
    <row r="47">
      <c r="A47" s="85">
        <f>IFERROR(__xludf.DUMMYFUNCTION("""COMPUTED_VALUE"""),45311.0)</f>
        <v>45311</v>
      </c>
      <c r="B47" s="111">
        <f>IFERROR(__xludf.DUMMYFUNCTION("""COMPUTED_VALUE"""),25.04)</f>
        <v>25.04</v>
      </c>
      <c r="C47" s="79" t="str">
        <f>IFERROR(__xludf.DUMMYFUNCTION("""COMPUTED_VALUE"""),"Starr wines")</f>
        <v>Starr wines</v>
      </c>
      <c r="D47" s="79" t="str">
        <f>IFERROR(__xludf.DUMMYFUNCTION("""COMPUTED_VALUE"""),"Alcohol/Weed")</f>
        <v>Alcohol/Weed</v>
      </c>
      <c r="E47" s="108" t="str">
        <f t="shared" si="1"/>
        <v>Jan</v>
      </c>
      <c r="F47" s="79" t="str">
        <f>IFERROR(__xludf.DUMMYFUNCTION("""COMPUTED_VALUE"""),"Shaeffer")</f>
        <v>Shaeffer</v>
      </c>
    </row>
    <row r="48">
      <c r="A48" s="85">
        <f>IFERROR(__xludf.DUMMYFUNCTION("""COMPUTED_VALUE"""),45316.0)</f>
        <v>45316</v>
      </c>
      <c r="B48" s="111">
        <f>IFERROR(__xludf.DUMMYFUNCTION("""COMPUTED_VALUE"""),5.63)</f>
        <v>5.63</v>
      </c>
      <c r="C48" s="79" t="str">
        <f>IFERROR(__xludf.DUMMYFUNCTION("""COMPUTED_VALUE"""),"Birch Coffee")</f>
        <v>Birch Coffee</v>
      </c>
      <c r="D48" s="79" t="str">
        <f>IFERROR(__xludf.DUMMYFUNCTION("""COMPUTED_VALUE"""),"Meals")</f>
        <v>Meals</v>
      </c>
      <c r="E48" s="108" t="str">
        <f t="shared" si="1"/>
        <v>Jan</v>
      </c>
      <c r="F48" s="79" t="str">
        <f>IFERROR(__xludf.DUMMYFUNCTION("""COMPUTED_VALUE"""),"Shaeffer")</f>
        <v>Shaeffer</v>
      </c>
    </row>
    <row r="49">
      <c r="A49" s="85">
        <f>IFERROR(__xludf.DUMMYFUNCTION("""COMPUTED_VALUE"""),45319.0)</f>
        <v>45319</v>
      </c>
      <c r="B49" s="111">
        <f>IFERROR(__xludf.DUMMYFUNCTION("""COMPUTED_VALUE"""),2.45)</f>
        <v>2.45</v>
      </c>
      <c r="C49" s="79" t="str">
        <f>IFERROR(__xludf.DUMMYFUNCTION("""COMPUTED_VALUE"""),"New Museum")</f>
        <v>New Museum</v>
      </c>
      <c r="D49" s="79" t="str">
        <f>IFERROR(__xludf.DUMMYFUNCTION("""COMPUTED_VALUE"""),"Personal")</f>
        <v>Personal</v>
      </c>
      <c r="E49" s="108" t="str">
        <f t="shared" si="1"/>
        <v>Jan</v>
      </c>
      <c r="F49" s="79" t="str">
        <f>IFERROR(__xludf.DUMMYFUNCTION("""COMPUTED_VALUE"""),"Shaeffer")</f>
        <v>Shaeffer</v>
      </c>
    </row>
    <row r="50">
      <c r="A50" s="85">
        <f>IFERROR(__xludf.DUMMYFUNCTION("""COMPUTED_VALUE"""),45319.0)</f>
        <v>45319</v>
      </c>
      <c r="B50" s="111">
        <f>IFERROR(__xludf.DUMMYFUNCTION("""COMPUTED_VALUE"""),5.5)</f>
        <v>5.5</v>
      </c>
      <c r="C50" s="79" t="str">
        <f>IFERROR(__xludf.DUMMYFUNCTION("""COMPUTED_VALUE"""),"Abraco")</f>
        <v>Abraco</v>
      </c>
      <c r="D50" s="79" t="str">
        <f>IFERROR(__xludf.DUMMYFUNCTION("""COMPUTED_VALUE"""),"Meals")</f>
        <v>Meals</v>
      </c>
      <c r="E50" s="108" t="str">
        <f t="shared" si="1"/>
        <v>Jan</v>
      </c>
      <c r="F50" s="79" t="str">
        <f>IFERROR(__xludf.DUMMYFUNCTION("""COMPUTED_VALUE"""),"Shaeffer")</f>
        <v>Shaeffer</v>
      </c>
    </row>
    <row r="51">
      <c r="A51" s="85">
        <f>IFERROR(__xludf.DUMMYFUNCTION("""COMPUTED_VALUE"""),45319.0)</f>
        <v>45319</v>
      </c>
      <c r="B51" s="111">
        <f>IFERROR(__xludf.DUMMYFUNCTION("""COMPUTED_VALUE"""),75.0)</f>
        <v>75</v>
      </c>
      <c r="C51" s="79" t="str">
        <f>IFERROR(__xludf.DUMMYFUNCTION("""COMPUTED_VALUE"""),"Yia yias")</f>
        <v>Yia yias</v>
      </c>
      <c r="D51" s="79" t="str">
        <f>IFERROR(__xludf.DUMMYFUNCTION("""COMPUTED_VALUE"""),"Meals")</f>
        <v>Meals</v>
      </c>
      <c r="E51" s="108" t="str">
        <f t="shared" si="1"/>
        <v>Jan</v>
      </c>
      <c r="F51" s="79" t="str">
        <f>IFERROR(__xludf.DUMMYFUNCTION("""COMPUTED_VALUE"""),"Shaeffer")</f>
        <v>Shaeffer</v>
      </c>
    </row>
    <row r="52">
      <c r="A52" s="85">
        <f>IFERROR(__xludf.DUMMYFUNCTION("""COMPUTED_VALUE"""),45321.0)</f>
        <v>45321</v>
      </c>
      <c r="B52" s="80">
        <f>IFERROR(__xludf.DUMMYFUNCTION("""COMPUTED_VALUE"""),5.63)</f>
        <v>5.63</v>
      </c>
      <c r="C52" s="79" t="str">
        <f>IFERROR(__xludf.DUMMYFUNCTION("""COMPUTED_VALUE"""),"Birch")</f>
        <v>Birch</v>
      </c>
      <c r="D52" s="79" t="str">
        <f>IFERROR(__xludf.DUMMYFUNCTION("""COMPUTED_VALUE"""),"Work Meals")</f>
        <v>Work Meals</v>
      </c>
      <c r="E52" s="108" t="str">
        <f t="shared" si="1"/>
        <v>Jan</v>
      </c>
      <c r="F52" s="79" t="str">
        <f>IFERROR(__xludf.DUMMYFUNCTION("""COMPUTED_VALUE"""),"Shaeffer")</f>
        <v>Shaeffer</v>
      </c>
    </row>
    <row r="53">
      <c r="A53" s="85">
        <f>IFERROR(__xludf.DUMMYFUNCTION("""COMPUTED_VALUE"""),45323.0)</f>
        <v>45323</v>
      </c>
      <c r="B53" s="111">
        <f>IFERROR(__xludf.DUMMYFUNCTION("""COMPUTED_VALUE"""),4.08)</f>
        <v>4.08</v>
      </c>
      <c r="C53" s="79" t="str">
        <f>IFERROR(__xludf.DUMMYFUNCTION("""COMPUTED_VALUE"""),"Variety")</f>
        <v>Variety</v>
      </c>
      <c r="D53" s="79" t="str">
        <f>IFERROR(__xludf.DUMMYFUNCTION("""COMPUTED_VALUE"""),"Work Meals")</f>
        <v>Work Meals</v>
      </c>
      <c r="E53" s="108" t="str">
        <f t="shared" si="1"/>
        <v>Feb</v>
      </c>
      <c r="F53" s="79" t="str">
        <f>IFERROR(__xludf.DUMMYFUNCTION("""COMPUTED_VALUE"""),"Shaeffer")</f>
        <v>Shaeffer</v>
      </c>
    </row>
    <row r="54">
      <c r="A54" s="85">
        <f>IFERROR(__xludf.DUMMYFUNCTION("""COMPUTED_VALUE"""),45324.0)</f>
        <v>45324</v>
      </c>
      <c r="B54" s="111">
        <f>IFERROR(__xludf.DUMMYFUNCTION("""COMPUTED_VALUE"""),45.39)</f>
        <v>45.39</v>
      </c>
      <c r="C54" s="79" t="str">
        <f>IFERROR(__xludf.DUMMYFUNCTION("""COMPUTED_VALUE"""),"MD Solarsciences")</f>
        <v>MD Solarsciences</v>
      </c>
      <c r="D54" s="79" t="str">
        <f>IFERROR(__xludf.DUMMYFUNCTION("""COMPUTED_VALUE"""),"Personal")</f>
        <v>Personal</v>
      </c>
      <c r="E54" s="108" t="str">
        <f t="shared" si="1"/>
        <v>Feb</v>
      </c>
      <c r="F54" s="79" t="str">
        <f>IFERROR(__xludf.DUMMYFUNCTION("""COMPUTED_VALUE"""),"Shaeffer")</f>
        <v>Shaeffer</v>
      </c>
    </row>
    <row r="55">
      <c r="A55" s="85">
        <f>IFERROR(__xludf.DUMMYFUNCTION("""COMPUTED_VALUE"""),45326.0)</f>
        <v>45326</v>
      </c>
      <c r="B55" s="110">
        <f>IFERROR(__xludf.DUMMYFUNCTION("""COMPUTED_VALUE"""),15.02)</f>
        <v>15.02</v>
      </c>
      <c r="C55" s="79" t="str">
        <f>IFERROR(__xludf.DUMMYFUNCTION("""COMPUTED_VALUE"""),"Alf Bakery")</f>
        <v>Alf Bakery</v>
      </c>
      <c r="D55" s="79" t="str">
        <f>IFERROR(__xludf.DUMMYFUNCTION("""COMPUTED_VALUE"""),"Meals")</f>
        <v>Meals</v>
      </c>
      <c r="E55" s="108" t="str">
        <f t="shared" si="1"/>
        <v>Feb</v>
      </c>
      <c r="F55" s="79" t="str">
        <f>IFERROR(__xludf.DUMMYFUNCTION("""COMPUTED_VALUE"""),"Gil")</f>
        <v>Gil</v>
      </c>
    </row>
    <row r="56">
      <c r="A56" s="85">
        <f>IFERROR(__xludf.DUMMYFUNCTION("""COMPUTED_VALUE"""),45328.0)</f>
        <v>45328</v>
      </c>
      <c r="B56" s="80">
        <f>IFERROR(__xludf.DUMMYFUNCTION("""COMPUTED_VALUE"""),4.63)</f>
        <v>4.63</v>
      </c>
      <c r="C56" s="79" t="str">
        <f>IFERROR(__xludf.DUMMYFUNCTION("""COMPUTED_VALUE"""),"Birch")</f>
        <v>Birch</v>
      </c>
      <c r="D56" s="79" t="str">
        <f>IFERROR(__xludf.DUMMYFUNCTION("""COMPUTED_VALUE"""),"Work Meals")</f>
        <v>Work Meals</v>
      </c>
      <c r="E56" s="108" t="str">
        <f t="shared" si="1"/>
        <v>Feb</v>
      </c>
      <c r="F56" s="79" t="str">
        <f>IFERROR(__xludf.DUMMYFUNCTION("""COMPUTED_VALUE"""),"Shaeffer")</f>
        <v>Shaeffer</v>
      </c>
    </row>
    <row r="57">
      <c r="A57" s="85">
        <f>IFERROR(__xludf.DUMMYFUNCTION("""COMPUTED_VALUE"""),44964.0)</f>
        <v>44964</v>
      </c>
      <c r="B57" s="111">
        <f>IFERROR(__xludf.DUMMYFUNCTION("""COMPUTED_VALUE"""),30.0)</f>
        <v>30</v>
      </c>
      <c r="C57" s="79" t="str">
        <f>IFERROR(__xludf.DUMMYFUNCTION("""COMPUTED_VALUE"""),"Ore Bar/Venmo to CVB")</f>
        <v>Ore Bar/Venmo to CVB</v>
      </c>
      <c r="D57" s="79" t="str">
        <f>IFERROR(__xludf.DUMMYFUNCTION("""COMPUTED_VALUE"""),"Alcohol/Weed")</f>
        <v>Alcohol/Weed</v>
      </c>
      <c r="E57" s="108" t="str">
        <f t="shared" si="1"/>
        <v>Feb</v>
      </c>
      <c r="F57" s="79" t="str">
        <f>IFERROR(__xludf.DUMMYFUNCTION("""COMPUTED_VALUE"""),"Shaeffer")</f>
        <v>Shaeffer</v>
      </c>
    </row>
    <row r="58">
      <c r="A58" s="85">
        <f>IFERROR(__xludf.DUMMYFUNCTION("""COMPUTED_VALUE"""),45330.0)</f>
        <v>45330</v>
      </c>
      <c r="B58" s="111">
        <f>IFERROR(__xludf.DUMMYFUNCTION("""COMPUTED_VALUE"""),65.0)</f>
        <v>65</v>
      </c>
      <c r="C58" s="79" t="str">
        <f>IFERROR(__xludf.DUMMYFUNCTION("""COMPUTED_VALUE"""),"Keen")</f>
        <v>Keen</v>
      </c>
      <c r="D58" s="79" t="str">
        <f>IFERROR(__xludf.DUMMYFUNCTION("""COMPUTED_VALUE"""),"Clothing")</f>
        <v>Clothing</v>
      </c>
      <c r="E58" s="108" t="str">
        <f t="shared" si="1"/>
        <v>Feb</v>
      </c>
      <c r="F58" s="79" t="str">
        <f>IFERROR(__xludf.DUMMYFUNCTION("""COMPUTED_VALUE"""),"Shaeffer")</f>
        <v>Shaeffer</v>
      </c>
    </row>
    <row r="59">
      <c r="A59" s="85">
        <f>IFERROR(__xludf.DUMMYFUNCTION("""COMPUTED_VALUE"""),45330.0)</f>
        <v>45330</v>
      </c>
      <c r="B59" s="80">
        <f>IFERROR(__xludf.DUMMYFUNCTION("""COMPUTED_VALUE"""),375.0)</f>
        <v>375</v>
      </c>
      <c r="C59" s="79" t="str">
        <f>IFERROR(__xludf.DUMMYFUNCTION("""COMPUTED_VALUE"""),"Studio rent")</f>
        <v>Studio rent</v>
      </c>
      <c r="D59" s="79" t="str">
        <f>IFERROR(__xludf.DUMMYFUNCTION("""COMPUTED_VALUE"""),"Studio")</f>
        <v>Studio</v>
      </c>
      <c r="E59" s="108" t="str">
        <f t="shared" si="1"/>
        <v>Feb</v>
      </c>
      <c r="F59" s="79" t="str">
        <f>IFERROR(__xludf.DUMMYFUNCTION("""COMPUTED_VALUE"""),"Shaeffer")</f>
        <v>Shaeffer</v>
      </c>
    </row>
    <row r="60">
      <c r="A60" s="85">
        <f>IFERROR(__xludf.DUMMYFUNCTION("""COMPUTED_VALUE"""),45330.0)</f>
        <v>45330</v>
      </c>
      <c r="B60" s="110">
        <f>IFERROR(__xludf.DUMMYFUNCTION("""COMPUTED_VALUE"""),5.44)</f>
        <v>5.44</v>
      </c>
      <c r="C60" s="79" t="str">
        <f>IFERROR(__xludf.DUMMYFUNCTION("""COMPUTED_VALUE"""),"DIG")</f>
        <v>DIG</v>
      </c>
      <c r="D60" s="79" t="str">
        <f>IFERROR(__xludf.DUMMYFUNCTION("""COMPUTED_VALUE"""),"Work Meals")</f>
        <v>Work Meals</v>
      </c>
      <c r="E60" s="108" t="str">
        <f t="shared" si="1"/>
        <v>Feb</v>
      </c>
      <c r="F60" s="79" t="str">
        <f>IFERROR(__xludf.DUMMYFUNCTION("""COMPUTED_VALUE"""),"Gil")</f>
        <v>Gil</v>
      </c>
    </row>
    <row r="61">
      <c r="A61" s="85">
        <f>IFERROR(__xludf.DUMMYFUNCTION("""COMPUTED_VALUE"""),45330.0)</f>
        <v>45330</v>
      </c>
      <c r="B61" s="110">
        <f>IFERROR(__xludf.DUMMYFUNCTION("""COMPUTED_VALUE"""),3.73)</f>
        <v>3.73</v>
      </c>
      <c r="C61" s="79" t="str">
        <f>IFERROR(__xludf.DUMMYFUNCTION("""COMPUTED_VALUE"""),"Westside Market")</f>
        <v>Westside Market</v>
      </c>
      <c r="D61" s="79" t="str">
        <f>IFERROR(__xludf.DUMMYFUNCTION("""COMPUTED_VALUE"""),"Work Meals")</f>
        <v>Work Meals</v>
      </c>
      <c r="E61" s="108" t="str">
        <f t="shared" si="1"/>
        <v>Feb</v>
      </c>
      <c r="F61" s="79" t="str">
        <f>IFERROR(__xludf.DUMMYFUNCTION("""COMPUTED_VALUE"""),"Gil")</f>
        <v>Gil</v>
      </c>
    </row>
    <row r="62">
      <c r="A62" s="85">
        <f>IFERROR(__xludf.DUMMYFUNCTION("""COMPUTED_VALUE"""),45330.0)</f>
        <v>45330</v>
      </c>
      <c r="B62" s="111">
        <f>IFERROR(__xludf.DUMMYFUNCTION("""COMPUTED_VALUE"""),47.03)</f>
        <v>47.03</v>
      </c>
      <c r="C62" s="79" t="str">
        <f>IFERROR(__xludf.DUMMYFUNCTION("""COMPUTED_VALUE"""),"Salaam")</f>
        <v>Salaam</v>
      </c>
      <c r="D62" s="79" t="str">
        <f>IFERROR(__xludf.DUMMYFUNCTION("""COMPUTED_VALUE"""),"Meals")</f>
        <v>Meals</v>
      </c>
      <c r="E62" s="108" t="str">
        <f t="shared" si="1"/>
        <v>Feb</v>
      </c>
      <c r="F62" s="79" t="str">
        <f>IFERROR(__xludf.DUMMYFUNCTION("""COMPUTED_VALUE"""),"Shaeffer")</f>
        <v>Shaeffer</v>
      </c>
    </row>
    <row r="63">
      <c r="A63" s="85">
        <f>IFERROR(__xludf.DUMMYFUNCTION("""COMPUTED_VALUE"""),45331.0)</f>
        <v>45331</v>
      </c>
      <c r="B63" s="110">
        <f>IFERROR(__xludf.DUMMYFUNCTION("""COMPUTED_VALUE"""),6.17)</f>
        <v>6.17</v>
      </c>
      <c r="C63" s="79" t="str">
        <f>IFERROR(__xludf.DUMMYFUNCTION("""COMPUTED_VALUE"""),"Birch Coffee")</f>
        <v>Birch Coffee</v>
      </c>
      <c r="D63" s="79" t="str">
        <f>IFERROR(__xludf.DUMMYFUNCTION("""COMPUTED_VALUE"""),"Work Meals")</f>
        <v>Work Meals</v>
      </c>
      <c r="E63" s="108" t="str">
        <f t="shared" si="1"/>
        <v>Feb</v>
      </c>
      <c r="F63" s="79" t="str">
        <f>IFERROR(__xludf.DUMMYFUNCTION("""COMPUTED_VALUE"""),"Gil")</f>
        <v>Gil</v>
      </c>
    </row>
    <row r="64">
      <c r="A64" s="85">
        <f>IFERROR(__xludf.DUMMYFUNCTION("""COMPUTED_VALUE"""),45331.0)</f>
        <v>45331</v>
      </c>
      <c r="B64" s="110">
        <f>IFERROR(__xludf.DUMMYFUNCTION("""COMPUTED_VALUE"""),4.36)</f>
        <v>4.36</v>
      </c>
      <c r="C64" s="79" t="str">
        <f>IFERROR(__xludf.DUMMYFUNCTION("""COMPUTED_VALUE"""),"Westside Market")</f>
        <v>Westside Market</v>
      </c>
      <c r="D64" s="79" t="str">
        <f>IFERROR(__xludf.DUMMYFUNCTION("""COMPUTED_VALUE"""),"Work Meals")</f>
        <v>Work Meals</v>
      </c>
      <c r="E64" s="108" t="str">
        <f t="shared" si="1"/>
        <v>Feb</v>
      </c>
      <c r="F64" s="79" t="str">
        <f>IFERROR(__xludf.DUMMYFUNCTION("""COMPUTED_VALUE"""),"Gil")</f>
        <v>Gil</v>
      </c>
    </row>
    <row r="65">
      <c r="A65" s="85">
        <f>IFERROR(__xludf.DUMMYFUNCTION("""COMPUTED_VALUE"""),45332.0)</f>
        <v>45332</v>
      </c>
      <c r="B65" s="110">
        <f>IFERROR(__xludf.DUMMYFUNCTION("""COMPUTED_VALUE"""),8.07)</f>
        <v>8.07</v>
      </c>
      <c r="C65" s="79" t="str">
        <f>IFERROR(__xludf.DUMMYFUNCTION("""COMPUTED_VALUE"""),"Hummus and Pita Co.")</f>
        <v>Hummus and Pita Co.</v>
      </c>
      <c r="D65" s="79" t="str">
        <f>IFERROR(__xludf.DUMMYFUNCTION("""COMPUTED_VALUE"""),"Work Meals")</f>
        <v>Work Meals</v>
      </c>
      <c r="E65" s="108" t="str">
        <f t="shared" si="1"/>
        <v>Feb</v>
      </c>
      <c r="F65" s="79" t="str">
        <f>IFERROR(__xludf.DUMMYFUNCTION("""COMPUTED_VALUE"""),"Gil")</f>
        <v>Gil</v>
      </c>
    </row>
    <row r="66">
      <c r="A66" s="85">
        <f>IFERROR(__xludf.DUMMYFUNCTION("""COMPUTED_VALUE"""),45334.0)</f>
        <v>45334</v>
      </c>
      <c r="B66" s="111">
        <f>IFERROR(__xludf.DUMMYFUNCTION("""COMPUTED_VALUE"""),11.0)</f>
        <v>11</v>
      </c>
      <c r="C66" s="79" t="str">
        <f>IFERROR(__xludf.DUMMYFUNCTION("""COMPUTED_VALUE"""),"Arepa")</f>
        <v>Arepa</v>
      </c>
      <c r="D66" s="79" t="str">
        <f>IFERROR(__xludf.DUMMYFUNCTION("""COMPUTED_VALUE"""),"Meals")</f>
        <v>Meals</v>
      </c>
      <c r="E66" s="108" t="str">
        <f t="shared" si="1"/>
        <v>Feb</v>
      </c>
      <c r="F66" s="79" t="str">
        <f>IFERROR(__xludf.DUMMYFUNCTION("""COMPUTED_VALUE"""),"Shaeffer")</f>
        <v>Shaeffer</v>
      </c>
    </row>
    <row r="67">
      <c r="A67" s="85">
        <f>IFERROR(__xludf.DUMMYFUNCTION("""COMPUTED_VALUE"""),45335.0)</f>
        <v>45335</v>
      </c>
      <c r="B67" s="110">
        <f>IFERROR(__xludf.DUMMYFUNCTION("""COMPUTED_VALUE"""),3.82)</f>
        <v>3.82</v>
      </c>
      <c r="C67" s="79" t="str">
        <f>IFERROR(__xludf.DUMMYFUNCTION("""COMPUTED_VALUE"""),"Temu")</f>
        <v>Temu</v>
      </c>
      <c r="D67" s="79" t="str">
        <f>IFERROR(__xludf.DUMMYFUNCTION("""COMPUTED_VALUE"""),"Household")</f>
        <v>Household</v>
      </c>
      <c r="E67" s="108" t="str">
        <f t="shared" si="1"/>
        <v>Feb</v>
      </c>
      <c r="F67" s="79" t="str">
        <f>IFERROR(__xludf.DUMMYFUNCTION("""COMPUTED_VALUE"""),"Gil")</f>
        <v>Gil</v>
      </c>
    </row>
    <row r="68">
      <c r="A68" s="85">
        <f>IFERROR(__xludf.DUMMYFUNCTION("""COMPUTED_VALUE"""),45335.0)</f>
        <v>45335</v>
      </c>
      <c r="B68" s="110">
        <f>IFERROR(__xludf.DUMMYFUNCTION("""COMPUTED_VALUE"""),4.81)</f>
        <v>4.81</v>
      </c>
      <c r="C68" s="79" t="str">
        <f>IFERROR(__xludf.DUMMYFUNCTION("""COMPUTED_VALUE"""),"Birch Coffee")</f>
        <v>Birch Coffee</v>
      </c>
      <c r="D68" s="79" t="str">
        <f>IFERROR(__xludf.DUMMYFUNCTION("""COMPUTED_VALUE"""),"Meals")</f>
        <v>Meals</v>
      </c>
      <c r="E68" s="108" t="str">
        <f t="shared" si="1"/>
        <v>Feb</v>
      </c>
      <c r="F68" s="79" t="str">
        <f>IFERROR(__xludf.DUMMYFUNCTION("""COMPUTED_VALUE"""),"Gil")</f>
        <v>Gil</v>
      </c>
    </row>
    <row r="69">
      <c r="A69" s="85">
        <f>IFERROR(__xludf.DUMMYFUNCTION("""COMPUTED_VALUE"""),45338.0)</f>
        <v>45338</v>
      </c>
      <c r="B69" s="110">
        <f>IFERROR(__xludf.DUMMYFUNCTION("""COMPUTED_VALUE"""),18.78)</f>
        <v>18.78</v>
      </c>
      <c r="C69" s="79" t="str">
        <f>IFERROR(__xludf.DUMMYFUNCTION("""COMPUTED_VALUE"""),"Alf Bakery")</f>
        <v>Alf Bakery</v>
      </c>
      <c r="D69" s="79" t="str">
        <f>IFERROR(__xludf.DUMMYFUNCTION("""COMPUTED_VALUE"""),"Meals")</f>
        <v>Meals</v>
      </c>
      <c r="E69" s="108" t="str">
        <f t="shared" si="1"/>
        <v>Feb</v>
      </c>
      <c r="F69" s="79" t="str">
        <f>IFERROR(__xludf.DUMMYFUNCTION("""COMPUTED_VALUE"""),"Gil")</f>
        <v>Gil</v>
      </c>
    </row>
    <row r="70">
      <c r="A70" s="85">
        <f>IFERROR(__xludf.DUMMYFUNCTION("""COMPUTED_VALUE"""),45338.0)</f>
        <v>45338</v>
      </c>
      <c r="B70" s="110">
        <f>IFERROR(__xludf.DUMMYFUNCTION("""COMPUTED_VALUE"""),7.0)</f>
        <v>7</v>
      </c>
      <c r="C70" s="79" t="str">
        <f>IFERROR(__xludf.DUMMYFUNCTION("""COMPUTED_VALUE"""),"% Arabica %")</f>
        <v>% Arabica %</v>
      </c>
      <c r="D70" s="79" t="str">
        <f>IFERROR(__xludf.DUMMYFUNCTION("""COMPUTED_VALUE"""),"Meals")</f>
        <v>Meals</v>
      </c>
      <c r="E70" s="108" t="str">
        <f t="shared" si="1"/>
        <v>Feb</v>
      </c>
      <c r="F70" s="79" t="str">
        <f>IFERROR(__xludf.DUMMYFUNCTION("""COMPUTED_VALUE"""),"Gil")</f>
        <v>Gil</v>
      </c>
    </row>
    <row r="71">
      <c r="A71" s="85">
        <f>IFERROR(__xludf.DUMMYFUNCTION("""COMPUTED_VALUE"""),45338.0)</f>
        <v>45338</v>
      </c>
      <c r="B71" s="110">
        <f>IFERROR(__xludf.DUMMYFUNCTION("""COMPUTED_VALUE"""),5.36)</f>
        <v>5.36</v>
      </c>
      <c r="C71" s="79" t="str">
        <f>IFERROR(__xludf.DUMMYFUNCTION("""COMPUTED_VALUE"""),"Variety Coffee")</f>
        <v>Variety Coffee</v>
      </c>
      <c r="D71" s="79" t="str">
        <f>IFERROR(__xludf.DUMMYFUNCTION("""COMPUTED_VALUE"""),"Work Meals")</f>
        <v>Work Meals</v>
      </c>
      <c r="E71" s="108" t="str">
        <f t="shared" si="1"/>
        <v>Feb</v>
      </c>
      <c r="F71" s="79" t="str">
        <f>IFERROR(__xludf.DUMMYFUNCTION("""COMPUTED_VALUE"""),"Gil")</f>
        <v>Gil</v>
      </c>
    </row>
    <row r="72">
      <c r="A72" s="85">
        <f>IFERROR(__xludf.DUMMYFUNCTION("""COMPUTED_VALUE"""),45333.0)</f>
        <v>45333</v>
      </c>
      <c r="B72" s="110">
        <f>IFERROR(__xludf.DUMMYFUNCTION("""COMPUTED_VALUE"""),3.26)</f>
        <v>3.26</v>
      </c>
      <c r="C72" s="79" t="str">
        <f>IFERROR(__xludf.DUMMYFUNCTION("""COMPUTED_VALUE"""),"Google ONE")</f>
        <v>Google ONE</v>
      </c>
      <c r="D72" s="79" t="str">
        <f>IFERROR(__xludf.DUMMYFUNCTION("""COMPUTED_VALUE"""),"Subscriptions")</f>
        <v>Subscriptions</v>
      </c>
      <c r="E72" s="108" t="str">
        <f t="shared" si="1"/>
        <v>Feb</v>
      </c>
      <c r="F72" s="79" t="str">
        <f>IFERROR(__xludf.DUMMYFUNCTION("""COMPUTED_VALUE"""),"Gil")</f>
        <v>Gil</v>
      </c>
    </row>
    <row r="73">
      <c r="A73" s="85">
        <f>IFERROR(__xludf.DUMMYFUNCTION("""COMPUTED_VALUE"""),45343.0)</f>
        <v>45343</v>
      </c>
      <c r="B73" s="111">
        <f>IFERROR(__xludf.DUMMYFUNCTION("""COMPUTED_VALUE"""),60.0)</f>
        <v>60</v>
      </c>
      <c r="C73" s="79" t="str">
        <f>IFERROR(__xludf.DUMMYFUNCTION("""COMPUTED_VALUE"""),"Dec/jan studio internet")</f>
        <v>Dec/jan studio internet</v>
      </c>
      <c r="D73" s="79" t="str">
        <f>IFERROR(__xludf.DUMMYFUNCTION("""COMPUTED_VALUE"""),"Studio")</f>
        <v>Studio</v>
      </c>
      <c r="E73" s="108" t="str">
        <f t="shared" si="1"/>
        <v>Feb</v>
      </c>
      <c r="F73" s="79" t="str">
        <f>IFERROR(__xludf.DUMMYFUNCTION("""COMPUTED_VALUE"""),"Shaeffer")</f>
        <v>Shaeffer</v>
      </c>
    </row>
    <row r="74">
      <c r="A74" s="85">
        <f>IFERROR(__xludf.DUMMYFUNCTION("""COMPUTED_VALUE"""),45343.0)</f>
        <v>45343</v>
      </c>
      <c r="B74" s="111">
        <f>IFERROR(__xludf.DUMMYFUNCTION("""COMPUTED_VALUE"""),26.0)</f>
        <v>26</v>
      </c>
      <c r="C74" s="79" t="str">
        <f>IFERROR(__xludf.DUMMYFUNCTION("""COMPUTED_VALUE"""),"Venmo- Lili - Boulangerie drinks")</f>
        <v>Venmo- Lili - Boulangerie drinks</v>
      </c>
      <c r="D74" s="79" t="str">
        <f>IFERROR(__xludf.DUMMYFUNCTION("""COMPUTED_VALUE"""),"Alcohol/Weed")</f>
        <v>Alcohol/Weed</v>
      </c>
      <c r="E74" s="108" t="str">
        <f t="shared" si="1"/>
        <v>Feb</v>
      </c>
      <c r="F74" s="79" t="str">
        <f>IFERROR(__xludf.DUMMYFUNCTION("""COMPUTED_VALUE"""),"Shaeffer")</f>
        <v>Shaeffer</v>
      </c>
    </row>
    <row r="75">
      <c r="A75" s="85">
        <f>IFERROR(__xludf.DUMMYFUNCTION("""COMPUTED_VALUE"""),45338.0)</f>
        <v>45338</v>
      </c>
      <c r="B75" s="111">
        <f>IFERROR(__xludf.DUMMYFUNCTION("""COMPUTED_VALUE"""),230.14)</f>
        <v>230.14</v>
      </c>
      <c r="C75" s="79" t="str">
        <f>IFERROR(__xludf.DUMMYFUNCTION("""COMPUTED_VALUE"""),"Fashion brand Co")</f>
        <v>Fashion brand Co</v>
      </c>
      <c r="D75" s="79" t="str">
        <f>IFERROR(__xludf.DUMMYFUNCTION("""COMPUTED_VALUE"""),"Clothing")</f>
        <v>Clothing</v>
      </c>
      <c r="E75" s="108" t="str">
        <f t="shared" si="1"/>
        <v>Feb</v>
      </c>
      <c r="F75" s="79" t="str">
        <f>IFERROR(__xludf.DUMMYFUNCTION("""COMPUTED_VALUE"""),"Shaeffer")</f>
        <v>Shaeffer</v>
      </c>
    </row>
    <row r="76">
      <c r="A76" s="85">
        <f>IFERROR(__xludf.DUMMYFUNCTION("""COMPUTED_VALUE"""),45334.0)</f>
        <v>45334</v>
      </c>
      <c r="B76" s="111">
        <f>IFERROR(__xludf.DUMMYFUNCTION("""COMPUTED_VALUE"""),16.14)</f>
        <v>16.14</v>
      </c>
      <c r="C76" s="79" t="str">
        <f>IFERROR(__xludf.DUMMYFUNCTION("""COMPUTED_VALUE"""),"I milky ")</f>
        <v>I milky </v>
      </c>
      <c r="D76" s="79" t="str">
        <f>IFERROR(__xludf.DUMMYFUNCTION("""COMPUTED_VALUE"""),"Meals")</f>
        <v>Meals</v>
      </c>
      <c r="E76" s="108" t="str">
        <f t="shared" si="1"/>
        <v>Feb</v>
      </c>
      <c r="F76" s="79" t="str">
        <f>IFERROR(__xludf.DUMMYFUNCTION("""COMPUTED_VALUE"""),"Shaeffer")</f>
        <v>Shaeffer</v>
      </c>
    </row>
    <row r="77">
      <c r="A77" s="85">
        <f>IFERROR(__xludf.DUMMYFUNCTION("""COMPUTED_VALUE"""),45339.0)</f>
        <v>45339</v>
      </c>
      <c r="B77" s="111">
        <f>IFERROR(__xludf.DUMMYFUNCTION("""COMPUTED_VALUE"""),71.08)</f>
        <v>71.08</v>
      </c>
      <c r="C77" s="79" t="str">
        <f>IFERROR(__xludf.DUMMYFUNCTION("""COMPUTED_VALUE"""),"Mika’s Bistro - Jim’s going away")</f>
        <v>Mika’s Bistro - Jim’s going away</v>
      </c>
      <c r="D77" s="79" t="str">
        <f>IFERROR(__xludf.DUMMYFUNCTION("""COMPUTED_VALUE"""),"Alcohol/Weed")</f>
        <v>Alcohol/Weed</v>
      </c>
      <c r="E77" s="108" t="str">
        <f t="shared" si="1"/>
        <v>Feb</v>
      </c>
      <c r="F77" s="79" t="str">
        <f>IFERROR(__xludf.DUMMYFUNCTION("""COMPUTED_VALUE"""),"Shaeffer")</f>
        <v>Shaeffer</v>
      </c>
    </row>
    <row r="78">
      <c r="A78" s="85">
        <f>IFERROR(__xludf.DUMMYFUNCTION("""COMPUTED_VALUE"""),45340.0)</f>
        <v>45340</v>
      </c>
      <c r="B78" s="80">
        <f>IFERROR(__xludf.DUMMYFUNCTION("""COMPUTED_VALUE"""),50.2)</f>
        <v>50.2</v>
      </c>
      <c r="C78" s="79" t="str">
        <f>IFERROR(__xludf.DUMMYFUNCTION("""COMPUTED_VALUE"""),"Brooklyn Diner")</f>
        <v>Brooklyn Diner</v>
      </c>
      <c r="D78" s="79" t="str">
        <f>IFERROR(__xludf.DUMMYFUNCTION("""COMPUTED_VALUE"""),"Meals")</f>
        <v>Meals</v>
      </c>
      <c r="E78" s="108" t="str">
        <f t="shared" si="1"/>
        <v>Feb</v>
      </c>
      <c r="F78" s="79" t="str">
        <f>IFERROR(__xludf.DUMMYFUNCTION("""COMPUTED_VALUE"""),"Shaeffer")</f>
        <v>Shaeffer</v>
      </c>
    </row>
    <row r="79">
      <c r="A79" s="85">
        <f>IFERROR(__xludf.DUMMYFUNCTION("""COMPUTED_VALUE"""),45342.0)</f>
        <v>45342</v>
      </c>
      <c r="B79" s="80">
        <f>IFERROR(__xludf.DUMMYFUNCTION("""COMPUTED_VALUE"""),99.5)</f>
        <v>99.5</v>
      </c>
      <c r="C79" s="79" t="str">
        <f>IFERROR(__xludf.DUMMYFUNCTION("""COMPUTED_VALUE"""),"Ganxxet")</f>
        <v>Ganxxet</v>
      </c>
      <c r="D79" s="79" t="str">
        <f>IFERROR(__xludf.DUMMYFUNCTION("""COMPUTED_VALUE"""),"Studio")</f>
        <v>Studio</v>
      </c>
      <c r="E79" s="108" t="str">
        <f t="shared" si="1"/>
        <v>Feb</v>
      </c>
      <c r="F79" s="79" t="str">
        <f>IFERROR(__xludf.DUMMYFUNCTION("""COMPUTED_VALUE"""),"Shaeffer")</f>
        <v>Shaeffer</v>
      </c>
    </row>
    <row r="80">
      <c r="A80" s="85">
        <f>IFERROR(__xludf.DUMMYFUNCTION("""COMPUTED_VALUE"""),45342.0)</f>
        <v>45342</v>
      </c>
      <c r="B80" s="111">
        <f>IFERROR(__xludf.DUMMYFUNCTION("""COMPUTED_VALUE"""),35.76)</f>
        <v>35.76</v>
      </c>
      <c r="C80" s="79" t="str">
        <f>IFERROR(__xludf.DUMMYFUNCTION("""COMPUTED_VALUE"""),"Lyft ride")</f>
        <v>Lyft ride</v>
      </c>
      <c r="D80" s="79" t="str">
        <f>IFERROR(__xludf.DUMMYFUNCTION("""COMPUTED_VALUE"""),"Transportation")</f>
        <v>Transportation</v>
      </c>
      <c r="E80" s="108" t="str">
        <f t="shared" si="1"/>
        <v>Feb</v>
      </c>
      <c r="F80" s="79" t="str">
        <f>IFERROR(__xludf.DUMMYFUNCTION("""COMPUTED_VALUE"""),"Shaeffer")</f>
        <v>Shaeffer</v>
      </c>
    </row>
    <row r="81">
      <c r="A81" s="85">
        <f>IFERROR(__xludf.DUMMYFUNCTION("""COMPUTED_VALUE"""),45343.0)</f>
        <v>45343</v>
      </c>
      <c r="B81" s="110">
        <f>IFERROR(__xludf.DUMMYFUNCTION("""COMPUTED_VALUE"""),5.72)</f>
        <v>5.72</v>
      </c>
      <c r="C81" s="79" t="str">
        <f>IFERROR(__xludf.DUMMYFUNCTION("""COMPUTED_VALUE"""),"Sullivan Street Bakery")</f>
        <v>Sullivan Street Bakery</v>
      </c>
      <c r="D81" s="79" t="str">
        <f>IFERROR(__xludf.DUMMYFUNCTION("""COMPUTED_VALUE"""),"Work Meals")</f>
        <v>Work Meals</v>
      </c>
      <c r="E81" s="108" t="str">
        <f t="shared" si="1"/>
        <v>Feb</v>
      </c>
      <c r="F81" s="79" t="str">
        <f>IFERROR(__xludf.DUMMYFUNCTION("""COMPUTED_VALUE"""),"Gil")</f>
        <v>Gil</v>
      </c>
    </row>
    <row r="82">
      <c r="A82" s="85">
        <f>IFERROR(__xludf.DUMMYFUNCTION("""COMPUTED_VALUE"""),45344.0)</f>
        <v>45344</v>
      </c>
      <c r="B82" s="110">
        <f>IFERROR(__xludf.DUMMYFUNCTION("""COMPUTED_VALUE"""),15.0)</f>
        <v>15</v>
      </c>
      <c r="C82" s="79" t="str">
        <f>IFERROR(__xludf.DUMMYFUNCTION("""COMPUTED_VALUE"""),"Torch &amp; Crown")</f>
        <v>Torch &amp; Crown</v>
      </c>
      <c r="D82" s="79" t="str">
        <f>IFERROR(__xludf.DUMMYFUNCTION("""COMPUTED_VALUE"""),"Alcohol/Weed")</f>
        <v>Alcohol/Weed</v>
      </c>
      <c r="E82" s="108" t="str">
        <f t="shared" si="1"/>
        <v>Feb</v>
      </c>
      <c r="F82" s="79" t="str">
        <f>IFERROR(__xludf.DUMMYFUNCTION("""COMPUTED_VALUE"""),"Gil")</f>
        <v>Gil</v>
      </c>
    </row>
    <row r="83">
      <c r="A83" s="85">
        <f>IFERROR(__xludf.DUMMYFUNCTION("""COMPUTED_VALUE"""),45346.0)</f>
        <v>45346</v>
      </c>
      <c r="B83" s="110">
        <f>IFERROR(__xludf.DUMMYFUNCTION("""COMPUTED_VALUE"""),17.0)</f>
        <v>17</v>
      </c>
      <c r="C83" s="79" t="str">
        <f>IFERROR(__xludf.DUMMYFUNCTION("""COMPUTED_VALUE"""),"Woorijip")</f>
        <v>Woorijip</v>
      </c>
      <c r="D83" s="79" t="str">
        <f>IFERROR(__xludf.DUMMYFUNCTION("""COMPUTED_VALUE"""),"Work Meals")</f>
        <v>Work Meals</v>
      </c>
      <c r="E83" s="108" t="str">
        <f t="shared" si="1"/>
        <v>Feb</v>
      </c>
      <c r="F83" s="79" t="str">
        <f>IFERROR(__xludf.DUMMYFUNCTION("""COMPUTED_VALUE"""),"Gil")</f>
        <v>Gil</v>
      </c>
    </row>
    <row r="84">
      <c r="A84" s="85">
        <f>IFERROR(__xludf.DUMMYFUNCTION("""COMPUTED_VALUE"""),45346.0)</f>
        <v>45346</v>
      </c>
      <c r="B84" s="110">
        <f>IFERROR(__xludf.DUMMYFUNCTION("""COMPUTED_VALUE"""),10.89)</f>
        <v>10.89</v>
      </c>
      <c r="C84" s="79" t="str">
        <f>IFERROR(__xludf.DUMMYFUNCTION("""COMPUTED_VALUE"""),"Marinara")</f>
        <v>Marinara</v>
      </c>
      <c r="D84" s="79" t="str">
        <f>IFERROR(__xludf.DUMMYFUNCTION("""COMPUTED_VALUE"""),"Meals")</f>
        <v>Meals</v>
      </c>
      <c r="E84" s="108" t="str">
        <f t="shared" si="1"/>
        <v>Feb</v>
      </c>
      <c r="F84" s="79" t="str">
        <f>IFERROR(__xludf.DUMMYFUNCTION("""COMPUTED_VALUE"""),"Gil")</f>
        <v>Gil</v>
      </c>
    </row>
    <row r="85">
      <c r="A85" s="85">
        <f>IFERROR(__xludf.DUMMYFUNCTION("""COMPUTED_VALUE"""),45349.0)</f>
        <v>45349</v>
      </c>
      <c r="B85" s="111">
        <f>IFERROR(__xludf.DUMMYFUNCTION("""COMPUTED_VALUE"""),18.0)</f>
        <v>18</v>
      </c>
      <c r="C85" s="79" t="str">
        <f>IFERROR(__xludf.DUMMYFUNCTION("""COMPUTED_VALUE"""),"Meg-Venmo-swimsuits")</f>
        <v>Meg-Venmo-swimsuits</v>
      </c>
      <c r="D85" s="79" t="str">
        <f>IFERROR(__xludf.DUMMYFUNCTION("""COMPUTED_VALUE"""),"Studio")</f>
        <v>Studio</v>
      </c>
      <c r="E85" s="108" t="str">
        <f t="shared" si="1"/>
        <v>Feb</v>
      </c>
      <c r="F85" s="79" t="str">
        <f>IFERROR(__xludf.DUMMYFUNCTION("""COMPUTED_VALUE"""),"Shaeffer")</f>
        <v>Shaeffer</v>
      </c>
    </row>
    <row r="86">
      <c r="A86" s="85">
        <f>IFERROR(__xludf.DUMMYFUNCTION("""COMPUTED_VALUE"""),45349.0)</f>
        <v>45349</v>
      </c>
      <c r="B86" s="111">
        <f>IFERROR(__xludf.DUMMYFUNCTION("""COMPUTED_VALUE"""),49.86)</f>
        <v>49.86</v>
      </c>
      <c r="C86" s="79" t="str">
        <f>IFERROR(__xludf.DUMMYFUNCTION("""COMPUTED_VALUE"""),"Studio heat/electric/mailroom")</f>
        <v>Studio heat/electric/mailroom</v>
      </c>
      <c r="D86" s="79" t="str">
        <f>IFERROR(__xludf.DUMMYFUNCTION("""COMPUTED_VALUE"""),"Studio")</f>
        <v>Studio</v>
      </c>
      <c r="E86" s="108" t="str">
        <f t="shared" si="1"/>
        <v>Feb</v>
      </c>
      <c r="F86" s="79" t="str">
        <f>IFERROR(__xludf.DUMMYFUNCTION("""COMPUTED_VALUE"""),"Shaeffer")</f>
        <v>Shaeffer</v>
      </c>
    </row>
    <row r="87">
      <c r="A87" s="85">
        <f>IFERROR(__xludf.DUMMYFUNCTION("""COMPUTED_VALUE"""),45346.0)</f>
        <v>45346</v>
      </c>
      <c r="B87" s="111">
        <f>IFERROR(__xludf.DUMMYFUNCTION("""COMPUTED_VALUE"""),10.0)</f>
        <v>10</v>
      </c>
      <c r="C87" s="79" t="str">
        <f>IFERROR(__xludf.DUMMYFUNCTION("""COMPUTED_VALUE"""),"Venmo- Derek- mescal minus Thai food")</f>
        <v>Venmo- Derek- mescal minus Thai food</v>
      </c>
      <c r="D87" s="79" t="str">
        <f>IFERROR(__xludf.DUMMYFUNCTION("""COMPUTED_VALUE"""),"Alcohol/Weed")</f>
        <v>Alcohol/Weed</v>
      </c>
      <c r="E87" s="108" t="str">
        <f t="shared" si="1"/>
        <v>Feb</v>
      </c>
      <c r="F87" s="79" t="str">
        <f>IFERROR(__xludf.DUMMYFUNCTION("""COMPUTED_VALUE"""),"Shaeffer")</f>
        <v>Shaeffer</v>
      </c>
    </row>
    <row r="88">
      <c r="A88" s="85">
        <f>IFERROR(__xludf.DUMMYFUNCTION("""COMPUTED_VALUE"""),45344.0)</f>
        <v>45344</v>
      </c>
      <c r="B88" s="111">
        <f>IFERROR(__xludf.DUMMYFUNCTION("""COMPUTED_VALUE"""),5.9)</f>
        <v>5.9</v>
      </c>
      <c r="C88" s="79" t="str">
        <f>IFERROR(__xludf.DUMMYFUNCTION("""COMPUTED_VALUE"""),"L’primerie")</f>
        <v>L’primerie</v>
      </c>
      <c r="D88" s="79" t="str">
        <f>IFERROR(__xludf.DUMMYFUNCTION("""COMPUTED_VALUE"""),"Meals")</f>
        <v>Meals</v>
      </c>
      <c r="E88" s="108" t="str">
        <f t="shared" si="1"/>
        <v>Feb</v>
      </c>
      <c r="F88" s="79" t="str">
        <f>IFERROR(__xludf.DUMMYFUNCTION("""COMPUTED_VALUE"""),"Shaeffer")</f>
        <v>Shaeffer</v>
      </c>
    </row>
    <row r="89">
      <c r="A89" s="85">
        <f>IFERROR(__xludf.DUMMYFUNCTION("""COMPUTED_VALUE"""),45346.0)</f>
        <v>45346</v>
      </c>
      <c r="B89" s="111">
        <f>IFERROR(__xludf.DUMMYFUNCTION("""COMPUTED_VALUE"""),23.2)</f>
        <v>23.2</v>
      </c>
      <c r="C89" s="79" t="str">
        <f>IFERROR(__xludf.DUMMYFUNCTION("""COMPUTED_VALUE"""),"Milady’s ")</f>
        <v>Milady’s </v>
      </c>
      <c r="D89" s="79" t="str">
        <f>IFERROR(__xludf.DUMMYFUNCTION("""COMPUTED_VALUE"""),"Alcohol/Weed")</f>
        <v>Alcohol/Weed</v>
      </c>
      <c r="E89" s="108" t="str">
        <f t="shared" si="1"/>
        <v>Feb</v>
      </c>
      <c r="F89" s="79" t="str">
        <f>IFERROR(__xludf.DUMMYFUNCTION("""COMPUTED_VALUE"""),"Shaeffer")</f>
        <v>Shaeffer</v>
      </c>
    </row>
    <row r="90">
      <c r="A90" s="85">
        <f>IFERROR(__xludf.DUMMYFUNCTION("""COMPUTED_VALUE"""),45346.0)</f>
        <v>45346</v>
      </c>
      <c r="B90" s="111">
        <f>IFERROR(__xludf.DUMMYFUNCTION("""COMPUTED_VALUE"""),83.79)</f>
        <v>83.79</v>
      </c>
      <c r="C90" s="79" t="str">
        <f>IFERROR(__xludf.DUMMYFUNCTION("""COMPUTED_VALUE"""),"0035MM")</f>
        <v>0035MM</v>
      </c>
      <c r="D90" s="79" t="str">
        <f>IFERROR(__xludf.DUMMYFUNCTION("""COMPUTED_VALUE"""),"Personal")</f>
        <v>Personal</v>
      </c>
      <c r="E90" s="108" t="str">
        <f t="shared" si="1"/>
        <v>Feb</v>
      </c>
      <c r="F90" s="79" t="str">
        <f>IFERROR(__xludf.DUMMYFUNCTION("""COMPUTED_VALUE"""),"Shaeffer")</f>
        <v>Shaeffer</v>
      </c>
    </row>
    <row r="91">
      <c r="A91" s="85">
        <f>IFERROR(__xludf.DUMMYFUNCTION("""COMPUTED_VALUE"""),45348.0)</f>
        <v>45348</v>
      </c>
      <c r="B91" s="111">
        <f>IFERROR(__xludf.DUMMYFUNCTION("""COMPUTED_VALUE"""),80.5)</f>
        <v>80.5</v>
      </c>
      <c r="C91" s="79" t="str">
        <f>IFERROR(__xludf.DUMMYFUNCTION("""COMPUTED_VALUE"""),"DMV")</f>
        <v>DMV</v>
      </c>
      <c r="D91" s="79" t="str">
        <f>IFERROR(__xludf.DUMMYFUNCTION("""COMPUTED_VALUE"""),"Personal")</f>
        <v>Personal</v>
      </c>
      <c r="E91" s="108" t="str">
        <f t="shared" si="1"/>
        <v>Feb</v>
      </c>
      <c r="F91" s="79" t="str">
        <f>IFERROR(__xludf.DUMMYFUNCTION("""COMPUTED_VALUE"""),"Shaeffer")</f>
        <v>Shaeffer</v>
      </c>
    </row>
    <row r="92">
      <c r="A92" s="85">
        <f>IFERROR(__xludf.DUMMYFUNCTION("""COMPUTED_VALUE"""),45348.0)</f>
        <v>45348</v>
      </c>
      <c r="B92" s="111">
        <f>IFERROR(__xludf.DUMMYFUNCTION("""COMPUTED_VALUE"""),80.84)</f>
        <v>80.84</v>
      </c>
      <c r="C92" s="79" t="str">
        <f>IFERROR(__xludf.DUMMYFUNCTION("""COMPUTED_VALUE"""),"Gotham")</f>
        <v>Gotham</v>
      </c>
      <c r="D92" s="79" t="str">
        <f>IFERROR(__xludf.DUMMYFUNCTION("""COMPUTED_VALUE"""),"Alcohol/Weed")</f>
        <v>Alcohol/Weed</v>
      </c>
      <c r="E92" s="108" t="str">
        <f t="shared" si="1"/>
        <v>Feb</v>
      </c>
      <c r="F92" s="79" t="str">
        <f>IFERROR(__xludf.DUMMYFUNCTION("""COMPUTED_VALUE"""),"Shaeffer")</f>
        <v>Shaeffer</v>
      </c>
    </row>
    <row r="93">
      <c r="A93" s="85">
        <f>IFERROR(__xludf.DUMMYFUNCTION("""COMPUTED_VALUE"""),45332.0)</f>
        <v>45332</v>
      </c>
      <c r="B93" s="111">
        <f>IFERROR(__xludf.DUMMYFUNCTION("""COMPUTED_VALUE"""),4.81)</f>
        <v>4.81</v>
      </c>
      <c r="C93" s="79" t="str">
        <f>IFERROR(__xludf.DUMMYFUNCTION("""COMPUTED_VALUE"""),"Birch")</f>
        <v>Birch</v>
      </c>
      <c r="D93" s="79" t="str">
        <f>IFERROR(__xludf.DUMMYFUNCTION("""COMPUTED_VALUE"""),"Meals")</f>
        <v>Meals</v>
      </c>
      <c r="E93" s="108" t="str">
        <f t="shared" si="1"/>
        <v>Feb</v>
      </c>
      <c r="F93" s="79" t="str">
        <f>IFERROR(__xludf.DUMMYFUNCTION("""COMPUTED_VALUE"""),"Shaeffer")</f>
        <v>Shaeffer</v>
      </c>
    </row>
    <row r="94">
      <c r="A94" s="85">
        <f>IFERROR(__xludf.DUMMYFUNCTION("""COMPUTED_VALUE"""),45343.0)</f>
        <v>45343</v>
      </c>
      <c r="B94" s="111">
        <f>IFERROR(__xludf.DUMMYFUNCTION("""COMPUTED_VALUE"""),10.4)</f>
        <v>10.4</v>
      </c>
      <c r="C94" s="79" t="str">
        <f>IFERROR(__xludf.DUMMYFUNCTION("""COMPUTED_VALUE"""),"Munch lies - smoke shoo")</f>
        <v>Munch lies - smoke shoo</v>
      </c>
      <c r="D94" s="79" t="str">
        <f>IFERROR(__xludf.DUMMYFUNCTION("""COMPUTED_VALUE"""),"Alcohol/Weed")</f>
        <v>Alcohol/Weed</v>
      </c>
      <c r="E94" s="108" t="str">
        <f t="shared" si="1"/>
        <v>Feb</v>
      </c>
      <c r="F94" s="79" t="str">
        <f>IFERROR(__xludf.DUMMYFUNCTION("""COMPUTED_VALUE"""),"Shaeffer")</f>
        <v>Shaeffer</v>
      </c>
    </row>
    <row r="95">
      <c r="A95" s="85">
        <f>IFERROR(__xludf.DUMMYFUNCTION("""COMPUTED_VALUE"""),45332.0)</f>
        <v>45332</v>
      </c>
      <c r="B95" s="111">
        <f>IFERROR(__xludf.DUMMYFUNCTION("""COMPUTED_VALUE"""),66.0)</f>
        <v>66</v>
      </c>
      <c r="C95" s="79" t="str">
        <f>IFERROR(__xludf.DUMMYFUNCTION("""COMPUTED_VALUE"""),"Amtrak")</f>
        <v>Amtrak</v>
      </c>
      <c r="D95" s="79" t="str">
        <f>IFERROR(__xludf.DUMMYFUNCTION("""COMPUTED_VALUE"""),"Travel")</f>
        <v>Travel</v>
      </c>
      <c r="E95" s="108" t="str">
        <f t="shared" si="1"/>
        <v>Feb</v>
      </c>
      <c r="F95" s="79" t="str">
        <f>IFERROR(__xludf.DUMMYFUNCTION("""COMPUTED_VALUE"""),"Shaeffer")</f>
        <v>Shaeffer</v>
      </c>
    </row>
    <row r="96">
      <c r="A96" s="85">
        <f>IFERROR(__xludf.DUMMYFUNCTION("""COMPUTED_VALUE"""),45333.0)</f>
        <v>45333</v>
      </c>
      <c r="B96" s="111">
        <f>IFERROR(__xludf.DUMMYFUNCTION("""COMPUTED_VALUE"""),27.83)</f>
        <v>27.83</v>
      </c>
      <c r="C96" s="79" t="str">
        <f>IFERROR(__xludf.DUMMYFUNCTION("""COMPUTED_VALUE"""),"Iona bar")</f>
        <v>Iona bar</v>
      </c>
      <c r="D96" s="79" t="str">
        <f>IFERROR(__xludf.DUMMYFUNCTION("""COMPUTED_VALUE"""),"Alcohol/Weed")</f>
        <v>Alcohol/Weed</v>
      </c>
      <c r="E96" s="108" t="str">
        <f t="shared" si="1"/>
        <v>Feb</v>
      </c>
      <c r="F96" s="79" t="str">
        <f>IFERROR(__xludf.DUMMYFUNCTION("""COMPUTED_VALUE"""),"Shaeffer")</f>
        <v>Shaeffer</v>
      </c>
    </row>
    <row r="97">
      <c r="A97" s="85">
        <f>IFERROR(__xludf.DUMMYFUNCTION("""COMPUTED_VALUE"""),45334.0)</f>
        <v>45334</v>
      </c>
      <c r="B97" s="111">
        <f>IFERROR(__xludf.DUMMYFUNCTION("""COMPUTED_VALUE"""),5.0)</f>
        <v>5</v>
      </c>
      <c r="C97" s="79" t="str">
        <f>IFERROR(__xludf.DUMMYFUNCTION("""COMPUTED_VALUE"""),"Dreamers")</f>
        <v>Dreamers</v>
      </c>
      <c r="D97" s="79" t="str">
        <f>IFERROR(__xludf.DUMMYFUNCTION("""COMPUTED_VALUE"""),"Meals")</f>
        <v>Meals</v>
      </c>
      <c r="E97" s="108" t="str">
        <f t="shared" si="1"/>
        <v>Feb</v>
      </c>
      <c r="F97" s="79" t="str">
        <f>IFERROR(__xludf.DUMMYFUNCTION("""COMPUTED_VALUE"""),"Shaeffer")</f>
        <v>Shaeffer</v>
      </c>
    </row>
    <row r="98">
      <c r="A98" s="85">
        <f>IFERROR(__xludf.DUMMYFUNCTION("""COMPUTED_VALUE"""),45334.0)</f>
        <v>45334</v>
      </c>
      <c r="B98" s="111">
        <f>IFERROR(__xludf.DUMMYFUNCTION("""COMPUTED_VALUE"""),17.29)</f>
        <v>17.29</v>
      </c>
      <c r="C98" s="79" t="str">
        <f>IFERROR(__xludf.DUMMYFUNCTION("""COMPUTED_VALUE"""),"Astor place wines ")</f>
        <v>Astor place wines </v>
      </c>
      <c r="D98" s="79" t="str">
        <f>IFERROR(__xludf.DUMMYFUNCTION("""COMPUTED_VALUE"""),"Alcohol/Weed")</f>
        <v>Alcohol/Weed</v>
      </c>
      <c r="E98" s="108" t="str">
        <f t="shared" si="1"/>
        <v>Feb</v>
      </c>
      <c r="F98" s="79" t="str">
        <f>IFERROR(__xludf.DUMMYFUNCTION("""COMPUTED_VALUE"""),"Shaeffer")</f>
        <v>Shaeffer</v>
      </c>
    </row>
    <row r="99">
      <c r="A99" s="85">
        <f>IFERROR(__xludf.DUMMYFUNCTION("""COMPUTED_VALUE"""),45348.0)</f>
        <v>45348</v>
      </c>
      <c r="B99" s="111">
        <f>IFERROR(__xludf.DUMMYFUNCTION("""COMPUTED_VALUE"""),2.75)</f>
        <v>2.75</v>
      </c>
      <c r="C99" s="79" t="str">
        <f>IFERROR(__xludf.DUMMYFUNCTION("""COMPUTED_VALUE"""),"Canteen from YMCA x2")</f>
        <v>Canteen from YMCA x2</v>
      </c>
      <c r="D99" s="79" t="str">
        <f>IFERROR(__xludf.DUMMYFUNCTION("""COMPUTED_VALUE"""),"Work Meals")</f>
        <v>Work Meals</v>
      </c>
      <c r="E99" s="108" t="str">
        <f t="shared" si="1"/>
        <v>Feb</v>
      </c>
      <c r="F99" s="79" t="str">
        <f>IFERROR(__xludf.DUMMYFUNCTION("""COMPUTED_VALUE"""),"Shaeffer")</f>
        <v>Shaeffer</v>
      </c>
    </row>
    <row r="100">
      <c r="A100" s="85">
        <f>IFERROR(__xludf.DUMMYFUNCTION("""COMPUTED_VALUE"""),45337.0)</f>
        <v>45337</v>
      </c>
      <c r="B100" s="111">
        <f>IFERROR(__xludf.DUMMYFUNCTION("""COMPUTED_VALUE"""),96.9)</f>
        <v>96.9</v>
      </c>
      <c r="C100" s="79" t="str">
        <f>IFERROR(__xludf.DUMMYFUNCTION("""COMPUTED_VALUE"""),"YMCA")</f>
        <v>YMCA</v>
      </c>
      <c r="D100" s="79" t="str">
        <f>IFERROR(__xludf.DUMMYFUNCTION("""COMPUTED_VALUE"""),"Gym")</f>
        <v>Gym</v>
      </c>
      <c r="E100" s="108" t="str">
        <f t="shared" si="1"/>
        <v>Feb</v>
      </c>
      <c r="F100" s="79" t="str">
        <f>IFERROR(__xludf.DUMMYFUNCTION("""COMPUTED_VALUE"""),"Shaeffer")</f>
        <v>Shaeffer</v>
      </c>
    </row>
    <row r="101">
      <c r="A101" s="85">
        <f>IFERROR(__xludf.DUMMYFUNCTION("""COMPUTED_VALUE"""),45338.0)</f>
        <v>45338</v>
      </c>
      <c r="B101" s="111">
        <f>IFERROR(__xludf.DUMMYFUNCTION("""COMPUTED_VALUE"""),17.92)</f>
        <v>17.92</v>
      </c>
      <c r="C101" s="79" t="str">
        <f>IFERROR(__xludf.DUMMYFUNCTION("""COMPUTED_VALUE"""),"Caraotas")</f>
        <v>Caraotas</v>
      </c>
      <c r="D101" s="79" t="str">
        <f>IFERROR(__xludf.DUMMYFUNCTION("""COMPUTED_VALUE"""),"Work Meals")</f>
        <v>Work Meals</v>
      </c>
      <c r="E101" s="108" t="str">
        <f t="shared" si="1"/>
        <v>Feb</v>
      </c>
      <c r="F101" s="79" t="str">
        <f>IFERROR(__xludf.DUMMYFUNCTION("""COMPUTED_VALUE"""),"Shaeffer")</f>
        <v>Shaeffer</v>
      </c>
    </row>
    <row r="102">
      <c r="A102" s="85">
        <f>IFERROR(__xludf.DUMMYFUNCTION("""COMPUTED_VALUE"""),45339.0)</f>
        <v>45339</v>
      </c>
      <c r="B102" s="111">
        <f>IFERROR(__xludf.DUMMYFUNCTION("""COMPUTED_VALUE"""),26.2)</f>
        <v>26.2</v>
      </c>
      <c r="C102" s="79" t="str">
        <f>IFERROR(__xludf.DUMMYFUNCTION("""COMPUTED_VALUE"""),"Nordstrom shoe bar")</f>
        <v>Nordstrom shoe bar</v>
      </c>
      <c r="D102" s="79" t="str">
        <f>IFERROR(__xludf.DUMMYFUNCTION("""COMPUTED_VALUE"""),"Alcohol/Weed")</f>
        <v>Alcohol/Weed</v>
      </c>
      <c r="E102" s="108" t="str">
        <f t="shared" si="1"/>
        <v>Feb</v>
      </c>
      <c r="F102" s="79" t="str">
        <f>IFERROR(__xludf.DUMMYFUNCTION("""COMPUTED_VALUE"""),"Shaeffer")</f>
        <v>Shaeffer</v>
      </c>
    </row>
    <row r="103">
      <c r="A103" s="85">
        <f>IFERROR(__xludf.DUMMYFUNCTION("""COMPUTED_VALUE"""),45346.0)</f>
        <v>45346</v>
      </c>
      <c r="B103" s="111">
        <f>IFERROR(__xludf.DUMMYFUNCTION("""COMPUTED_VALUE"""),5.56)</f>
        <v>5.56</v>
      </c>
      <c r="C103" s="79" t="str">
        <f>IFERROR(__xludf.DUMMYFUNCTION("""COMPUTED_VALUE"""),"Creme")</f>
        <v>Creme</v>
      </c>
      <c r="D103" s="79" t="str">
        <f>IFERROR(__xludf.DUMMYFUNCTION("""COMPUTED_VALUE"""),"Work Meals")</f>
        <v>Work Meals</v>
      </c>
      <c r="E103" s="108" t="str">
        <f t="shared" si="1"/>
        <v>Feb</v>
      </c>
      <c r="F103" s="79" t="str">
        <f>IFERROR(__xludf.DUMMYFUNCTION("""COMPUTED_VALUE"""),"Shaeffer")</f>
        <v>Shaeffer</v>
      </c>
    </row>
    <row r="104">
      <c r="A104" s="85">
        <f>IFERROR(__xludf.DUMMYFUNCTION("""COMPUTED_VALUE"""),45346.0)</f>
        <v>45346</v>
      </c>
      <c r="B104" s="111">
        <f>IFERROR(__xludf.DUMMYFUNCTION("""COMPUTED_VALUE"""),30.0)</f>
        <v>30</v>
      </c>
      <c r="C104" s="79" t="str">
        <f>IFERROR(__xludf.DUMMYFUNCTION("""COMPUTED_VALUE"""),"Google Domains")</f>
        <v>Google Domains</v>
      </c>
      <c r="D104" s="79" t="str">
        <f>IFERROR(__xludf.DUMMYFUNCTION("""COMPUTED_VALUE"""),"Studio")</f>
        <v>Studio</v>
      </c>
      <c r="E104" s="108" t="str">
        <f t="shared" si="1"/>
        <v>Feb</v>
      </c>
      <c r="F104" s="79" t="str">
        <f>IFERROR(__xludf.DUMMYFUNCTION("""COMPUTED_VALUE"""),"Shaeffer")</f>
        <v>Shaeffer</v>
      </c>
    </row>
    <row r="105">
      <c r="A105" s="85">
        <f>IFERROR(__xludf.DUMMYFUNCTION("""COMPUTED_VALUE"""),45349.0)</f>
        <v>45349</v>
      </c>
      <c r="B105" s="111">
        <f>IFERROR(__xludf.DUMMYFUNCTION("""COMPUTED_VALUE"""),11.92)</f>
        <v>11.92</v>
      </c>
      <c r="C105" s="79" t="str">
        <f>IFERROR(__xludf.DUMMYFUNCTION("""COMPUTED_VALUE"""),"Essex Market")</f>
        <v>Essex Market</v>
      </c>
      <c r="D105" s="79" t="str">
        <f>IFERROR(__xludf.DUMMYFUNCTION("""COMPUTED_VALUE"""),"Alcohol/Weed")</f>
        <v>Alcohol/Weed</v>
      </c>
      <c r="E105" s="108" t="str">
        <f t="shared" si="1"/>
        <v>Feb</v>
      </c>
      <c r="F105" s="79" t="str">
        <f>IFERROR(__xludf.DUMMYFUNCTION("""COMPUTED_VALUE"""),"Shaeffer")</f>
        <v>Shaeffer</v>
      </c>
    </row>
    <row r="106">
      <c r="A106" s="85">
        <f>IFERROR(__xludf.DUMMYFUNCTION("""COMPUTED_VALUE"""),45349.0)</f>
        <v>45349</v>
      </c>
      <c r="B106" s="111">
        <f>IFERROR(__xludf.DUMMYFUNCTION("""COMPUTED_VALUE"""),4.0)</f>
        <v>4</v>
      </c>
      <c r="C106" s="79" t="str">
        <f>IFERROR(__xludf.DUMMYFUNCTION("""COMPUTED_VALUE"""),"Essex market ")</f>
        <v>Essex market </v>
      </c>
      <c r="D106" s="79" t="str">
        <f>IFERROR(__xludf.DUMMYFUNCTION("""COMPUTED_VALUE"""),"Entertainment")</f>
        <v>Entertainment</v>
      </c>
      <c r="E106" s="108" t="str">
        <f t="shared" si="1"/>
        <v>Feb</v>
      </c>
      <c r="F106" s="79" t="str">
        <f>IFERROR(__xludf.DUMMYFUNCTION("""COMPUTED_VALUE"""),"Shaeffer")</f>
        <v>Shaeffer</v>
      </c>
    </row>
    <row r="107">
      <c r="A107" s="85">
        <f>IFERROR(__xludf.DUMMYFUNCTION("""COMPUTED_VALUE"""),45350.0)</f>
        <v>45350</v>
      </c>
      <c r="B107" s="111">
        <f>IFERROR(__xludf.DUMMYFUNCTION("""COMPUTED_VALUE"""),50.23)</f>
        <v>50.23</v>
      </c>
      <c r="C107" s="79" t="str">
        <f>IFERROR(__xludf.DUMMYFUNCTION("""COMPUTED_VALUE"""),"Koneko")</f>
        <v>Koneko</v>
      </c>
      <c r="D107" s="79" t="str">
        <f>IFERROR(__xludf.DUMMYFUNCTION("""COMPUTED_VALUE"""),"Entertainment")</f>
        <v>Entertainment</v>
      </c>
      <c r="E107" s="108" t="str">
        <f t="shared" si="1"/>
        <v>Feb</v>
      </c>
      <c r="F107" s="79" t="str">
        <f>IFERROR(__xludf.DUMMYFUNCTION("""COMPUTED_VALUE"""),"Shaeffer")</f>
        <v>Shaeffer</v>
      </c>
    </row>
    <row r="108">
      <c r="A108" s="85">
        <f>IFERROR(__xludf.DUMMYFUNCTION("""COMPUTED_VALUE"""),45350.0)</f>
        <v>45350</v>
      </c>
      <c r="B108" s="111">
        <f>IFERROR(__xludf.DUMMYFUNCTION("""COMPUTED_VALUE"""),8.63)</f>
        <v>8.63</v>
      </c>
      <c r="C108" s="79" t="str">
        <f>IFERROR(__xludf.DUMMYFUNCTION("""COMPUTED_VALUE"""),"Variety ")</f>
        <v>Variety </v>
      </c>
      <c r="D108" s="79" t="str">
        <f>IFERROR(__xludf.DUMMYFUNCTION("""COMPUTED_VALUE"""),"Entertainment")</f>
        <v>Entertainment</v>
      </c>
      <c r="E108" s="108" t="str">
        <f t="shared" si="1"/>
        <v>Feb</v>
      </c>
      <c r="F108" s="79" t="str">
        <f>IFERROR(__xludf.DUMMYFUNCTION("""COMPUTED_VALUE"""),"Shaeffer")</f>
        <v>Shaeffer</v>
      </c>
    </row>
    <row r="109">
      <c r="A109" s="85">
        <f>IFERROR(__xludf.DUMMYFUNCTION("""COMPUTED_VALUE"""),45351.0)</f>
        <v>45351</v>
      </c>
      <c r="B109" s="110">
        <f>IFERROR(__xludf.DUMMYFUNCTION("""COMPUTED_VALUE"""),40.0)</f>
        <v>40</v>
      </c>
      <c r="C109" s="79" t="str">
        <f>IFERROR(__xludf.DUMMYFUNCTION("""COMPUTED_VALUE"""),"Julius'")</f>
        <v>Julius'</v>
      </c>
      <c r="D109" s="79" t="str">
        <f>IFERROR(__xludf.DUMMYFUNCTION("""COMPUTED_VALUE"""),"Alcohol/Weed")</f>
        <v>Alcohol/Weed</v>
      </c>
      <c r="E109" s="108" t="str">
        <f t="shared" si="1"/>
        <v>Feb</v>
      </c>
      <c r="F109" s="79" t="str">
        <f>IFERROR(__xludf.DUMMYFUNCTION("""COMPUTED_VALUE"""),"Gil")</f>
        <v>Gil</v>
      </c>
    </row>
    <row r="110">
      <c r="A110" s="85">
        <f>IFERROR(__xludf.DUMMYFUNCTION("""COMPUTED_VALUE"""),45345.0)</f>
        <v>45345</v>
      </c>
      <c r="B110" s="111">
        <f>IFERROR(__xludf.DUMMYFUNCTION("""COMPUTED_VALUE"""),6.52)</f>
        <v>6.52</v>
      </c>
      <c r="C110" s="79" t="str">
        <f>IFERROR(__xludf.DUMMYFUNCTION("""COMPUTED_VALUE"""),"Popeye's")</f>
        <v>Popeye's</v>
      </c>
      <c r="D110" s="79" t="str">
        <f>IFERROR(__xludf.DUMMYFUNCTION("""COMPUTED_VALUE"""),"Meals")</f>
        <v>Meals</v>
      </c>
      <c r="E110" s="108" t="str">
        <f t="shared" si="1"/>
        <v>Feb</v>
      </c>
      <c r="F110" s="79" t="str">
        <f>IFERROR(__xludf.DUMMYFUNCTION("""COMPUTED_VALUE"""),"Gil")</f>
        <v>Gil</v>
      </c>
    </row>
    <row r="111">
      <c r="A111" s="85">
        <f>IFERROR(__xludf.DUMMYFUNCTION("""COMPUTED_VALUE"""),45349.0)</f>
        <v>45349</v>
      </c>
      <c r="B111" s="111">
        <f>IFERROR(__xludf.DUMMYFUNCTION("""COMPUTED_VALUE"""),14.69)</f>
        <v>14.69</v>
      </c>
      <c r="C111" s="79" t="str">
        <f>IFERROR(__xludf.DUMMYFUNCTION("""COMPUTED_VALUE"""),"King of Falafel")</f>
        <v>King of Falafel</v>
      </c>
      <c r="D111" s="79" t="str">
        <f>IFERROR(__xludf.DUMMYFUNCTION("""COMPUTED_VALUE"""),"Work Meals")</f>
        <v>Work Meals</v>
      </c>
      <c r="E111" s="108" t="str">
        <f t="shared" si="1"/>
        <v>Feb</v>
      </c>
      <c r="F111" s="79" t="str">
        <f>IFERROR(__xludf.DUMMYFUNCTION("""COMPUTED_VALUE"""),"Gil")</f>
        <v>Gil</v>
      </c>
    </row>
    <row r="112">
      <c r="A112" s="85">
        <f>IFERROR(__xludf.DUMMYFUNCTION("""COMPUTED_VALUE"""),45345.0)</f>
        <v>45345</v>
      </c>
      <c r="B112" s="110">
        <f>IFERROR(__xludf.DUMMYFUNCTION("""COMPUTED_VALUE"""),299.92)</f>
        <v>299.92</v>
      </c>
      <c r="C112" s="79" t="str">
        <f>IFERROR(__xludf.DUMMYFUNCTION("""COMPUTED_VALUE"""),"Equinox")</f>
        <v>Equinox</v>
      </c>
      <c r="D112" s="79" t="str">
        <f>IFERROR(__xludf.DUMMYFUNCTION("""COMPUTED_VALUE"""),"Gym")</f>
        <v>Gym</v>
      </c>
      <c r="E112" s="108" t="str">
        <f t="shared" si="1"/>
        <v>Feb</v>
      </c>
      <c r="F112" s="79" t="str">
        <f>IFERROR(__xludf.DUMMYFUNCTION("""COMPUTED_VALUE"""),"Gil")</f>
        <v>Gil</v>
      </c>
    </row>
    <row r="113">
      <c r="A113" s="85">
        <f>IFERROR(__xludf.DUMMYFUNCTION("""COMPUTED_VALUE"""),45338.0)</f>
        <v>45338</v>
      </c>
      <c r="B113" s="110">
        <f>IFERROR(__xludf.DUMMYFUNCTION("""COMPUTED_VALUE"""),84.49)</f>
        <v>84.49</v>
      </c>
      <c r="C113" s="79" t="str">
        <f>IFERROR(__xludf.DUMMYFUNCTION("""COMPUTED_VALUE"""),"Amazon - G-Shock Watch")</f>
        <v>Amazon - G-Shock Watch</v>
      </c>
      <c r="D113" s="79" t="str">
        <f>IFERROR(__xludf.DUMMYFUNCTION("""COMPUTED_VALUE"""),"Clothing")</f>
        <v>Clothing</v>
      </c>
      <c r="E113" s="108" t="str">
        <f t="shared" si="1"/>
        <v>Feb</v>
      </c>
      <c r="F113" s="79" t="str">
        <f>IFERROR(__xludf.DUMMYFUNCTION("""COMPUTED_VALUE"""),"Gil")</f>
        <v>Gil</v>
      </c>
    </row>
    <row r="114">
      <c r="A114" s="85">
        <f>IFERROR(__xludf.DUMMYFUNCTION("""COMPUTED_VALUE"""),45350.0)</f>
        <v>45350</v>
      </c>
      <c r="B114" s="110">
        <f>IFERROR(__xludf.DUMMYFUNCTION("""COMPUTED_VALUE"""),150.5)</f>
        <v>150.5</v>
      </c>
      <c r="C114" s="79" t="str">
        <f>IFERROR(__xludf.DUMMYFUNCTION("""COMPUTED_VALUE"""),"MTA Expenses")</f>
        <v>MTA Expenses</v>
      </c>
      <c r="D114" s="79" t="str">
        <f>IFERROR(__xludf.DUMMYFUNCTION("""COMPUTED_VALUE"""),"Transportation")</f>
        <v>Transportation</v>
      </c>
      <c r="E114" s="108" t="str">
        <f t="shared" si="1"/>
        <v>Feb</v>
      </c>
      <c r="F114" s="79" t="str">
        <f>IFERROR(__xludf.DUMMYFUNCTION("""COMPUTED_VALUE"""),"Gil")</f>
        <v>Gil</v>
      </c>
    </row>
    <row r="115">
      <c r="A115" s="85">
        <f>IFERROR(__xludf.DUMMYFUNCTION("""COMPUTED_VALUE"""),45347.0)</f>
        <v>45347</v>
      </c>
      <c r="B115" s="110">
        <f>IFERROR(__xludf.DUMMYFUNCTION("""COMPUTED_VALUE"""),5.43)</f>
        <v>5.43</v>
      </c>
      <c r="C115" s="79" t="str">
        <f>IFERROR(__xludf.DUMMYFUNCTION("""COMPUTED_VALUE"""),"Google App Store - Koala Sampler")</f>
        <v>Google App Store - Koala Sampler</v>
      </c>
      <c r="D115" s="79" t="str">
        <f>IFERROR(__xludf.DUMMYFUNCTION("""COMPUTED_VALUE"""),"Personal")</f>
        <v>Personal</v>
      </c>
      <c r="E115" s="108" t="str">
        <f t="shared" si="1"/>
        <v>Feb</v>
      </c>
      <c r="F115" s="79" t="str">
        <f>IFERROR(__xludf.DUMMYFUNCTION("""COMPUTED_VALUE"""),"Gil")</f>
        <v>Gil</v>
      </c>
    </row>
    <row r="116">
      <c r="A116" s="85">
        <f>IFERROR(__xludf.DUMMYFUNCTION("""COMPUTED_VALUE"""),45332.0)</f>
        <v>45332</v>
      </c>
      <c r="B116" s="110">
        <f>IFERROR(__xludf.DUMMYFUNCTION("""COMPUTED_VALUE"""),46.0)</f>
        <v>46</v>
      </c>
      <c r="C116" s="79" t="str">
        <f>IFERROR(__xludf.DUMMYFUNCTION("""COMPUTED_VALUE"""),"Amtrak Tickets to Philly")</f>
        <v>Amtrak Tickets to Philly</v>
      </c>
      <c r="D116" s="79" t="str">
        <f>IFERROR(__xludf.DUMMYFUNCTION("""COMPUTED_VALUE"""),"Travel")</f>
        <v>Travel</v>
      </c>
      <c r="E116" s="108" t="str">
        <f t="shared" si="1"/>
        <v>Feb</v>
      </c>
      <c r="F116" s="79" t="str">
        <f>IFERROR(__xludf.DUMMYFUNCTION("""COMPUTED_VALUE"""),"Gil")</f>
        <v>Gil</v>
      </c>
    </row>
    <row r="117">
      <c r="A117" s="85">
        <f>IFERROR(__xludf.DUMMYFUNCTION("""COMPUTED_VALUE"""),45326.0)</f>
        <v>45326</v>
      </c>
      <c r="B117" s="110">
        <f>IFERROR(__xludf.DUMMYFUNCTION("""COMPUTED_VALUE"""),6.52)</f>
        <v>6.52</v>
      </c>
      <c r="C117" s="79" t="str">
        <f>IFERROR(__xludf.DUMMYFUNCTION("""COMPUTED_VALUE"""),"Popeye's")</f>
        <v>Popeye's</v>
      </c>
      <c r="D117" s="79" t="str">
        <f>IFERROR(__xludf.DUMMYFUNCTION("""COMPUTED_VALUE"""),"Meals")</f>
        <v>Meals</v>
      </c>
      <c r="E117" s="108" t="str">
        <f t="shared" si="1"/>
        <v>Feb</v>
      </c>
      <c r="F117" s="79" t="str">
        <f>IFERROR(__xludf.DUMMYFUNCTION("""COMPUTED_VALUE"""),"Gil")</f>
        <v>Gil</v>
      </c>
    </row>
    <row r="118">
      <c r="A118" s="85">
        <f>IFERROR(__xludf.DUMMYFUNCTION("""COMPUTED_VALUE"""),45332.0)</f>
        <v>45332</v>
      </c>
      <c r="B118" s="110">
        <f>IFERROR(__xludf.DUMMYFUNCTION("""COMPUTED_VALUE"""),8.07)</f>
        <v>8.07</v>
      </c>
      <c r="C118" s="79" t="str">
        <f>IFERROR(__xludf.DUMMYFUNCTION("""COMPUTED_VALUE"""),"Uber Eats - Hummus and Pita Co.")</f>
        <v>Uber Eats - Hummus and Pita Co.</v>
      </c>
      <c r="D118" s="79" t="str">
        <f>IFERROR(__xludf.DUMMYFUNCTION("""COMPUTED_VALUE"""),"Work Meals")</f>
        <v>Work Meals</v>
      </c>
      <c r="E118" s="108" t="str">
        <f t="shared" si="1"/>
        <v>Feb</v>
      </c>
      <c r="F118" s="79" t="str">
        <f>IFERROR(__xludf.DUMMYFUNCTION("""COMPUTED_VALUE"""),"Gil")</f>
        <v>Gil</v>
      </c>
    </row>
    <row r="119">
      <c r="A119" s="85">
        <f>IFERROR(__xludf.DUMMYFUNCTION("""COMPUTED_VALUE"""),45326.0)</f>
        <v>45326</v>
      </c>
      <c r="B119" s="110">
        <f>IFERROR(__xludf.DUMMYFUNCTION("""COMPUTED_VALUE"""),41.12)</f>
        <v>41.12</v>
      </c>
      <c r="C119" s="79" t="str">
        <f>IFERROR(__xludf.DUMMYFUNCTION("""COMPUTED_VALUE"""),"Amazon - Alessi Bowl")</f>
        <v>Amazon - Alessi Bowl</v>
      </c>
      <c r="D119" s="79" t="str">
        <f>IFERROR(__xludf.DUMMYFUNCTION("""COMPUTED_VALUE"""),"Household")</f>
        <v>Household</v>
      </c>
      <c r="E119" s="108" t="str">
        <f t="shared" si="1"/>
        <v>Feb</v>
      </c>
      <c r="F119" s="79" t="str">
        <f>IFERROR(__xludf.DUMMYFUNCTION("""COMPUTED_VALUE"""),"Gil")</f>
        <v>Gil</v>
      </c>
    </row>
    <row r="120">
      <c r="A120" s="85">
        <f>IFERROR(__xludf.DUMMYFUNCTION("""COMPUTED_VALUE"""),45331.0)</f>
        <v>45331</v>
      </c>
      <c r="B120" s="111">
        <f>IFERROR(__xludf.DUMMYFUNCTION("""COMPUTED_VALUE"""),10.88)</f>
        <v>10.88</v>
      </c>
      <c r="C120" s="79" t="str">
        <f>IFERROR(__xludf.DUMMYFUNCTION("""COMPUTED_VALUE"""),"Amazon - Foot Deodorant")</f>
        <v>Amazon - Foot Deodorant</v>
      </c>
      <c r="D120" s="79" t="str">
        <f>IFERROR(__xludf.DUMMYFUNCTION("""COMPUTED_VALUE"""),"Personal")</f>
        <v>Personal</v>
      </c>
      <c r="E120" s="108" t="str">
        <f t="shared" si="1"/>
        <v>Feb</v>
      </c>
      <c r="F120" s="79" t="str">
        <f>IFERROR(__xludf.DUMMYFUNCTION("""COMPUTED_VALUE"""),"Gil")</f>
        <v>Gil</v>
      </c>
    </row>
    <row r="121">
      <c r="A121" s="85">
        <f>IFERROR(__xludf.DUMMYFUNCTION("""COMPUTED_VALUE"""),45353.0)</f>
        <v>45353</v>
      </c>
      <c r="B121" s="111">
        <f>IFERROR(__xludf.DUMMYFUNCTION("""COMPUTED_VALUE"""),331.25)</f>
        <v>331.25</v>
      </c>
      <c r="C121" s="79" t="str">
        <f>IFERROR(__xludf.DUMMYFUNCTION("""COMPUTED_VALUE"""),"236 Moore St. - #38")</f>
        <v>236 Moore St. - #38</v>
      </c>
      <c r="D121" s="79" t="str">
        <f>IFERROR(__xludf.DUMMYFUNCTION("""COMPUTED_VALUE"""),"Storage")</f>
        <v>Storage</v>
      </c>
      <c r="E121" s="108" t="str">
        <f t="shared" si="1"/>
        <v>Mar</v>
      </c>
      <c r="F121" s="79" t="str">
        <f>IFERROR(__xludf.DUMMYFUNCTION("""COMPUTED_VALUE"""),"Gil")</f>
        <v>Gil</v>
      </c>
    </row>
    <row r="122">
      <c r="A122" s="85">
        <f>IFERROR(__xludf.DUMMYFUNCTION("""COMPUTED_VALUE"""),45353.0)</f>
        <v>45353</v>
      </c>
      <c r="B122" s="111">
        <f>IFERROR(__xludf.DUMMYFUNCTION("""COMPUTED_VALUE"""),5.44)</f>
        <v>5.44</v>
      </c>
      <c r="C122" s="79" t="str">
        <f>IFERROR(__xludf.DUMMYFUNCTION("""COMPUTED_VALUE"""),"Marinara")</f>
        <v>Marinara</v>
      </c>
      <c r="D122" s="79" t="str">
        <f>IFERROR(__xludf.DUMMYFUNCTION("""COMPUTED_VALUE"""),"Work Meals")</f>
        <v>Work Meals</v>
      </c>
      <c r="E122" s="108" t="str">
        <f t="shared" si="1"/>
        <v>Mar</v>
      </c>
      <c r="F122" s="79" t="str">
        <f>IFERROR(__xludf.DUMMYFUNCTION("""COMPUTED_VALUE"""),"Gil")</f>
        <v>Gil</v>
      </c>
    </row>
    <row r="123">
      <c r="A123" s="85">
        <f>IFERROR(__xludf.DUMMYFUNCTION("""COMPUTED_VALUE"""),45352.0)</f>
        <v>45352</v>
      </c>
      <c r="B123" s="111">
        <f>IFERROR(__xludf.DUMMYFUNCTION("""COMPUTED_VALUE"""),108.64)</f>
        <v>108.64</v>
      </c>
      <c r="C123" s="79" t="str">
        <f>IFERROR(__xludf.DUMMYFUNCTION("""COMPUTED_VALUE"""),"Gotham - Rose Delights x3")</f>
        <v>Gotham - Rose Delights x3</v>
      </c>
      <c r="D123" s="79" t="str">
        <f>IFERROR(__xludf.DUMMYFUNCTION("""COMPUTED_VALUE"""),"Alcohol/Weed")</f>
        <v>Alcohol/Weed</v>
      </c>
      <c r="E123" s="108" t="str">
        <f t="shared" si="1"/>
        <v>Mar</v>
      </c>
      <c r="F123" s="79" t="str">
        <f>IFERROR(__xludf.DUMMYFUNCTION("""COMPUTED_VALUE"""),"Gil")</f>
        <v>Gil</v>
      </c>
    </row>
    <row r="124">
      <c r="A124" s="85">
        <f>IFERROR(__xludf.DUMMYFUNCTION("""COMPUTED_VALUE"""),45355.0)</f>
        <v>45355</v>
      </c>
      <c r="B124" s="111">
        <f>IFERROR(__xludf.DUMMYFUNCTION("""COMPUTED_VALUE"""),51.6413097)</f>
        <v>51.6413097</v>
      </c>
      <c r="C124" s="79" t="str">
        <f>IFERROR(__xludf.DUMMYFUNCTION("""COMPUTED_VALUE"""),"Ulta Beauty - Peach &amp; Lily Serum")</f>
        <v>Ulta Beauty - Peach &amp; Lily Serum</v>
      </c>
      <c r="D124" s="79" t="str">
        <f>IFERROR(__xludf.DUMMYFUNCTION("""COMPUTED_VALUE"""),"Personal")</f>
        <v>Personal</v>
      </c>
      <c r="E124" s="108" t="str">
        <f t="shared" si="1"/>
        <v>Mar</v>
      </c>
      <c r="F124" s="79" t="str">
        <f>IFERROR(__xludf.DUMMYFUNCTION("""COMPUTED_VALUE"""),"Gil")</f>
        <v>Gil</v>
      </c>
    </row>
    <row r="125">
      <c r="A125" s="85">
        <f>IFERROR(__xludf.DUMMYFUNCTION("""COMPUTED_VALUE"""),45350.0)</f>
        <v>45350</v>
      </c>
      <c r="B125" s="111">
        <f>IFERROR(__xludf.DUMMYFUNCTION("""COMPUTED_VALUE"""),70.0)</f>
        <v>70</v>
      </c>
      <c r="C125" s="79" t="str">
        <f>IFERROR(__xludf.DUMMYFUNCTION("""COMPUTED_VALUE"""),"NY Mag subscription")</f>
        <v>NY Mag subscription</v>
      </c>
      <c r="D125" s="79" t="str">
        <f>IFERROR(__xludf.DUMMYFUNCTION("""COMPUTED_VALUE"""),"Subscriptions")</f>
        <v>Subscriptions</v>
      </c>
      <c r="E125" s="108" t="str">
        <f t="shared" si="1"/>
        <v>Feb</v>
      </c>
      <c r="F125" s="79" t="str">
        <f>IFERROR(__xludf.DUMMYFUNCTION("""COMPUTED_VALUE"""),"Shaeffer")</f>
        <v>Shaeffer</v>
      </c>
    </row>
    <row r="126">
      <c r="A126" s="85">
        <f>IFERROR(__xludf.DUMMYFUNCTION("""COMPUTED_VALUE"""),45351.0)</f>
        <v>45351</v>
      </c>
      <c r="B126" s="111">
        <f>IFERROR(__xludf.DUMMYFUNCTION("""COMPUTED_VALUE"""),149.6)</f>
        <v>149.6</v>
      </c>
      <c r="C126" s="79" t="str">
        <f>IFERROR(__xludf.DUMMYFUNCTION("""COMPUTED_VALUE"""),"Studio electric")</f>
        <v>Studio electric</v>
      </c>
      <c r="D126" s="79" t="str">
        <f>IFERROR(__xludf.DUMMYFUNCTION("""COMPUTED_VALUE"""),"Studio")</f>
        <v>Studio</v>
      </c>
      <c r="E126" s="108" t="str">
        <f t="shared" si="1"/>
        <v>Feb</v>
      </c>
      <c r="F126" s="79" t="str">
        <f>IFERROR(__xludf.DUMMYFUNCTION("""COMPUTED_VALUE"""),"Shaeffer")</f>
        <v>Shaeffer</v>
      </c>
    </row>
    <row r="127">
      <c r="A127" s="85">
        <f>IFERROR(__xludf.DUMMYFUNCTION("""COMPUTED_VALUE"""),45351.0)</f>
        <v>45351</v>
      </c>
      <c r="B127" s="111">
        <f>IFERROR(__xludf.DUMMYFUNCTION("""COMPUTED_VALUE"""),24.77)</f>
        <v>24.77</v>
      </c>
      <c r="C127" s="79" t="str">
        <f>IFERROR(__xludf.DUMMYFUNCTION("""COMPUTED_VALUE"""),"JR Sushi")</f>
        <v>JR Sushi</v>
      </c>
      <c r="D127" s="79" t="str">
        <f>IFERROR(__xludf.DUMMYFUNCTION("""COMPUTED_VALUE"""),"Work Meals")</f>
        <v>Work Meals</v>
      </c>
      <c r="E127" s="108" t="str">
        <f t="shared" si="1"/>
        <v>Feb</v>
      </c>
      <c r="F127" s="79" t="str">
        <f>IFERROR(__xludf.DUMMYFUNCTION("""COMPUTED_VALUE"""),"Shaeffer")</f>
        <v>Shaeffer</v>
      </c>
    </row>
    <row r="128">
      <c r="A128" s="85">
        <f>IFERROR(__xludf.DUMMYFUNCTION("""COMPUTED_VALUE"""),45357.0)</f>
        <v>45357</v>
      </c>
      <c r="B128" s="111">
        <f>IFERROR(__xludf.DUMMYFUNCTION("""COMPUTED_VALUE"""),21.27)</f>
        <v>21.27</v>
      </c>
      <c r="C128" s="79" t="str">
        <f>IFERROR(__xludf.DUMMYFUNCTION("""COMPUTED_VALUE"""),"Joju")</f>
        <v>Joju</v>
      </c>
      <c r="D128" s="79" t="str">
        <f>IFERROR(__xludf.DUMMYFUNCTION("""COMPUTED_VALUE"""),"Work Meals")</f>
        <v>Work Meals</v>
      </c>
      <c r="E128" s="108" t="str">
        <f t="shared" si="1"/>
        <v>Mar</v>
      </c>
      <c r="F128" s="79" t="str">
        <f>IFERROR(__xludf.DUMMYFUNCTION("""COMPUTED_VALUE"""),"Gil")</f>
        <v>Gil</v>
      </c>
    </row>
    <row r="129">
      <c r="A129" s="85">
        <f>IFERROR(__xludf.DUMMYFUNCTION("""COMPUTED_VALUE"""),45359.0)</f>
        <v>45359</v>
      </c>
      <c r="B129" s="111">
        <f>IFERROR(__xludf.DUMMYFUNCTION("""COMPUTED_VALUE"""),63.0)</f>
        <v>63</v>
      </c>
      <c r="C129" s="79" t="str">
        <f>IFERROR(__xludf.DUMMYFUNCTION("""COMPUTED_VALUE"""),"Amtrak Tickets")</f>
        <v>Amtrak Tickets</v>
      </c>
      <c r="D129" s="79" t="str">
        <f>IFERROR(__xludf.DUMMYFUNCTION("""COMPUTED_VALUE"""),"Travel")</f>
        <v>Travel</v>
      </c>
      <c r="E129" s="108" t="str">
        <f t="shared" si="1"/>
        <v>Mar</v>
      </c>
      <c r="F129" s="79" t="str">
        <f>IFERROR(__xludf.DUMMYFUNCTION("""COMPUTED_VALUE"""),"Gil")</f>
        <v>Gil</v>
      </c>
    </row>
    <row r="130">
      <c r="A130" s="85">
        <f>IFERROR(__xludf.DUMMYFUNCTION("""COMPUTED_VALUE"""),45361.0)</f>
        <v>45361</v>
      </c>
      <c r="B130" s="111">
        <f>IFERROR(__xludf.DUMMYFUNCTION("""COMPUTED_VALUE"""),20.0)</f>
        <v>20</v>
      </c>
      <c r="C130" s="79" t="str">
        <f>IFERROR(__xludf.DUMMYFUNCTION("""COMPUTED_VALUE"""),"Oscars Ballot")</f>
        <v>Oscars Ballot</v>
      </c>
      <c r="D130" s="79" t="str">
        <f>IFERROR(__xludf.DUMMYFUNCTION("""COMPUTED_VALUE"""),"Entertainment")</f>
        <v>Entertainment</v>
      </c>
      <c r="E130" s="108" t="str">
        <f t="shared" si="1"/>
        <v>Mar</v>
      </c>
      <c r="F130" s="79" t="str">
        <f>IFERROR(__xludf.DUMMYFUNCTION("""COMPUTED_VALUE"""),"Gil")</f>
        <v>Gil</v>
      </c>
    </row>
    <row r="131">
      <c r="A131" s="85">
        <f>IFERROR(__xludf.DUMMYFUNCTION("""COMPUTED_VALUE"""),45361.0)</f>
        <v>45361</v>
      </c>
      <c r="B131" s="110">
        <f>IFERROR(__xludf.DUMMYFUNCTION("""COMPUTED_VALUE"""),7.76)</f>
        <v>7.76</v>
      </c>
      <c r="C131" s="79" t="str">
        <f>IFERROR(__xludf.DUMMYFUNCTION("""COMPUTED_VALUE"""),"Bushwick Beer Market")</f>
        <v>Bushwick Beer Market</v>
      </c>
      <c r="D131" s="79" t="str">
        <f>IFERROR(__xludf.DUMMYFUNCTION("""COMPUTED_VALUE"""),"Alcohol/Weed")</f>
        <v>Alcohol/Weed</v>
      </c>
      <c r="E131" s="108" t="str">
        <f t="shared" si="1"/>
        <v>Mar</v>
      </c>
      <c r="F131" s="79" t="str">
        <f>IFERROR(__xludf.DUMMYFUNCTION("""COMPUTED_VALUE"""),"Gil")</f>
        <v>Gil</v>
      </c>
    </row>
    <row r="132">
      <c r="A132" s="85">
        <f>IFERROR(__xludf.DUMMYFUNCTION("""COMPUTED_VALUE"""),45363.0)</f>
        <v>45363</v>
      </c>
      <c r="B132" s="110">
        <f>IFERROR(__xludf.DUMMYFUNCTION("""COMPUTED_VALUE"""),6.17)</f>
        <v>6.17</v>
      </c>
      <c r="C132" s="79" t="str">
        <f>IFERROR(__xludf.DUMMYFUNCTION("""COMPUTED_VALUE"""),"Birch Coffee")</f>
        <v>Birch Coffee</v>
      </c>
      <c r="D132" s="79" t="str">
        <f>IFERROR(__xludf.DUMMYFUNCTION("""COMPUTED_VALUE"""),"Meals")</f>
        <v>Meals</v>
      </c>
      <c r="E132" s="108" t="str">
        <f t="shared" si="1"/>
        <v>Mar</v>
      </c>
      <c r="F132" s="79" t="str">
        <f>IFERROR(__xludf.DUMMYFUNCTION("""COMPUTED_VALUE"""),"Gil")</f>
        <v>Gil</v>
      </c>
    </row>
    <row r="133">
      <c r="A133" s="85">
        <f>IFERROR(__xludf.DUMMYFUNCTION("""COMPUTED_VALUE"""),45364.0)</f>
        <v>45364</v>
      </c>
      <c r="B133" s="111">
        <f>IFERROR(__xludf.DUMMYFUNCTION("""COMPUTED_VALUE"""),19.54)</f>
        <v>19.54</v>
      </c>
      <c r="C133" s="79" t="str">
        <f>IFERROR(__xludf.DUMMYFUNCTION("""COMPUTED_VALUE"""),"taïm")</f>
        <v>taïm</v>
      </c>
      <c r="D133" s="79" t="str">
        <f>IFERROR(__xludf.DUMMYFUNCTION("""COMPUTED_VALUE"""),"Work Meals")</f>
        <v>Work Meals</v>
      </c>
      <c r="E133" s="108" t="str">
        <f t="shared" si="1"/>
        <v>Mar</v>
      </c>
      <c r="F133" s="79" t="str">
        <f>IFERROR(__xludf.DUMMYFUNCTION("""COMPUTED_VALUE"""),"Gil")</f>
        <v>Gil</v>
      </c>
    </row>
    <row r="134">
      <c r="A134" s="85">
        <f>IFERROR(__xludf.DUMMYFUNCTION("""COMPUTED_VALUE"""),45365.0)</f>
        <v>45365</v>
      </c>
      <c r="B134" s="111">
        <f>IFERROR(__xludf.DUMMYFUNCTION("""COMPUTED_VALUE"""),38.55)</f>
        <v>38.55</v>
      </c>
      <c r="C134" s="79" t="str">
        <f>IFERROR(__xludf.DUMMYFUNCTION("""COMPUTED_VALUE"""),"Klom Klorm")</f>
        <v>Klom Klorm</v>
      </c>
      <c r="D134" s="79" t="str">
        <f>IFERROR(__xludf.DUMMYFUNCTION("""COMPUTED_VALUE"""),"Meals")</f>
        <v>Meals</v>
      </c>
      <c r="E134" s="108" t="str">
        <f t="shared" si="1"/>
        <v>Mar</v>
      </c>
      <c r="F134" s="79" t="str">
        <f>IFERROR(__xludf.DUMMYFUNCTION("""COMPUTED_VALUE"""),"Gil")</f>
        <v>Gil</v>
      </c>
    </row>
    <row r="135">
      <c r="A135" s="85">
        <f>IFERROR(__xludf.DUMMYFUNCTION("""COMPUTED_VALUE"""),45366.0)</f>
        <v>45366</v>
      </c>
      <c r="B135" s="111">
        <f>IFERROR(__xludf.DUMMYFUNCTION("""COMPUTED_VALUE"""),7.5)</f>
        <v>7.5</v>
      </c>
      <c r="C135" s="79" t="str">
        <f>IFERROR(__xludf.DUMMYFUNCTION("""COMPUTED_VALUE"""),"% Arabica %")</f>
        <v>% Arabica %</v>
      </c>
      <c r="D135" s="79" t="str">
        <f>IFERROR(__xludf.DUMMYFUNCTION("""COMPUTED_VALUE"""),"Meals")</f>
        <v>Meals</v>
      </c>
      <c r="E135" s="108" t="str">
        <f t="shared" si="1"/>
        <v>Mar</v>
      </c>
      <c r="F135" s="79" t="str">
        <f>IFERROR(__xludf.DUMMYFUNCTION("""COMPUTED_VALUE"""),"Gil")</f>
        <v>Gil</v>
      </c>
    </row>
    <row r="136">
      <c r="A136" s="85">
        <f>IFERROR(__xludf.DUMMYFUNCTION("""COMPUTED_VALUE"""),45367.0)</f>
        <v>45367</v>
      </c>
      <c r="B136" s="111">
        <f>IFERROR(__xludf.DUMMYFUNCTION("""COMPUTED_VALUE"""),10.72)</f>
        <v>10.72</v>
      </c>
      <c r="C136" s="79" t="str">
        <f>IFERROR(__xludf.DUMMYFUNCTION("""COMPUTED_VALUE"""),"La Colombe Philly")</f>
        <v>La Colombe Philly</v>
      </c>
      <c r="D136" s="79" t="str">
        <f>IFERROR(__xludf.DUMMYFUNCTION("""COMPUTED_VALUE"""),"Travel")</f>
        <v>Travel</v>
      </c>
      <c r="E136" s="108" t="str">
        <f t="shared" si="1"/>
        <v>Mar</v>
      </c>
      <c r="F136" s="79" t="str">
        <f>IFERROR(__xludf.DUMMYFUNCTION("""COMPUTED_VALUE"""),"Gil")</f>
        <v>Gil</v>
      </c>
    </row>
    <row r="137">
      <c r="A137" s="85">
        <f>IFERROR(__xludf.DUMMYFUNCTION("""COMPUTED_VALUE"""),45367.0)</f>
        <v>45367</v>
      </c>
      <c r="B137" s="110">
        <f>IFERROR(__xludf.DUMMYFUNCTION("""COMPUTED_VALUE"""),23.81)</f>
        <v>23.81</v>
      </c>
      <c r="C137" s="79" t="str">
        <f>IFERROR(__xludf.DUMMYFUNCTION("""COMPUTED_VALUE"""),"UberEats - Thai Hot Box")</f>
        <v>UberEats - Thai Hot Box</v>
      </c>
      <c r="D137" s="79" t="str">
        <f>IFERROR(__xludf.DUMMYFUNCTION("""COMPUTED_VALUE"""),"Work Meals")</f>
        <v>Work Meals</v>
      </c>
      <c r="E137" s="108" t="str">
        <f t="shared" si="1"/>
        <v>Mar</v>
      </c>
      <c r="F137" s="79" t="str">
        <f>IFERROR(__xludf.DUMMYFUNCTION("""COMPUTED_VALUE"""),"Gil")</f>
        <v>Gil</v>
      </c>
    </row>
    <row r="138">
      <c r="A138" s="85">
        <f>IFERROR(__xludf.DUMMYFUNCTION("""COMPUTED_VALUE"""),45367.0)</f>
        <v>45367</v>
      </c>
      <c r="B138" s="111">
        <f>IFERROR(__xludf.DUMMYFUNCTION("""COMPUTED_VALUE"""),5.63)</f>
        <v>5.63</v>
      </c>
      <c r="C138" s="79" t="str">
        <f>IFERROR(__xludf.DUMMYFUNCTION("""COMPUTED_VALUE"""),"Birch Coffee")</f>
        <v>Birch Coffee</v>
      </c>
      <c r="D138" s="79" t="str">
        <f>IFERROR(__xludf.DUMMYFUNCTION("""COMPUTED_VALUE"""),"Work Meals")</f>
        <v>Work Meals</v>
      </c>
      <c r="E138" s="108" t="str">
        <f t="shared" si="1"/>
        <v>Mar</v>
      </c>
      <c r="F138" s="79" t="str">
        <f>IFERROR(__xludf.DUMMYFUNCTION("""COMPUTED_VALUE"""),"Gil")</f>
        <v>Gil</v>
      </c>
    </row>
    <row r="139">
      <c r="A139" s="85">
        <f>IFERROR(__xludf.DUMMYFUNCTION("""COMPUTED_VALUE"""),45369.0)</f>
        <v>45369</v>
      </c>
      <c r="B139" s="111">
        <f>IFERROR(__xludf.DUMMYFUNCTION("""COMPUTED_VALUE"""),87.87)</f>
        <v>87.87</v>
      </c>
      <c r="C139" s="79" t="str">
        <f>IFERROR(__xludf.DUMMYFUNCTION("""COMPUTED_VALUE"""),"Poshmark - Reebok ")</f>
        <v>Poshmark - Reebok </v>
      </c>
      <c r="D139" s="79" t="str">
        <f>IFERROR(__xludf.DUMMYFUNCTION("""COMPUTED_VALUE"""),"Clothing")</f>
        <v>Clothing</v>
      </c>
      <c r="E139" s="108" t="str">
        <f t="shared" si="1"/>
        <v>Mar</v>
      </c>
      <c r="F139" s="79" t="str">
        <f>IFERROR(__xludf.DUMMYFUNCTION("""COMPUTED_VALUE"""),"Gil")</f>
        <v>Gil</v>
      </c>
    </row>
    <row r="140">
      <c r="A140" s="85">
        <f>IFERROR(__xludf.DUMMYFUNCTION("""COMPUTED_VALUE"""),45370.0)</f>
        <v>45370</v>
      </c>
      <c r="B140" s="111">
        <f>IFERROR(__xludf.DUMMYFUNCTION("""COMPUTED_VALUE"""),16.59)</f>
        <v>16.59</v>
      </c>
      <c r="C140" s="79" t="str">
        <f>IFERROR(__xludf.DUMMYFUNCTION("""COMPUTED_VALUE"""),"King of Falafel")</f>
        <v>King of Falafel</v>
      </c>
      <c r="D140" s="79" t="str">
        <f>IFERROR(__xludf.DUMMYFUNCTION("""COMPUTED_VALUE"""),"Work Meals")</f>
        <v>Work Meals</v>
      </c>
      <c r="E140" s="108" t="str">
        <f t="shared" si="1"/>
        <v>Mar</v>
      </c>
      <c r="F140" s="79" t="str">
        <f>IFERROR(__xludf.DUMMYFUNCTION("""COMPUTED_VALUE"""),"Gil")</f>
        <v>Gil</v>
      </c>
    </row>
    <row r="141">
      <c r="A141" s="85">
        <f>IFERROR(__xludf.DUMMYFUNCTION("""COMPUTED_VALUE"""),45372.0)</f>
        <v>45372</v>
      </c>
      <c r="B141" s="111">
        <f>IFERROR(__xludf.DUMMYFUNCTION("""COMPUTED_VALUE"""),16.32)</f>
        <v>16.32</v>
      </c>
      <c r="C141" s="79" t="str">
        <f>IFERROR(__xludf.DUMMYFUNCTION("""COMPUTED_VALUE"""),"Raising Cane's")</f>
        <v>Raising Cane's</v>
      </c>
      <c r="D141" s="79" t="str">
        <f>IFERROR(__xludf.DUMMYFUNCTION("""COMPUTED_VALUE"""),"Work Meals")</f>
        <v>Work Meals</v>
      </c>
      <c r="E141" s="108" t="str">
        <f t="shared" si="1"/>
        <v>Mar</v>
      </c>
      <c r="F141" s="79" t="str">
        <f>IFERROR(__xludf.DUMMYFUNCTION("""COMPUTED_VALUE"""),"Gil")</f>
        <v>Gil</v>
      </c>
    </row>
    <row r="142">
      <c r="A142" s="85">
        <f>IFERROR(__xludf.DUMMYFUNCTION("""COMPUTED_VALUE"""),45373.0)</f>
        <v>45373</v>
      </c>
      <c r="B142" s="111">
        <f>IFERROR(__xludf.DUMMYFUNCTION("""COMPUTED_VALUE"""),13.43)</f>
        <v>13.43</v>
      </c>
      <c r="C142" s="79" t="str">
        <f>IFERROR(__xludf.DUMMYFUNCTION("""COMPUTED_VALUE"""),"Takahachi Bakery")</f>
        <v>Takahachi Bakery</v>
      </c>
      <c r="D142" s="79" t="str">
        <f>IFERROR(__xludf.DUMMYFUNCTION("""COMPUTED_VALUE"""),"Meals")</f>
        <v>Meals</v>
      </c>
      <c r="E142" s="108" t="str">
        <f t="shared" si="1"/>
        <v>Mar</v>
      </c>
      <c r="F142" s="79" t="str">
        <f>IFERROR(__xludf.DUMMYFUNCTION("""COMPUTED_VALUE"""),"Gil")</f>
        <v>Gil</v>
      </c>
    </row>
    <row r="143">
      <c r="A143" s="85">
        <f>IFERROR(__xludf.DUMMYFUNCTION("""COMPUTED_VALUE"""),45373.0)</f>
        <v>45373</v>
      </c>
      <c r="B143" s="111">
        <f>IFERROR(__xludf.DUMMYFUNCTION("""COMPUTED_VALUE"""),5.05)</f>
        <v>5.05</v>
      </c>
      <c r="C143" s="79" t="str">
        <f>IFERROR(__xludf.DUMMYFUNCTION("""COMPUTED_VALUE"""),"Variety Coffee")</f>
        <v>Variety Coffee</v>
      </c>
      <c r="D143" s="79" t="str">
        <f>IFERROR(__xludf.DUMMYFUNCTION("""COMPUTED_VALUE"""),"Meals")</f>
        <v>Meals</v>
      </c>
      <c r="E143" s="108" t="str">
        <f t="shared" si="1"/>
        <v>Mar</v>
      </c>
      <c r="F143" s="79" t="str">
        <f>IFERROR(__xludf.DUMMYFUNCTION("""COMPUTED_VALUE"""),"Gil")</f>
        <v>Gil</v>
      </c>
    </row>
    <row r="144">
      <c r="A144" s="85">
        <f>IFERROR(__xludf.DUMMYFUNCTION("""COMPUTED_VALUE"""),45374.0)</f>
        <v>45374</v>
      </c>
      <c r="B144" s="111">
        <f>IFERROR(__xludf.DUMMYFUNCTION("""COMPUTED_VALUE"""),35.4)</f>
        <v>35.4</v>
      </c>
      <c r="C144" s="79" t="str">
        <f>IFERROR(__xludf.DUMMYFUNCTION("""COMPUTED_VALUE"""),"Thai Hot Box")</f>
        <v>Thai Hot Box</v>
      </c>
      <c r="D144" s="79" t="str">
        <f>IFERROR(__xludf.DUMMYFUNCTION("""COMPUTED_VALUE"""),"Work Meals")</f>
        <v>Work Meals</v>
      </c>
      <c r="E144" s="108" t="str">
        <f t="shared" si="1"/>
        <v>Mar</v>
      </c>
      <c r="F144" s="79" t="str">
        <f>IFERROR(__xludf.DUMMYFUNCTION("""COMPUTED_VALUE"""),"Gil")</f>
        <v>Gil</v>
      </c>
    </row>
    <row r="145">
      <c r="A145" s="85">
        <f>IFERROR(__xludf.DUMMYFUNCTION("""COMPUTED_VALUE"""),45374.0)</f>
        <v>45374</v>
      </c>
      <c r="B145" s="111">
        <f>IFERROR(__xludf.DUMMYFUNCTION("""COMPUTED_VALUE"""),299.92)</f>
        <v>299.92</v>
      </c>
      <c r="C145" s="79" t="str">
        <f>IFERROR(__xludf.DUMMYFUNCTION("""COMPUTED_VALUE"""),"Equinox")</f>
        <v>Equinox</v>
      </c>
      <c r="D145" s="79" t="str">
        <f>IFERROR(__xludf.DUMMYFUNCTION("""COMPUTED_VALUE"""),"Gym")</f>
        <v>Gym</v>
      </c>
      <c r="E145" s="108" t="str">
        <f t="shared" si="1"/>
        <v>Mar</v>
      </c>
      <c r="F145" s="79" t="str">
        <f>IFERROR(__xludf.DUMMYFUNCTION("""COMPUTED_VALUE"""),"Gil")</f>
        <v>Gil</v>
      </c>
    </row>
    <row r="146">
      <c r="A146" s="85">
        <f>IFERROR(__xludf.DUMMYFUNCTION("""COMPUTED_VALUE"""),45372.0)</f>
        <v>45372</v>
      </c>
      <c r="B146" s="111">
        <f>IFERROR(__xludf.DUMMYFUNCTION("""COMPUTED_VALUE"""),92.15)</f>
        <v>92.15</v>
      </c>
      <c r="C146" s="79" t="str">
        <f>IFERROR(__xludf.DUMMYFUNCTION("""COMPUTED_VALUE"""),"HawkHouse")</f>
        <v>HawkHouse</v>
      </c>
      <c r="D146" s="79" t="str">
        <f>IFERROR(__xludf.DUMMYFUNCTION("""COMPUTED_VALUE"""),"Personal")</f>
        <v>Personal</v>
      </c>
      <c r="E146" s="108" t="str">
        <f t="shared" si="1"/>
        <v>Mar</v>
      </c>
      <c r="F146" s="79" t="str">
        <f>IFERROR(__xludf.DUMMYFUNCTION("""COMPUTED_VALUE"""),"Shaeffer")</f>
        <v>Shaeffer</v>
      </c>
    </row>
    <row r="147">
      <c r="A147" s="85">
        <f>IFERROR(__xludf.DUMMYFUNCTION("""COMPUTED_VALUE"""),45353.0)</f>
        <v>45353</v>
      </c>
      <c r="B147" s="111">
        <f>IFERROR(__xludf.DUMMYFUNCTION("""COMPUTED_VALUE"""),12.16)</f>
        <v>12.16</v>
      </c>
      <c r="C147" s="79" t="str">
        <f>IFERROR(__xludf.DUMMYFUNCTION("""COMPUTED_VALUE"""),"cloud storage")</f>
        <v>cloud storage</v>
      </c>
      <c r="D147" s="79" t="str">
        <f>IFERROR(__xludf.DUMMYFUNCTION("""COMPUTED_VALUE"""),"Subscriptions")</f>
        <v>Subscriptions</v>
      </c>
      <c r="E147" s="108" t="str">
        <f t="shared" si="1"/>
        <v>Mar</v>
      </c>
      <c r="F147" s="79" t="str">
        <f>IFERROR(__xludf.DUMMYFUNCTION("""COMPUTED_VALUE"""),"Shaeffer")</f>
        <v>Shaeffer</v>
      </c>
    </row>
    <row r="148">
      <c r="A148" s="85">
        <f>IFERROR(__xludf.DUMMYFUNCTION("""COMPUTED_VALUE"""),45367.0)</f>
        <v>45367</v>
      </c>
      <c r="B148" s="111">
        <f>IFERROR(__xludf.DUMMYFUNCTION("""COMPUTED_VALUE"""),20.3)</f>
        <v>20.3</v>
      </c>
      <c r="C148" s="79" t="str">
        <f>IFERROR(__xludf.DUMMYFUNCTION("""COMPUTED_VALUE"""),"small oven pastry")</f>
        <v>small oven pastry</v>
      </c>
      <c r="D148" s="79" t="str">
        <f>IFERROR(__xludf.DUMMYFUNCTION("""COMPUTED_VALUE"""),"Entertainment")</f>
        <v>Entertainment</v>
      </c>
      <c r="E148" s="108" t="str">
        <f t="shared" si="1"/>
        <v>Mar</v>
      </c>
      <c r="F148" s="79" t="str">
        <f>IFERROR(__xludf.DUMMYFUNCTION("""COMPUTED_VALUE"""),"Shaeffer")</f>
        <v>Shaeffer</v>
      </c>
    </row>
    <row r="149">
      <c r="A149" s="85">
        <f>IFERROR(__xludf.DUMMYFUNCTION("""COMPUTED_VALUE"""),45363.0)</f>
        <v>45363</v>
      </c>
      <c r="B149" s="111">
        <f>IFERROR(__xludf.DUMMYFUNCTION("""COMPUTED_VALUE"""),47.5)</f>
        <v>47.5</v>
      </c>
      <c r="C149" s="79" t="str">
        <f>IFERROR(__xludf.DUMMYFUNCTION("""COMPUTED_VALUE"""),"annica-venmo-old townebar")</f>
        <v>annica-venmo-old townebar</v>
      </c>
      <c r="D149" s="79" t="str">
        <f>IFERROR(__xludf.DUMMYFUNCTION("""COMPUTED_VALUE"""),"Entertainment")</f>
        <v>Entertainment</v>
      </c>
      <c r="E149" s="108" t="str">
        <f t="shared" si="1"/>
        <v>Mar</v>
      </c>
      <c r="F149" s="79" t="str">
        <f>IFERROR(__xludf.DUMMYFUNCTION("""COMPUTED_VALUE"""),"Shaeffer")</f>
        <v>Shaeffer</v>
      </c>
    </row>
    <row r="150">
      <c r="A150" s="85">
        <f>IFERROR(__xludf.DUMMYFUNCTION("""COMPUTED_VALUE"""),45365.0)</f>
        <v>45365</v>
      </c>
      <c r="B150" s="111">
        <f>IFERROR(__xludf.DUMMYFUNCTION("""COMPUTED_VALUE"""),30.0)</f>
        <v>30</v>
      </c>
      <c r="C150" s="79" t="str">
        <f>IFERROR(__xludf.DUMMYFUNCTION("""COMPUTED_VALUE"""),"venmo-miko-323 internet")</f>
        <v>venmo-miko-323 internet</v>
      </c>
      <c r="D150" s="79" t="str">
        <f>IFERROR(__xludf.DUMMYFUNCTION("""COMPUTED_VALUE"""),"Studio")</f>
        <v>Studio</v>
      </c>
      <c r="E150" s="108" t="str">
        <f t="shared" si="1"/>
        <v>Mar</v>
      </c>
      <c r="F150" s="79" t="str">
        <f>IFERROR(__xludf.DUMMYFUNCTION("""COMPUTED_VALUE"""),"Shaeffer")</f>
        <v>Shaeffer</v>
      </c>
    </row>
    <row r="151">
      <c r="A151" s="85">
        <f>IFERROR(__xludf.DUMMYFUNCTION("""COMPUTED_VALUE"""),45365.0)</f>
        <v>45365</v>
      </c>
      <c r="B151" s="111">
        <f>IFERROR(__xludf.DUMMYFUNCTION("""COMPUTED_VALUE"""),20.0)</f>
        <v>20</v>
      </c>
      <c r="C151" s="79" t="str">
        <f>IFERROR(__xludf.DUMMYFUNCTION("""COMPUTED_VALUE"""),"venmo-dale-dune")</f>
        <v>venmo-dale-dune</v>
      </c>
      <c r="D151" s="79" t="str">
        <f>IFERROR(__xludf.DUMMYFUNCTION("""COMPUTED_VALUE"""),"Entertainment")</f>
        <v>Entertainment</v>
      </c>
      <c r="E151" s="108" t="str">
        <f t="shared" si="1"/>
        <v>Mar</v>
      </c>
      <c r="F151" s="79" t="str">
        <f>IFERROR(__xludf.DUMMYFUNCTION("""COMPUTED_VALUE"""),"Shaeffer")</f>
        <v>Shaeffer</v>
      </c>
    </row>
    <row r="152">
      <c r="A152" s="85">
        <f>IFERROR(__xludf.DUMMYFUNCTION("""COMPUTED_VALUE"""),45366.0)</f>
        <v>45366</v>
      </c>
      <c r="B152" s="111">
        <f>IFERROR(__xludf.DUMMYFUNCTION("""COMPUTED_VALUE"""),18.0)</f>
        <v>18</v>
      </c>
      <c r="C152" s="79" t="str">
        <f>IFERROR(__xludf.DUMMYFUNCTION("""COMPUTED_VALUE"""),"venmo-lili-roxy hotel")</f>
        <v>venmo-lili-roxy hotel</v>
      </c>
      <c r="D152" s="79" t="str">
        <f>IFERROR(__xludf.DUMMYFUNCTION("""COMPUTED_VALUE"""),"Alcohol/Weed")</f>
        <v>Alcohol/Weed</v>
      </c>
      <c r="E152" s="108" t="str">
        <f t="shared" si="1"/>
        <v>Mar</v>
      </c>
      <c r="F152" s="79" t="str">
        <f>IFERROR(__xludf.DUMMYFUNCTION("""COMPUTED_VALUE"""),"Shaeffer")</f>
        <v>Shaeffer</v>
      </c>
    </row>
    <row r="153">
      <c r="A153" s="85">
        <f>IFERROR(__xludf.DUMMYFUNCTION("""COMPUTED_VALUE"""),45374.0)</f>
        <v>45374</v>
      </c>
      <c r="B153" s="111">
        <f>IFERROR(__xludf.DUMMYFUNCTION("""COMPUTED_VALUE"""),25.0)</f>
        <v>25</v>
      </c>
      <c r="C153" s="79" t="str">
        <f>IFERROR(__xludf.DUMMYFUNCTION("""COMPUTED_VALUE"""),"venmo-kim-newtown")</f>
        <v>venmo-kim-newtown</v>
      </c>
      <c r="D153" s="79" t="str">
        <f>IFERROR(__xludf.DUMMYFUNCTION("""COMPUTED_VALUE"""),"Meals")</f>
        <v>Meals</v>
      </c>
      <c r="E153" s="108" t="str">
        <f t="shared" si="1"/>
        <v>Mar</v>
      </c>
      <c r="F153" s="79" t="str">
        <f>IFERROR(__xludf.DUMMYFUNCTION("""COMPUTED_VALUE"""),"Shaeffer")</f>
        <v>Shaeffer</v>
      </c>
    </row>
    <row r="154">
      <c r="A154" s="85">
        <f>IFERROR(__xludf.DUMMYFUNCTION("""COMPUTED_VALUE"""),45356.0)</f>
        <v>45356</v>
      </c>
      <c r="B154" s="111">
        <f>IFERROR(__xludf.DUMMYFUNCTION("""COMPUTED_VALUE"""),169.25)</f>
        <v>169.25</v>
      </c>
      <c r="C154" s="79" t="str">
        <f>IFERROR(__xludf.DUMMYFUNCTION("""COMPUTED_VALUE"""),"323 studio electric/mailroom")</f>
        <v>323 studio electric/mailroom</v>
      </c>
      <c r="D154" s="79" t="str">
        <f>IFERROR(__xludf.DUMMYFUNCTION("""COMPUTED_VALUE"""),"Studio")</f>
        <v>Studio</v>
      </c>
      <c r="E154" s="108" t="str">
        <f t="shared" si="1"/>
        <v>Mar</v>
      </c>
      <c r="F154" s="79" t="str">
        <f>IFERROR(__xludf.DUMMYFUNCTION("""COMPUTED_VALUE"""),"Shaeffer")</f>
        <v>Shaeffer</v>
      </c>
    </row>
    <row r="155">
      <c r="A155" s="85">
        <f>IFERROR(__xludf.DUMMYFUNCTION("""COMPUTED_VALUE"""),45359.0)</f>
        <v>45359</v>
      </c>
      <c r="B155" s="111">
        <f>IFERROR(__xludf.DUMMYFUNCTION("""COMPUTED_VALUE"""),875.0)</f>
        <v>875</v>
      </c>
      <c r="C155" s="79" t="str">
        <f>IFERROR(__xludf.DUMMYFUNCTION("""COMPUTED_VALUE"""),"323 rent")</f>
        <v>323 rent</v>
      </c>
      <c r="D155" s="79" t="str">
        <f>IFERROR(__xludf.DUMMYFUNCTION("""COMPUTED_VALUE"""),"Studio")</f>
        <v>Studio</v>
      </c>
      <c r="E155" s="108" t="str">
        <f t="shared" si="1"/>
        <v>Mar</v>
      </c>
      <c r="F155" s="79" t="str">
        <f>IFERROR(__xludf.DUMMYFUNCTION("""COMPUTED_VALUE"""),"Shaeffer")</f>
        <v>Shaeffer</v>
      </c>
    </row>
    <row r="156">
      <c r="A156" s="85">
        <f>IFERROR(__xludf.DUMMYFUNCTION("""COMPUTED_VALUE"""),45353.0)</f>
        <v>45353</v>
      </c>
      <c r="B156" s="111">
        <f>IFERROR(__xludf.DUMMYFUNCTION("""COMPUTED_VALUE"""),11.69)</f>
        <v>11.69</v>
      </c>
      <c r="C156" s="79" t="str">
        <f>IFERROR(__xludf.DUMMYFUNCTION("""COMPUTED_VALUE"""),"lyft")</f>
        <v>lyft</v>
      </c>
      <c r="D156" s="79" t="str">
        <f>IFERROR(__xludf.DUMMYFUNCTION("""COMPUTED_VALUE"""),"Transportation")</f>
        <v>Transportation</v>
      </c>
      <c r="E156" s="108" t="str">
        <f t="shared" si="1"/>
        <v>Mar</v>
      </c>
      <c r="F156" s="79" t="str">
        <f>IFERROR(__xludf.DUMMYFUNCTION("""COMPUTED_VALUE"""),"Shaeffer")</f>
        <v>Shaeffer</v>
      </c>
    </row>
    <row r="157">
      <c r="A157" s="85">
        <f>IFERROR(__xludf.DUMMYFUNCTION("""COMPUTED_VALUE"""),45354.0)</f>
        <v>45354</v>
      </c>
      <c r="B157" s="111">
        <f>IFERROR(__xludf.DUMMYFUNCTION("""COMPUTED_VALUE"""),6.0)</f>
        <v>6</v>
      </c>
      <c r="C157" s="79" t="str">
        <f>IFERROR(__xludf.DUMMYFUNCTION("""COMPUTED_VALUE"""),"koneko")</f>
        <v>koneko</v>
      </c>
      <c r="D157" s="79" t="str">
        <f>IFERROR(__xludf.DUMMYFUNCTION("""COMPUTED_VALUE"""),"Meals")</f>
        <v>Meals</v>
      </c>
      <c r="E157" s="108" t="str">
        <f t="shared" si="1"/>
        <v>Mar</v>
      </c>
      <c r="F157" s="79" t="str">
        <f>IFERROR(__xludf.DUMMYFUNCTION("""COMPUTED_VALUE"""),"Shaeffer")</f>
        <v>Shaeffer</v>
      </c>
    </row>
    <row r="158">
      <c r="A158" s="85">
        <f>IFERROR(__xludf.DUMMYFUNCTION("""COMPUTED_VALUE"""),45355.0)</f>
        <v>45355</v>
      </c>
      <c r="B158" s="111">
        <f>IFERROR(__xludf.DUMMYFUNCTION("""COMPUTED_VALUE"""),43.55)</f>
        <v>43.55</v>
      </c>
      <c r="C158" s="79" t="str">
        <f>IFERROR(__xludf.DUMMYFUNCTION("""COMPUTED_VALUE"""),"seamless")</f>
        <v>seamless</v>
      </c>
      <c r="D158" s="79" t="str">
        <f>IFERROR(__xludf.DUMMYFUNCTION("""COMPUTED_VALUE"""),"Meals")</f>
        <v>Meals</v>
      </c>
      <c r="E158" s="108" t="str">
        <f t="shared" si="1"/>
        <v>Mar</v>
      </c>
      <c r="F158" s="79" t="str">
        <f>IFERROR(__xludf.DUMMYFUNCTION("""COMPUTED_VALUE"""),"Shaeffer")</f>
        <v>Shaeffer</v>
      </c>
    </row>
    <row r="159">
      <c r="A159" s="85">
        <f>IFERROR(__xludf.DUMMYFUNCTION("""COMPUTED_VALUE"""),45355.0)</f>
        <v>45355</v>
      </c>
      <c r="B159" s="111">
        <f>IFERROR(__xludf.DUMMYFUNCTION("""COMPUTED_VALUE"""),5.63)</f>
        <v>5.63</v>
      </c>
      <c r="C159" s="79" t="str">
        <f>IFERROR(__xludf.DUMMYFUNCTION("""COMPUTED_VALUE"""),"birch coffee")</f>
        <v>birch coffee</v>
      </c>
      <c r="D159" s="79" t="str">
        <f>IFERROR(__xludf.DUMMYFUNCTION("""COMPUTED_VALUE"""),"Meals")</f>
        <v>Meals</v>
      </c>
      <c r="E159" s="108" t="str">
        <f t="shared" si="1"/>
        <v>Mar</v>
      </c>
      <c r="F159" s="79" t="str">
        <f>IFERROR(__xludf.DUMMYFUNCTION("""COMPUTED_VALUE"""),"Shaeffer")</f>
        <v>Shaeffer</v>
      </c>
    </row>
    <row r="160">
      <c r="A160" s="85">
        <f>IFERROR(__xludf.DUMMYFUNCTION("""COMPUTED_VALUE"""),45356.0)</f>
        <v>45356</v>
      </c>
      <c r="B160" s="111">
        <f>IFERROR(__xludf.DUMMYFUNCTION("""COMPUTED_VALUE"""),5.43)</f>
        <v>5.43</v>
      </c>
      <c r="C160" s="79" t="str">
        <f>IFERROR(__xludf.DUMMYFUNCTION("""COMPUTED_VALUE"""),"duane reade")</f>
        <v>duane reade</v>
      </c>
      <c r="D160" s="79" t="str">
        <f>IFERROR(__xludf.DUMMYFUNCTION("""COMPUTED_VALUE"""),"Personal")</f>
        <v>Personal</v>
      </c>
      <c r="E160" s="108" t="str">
        <f t="shared" si="1"/>
        <v>Mar</v>
      </c>
      <c r="F160" s="79" t="str">
        <f>IFERROR(__xludf.DUMMYFUNCTION("""COMPUTED_VALUE"""),"Shaeffer")</f>
        <v>Shaeffer</v>
      </c>
    </row>
    <row r="161">
      <c r="A161" s="85">
        <f>IFERROR(__xludf.DUMMYFUNCTION("""COMPUTED_VALUE"""),45356.0)</f>
        <v>45356</v>
      </c>
      <c r="B161" s="111">
        <f>IFERROR(__xludf.DUMMYFUNCTION("""COMPUTED_VALUE"""),11.6)</f>
        <v>11.6</v>
      </c>
      <c r="C161" s="79" t="str">
        <f>IFERROR(__xludf.DUMMYFUNCTION("""COMPUTED_VALUE"""),"westside market")</f>
        <v>westside market</v>
      </c>
      <c r="D161" s="79" t="str">
        <f>IFERROR(__xludf.DUMMYFUNCTION("""COMPUTED_VALUE"""),"Meals")</f>
        <v>Meals</v>
      </c>
      <c r="E161" s="108" t="str">
        <f t="shared" si="1"/>
        <v>Mar</v>
      </c>
      <c r="F161" s="79" t="str">
        <f>IFERROR(__xludf.DUMMYFUNCTION("""COMPUTED_VALUE"""),"Shaeffer")</f>
        <v>Shaeffer</v>
      </c>
    </row>
    <row r="162">
      <c r="A162" s="85">
        <f>IFERROR(__xludf.DUMMYFUNCTION("""COMPUTED_VALUE"""),45357.0)</f>
        <v>45357</v>
      </c>
      <c r="B162" s="111">
        <f>IFERROR(__xludf.DUMMYFUNCTION("""COMPUTED_VALUE"""),4.99)</f>
        <v>4.99</v>
      </c>
      <c r="C162" s="79" t="str">
        <f>IFERROR(__xludf.DUMMYFUNCTION("""COMPUTED_VALUE"""),"mr lemon")</f>
        <v>mr lemon</v>
      </c>
      <c r="D162" s="79" t="str">
        <f>IFERROR(__xludf.DUMMYFUNCTION("""COMPUTED_VALUE"""),"Meals")</f>
        <v>Meals</v>
      </c>
      <c r="E162" s="108" t="str">
        <f t="shared" si="1"/>
        <v>Mar</v>
      </c>
      <c r="F162" s="79" t="str">
        <f>IFERROR(__xludf.DUMMYFUNCTION("""COMPUTED_VALUE"""),"Shaeffer")</f>
        <v>Shaeffer</v>
      </c>
    </row>
    <row r="163">
      <c r="A163" s="85">
        <f>IFERROR(__xludf.DUMMYFUNCTION("""COMPUTED_VALUE"""),45358.0)</f>
        <v>45358</v>
      </c>
      <c r="B163" s="111">
        <f>IFERROR(__xludf.DUMMYFUNCTION("""COMPUTED_VALUE"""),5.63)</f>
        <v>5.63</v>
      </c>
      <c r="C163" s="79" t="str">
        <f>IFERROR(__xludf.DUMMYFUNCTION("""COMPUTED_VALUE"""),"birch coffee")</f>
        <v>birch coffee</v>
      </c>
      <c r="D163" s="79" t="str">
        <f>IFERROR(__xludf.DUMMYFUNCTION("""COMPUTED_VALUE"""),"Meals")</f>
        <v>Meals</v>
      </c>
      <c r="E163" s="108" t="str">
        <f t="shared" si="1"/>
        <v>Mar</v>
      </c>
      <c r="F163" s="79" t="str">
        <f>IFERROR(__xludf.DUMMYFUNCTION("""COMPUTED_VALUE"""),"Shaeffer")</f>
        <v>Shaeffer</v>
      </c>
    </row>
    <row r="164">
      <c r="A164" s="85">
        <f>IFERROR(__xludf.DUMMYFUNCTION("""COMPUTED_VALUE"""),45360.0)</f>
        <v>45360</v>
      </c>
      <c r="B164" s="111">
        <f>IFERROR(__xludf.DUMMYFUNCTION("""COMPUTED_VALUE"""),5.08)</f>
        <v>5.08</v>
      </c>
      <c r="C164" s="79" t="str">
        <f>IFERROR(__xludf.DUMMYFUNCTION("""COMPUTED_VALUE"""),"variety")</f>
        <v>variety</v>
      </c>
      <c r="D164" s="79" t="str">
        <f>IFERROR(__xludf.DUMMYFUNCTION("""COMPUTED_VALUE"""),"Meals")</f>
        <v>Meals</v>
      </c>
      <c r="E164" s="108" t="str">
        <f t="shared" si="1"/>
        <v>Mar</v>
      </c>
      <c r="F164" s="79" t="str">
        <f>IFERROR(__xludf.DUMMYFUNCTION("""COMPUTED_VALUE"""),"Shaeffer")</f>
        <v>Shaeffer</v>
      </c>
    </row>
    <row r="165">
      <c r="A165" s="85">
        <f>IFERROR(__xludf.DUMMYFUNCTION("""COMPUTED_VALUE"""),45360.0)</f>
        <v>45360</v>
      </c>
      <c r="B165" s="111">
        <f>IFERROR(__xludf.DUMMYFUNCTION("""COMPUTED_VALUE"""),25.03)</f>
        <v>25.03</v>
      </c>
      <c r="C165" s="79" t="str">
        <f>IFERROR(__xludf.DUMMYFUNCTION("""COMPUTED_VALUE"""),"irving bottle")</f>
        <v>irving bottle</v>
      </c>
      <c r="D165" s="79" t="str">
        <f>IFERROR(__xludf.DUMMYFUNCTION("""COMPUTED_VALUE"""),"Alcohol/Weed")</f>
        <v>Alcohol/Weed</v>
      </c>
      <c r="E165" s="108" t="str">
        <f t="shared" si="1"/>
        <v>Mar</v>
      </c>
      <c r="F165" s="79" t="str">
        <f>IFERROR(__xludf.DUMMYFUNCTION("""COMPUTED_VALUE"""),"Shaeffer")</f>
        <v>Shaeffer</v>
      </c>
    </row>
    <row r="166">
      <c r="A166" s="85">
        <f>IFERROR(__xludf.DUMMYFUNCTION("""COMPUTED_VALUE"""),45361.0)</f>
        <v>45361</v>
      </c>
      <c r="B166" s="111">
        <f>IFERROR(__xludf.DUMMYFUNCTION("""COMPUTED_VALUE"""),43.15)</f>
        <v>43.15</v>
      </c>
      <c r="C166" s="79" t="str">
        <f>IFERROR(__xludf.DUMMYFUNCTION("""COMPUTED_VALUE"""),"ylm arcmead")</f>
        <v>ylm arcmead</v>
      </c>
      <c r="D166" s="79" t="str">
        <f>IFERROR(__xludf.DUMMYFUNCTION("""COMPUTED_VALUE"""),"Personal")</f>
        <v>Personal</v>
      </c>
      <c r="E166" s="108" t="str">
        <f t="shared" si="1"/>
        <v>Mar</v>
      </c>
      <c r="F166" s="79" t="str">
        <f>IFERROR(__xludf.DUMMYFUNCTION("""COMPUTED_VALUE"""),"Shaeffer")</f>
        <v>Shaeffer</v>
      </c>
    </row>
    <row r="167">
      <c r="A167" s="85">
        <f>IFERROR(__xludf.DUMMYFUNCTION("""COMPUTED_VALUE"""),45362.0)</f>
        <v>45362</v>
      </c>
      <c r="B167" s="111">
        <f>IFERROR(__xludf.DUMMYFUNCTION("""COMPUTED_VALUE"""),149.0)</f>
        <v>149</v>
      </c>
      <c r="C167" s="79" t="str">
        <f>IFERROR(__xludf.DUMMYFUNCTION("""COMPUTED_VALUE"""),"zen business")</f>
        <v>zen business</v>
      </c>
      <c r="D167" s="79" t="str">
        <f>IFERROR(__xludf.DUMMYFUNCTION("""COMPUTED_VALUE"""),"Studio")</f>
        <v>Studio</v>
      </c>
      <c r="E167" s="108" t="str">
        <f t="shared" si="1"/>
        <v>Mar</v>
      </c>
      <c r="F167" s="79" t="str">
        <f>IFERROR(__xludf.DUMMYFUNCTION("""COMPUTED_VALUE"""),"Shaeffer")</f>
        <v>Shaeffer</v>
      </c>
    </row>
    <row r="168">
      <c r="A168" s="85">
        <f>IFERROR(__xludf.DUMMYFUNCTION("""COMPUTED_VALUE"""),45363.0)</f>
        <v>45363</v>
      </c>
      <c r="B168" s="111">
        <f>IFERROR(__xludf.DUMMYFUNCTION("""COMPUTED_VALUE"""),5.99)</f>
        <v>5.99</v>
      </c>
      <c r="C168" s="79" t="str">
        <f>IFERROR(__xludf.DUMMYFUNCTION("""COMPUTED_VALUE"""),"lyft")</f>
        <v>lyft</v>
      </c>
      <c r="D168" s="79" t="str">
        <f>IFERROR(__xludf.DUMMYFUNCTION("""COMPUTED_VALUE"""),"Transportation")</f>
        <v>Transportation</v>
      </c>
      <c r="E168" s="108" t="str">
        <f t="shared" si="1"/>
        <v>Mar</v>
      </c>
      <c r="F168" s="79" t="str">
        <f>IFERROR(__xludf.DUMMYFUNCTION("""COMPUTED_VALUE"""),"Shaeffer")</f>
        <v>Shaeffer</v>
      </c>
    </row>
    <row r="169">
      <c r="A169" s="85">
        <f>IFERROR(__xludf.DUMMYFUNCTION("""COMPUTED_VALUE"""),45365.0)</f>
        <v>45365</v>
      </c>
      <c r="B169" s="111">
        <f>IFERROR(__xludf.DUMMYFUNCTION("""COMPUTED_VALUE"""),39.2)</f>
        <v>39.2</v>
      </c>
      <c r="C169" s="79" t="str">
        <f>IFERROR(__xludf.DUMMYFUNCTION("""COMPUTED_VALUE"""),"roxy hotel")</f>
        <v>roxy hotel</v>
      </c>
      <c r="D169" s="79" t="str">
        <f>IFERROR(__xludf.DUMMYFUNCTION("""COMPUTED_VALUE"""),"Alcohol/Weed")</f>
        <v>Alcohol/Weed</v>
      </c>
      <c r="E169" s="108" t="str">
        <f t="shared" si="1"/>
        <v>Mar</v>
      </c>
      <c r="F169" s="79" t="str">
        <f>IFERROR(__xludf.DUMMYFUNCTION("""COMPUTED_VALUE"""),"Shaeffer")</f>
        <v>Shaeffer</v>
      </c>
    </row>
    <row r="170">
      <c r="A170" s="85">
        <f>IFERROR(__xludf.DUMMYFUNCTION("""COMPUTED_VALUE"""),45366.0)</f>
        <v>45366</v>
      </c>
      <c r="B170" s="111">
        <f>IFERROR(__xludf.DUMMYFUNCTION("""COMPUTED_VALUE"""),16.32)</f>
        <v>16.32</v>
      </c>
      <c r="C170" s="79" t="str">
        <f>IFERROR(__xludf.DUMMYFUNCTION("""COMPUTED_VALUE"""),"lenwich")</f>
        <v>lenwich</v>
      </c>
      <c r="D170" s="79" t="str">
        <f>IFERROR(__xludf.DUMMYFUNCTION("""COMPUTED_VALUE"""),"Work Meals")</f>
        <v>Work Meals</v>
      </c>
      <c r="E170" s="108" t="str">
        <f t="shared" si="1"/>
        <v>Mar</v>
      </c>
      <c r="F170" s="79" t="str">
        <f>IFERROR(__xludf.DUMMYFUNCTION("""COMPUTED_VALUE"""),"Shaeffer")</f>
        <v>Shaeffer</v>
      </c>
    </row>
    <row r="171">
      <c r="A171" s="85">
        <f>IFERROR(__xludf.DUMMYFUNCTION("""COMPUTED_VALUE"""),45366.0)</f>
        <v>45366</v>
      </c>
      <c r="B171" s="111">
        <f>IFERROR(__xludf.DUMMYFUNCTION("""COMPUTED_VALUE"""),11.89)</f>
        <v>11.89</v>
      </c>
      <c r="C171" s="79" t="str">
        <f>IFERROR(__xludf.DUMMYFUNCTION("""COMPUTED_VALUE"""),"ole &amp; steen")</f>
        <v>ole &amp; steen</v>
      </c>
      <c r="D171" s="79" t="str">
        <f>IFERROR(__xludf.DUMMYFUNCTION("""COMPUTED_VALUE"""),"Work Meals")</f>
        <v>Work Meals</v>
      </c>
      <c r="E171" s="108" t="str">
        <f t="shared" si="1"/>
        <v>Mar</v>
      </c>
      <c r="F171" s="79" t="str">
        <f>IFERROR(__xludf.DUMMYFUNCTION("""COMPUTED_VALUE"""),"Shaeffer")</f>
        <v>Shaeffer</v>
      </c>
    </row>
    <row r="172">
      <c r="A172" s="85">
        <f>IFERROR(__xludf.DUMMYFUNCTION("""COMPUTED_VALUE"""),45366.0)</f>
        <v>45366</v>
      </c>
      <c r="B172" s="111">
        <f>IFERROR(__xludf.DUMMYFUNCTION("""COMPUTED_VALUE"""),96.9)</f>
        <v>96.9</v>
      </c>
      <c r="C172" s="79" t="str">
        <f>IFERROR(__xludf.DUMMYFUNCTION("""COMPUTED_VALUE"""),"ymca")</f>
        <v>ymca</v>
      </c>
      <c r="D172" s="79" t="str">
        <f>IFERROR(__xludf.DUMMYFUNCTION("""COMPUTED_VALUE"""),"Gym")</f>
        <v>Gym</v>
      </c>
      <c r="E172" s="108" t="str">
        <f t="shared" si="1"/>
        <v>Mar</v>
      </c>
      <c r="F172" s="79" t="str">
        <f>IFERROR(__xludf.DUMMYFUNCTION("""COMPUTED_VALUE"""),"Shaeffer")</f>
        <v>Shaeffer</v>
      </c>
    </row>
    <row r="173">
      <c r="A173" s="85">
        <f>IFERROR(__xludf.DUMMYFUNCTION("""COMPUTED_VALUE"""),45367.0)</f>
        <v>45367</v>
      </c>
      <c r="B173" s="111">
        <f>IFERROR(__xludf.DUMMYFUNCTION("""COMPUTED_VALUE"""),45.28)</f>
        <v>45.28</v>
      </c>
      <c r="C173" s="79" t="str">
        <f>IFERROR(__xludf.DUMMYFUNCTION("""COMPUTED_VALUE"""),"goodwill ")</f>
        <v>goodwill </v>
      </c>
      <c r="D173" s="79" t="str">
        <f>IFERROR(__xludf.DUMMYFUNCTION("""COMPUTED_VALUE"""),"Clothing")</f>
        <v>Clothing</v>
      </c>
      <c r="E173" s="108" t="str">
        <f t="shared" si="1"/>
        <v>Mar</v>
      </c>
      <c r="F173" s="79" t="str">
        <f>IFERROR(__xludf.DUMMYFUNCTION("""COMPUTED_VALUE"""),"Shaeffer")</f>
        <v>Shaeffer</v>
      </c>
    </row>
    <row r="174">
      <c r="A174" s="85">
        <f>IFERROR(__xludf.DUMMYFUNCTION("""COMPUTED_VALUE"""),45367.0)</f>
        <v>45367</v>
      </c>
      <c r="B174" s="111">
        <f>IFERROR(__xludf.DUMMYFUNCTION("""COMPUTED_VALUE"""),5.59)</f>
        <v>5.59</v>
      </c>
      <c r="C174" s="79" t="str">
        <f>IFERROR(__xludf.DUMMYFUNCTION("""COMPUTED_VALUE"""),"reanimator")</f>
        <v>reanimator</v>
      </c>
      <c r="D174" s="79" t="str">
        <f>IFERROR(__xludf.DUMMYFUNCTION("""COMPUTED_VALUE"""),"Meals")</f>
        <v>Meals</v>
      </c>
      <c r="E174" s="108" t="str">
        <f t="shared" si="1"/>
        <v>Mar</v>
      </c>
      <c r="F174" s="79" t="str">
        <f>IFERROR(__xludf.DUMMYFUNCTION("""COMPUTED_VALUE"""),"Shaeffer")</f>
        <v>Shaeffer</v>
      </c>
    </row>
    <row r="175">
      <c r="A175" s="85">
        <f>IFERROR(__xludf.DUMMYFUNCTION("""COMPUTED_VALUE"""),45367.0)</f>
        <v>45367</v>
      </c>
      <c r="B175" s="111">
        <f>IFERROR(__xludf.DUMMYFUNCTION("""COMPUTED_VALUE"""),5.78)</f>
        <v>5.78</v>
      </c>
      <c r="C175" s="79" t="str">
        <f>IFERROR(__xludf.DUMMYFUNCTION("""COMPUTED_VALUE"""),"di bruno bros")</f>
        <v>di bruno bros</v>
      </c>
      <c r="D175" s="79" t="str">
        <f>IFERROR(__xludf.DUMMYFUNCTION("""COMPUTED_VALUE"""),"Meals")</f>
        <v>Meals</v>
      </c>
      <c r="E175" s="108" t="str">
        <f t="shared" si="1"/>
        <v>Mar</v>
      </c>
      <c r="F175" s="79" t="str">
        <f>IFERROR(__xludf.DUMMYFUNCTION("""COMPUTED_VALUE"""),"Shaeffer")</f>
        <v>Shaeffer</v>
      </c>
    </row>
    <row r="176">
      <c r="A176" s="85">
        <f>IFERROR(__xludf.DUMMYFUNCTION("""COMPUTED_VALUE"""),45367.0)</f>
        <v>45367</v>
      </c>
      <c r="B176" s="111">
        <f>IFERROR(__xludf.DUMMYFUNCTION("""COMPUTED_VALUE"""),7.57)</f>
        <v>7.57</v>
      </c>
      <c r="C176" s="79" t="str">
        <f>IFERROR(__xludf.DUMMYFUNCTION("""COMPUTED_VALUE"""),"amc popcorn")</f>
        <v>amc popcorn</v>
      </c>
      <c r="D176" s="79" t="str">
        <f>IFERROR(__xludf.DUMMYFUNCTION("""COMPUTED_VALUE"""),"Meals")</f>
        <v>Meals</v>
      </c>
      <c r="E176" s="108" t="str">
        <f t="shared" si="1"/>
        <v>Mar</v>
      </c>
      <c r="F176" s="79" t="str">
        <f>IFERROR(__xludf.DUMMYFUNCTION("""COMPUTED_VALUE"""),"Shaeffer")</f>
        <v>Shaeffer</v>
      </c>
    </row>
    <row r="177">
      <c r="A177" s="85">
        <f>IFERROR(__xludf.DUMMYFUNCTION("""COMPUTED_VALUE"""),45368.0)</f>
        <v>45368</v>
      </c>
      <c r="B177" s="111">
        <f>IFERROR(__xludf.DUMMYFUNCTION("""COMPUTED_VALUE"""),4.99)</f>
        <v>4.99</v>
      </c>
      <c r="C177" s="79" t="str">
        <f>IFERROR(__xludf.DUMMYFUNCTION("""COMPUTED_VALUE"""),"hudson")</f>
        <v>hudson</v>
      </c>
      <c r="D177" s="79" t="str">
        <f>IFERROR(__xludf.DUMMYFUNCTION("""COMPUTED_VALUE"""),"Personal")</f>
        <v>Personal</v>
      </c>
      <c r="E177" s="108" t="str">
        <f t="shared" si="1"/>
        <v>Mar</v>
      </c>
      <c r="F177" s="79" t="str">
        <f>IFERROR(__xludf.DUMMYFUNCTION("""COMPUTED_VALUE"""),"Shaeffer")</f>
        <v>Shaeffer</v>
      </c>
    </row>
    <row r="178">
      <c r="A178" s="85">
        <f>IFERROR(__xludf.DUMMYFUNCTION("""COMPUTED_VALUE"""),45368.0)</f>
        <v>45368</v>
      </c>
      <c r="B178" s="111">
        <f>IFERROR(__xludf.DUMMYFUNCTION("""COMPUTED_VALUE"""),98.79)</f>
        <v>98.79</v>
      </c>
      <c r="C178" s="79" t="str">
        <f>IFERROR(__xludf.DUMMYFUNCTION("""COMPUTED_VALUE"""),"silver diner")</f>
        <v>silver diner</v>
      </c>
      <c r="D178" s="79" t="str">
        <f>IFERROR(__xludf.DUMMYFUNCTION("""COMPUTED_VALUE"""),"Meals")</f>
        <v>Meals</v>
      </c>
      <c r="E178" s="108" t="str">
        <f t="shared" si="1"/>
        <v>Mar</v>
      </c>
      <c r="F178" s="79" t="str">
        <f>IFERROR(__xludf.DUMMYFUNCTION("""COMPUTED_VALUE"""),"Shaeffer")</f>
        <v>Shaeffer</v>
      </c>
    </row>
    <row r="179">
      <c r="A179" s="85">
        <f>IFERROR(__xludf.DUMMYFUNCTION("""COMPUTED_VALUE"""),45368.0)</f>
        <v>45368</v>
      </c>
      <c r="B179" s="111">
        <f>IFERROR(__xludf.DUMMYFUNCTION("""COMPUTED_VALUE"""),6.24)</f>
        <v>6.24</v>
      </c>
      <c r="C179" s="79" t="str">
        <f>IFERROR(__xludf.DUMMYFUNCTION("""COMPUTED_VALUE"""),"all american organic")</f>
        <v>all american organic</v>
      </c>
      <c r="D179" s="79" t="str">
        <f>IFERROR(__xludf.DUMMYFUNCTION("""COMPUTED_VALUE"""),"Meals")</f>
        <v>Meals</v>
      </c>
      <c r="E179" s="108" t="str">
        <f t="shared" si="1"/>
        <v>Mar</v>
      </c>
      <c r="F179" s="79" t="str">
        <f>IFERROR(__xludf.DUMMYFUNCTION("""COMPUTED_VALUE"""),"Shaeffer")</f>
        <v>Shaeffer</v>
      </c>
    </row>
    <row r="180">
      <c r="A180" s="85">
        <f>IFERROR(__xludf.DUMMYFUNCTION("""COMPUTED_VALUE"""),45368.0)</f>
        <v>45368</v>
      </c>
      <c r="B180" s="111">
        <f>IFERROR(__xludf.DUMMYFUNCTION("""COMPUTED_VALUE"""),41.22)</f>
        <v>41.22</v>
      </c>
      <c r="C180" s="79" t="str">
        <f>IFERROR(__xludf.DUMMYFUNCTION("""COMPUTED_VALUE"""),"bahama breeze")</f>
        <v>bahama breeze</v>
      </c>
      <c r="D180" s="79" t="str">
        <f>IFERROR(__xludf.DUMMYFUNCTION("""COMPUTED_VALUE"""),"Alcohol/Weed")</f>
        <v>Alcohol/Weed</v>
      </c>
      <c r="E180" s="108" t="str">
        <f t="shared" si="1"/>
        <v>Mar</v>
      </c>
      <c r="F180" s="79" t="str">
        <f>IFERROR(__xludf.DUMMYFUNCTION("""COMPUTED_VALUE"""),"Shaeffer")</f>
        <v>Shaeffer</v>
      </c>
    </row>
    <row r="181">
      <c r="A181" s="85">
        <f>IFERROR(__xludf.DUMMYFUNCTION("""COMPUTED_VALUE"""),45369.0)</f>
        <v>45369</v>
      </c>
      <c r="B181" s="111">
        <f>IFERROR(__xludf.DUMMYFUNCTION("""COMPUTED_VALUE"""),5.63)</f>
        <v>5.63</v>
      </c>
      <c r="C181" s="79" t="str">
        <f>IFERROR(__xludf.DUMMYFUNCTION("""COMPUTED_VALUE"""),"birch ")</f>
        <v>birch </v>
      </c>
      <c r="D181" s="79" t="str">
        <f>IFERROR(__xludf.DUMMYFUNCTION("""COMPUTED_VALUE"""),"Meals")</f>
        <v>Meals</v>
      </c>
      <c r="E181" s="108" t="str">
        <f t="shared" si="1"/>
        <v>Mar</v>
      </c>
      <c r="F181" s="79" t="str">
        <f>IFERROR(__xludf.DUMMYFUNCTION("""COMPUTED_VALUE"""),"Shaeffer")</f>
        <v>Shaeffer</v>
      </c>
    </row>
    <row r="182">
      <c r="A182" s="85">
        <f>IFERROR(__xludf.DUMMYFUNCTION("""COMPUTED_VALUE"""),45369.0)</f>
        <v>45369</v>
      </c>
      <c r="B182" s="111">
        <f>IFERROR(__xludf.DUMMYFUNCTION("""COMPUTED_VALUE"""),16.68)</f>
        <v>16.68</v>
      </c>
      <c r="C182" s="79" t="str">
        <f>IFERROR(__xludf.DUMMYFUNCTION("""COMPUTED_VALUE"""),"dainobu ")</f>
        <v>dainobu </v>
      </c>
      <c r="D182" s="79" t="str">
        <f>IFERROR(__xludf.DUMMYFUNCTION("""COMPUTED_VALUE"""),"Meals")</f>
        <v>Meals</v>
      </c>
      <c r="E182" s="108" t="str">
        <f t="shared" si="1"/>
        <v>Mar</v>
      </c>
      <c r="F182" s="79" t="str">
        <f>IFERROR(__xludf.DUMMYFUNCTION("""COMPUTED_VALUE"""),"Shaeffer")</f>
        <v>Shaeffer</v>
      </c>
    </row>
    <row r="183">
      <c r="A183" s="85">
        <f>IFERROR(__xludf.DUMMYFUNCTION("""COMPUTED_VALUE"""),45369.0)</f>
        <v>45369</v>
      </c>
      <c r="B183" s="111">
        <f>IFERROR(__xludf.DUMMYFUNCTION("""COMPUTED_VALUE"""),17.01)</f>
        <v>17.01</v>
      </c>
      <c r="C183" s="79" t="str">
        <f>IFERROR(__xludf.DUMMYFUNCTION("""COMPUTED_VALUE"""),"k'far")</f>
        <v>k'far</v>
      </c>
      <c r="D183" s="79" t="str">
        <f>IFERROR(__xludf.DUMMYFUNCTION("""COMPUTED_VALUE"""),"Meals")</f>
        <v>Meals</v>
      </c>
      <c r="E183" s="108" t="str">
        <f t="shared" si="1"/>
        <v>Mar</v>
      </c>
      <c r="F183" s="79" t="str">
        <f>IFERROR(__xludf.DUMMYFUNCTION("""COMPUTED_VALUE"""),"Shaeffer")</f>
        <v>Shaeffer</v>
      </c>
    </row>
    <row r="184">
      <c r="A184" s="85">
        <f>IFERROR(__xludf.DUMMYFUNCTION("""COMPUTED_VALUE"""),45374.0)</f>
        <v>45374</v>
      </c>
      <c r="B184" s="111">
        <f>IFERROR(__xludf.DUMMYFUNCTION("""COMPUTED_VALUE"""),7.99)</f>
        <v>7.99</v>
      </c>
      <c r="C184" s="79" t="str">
        <f>IFERROR(__xludf.DUMMYFUNCTION("""COMPUTED_VALUE"""),"ernest klein &amp; co")</f>
        <v>ernest klein &amp; co</v>
      </c>
      <c r="D184" s="79" t="str">
        <f>IFERROR(__xludf.DUMMYFUNCTION("""COMPUTED_VALUE"""),"Entertainment")</f>
        <v>Entertainment</v>
      </c>
      <c r="E184" s="108" t="str">
        <f t="shared" si="1"/>
        <v>Mar</v>
      </c>
      <c r="F184" s="79" t="str">
        <f>IFERROR(__xludf.DUMMYFUNCTION("""COMPUTED_VALUE"""),"Shaeffer")</f>
        <v>Shaeffer</v>
      </c>
    </row>
    <row r="185">
      <c r="A185" s="85">
        <f>IFERROR(__xludf.DUMMYFUNCTION("""COMPUTED_VALUE"""),45370.0)</f>
        <v>45370</v>
      </c>
      <c r="B185" s="111">
        <f>IFERROR(__xludf.DUMMYFUNCTION("""COMPUTED_VALUE"""),7.99)</f>
        <v>7.99</v>
      </c>
      <c r="C185" s="79" t="str">
        <f>IFERROR(__xludf.DUMMYFUNCTION("""COMPUTED_VALUE"""),"hulu")</f>
        <v>hulu</v>
      </c>
      <c r="D185" s="79" t="str">
        <f>IFERROR(__xludf.DUMMYFUNCTION("""COMPUTED_VALUE"""),"Subscriptions")</f>
        <v>Subscriptions</v>
      </c>
      <c r="E185" s="108" t="str">
        <f t="shared" si="1"/>
        <v>Mar</v>
      </c>
      <c r="F185" s="79" t="str">
        <f>IFERROR(__xludf.DUMMYFUNCTION("""COMPUTED_VALUE"""),"Shaeffer")</f>
        <v>Shaeffer</v>
      </c>
    </row>
    <row r="186">
      <c r="A186" s="85">
        <f>IFERROR(__xludf.DUMMYFUNCTION("""COMPUTED_VALUE"""),45376.0)</f>
        <v>45376</v>
      </c>
      <c r="B186" s="111">
        <f>IFERROR(__xludf.DUMMYFUNCTION("""COMPUTED_VALUE"""),14.8)</f>
        <v>14.8</v>
      </c>
      <c r="C186" s="79" t="str">
        <f>IFERROR(__xludf.DUMMYFUNCTION("""COMPUTED_VALUE"""),"coffee")</f>
        <v>coffee</v>
      </c>
      <c r="D186" s="79" t="str">
        <f>IFERROR(__xludf.DUMMYFUNCTION("""COMPUTED_VALUE"""),"Meals")</f>
        <v>Meals</v>
      </c>
      <c r="E186" s="108" t="str">
        <f t="shared" si="1"/>
        <v>Mar</v>
      </c>
      <c r="F186" s="79" t="str">
        <f>IFERROR(__xludf.DUMMYFUNCTION("""COMPUTED_VALUE"""),"Shaeffer")</f>
        <v>Shaeffer</v>
      </c>
    </row>
    <row r="187">
      <c r="A187" s="85">
        <f>IFERROR(__xludf.DUMMYFUNCTION("""COMPUTED_VALUE"""),45358.0)</f>
        <v>45358</v>
      </c>
      <c r="B187" s="111">
        <f>IFERROR(__xludf.DUMMYFUNCTION("""COMPUTED_VALUE"""),23.54)</f>
        <v>23.54</v>
      </c>
      <c r="C187" s="79" t="str">
        <f>IFERROR(__xludf.DUMMYFUNCTION("""COMPUTED_VALUE"""),"DIG INN")</f>
        <v>DIG INN</v>
      </c>
      <c r="D187" s="79" t="str">
        <f>IFERROR(__xludf.DUMMYFUNCTION("""COMPUTED_VALUE"""),"Work Meals")</f>
        <v>Work Meals</v>
      </c>
      <c r="E187" s="108" t="str">
        <f t="shared" si="1"/>
        <v>Mar</v>
      </c>
      <c r="F187" s="79" t="str">
        <f>IFERROR(__xludf.DUMMYFUNCTION("""COMPUTED_VALUE"""),"Shaeffer")</f>
        <v>Shaeffer</v>
      </c>
    </row>
    <row r="188">
      <c r="A188" s="85">
        <f>IFERROR(__xludf.DUMMYFUNCTION("""COMPUTED_VALUE"""),45360.0)</f>
        <v>45360</v>
      </c>
      <c r="B188" s="111">
        <f>IFERROR(__xludf.DUMMYFUNCTION("""COMPUTED_VALUE"""),45.14)</f>
        <v>45.14</v>
      </c>
      <c r="C188" s="79" t="str">
        <f>IFERROR(__xludf.DUMMYFUNCTION("""COMPUTED_VALUE"""),"TV EYE")</f>
        <v>TV EYE</v>
      </c>
      <c r="D188" s="79" t="str">
        <f>IFERROR(__xludf.DUMMYFUNCTION("""COMPUTED_VALUE"""),"Alcohol/Weed")</f>
        <v>Alcohol/Weed</v>
      </c>
      <c r="E188" s="108" t="str">
        <f t="shared" si="1"/>
        <v>Mar</v>
      </c>
      <c r="F188" s="79" t="str">
        <f>IFERROR(__xludf.DUMMYFUNCTION("""COMPUTED_VALUE"""),"Shaeffer")</f>
        <v>Shaeffer</v>
      </c>
    </row>
    <row r="189">
      <c r="A189" s="85">
        <f>IFERROR(__xludf.DUMMYFUNCTION("""COMPUTED_VALUE"""),45360.0)</f>
        <v>45360</v>
      </c>
      <c r="B189" s="111">
        <f>IFERROR(__xludf.DUMMYFUNCTION("""COMPUTED_VALUE"""),9.88)</f>
        <v>9.88</v>
      </c>
      <c r="C189" s="79" t="str">
        <f>IFERROR(__xludf.DUMMYFUNCTION("""COMPUTED_VALUE"""),"royal deli")</f>
        <v>royal deli</v>
      </c>
      <c r="D189" s="79" t="str">
        <f>IFERROR(__xludf.DUMMYFUNCTION("""COMPUTED_VALUE"""),"Meals")</f>
        <v>Meals</v>
      </c>
      <c r="E189" s="108" t="str">
        <f t="shared" si="1"/>
        <v>Mar</v>
      </c>
      <c r="F189" s="79" t="str">
        <f>IFERROR(__xludf.DUMMYFUNCTION("""COMPUTED_VALUE"""),"Shaeffer")</f>
        <v>Shaeffer</v>
      </c>
    </row>
    <row r="190">
      <c r="A190" s="85">
        <f>IFERROR(__xludf.DUMMYFUNCTION("""COMPUTED_VALUE"""),45361.0)</f>
        <v>45361</v>
      </c>
      <c r="B190" s="111">
        <f>IFERROR(__xludf.DUMMYFUNCTION("""COMPUTED_VALUE"""),98.05)</f>
        <v>98.05</v>
      </c>
      <c r="C190" s="79" t="str">
        <f>IFERROR(__xludf.DUMMYFUNCTION("""COMPUTED_VALUE"""),"Hawk House")</f>
        <v>Hawk House</v>
      </c>
      <c r="D190" s="79" t="str">
        <f>IFERROR(__xludf.DUMMYFUNCTION("""COMPUTED_VALUE"""),"Personal")</f>
        <v>Personal</v>
      </c>
      <c r="E190" s="108" t="str">
        <f t="shared" si="1"/>
        <v>Mar</v>
      </c>
      <c r="F190" s="79" t="str">
        <f>IFERROR(__xludf.DUMMYFUNCTION("""COMPUTED_VALUE"""),"Shaeffer")</f>
        <v>Shaeffer</v>
      </c>
    </row>
    <row r="191">
      <c r="A191" s="85">
        <f>IFERROR(__xludf.DUMMYFUNCTION("""COMPUTED_VALUE"""),45362.0)</f>
        <v>45362</v>
      </c>
      <c r="B191" s="111">
        <f>IFERROR(__xludf.DUMMYFUNCTION("""COMPUTED_VALUE"""),32.68)</f>
        <v>32.68</v>
      </c>
      <c r="C191" s="79" t="str">
        <f>IFERROR(__xludf.DUMMYFUNCTION("""COMPUTED_VALUE"""),"Allianz Travel")</f>
        <v>Allianz Travel</v>
      </c>
      <c r="D191" s="79" t="str">
        <f>IFERROR(__xludf.DUMMYFUNCTION("""COMPUTED_VALUE"""),"Transportation")</f>
        <v>Transportation</v>
      </c>
      <c r="E191" s="108" t="str">
        <f t="shared" si="1"/>
        <v>Mar</v>
      </c>
      <c r="F191" s="79" t="str">
        <f>IFERROR(__xludf.DUMMYFUNCTION("""COMPUTED_VALUE"""),"Shaeffer")</f>
        <v>Shaeffer</v>
      </c>
    </row>
    <row r="192">
      <c r="A192" s="85">
        <f>IFERROR(__xludf.DUMMYFUNCTION("""COMPUTED_VALUE"""),45362.0)</f>
        <v>45362</v>
      </c>
      <c r="B192" s="111">
        <f>IFERROR(__xludf.DUMMYFUNCTION("""COMPUTED_VALUE"""),58.87)</f>
        <v>58.87</v>
      </c>
      <c r="C192" s="79" t="str">
        <f>IFERROR(__xludf.DUMMYFUNCTION("""COMPUTED_VALUE"""),"Jet Blue")</f>
        <v>Jet Blue</v>
      </c>
      <c r="D192" s="79" t="str">
        <f>IFERROR(__xludf.DUMMYFUNCTION("""COMPUTED_VALUE"""),"Transportation")</f>
        <v>Transportation</v>
      </c>
      <c r="E192" s="108" t="str">
        <f t="shared" si="1"/>
        <v>Mar</v>
      </c>
      <c r="F192" s="79" t="str">
        <f>IFERROR(__xludf.DUMMYFUNCTION("""COMPUTED_VALUE"""),"Shaeffer")</f>
        <v>Shaeffer</v>
      </c>
    </row>
    <row r="193">
      <c r="A193" s="85">
        <f>IFERROR(__xludf.DUMMYFUNCTION("""COMPUTED_VALUE"""),45370.0)</f>
        <v>45370</v>
      </c>
      <c r="B193" s="111">
        <f>IFERROR(__xludf.DUMMYFUNCTION("""COMPUTED_VALUE"""),99.0)</f>
        <v>99</v>
      </c>
      <c r="C193" s="79" t="str">
        <f>IFERROR(__xludf.DUMMYFUNCTION("""COMPUTED_VALUE"""),"Grounding Well")</f>
        <v>Grounding Well</v>
      </c>
      <c r="D193" s="79" t="str">
        <f>IFERROR(__xludf.DUMMYFUNCTION("""COMPUTED_VALUE"""),"Household")</f>
        <v>Household</v>
      </c>
      <c r="E193" s="108" t="str">
        <f t="shared" si="1"/>
        <v>Mar</v>
      </c>
      <c r="F193" s="79" t="str">
        <f>IFERROR(__xludf.DUMMYFUNCTION("""COMPUTED_VALUE"""),"Shaeffer")</f>
        <v>Shaeffer</v>
      </c>
    </row>
    <row r="194">
      <c r="A194" s="85">
        <f>IFERROR(__xludf.DUMMYFUNCTION("""COMPUTED_VALUE"""),45372.0)</f>
        <v>45372</v>
      </c>
      <c r="B194" s="111">
        <f>IFERROR(__xludf.DUMMYFUNCTION("""COMPUTED_VALUE"""),14.81)</f>
        <v>14.81</v>
      </c>
      <c r="C194" s="79" t="str">
        <f>IFERROR(__xludf.DUMMYFUNCTION("""COMPUTED_VALUE"""),"cc interest - jet blue")</f>
        <v>cc interest - jet blue</v>
      </c>
      <c r="D194" s="79" t="str">
        <f>IFERROR(__xludf.DUMMYFUNCTION("""COMPUTED_VALUE"""),"Debt")</f>
        <v>Debt</v>
      </c>
      <c r="E194" s="108" t="str">
        <f t="shared" si="1"/>
        <v>Mar</v>
      </c>
      <c r="F194" s="79" t="str">
        <f>IFERROR(__xludf.DUMMYFUNCTION("""COMPUTED_VALUE"""),"Shaeffer")</f>
        <v>Shaeffer</v>
      </c>
    </row>
    <row r="195">
      <c r="A195" s="85">
        <f>IFERROR(__xludf.DUMMYFUNCTION("""COMPUTED_VALUE"""),45375.0)</f>
        <v>45375</v>
      </c>
      <c r="B195" s="111">
        <f>IFERROR(__xludf.DUMMYFUNCTION("""COMPUTED_VALUE"""),38.53)</f>
        <v>38.53</v>
      </c>
      <c r="C195" s="79" t="str">
        <f>IFERROR(__xludf.DUMMYFUNCTION("""COMPUTED_VALUE"""),"md solarscience")</f>
        <v>md solarscience</v>
      </c>
      <c r="D195" s="79" t="str">
        <f>IFERROR(__xludf.DUMMYFUNCTION("""COMPUTED_VALUE"""),"Personal")</f>
        <v>Personal</v>
      </c>
      <c r="E195" s="108" t="str">
        <f t="shared" si="1"/>
        <v>Mar</v>
      </c>
      <c r="F195" s="79" t="str">
        <f>IFERROR(__xludf.DUMMYFUNCTION("""COMPUTED_VALUE"""),"Shaeffer")</f>
        <v>Shaeffer</v>
      </c>
    </row>
    <row r="196">
      <c r="A196" s="85">
        <f>IFERROR(__xludf.DUMMYFUNCTION("""COMPUTED_VALUE"""),45376.0)</f>
        <v>45376</v>
      </c>
      <c r="B196" s="111">
        <f>IFERROR(__xludf.DUMMYFUNCTION("""COMPUTED_VALUE"""),77.53)</f>
        <v>77.53</v>
      </c>
      <c r="C196" s="79" t="str">
        <f>IFERROR(__xludf.DUMMYFUNCTION("""COMPUTED_VALUE"""),"amazon")</f>
        <v>amazon</v>
      </c>
      <c r="D196" s="79" t="str">
        <f>IFERROR(__xludf.DUMMYFUNCTION("""COMPUTED_VALUE"""),"Personal")</f>
        <v>Personal</v>
      </c>
      <c r="E196" s="108" t="str">
        <f t="shared" si="1"/>
        <v>Mar</v>
      </c>
      <c r="F196" s="79" t="str">
        <f>IFERROR(__xludf.DUMMYFUNCTION("""COMPUTED_VALUE"""),"Shaeffer")</f>
        <v>Shaeffer</v>
      </c>
    </row>
    <row r="197">
      <c r="A197" s="85">
        <f>IFERROR(__xludf.DUMMYFUNCTION("""COMPUTED_VALUE"""),45377.0)</f>
        <v>45377</v>
      </c>
      <c r="B197" s="111">
        <f>IFERROR(__xludf.DUMMYFUNCTION("""COMPUTED_VALUE"""),6.52)</f>
        <v>6.52</v>
      </c>
      <c r="C197" s="79" t="str">
        <f>IFERROR(__xludf.DUMMYFUNCTION("""COMPUTED_VALUE"""),"Popeye's")</f>
        <v>Popeye's</v>
      </c>
      <c r="D197" s="79" t="str">
        <f>IFERROR(__xludf.DUMMYFUNCTION("""COMPUTED_VALUE"""),"Work Meals")</f>
        <v>Work Meals</v>
      </c>
      <c r="E197" s="108" t="str">
        <f t="shared" si="1"/>
        <v>Mar</v>
      </c>
      <c r="F197" s="79" t="str">
        <f>IFERROR(__xludf.DUMMYFUNCTION("""COMPUTED_VALUE"""),"Gil")</f>
        <v>Gil</v>
      </c>
    </row>
    <row r="198">
      <c r="A198" s="85">
        <f>IFERROR(__xludf.DUMMYFUNCTION("""COMPUTED_VALUE"""),45380.0)</f>
        <v>45380</v>
      </c>
      <c r="B198" s="111">
        <f>IFERROR(__xludf.DUMMYFUNCTION("""COMPUTED_VALUE"""),12.92)</f>
        <v>12.92</v>
      </c>
      <c r="C198" s="79" t="str">
        <f>IFERROR(__xludf.DUMMYFUNCTION("""COMPUTED_VALUE"""),"Juice Generation")</f>
        <v>Juice Generation</v>
      </c>
      <c r="D198" s="79" t="str">
        <f>IFERROR(__xludf.DUMMYFUNCTION("""COMPUTED_VALUE"""),"Meals")</f>
        <v>Meals</v>
      </c>
      <c r="E198" s="108" t="str">
        <f t="shared" si="1"/>
        <v>Mar</v>
      </c>
      <c r="F198" s="79" t="str">
        <f>IFERROR(__xludf.DUMMYFUNCTION("""COMPUTED_VALUE"""),"Gil")</f>
        <v>Gil</v>
      </c>
    </row>
    <row r="199">
      <c r="A199" s="85">
        <f>IFERROR(__xludf.DUMMYFUNCTION("""COMPUTED_VALUE"""),45380.0)</f>
        <v>45380</v>
      </c>
      <c r="B199" s="111">
        <f>IFERROR(__xludf.DUMMYFUNCTION("""COMPUTED_VALUE"""),15.24)</f>
        <v>15.24</v>
      </c>
      <c r="C199" s="79" t="str">
        <f>IFERROR(__xludf.DUMMYFUNCTION("""COMPUTED_VALUE"""),"Alf Bakery")</f>
        <v>Alf Bakery</v>
      </c>
      <c r="D199" s="79" t="str">
        <f>IFERROR(__xludf.DUMMYFUNCTION("""COMPUTED_VALUE"""),"Meals")</f>
        <v>Meals</v>
      </c>
      <c r="E199" s="108" t="str">
        <f t="shared" si="1"/>
        <v>Mar</v>
      </c>
      <c r="F199" s="79" t="str">
        <f>IFERROR(__xludf.DUMMYFUNCTION("""COMPUTED_VALUE"""),"Gil")</f>
        <v>Gil</v>
      </c>
    </row>
    <row r="200">
      <c r="A200" s="85">
        <f>IFERROR(__xludf.DUMMYFUNCTION("""COMPUTED_VALUE"""),45380.0)</f>
        <v>45380</v>
      </c>
      <c r="B200" s="111">
        <f>IFERROR(__xludf.DUMMYFUNCTION("""COMPUTED_VALUE"""),38.9)</f>
        <v>38.9</v>
      </c>
      <c r="C200" s="79" t="str">
        <f>IFERROR(__xludf.DUMMYFUNCTION("""COMPUTED_VALUE"""),"hawkhouse")</f>
        <v>hawkhouse</v>
      </c>
      <c r="D200" s="79" t="str">
        <f>IFERROR(__xludf.DUMMYFUNCTION("""COMPUTED_VALUE"""),"Personal")</f>
        <v>Personal</v>
      </c>
      <c r="E200" s="108" t="str">
        <f t="shared" si="1"/>
        <v>Mar</v>
      </c>
      <c r="F200" s="79" t="str">
        <f>IFERROR(__xludf.DUMMYFUNCTION("""COMPUTED_VALUE"""),"Shaeffer")</f>
        <v>Shaeffer</v>
      </c>
    </row>
    <row r="201">
      <c r="A201" s="85">
        <f>IFERROR(__xludf.DUMMYFUNCTION("""COMPUTED_VALUE"""),45380.0)</f>
        <v>45380</v>
      </c>
      <c r="B201" s="111">
        <f>IFERROR(__xludf.DUMMYFUNCTION("""COMPUTED_VALUE"""),75.14)</f>
        <v>75.14</v>
      </c>
      <c r="C201" s="79" t="str">
        <f>IFERROR(__xludf.DUMMYFUNCTION("""COMPUTED_VALUE"""),"naked and thriving")</f>
        <v>naked and thriving</v>
      </c>
      <c r="D201" s="79" t="str">
        <f>IFERROR(__xludf.DUMMYFUNCTION("""COMPUTED_VALUE"""),"Personal")</f>
        <v>Personal</v>
      </c>
      <c r="E201" s="108" t="str">
        <f t="shared" si="1"/>
        <v>Mar</v>
      </c>
      <c r="F201" s="79" t="str">
        <f>IFERROR(__xludf.DUMMYFUNCTION("""COMPUTED_VALUE"""),"Shaeffer")</f>
        <v>Shaeffer</v>
      </c>
    </row>
    <row r="202">
      <c r="A202" s="85">
        <f>IFERROR(__xludf.DUMMYFUNCTION("""COMPUTED_VALUE"""),45378.0)</f>
        <v>45378</v>
      </c>
      <c r="B202" s="111">
        <f>IFERROR(__xludf.DUMMYFUNCTION("""COMPUTED_VALUE"""),77.53)</f>
        <v>77.53</v>
      </c>
      <c r="C202" s="79" t="str">
        <f>IFERROR(__xludf.DUMMYFUNCTION("""COMPUTED_VALUE"""),"amazon")</f>
        <v>amazon</v>
      </c>
      <c r="D202" s="79" t="str">
        <f>IFERROR(__xludf.DUMMYFUNCTION("""COMPUTED_VALUE"""),"Studio")</f>
        <v>Studio</v>
      </c>
      <c r="E202" s="108" t="str">
        <f t="shared" si="1"/>
        <v>Mar</v>
      </c>
      <c r="F202" s="79" t="str">
        <f>IFERROR(__xludf.DUMMYFUNCTION("""COMPUTED_VALUE"""),"Shaeffer")</f>
        <v>Shaeffer</v>
      </c>
    </row>
    <row r="203">
      <c r="A203" s="85">
        <f>IFERROR(__xludf.DUMMYFUNCTION("""COMPUTED_VALUE"""),45380.0)</f>
        <v>45380</v>
      </c>
      <c r="B203" s="111">
        <f>IFERROR(__xludf.DUMMYFUNCTION("""COMPUTED_VALUE"""),23.76)</f>
        <v>23.76</v>
      </c>
      <c r="C203" s="79" t="str">
        <f>IFERROR(__xludf.DUMMYFUNCTION("""COMPUTED_VALUE"""),"eBay - Eucerin Sun Gel Cream")</f>
        <v>eBay - Eucerin Sun Gel Cream</v>
      </c>
      <c r="D203" s="79" t="str">
        <f>IFERROR(__xludf.DUMMYFUNCTION("""COMPUTED_VALUE"""),"Personal")</f>
        <v>Personal</v>
      </c>
      <c r="E203" s="108" t="str">
        <f t="shared" si="1"/>
        <v>Mar</v>
      </c>
      <c r="F203" s="79" t="str">
        <f>IFERROR(__xludf.DUMMYFUNCTION("""COMPUTED_VALUE"""),"Gil")</f>
        <v>Gil</v>
      </c>
    </row>
    <row r="204">
      <c r="A204" s="85">
        <f>IFERROR(__xludf.DUMMYFUNCTION("""COMPUTED_VALUE"""),45381.0)</f>
        <v>45381</v>
      </c>
      <c r="B204" s="111">
        <f>IFERROR(__xludf.DUMMYFUNCTION("""COMPUTED_VALUE"""),14.59)</f>
        <v>14.59</v>
      </c>
      <c r="C204" s="79" t="str">
        <f>IFERROR(__xludf.DUMMYFUNCTION("""COMPUTED_VALUE"""),"DIG")</f>
        <v>DIG</v>
      </c>
      <c r="D204" s="79" t="str">
        <f>IFERROR(__xludf.DUMMYFUNCTION("""COMPUTED_VALUE"""),"Work Meals")</f>
        <v>Work Meals</v>
      </c>
      <c r="E204" s="108" t="str">
        <f t="shared" si="1"/>
        <v>Mar</v>
      </c>
      <c r="F204" s="79" t="str">
        <f>IFERROR(__xludf.DUMMYFUNCTION("""COMPUTED_VALUE"""),"Gil")</f>
        <v>Gil</v>
      </c>
    </row>
    <row r="205">
      <c r="A205" s="85">
        <f>IFERROR(__xludf.DUMMYFUNCTION("""COMPUTED_VALUE"""),45381.0)</f>
        <v>45381</v>
      </c>
      <c r="B205" s="111">
        <f>IFERROR(__xludf.DUMMYFUNCTION("""COMPUTED_VALUE"""),30.9)</f>
        <v>30.9</v>
      </c>
      <c r="C205" s="79" t="str">
        <f>IFERROR(__xludf.DUMMYFUNCTION("""COMPUTED_VALUE"""),"Hawk House")</f>
        <v>Hawk House</v>
      </c>
      <c r="D205" s="79" t="str">
        <f>IFERROR(__xludf.DUMMYFUNCTION("""COMPUTED_VALUE"""),"Personal")</f>
        <v>Personal</v>
      </c>
      <c r="E205" s="108" t="str">
        <f t="shared" si="1"/>
        <v>Mar</v>
      </c>
      <c r="F205" s="79" t="str">
        <f>IFERROR(__xludf.DUMMYFUNCTION("""COMPUTED_VALUE"""),"Shaeffer")</f>
        <v>Shaeffer</v>
      </c>
    </row>
    <row r="206">
      <c r="A206" s="85">
        <f>IFERROR(__xludf.DUMMYFUNCTION("""COMPUTED_VALUE"""),45381.0)</f>
        <v>45381</v>
      </c>
      <c r="B206" s="111">
        <f>IFERROR(__xludf.DUMMYFUNCTION("""COMPUTED_VALUE"""),52.83)</f>
        <v>52.83</v>
      </c>
      <c r="C206" s="79" t="str">
        <f>IFERROR(__xludf.DUMMYFUNCTION("""COMPUTED_VALUE"""),"District Saigon")</f>
        <v>District Saigon</v>
      </c>
      <c r="D206" s="79" t="str">
        <f>IFERROR(__xludf.DUMMYFUNCTION("""COMPUTED_VALUE"""),"Work Meals")</f>
        <v>Work Meals</v>
      </c>
      <c r="E206" s="108" t="str">
        <f t="shared" si="1"/>
        <v>Mar</v>
      </c>
      <c r="F206" s="79" t="str">
        <f>IFERROR(__xludf.DUMMYFUNCTION("""COMPUTED_VALUE"""),"Shaeffer")</f>
        <v>Shaeffer</v>
      </c>
    </row>
    <row r="207">
      <c r="A207" s="85">
        <f>IFERROR(__xludf.DUMMYFUNCTION("""COMPUTED_VALUE"""),45382.0)</f>
        <v>45382</v>
      </c>
      <c r="B207" s="111">
        <f>IFERROR(__xludf.DUMMYFUNCTION("""COMPUTED_VALUE"""),40.08)</f>
        <v>40.08</v>
      </c>
      <c r="C207" s="79" t="str">
        <f>IFERROR(__xludf.DUMMYFUNCTION("""COMPUTED_VALUE"""),"Dong Guan Shi")</f>
        <v>Dong Guan Shi</v>
      </c>
      <c r="D207" s="79" t="str">
        <f>IFERROR(__xludf.DUMMYFUNCTION("""COMPUTED_VALUE"""),"Personal")</f>
        <v>Personal</v>
      </c>
      <c r="E207" s="108" t="str">
        <f t="shared" si="1"/>
        <v>Mar</v>
      </c>
      <c r="F207" s="79" t="str">
        <f>IFERROR(__xludf.DUMMYFUNCTION("""COMPUTED_VALUE"""),"Shaeffer")</f>
        <v>Shaeffer</v>
      </c>
    </row>
    <row r="208">
      <c r="A208" s="85">
        <f>IFERROR(__xludf.DUMMYFUNCTION("""COMPUTED_VALUE"""),45383.0)</f>
        <v>45383</v>
      </c>
      <c r="B208" s="109">
        <f>IFERROR(__xludf.DUMMYFUNCTION("""COMPUTED_VALUE"""),49.0)</f>
        <v>49</v>
      </c>
      <c r="C208" s="79" t="str">
        <f>IFERROR(__xludf.DUMMYFUNCTION("""COMPUTED_VALUE"""),"Ulta Beauty - Peach &amp; Lily Reboost")</f>
        <v>Ulta Beauty - Peach &amp; Lily Reboost</v>
      </c>
      <c r="D208" s="79" t="str">
        <f>IFERROR(__xludf.DUMMYFUNCTION("""COMPUTED_VALUE"""),"Personal")</f>
        <v>Personal</v>
      </c>
      <c r="E208" s="108" t="str">
        <f t="shared" si="1"/>
        <v>Apr</v>
      </c>
      <c r="F208" s="79" t="str">
        <f>IFERROR(__xludf.DUMMYFUNCTION("""COMPUTED_VALUE"""),"Gil")</f>
        <v>Gil</v>
      </c>
    </row>
    <row r="209">
      <c r="A209" s="85">
        <f>IFERROR(__xludf.DUMMYFUNCTION("""COMPUTED_VALUE"""),45383.0)</f>
        <v>45383</v>
      </c>
      <c r="B209" s="109">
        <f>IFERROR(__xludf.DUMMYFUNCTION("""COMPUTED_VALUE"""),58.5)</f>
        <v>58.5</v>
      </c>
      <c r="C209" s="79" t="str">
        <f>IFERROR(__xludf.DUMMYFUNCTION("""COMPUTED_VALUE"""),"eCosmetics")</f>
        <v>eCosmetics</v>
      </c>
      <c r="D209" s="79" t="str">
        <f>IFERROR(__xludf.DUMMYFUNCTION("""COMPUTED_VALUE"""),"Personal")</f>
        <v>Personal</v>
      </c>
      <c r="E209" s="108" t="str">
        <f t="shared" si="1"/>
        <v>Apr</v>
      </c>
      <c r="F209" s="79" t="str">
        <f>IFERROR(__xludf.DUMMYFUNCTION("""COMPUTED_VALUE"""),"Gil")</f>
        <v>Gil</v>
      </c>
    </row>
    <row r="210">
      <c r="A210" s="85">
        <f>IFERROR(__xludf.DUMMYFUNCTION("""COMPUTED_VALUE"""),45388.0)</f>
        <v>45388</v>
      </c>
      <c r="B210" s="109">
        <f>IFERROR(__xludf.DUMMYFUNCTION("""COMPUTED_VALUE"""),13.53)</f>
        <v>13.53</v>
      </c>
      <c r="C210" s="79" t="str">
        <f>IFERROR(__xludf.DUMMYFUNCTION("""COMPUTED_VALUE"""),"Westside Market")</f>
        <v>Westside Market</v>
      </c>
      <c r="D210" s="79" t="str">
        <f>IFERROR(__xludf.DUMMYFUNCTION("""COMPUTED_VALUE"""),"Work Meals")</f>
        <v>Work Meals</v>
      </c>
      <c r="E210" s="108" t="str">
        <f t="shared" si="1"/>
        <v>Apr</v>
      </c>
      <c r="F210" s="79" t="str">
        <f>IFERROR(__xludf.DUMMYFUNCTION("""COMPUTED_VALUE"""),"Gil")</f>
        <v>Gil</v>
      </c>
    </row>
    <row r="211">
      <c r="A211" s="85">
        <f>IFERROR(__xludf.DUMMYFUNCTION("""COMPUTED_VALUE"""),45388.0)</f>
        <v>45388</v>
      </c>
      <c r="B211" s="109">
        <f>IFERROR(__xludf.DUMMYFUNCTION("""COMPUTED_VALUE"""),26.13)</f>
        <v>26.13</v>
      </c>
      <c r="C211" s="79" t="str">
        <f>IFERROR(__xludf.DUMMYFUNCTION("""COMPUTED_VALUE"""),"Thai Hot Box ")</f>
        <v>Thai Hot Box </v>
      </c>
      <c r="D211" s="79" t="str">
        <f>IFERROR(__xludf.DUMMYFUNCTION("""COMPUTED_VALUE"""),"Work Meals")</f>
        <v>Work Meals</v>
      </c>
      <c r="E211" s="108" t="str">
        <f t="shared" si="1"/>
        <v>Apr</v>
      </c>
      <c r="F211" s="79" t="str">
        <f>IFERROR(__xludf.DUMMYFUNCTION("""COMPUTED_VALUE"""),"Gil")</f>
        <v>Gil</v>
      </c>
    </row>
    <row r="212">
      <c r="A212" s="85">
        <f>IFERROR(__xludf.DUMMYFUNCTION("""COMPUTED_VALUE"""),45390.0)</f>
        <v>45390</v>
      </c>
      <c r="B212" s="109">
        <f>IFERROR(__xludf.DUMMYFUNCTION("""COMPUTED_VALUE"""),54.44)</f>
        <v>54.44</v>
      </c>
      <c r="C212" s="79" t="str">
        <f>IFERROR(__xludf.DUMMYFUNCTION("""COMPUTED_VALUE"""),"Little Shop of Soil")</f>
        <v>Little Shop of Soil</v>
      </c>
      <c r="D212" s="79" t="str">
        <f>IFERROR(__xludf.DUMMYFUNCTION("""COMPUTED_VALUE"""),"Gifts/Donations")</f>
        <v>Gifts/Donations</v>
      </c>
      <c r="E212" s="108" t="str">
        <f t="shared" si="1"/>
        <v>Apr</v>
      </c>
      <c r="F212" s="79" t="str">
        <f>IFERROR(__xludf.DUMMYFUNCTION("""COMPUTED_VALUE"""),"Gil")</f>
        <v>Gil</v>
      </c>
    </row>
    <row r="213">
      <c r="A213" s="85">
        <f>IFERROR(__xludf.DUMMYFUNCTION("""COMPUTED_VALUE"""),45389.0)</f>
        <v>45389</v>
      </c>
      <c r="B213" s="109">
        <f>IFERROR(__xludf.DUMMYFUNCTION("""COMPUTED_VALUE"""),17.42)</f>
        <v>17.42</v>
      </c>
      <c r="C213" s="79" t="str">
        <f>IFERROR(__xludf.DUMMYFUNCTION("""COMPUTED_VALUE"""),"Cibone")</f>
        <v>Cibone</v>
      </c>
      <c r="D213" s="79" t="str">
        <f>IFERROR(__xludf.DUMMYFUNCTION("""COMPUTED_VALUE"""),"Gifts/Donations")</f>
        <v>Gifts/Donations</v>
      </c>
      <c r="E213" s="108" t="str">
        <f t="shared" si="1"/>
        <v>Apr</v>
      </c>
      <c r="F213" s="79" t="str">
        <f>IFERROR(__xludf.DUMMYFUNCTION("""COMPUTED_VALUE"""),"Gil")</f>
        <v>Gil</v>
      </c>
    </row>
    <row r="214">
      <c r="A214" s="85">
        <f>IFERROR(__xludf.DUMMYFUNCTION("""COMPUTED_VALUE"""),45391.0)</f>
        <v>45391</v>
      </c>
      <c r="B214" s="109">
        <f>IFERROR(__xludf.DUMMYFUNCTION("""COMPUTED_VALUE"""),10.87)</f>
        <v>10.87</v>
      </c>
      <c r="C214" s="79" t="str">
        <f>IFERROR(__xludf.DUMMYFUNCTION("""COMPUTED_VALUE"""),"Hummus and Pita Co.")</f>
        <v>Hummus and Pita Co.</v>
      </c>
      <c r="D214" s="79" t="str">
        <f>IFERROR(__xludf.DUMMYFUNCTION("""COMPUTED_VALUE"""),"Work Meals")</f>
        <v>Work Meals</v>
      </c>
      <c r="E214" s="108" t="str">
        <f t="shared" si="1"/>
        <v>Apr</v>
      </c>
      <c r="F214" s="79" t="str">
        <f>IFERROR(__xludf.DUMMYFUNCTION("""COMPUTED_VALUE"""),"Gil")</f>
        <v>Gil</v>
      </c>
    </row>
    <row r="215">
      <c r="A215" s="85">
        <f>IFERROR(__xludf.DUMMYFUNCTION("""COMPUTED_VALUE"""),45391.0)</f>
        <v>45391</v>
      </c>
      <c r="B215" s="109">
        <f>IFERROR(__xludf.DUMMYFUNCTION("""COMPUTED_VALUE"""),6.17)</f>
        <v>6.17</v>
      </c>
      <c r="C215" s="79" t="str">
        <f>IFERROR(__xludf.DUMMYFUNCTION("""COMPUTED_VALUE"""),"Birch Coffee")</f>
        <v>Birch Coffee</v>
      </c>
      <c r="D215" s="79" t="str">
        <f>IFERROR(__xludf.DUMMYFUNCTION("""COMPUTED_VALUE"""),"Meals")</f>
        <v>Meals</v>
      </c>
      <c r="E215" s="108" t="str">
        <f t="shared" si="1"/>
        <v>Apr</v>
      </c>
      <c r="F215" s="79" t="str">
        <f>IFERROR(__xludf.DUMMYFUNCTION("""COMPUTED_VALUE"""),"Gil")</f>
        <v>Gil</v>
      </c>
    </row>
    <row r="216">
      <c r="A216" s="85">
        <f>IFERROR(__xludf.DUMMYFUNCTION("""COMPUTED_VALUE"""),45384.0)</f>
        <v>45384</v>
      </c>
      <c r="B216" s="109">
        <f>IFERROR(__xludf.DUMMYFUNCTION("""COMPUTED_VALUE"""),12.16)</f>
        <v>12.16</v>
      </c>
      <c r="C216" s="79" t="str">
        <f>IFERROR(__xludf.DUMMYFUNCTION("""COMPUTED_VALUE"""),"apple bullshit")</f>
        <v>apple bullshit</v>
      </c>
      <c r="D216" s="79" t="str">
        <f>IFERROR(__xludf.DUMMYFUNCTION("""COMPUTED_VALUE"""),"Subscriptions")</f>
        <v>Subscriptions</v>
      </c>
      <c r="E216" s="108" t="str">
        <f t="shared" si="1"/>
        <v>Apr</v>
      </c>
      <c r="F216" s="79" t="str">
        <f>IFERROR(__xludf.DUMMYFUNCTION("""COMPUTED_VALUE"""),"Shaeffer")</f>
        <v>Shaeffer</v>
      </c>
    </row>
    <row r="217">
      <c r="A217" s="85">
        <f>IFERROR(__xludf.DUMMYFUNCTION("""COMPUTED_VALUE"""),45385.0)</f>
        <v>45385</v>
      </c>
      <c r="B217" s="109">
        <f>IFERROR(__xludf.DUMMYFUNCTION("""COMPUTED_VALUE"""),25.0)</f>
        <v>25</v>
      </c>
      <c r="C217" s="79" t="str">
        <f>IFERROR(__xludf.DUMMYFUNCTION("""COMPUTED_VALUE"""),"venmo - CVB - tile bar")</f>
        <v>venmo - CVB - tile bar</v>
      </c>
      <c r="D217" s="79" t="str">
        <f>IFERROR(__xludf.DUMMYFUNCTION("""COMPUTED_VALUE"""),"Alcohol/Weed")</f>
        <v>Alcohol/Weed</v>
      </c>
      <c r="E217" s="108" t="str">
        <f t="shared" si="1"/>
        <v>Apr</v>
      </c>
      <c r="F217" s="79" t="str">
        <f>IFERROR(__xludf.DUMMYFUNCTION("""COMPUTED_VALUE"""),"Shaeffer")</f>
        <v>Shaeffer</v>
      </c>
    </row>
    <row r="218">
      <c r="A218" s="85">
        <f>IFERROR(__xludf.DUMMYFUNCTION("""COMPUTED_VALUE"""),45390.0)</f>
        <v>45390</v>
      </c>
      <c r="B218" s="109">
        <f>IFERROR(__xludf.DUMMYFUNCTION("""COMPUTED_VALUE"""),375.0)</f>
        <v>375</v>
      </c>
      <c r="C218" s="79" t="str">
        <f>IFERROR(__xludf.DUMMYFUNCTION("""COMPUTED_VALUE"""),"studio rent - April")</f>
        <v>studio rent - April</v>
      </c>
      <c r="D218" s="79" t="str">
        <f>IFERROR(__xludf.DUMMYFUNCTION("""COMPUTED_VALUE"""),"Studio")</f>
        <v>Studio</v>
      </c>
      <c r="E218" s="108" t="str">
        <f t="shared" si="1"/>
        <v>Apr</v>
      </c>
      <c r="F218" s="79" t="str">
        <f>IFERROR(__xludf.DUMMYFUNCTION("""COMPUTED_VALUE"""),"Shaeffer")</f>
        <v>Shaeffer</v>
      </c>
    </row>
    <row r="219">
      <c r="A219" s="85">
        <f>IFERROR(__xludf.DUMMYFUNCTION("""COMPUTED_VALUE"""),45388.0)</f>
        <v>45388</v>
      </c>
      <c r="B219" s="109">
        <f>IFERROR(__xludf.DUMMYFUNCTION("""COMPUTED_VALUE"""),89.0)</f>
        <v>89</v>
      </c>
      <c r="C219" s="79" t="str">
        <f>IFERROR(__xludf.DUMMYFUNCTION("""COMPUTED_VALUE"""),"noriko jimbo - venmo - sake bar")</f>
        <v>noriko jimbo - venmo - sake bar</v>
      </c>
      <c r="D219" s="79" t="str">
        <f>IFERROR(__xludf.DUMMYFUNCTION("""COMPUTED_VALUE"""),"Meals")</f>
        <v>Meals</v>
      </c>
      <c r="E219" s="108" t="str">
        <f t="shared" si="1"/>
        <v>Apr</v>
      </c>
      <c r="F219" s="79" t="str">
        <f>IFERROR(__xludf.DUMMYFUNCTION("""COMPUTED_VALUE"""),"Shaeffer")</f>
        <v>Shaeffer</v>
      </c>
    </row>
    <row r="220">
      <c r="A220" s="85">
        <f>IFERROR(__xludf.DUMMYFUNCTION("""COMPUTED_VALUE"""),45383.0)</f>
        <v>45383</v>
      </c>
      <c r="B220" s="109">
        <f>IFERROR(__xludf.DUMMYFUNCTION("""COMPUTED_VALUE"""),76.05)</f>
        <v>76.05</v>
      </c>
      <c r="C220" s="79" t="str">
        <f>IFERROR(__xludf.DUMMYFUNCTION("""COMPUTED_VALUE"""),"Fashionbrand company")</f>
        <v>Fashionbrand company</v>
      </c>
      <c r="D220" s="79" t="str">
        <f>IFERROR(__xludf.DUMMYFUNCTION("""COMPUTED_VALUE"""),"Personal")</f>
        <v>Personal</v>
      </c>
      <c r="E220" s="108" t="str">
        <f t="shared" si="1"/>
        <v>Apr</v>
      </c>
      <c r="F220" s="79" t="str">
        <f>IFERROR(__xludf.DUMMYFUNCTION("""COMPUTED_VALUE"""),"Shaeffer")</f>
        <v>Shaeffer</v>
      </c>
    </row>
    <row r="221">
      <c r="A221" s="85">
        <f>IFERROR(__xludf.DUMMYFUNCTION("""COMPUTED_VALUE"""),45388.0)</f>
        <v>45388</v>
      </c>
      <c r="B221" s="109">
        <f>IFERROR(__xludf.DUMMYFUNCTION("""COMPUTED_VALUE"""),25.05)</f>
        <v>25.05</v>
      </c>
      <c r="C221" s="79" t="str">
        <f>IFERROR(__xludf.DUMMYFUNCTION("""COMPUTED_VALUE"""),"gotham")</f>
        <v>gotham</v>
      </c>
      <c r="D221" s="79" t="str">
        <f>IFERROR(__xludf.DUMMYFUNCTION("""COMPUTED_VALUE"""),"Alcohol/Weed")</f>
        <v>Alcohol/Weed</v>
      </c>
      <c r="E221" s="108" t="str">
        <f t="shared" si="1"/>
        <v>Apr</v>
      </c>
      <c r="F221" s="79" t="str">
        <f>IFERROR(__xludf.DUMMYFUNCTION("""COMPUTED_VALUE"""),"Shaeffer")</f>
        <v>Shaeffer</v>
      </c>
    </row>
    <row r="222">
      <c r="A222" s="85">
        <f>IFERROR(__xludf.DUMMYFUNCTION("""COMPUTED_VALUE"""),45388.0)</f>
        <v>45388</v>
      </c>
      <c r="B222" s="109">
        <f>IFERROR(__xludf.DUMMYFUNCTION("""COMPUTED_VALUE"""),27.22)</f>
        <v>27.22</v>
      </c>
      <c r="C222" s="79" t="str">
        <f>IFERROR(__xludf.DUMMYFUNCTION("""COMPUTED_VALUE"""),"downtown yarns")</f>
        <v>downtown yarns</v>
      </c>
      <c r="D222" s="79" t="str">
        <f>IFERROR(__xludf.DUMMYFUNCTION("""COMPUTED_VALUE"""),"Studio")</f>
        <v>Studio</v>
      </c>
      <c r="E222" s="108" t="str">
        <f t="shared" si="1"/>
        <v>Apr</v>
      </c>
      <c r="F222" s="79" t="str">
        <f>IFERROR(__xludf.DUMMYFUNCTION("""COMPUTED_VALUE"""),"Shaeffer")</f>
        <v>Shaeffer</v>
      </c>
    </row>
    <row r="223">
      <c r="A223" s="85">
        <f>IFERROR(__xludf.DUMMYFUNCTION("""COMPUTED_VALUE"""),45389.0)</f>
        <v>45389</v>
      </c>
      <c r="B223" s="109">
        <f>IFERROR(__xludf.DUMMYFUNCTION("""COMPUTED_VALUE"""),5.75)</f>
        <v>5.75</v>
      </c>
      <c r="C223" s="79" t="str">
        <f>IFERROR(__xludf.DUMMYFUNCTION("""COMPUTED_VALUE"""),"dounut plant")</f>
        <v>dounut plant</v>
      </c>
      <c r="D223" s="79" t="str">
        <f>IFERROR(__xludf.DUMMYFUNCTION("""COMPUTED_VALUE"""),"Meals")</f>
        <v>Meals</v>
      </c>
      <c r="E223" s="108" t="str">
        <f t="shared" si="1"/>
        <v>Apr</v>
      </c>
      <c r="F223" s="79" t="str">
        <f>IFERROR(__xludf.DUMMYFUNCTION("""COMPUTED_VALUE"""),"Shaeffer")</f>
        <v>Shaeffer</v>
      </c>
    </row>
    <row r="224">
      <c r="A224" s="85">
        <f>IFERROR(__xludf.DUMMYFUNCTION("""COMPUTED_VALUE"""),45390.0)</f>
        <v>45390</v>
      </c>
      <c r="B224" s="109">
        <f>IFERROR(__xludf.DUMMYFUNCTION("""COMPUTED_VALUE"""),79.8)</f>
        <v>79.8</v>
      </c>
      <c r="C224" s="79" t="str">
        <f>IFERROR(__xludf.DUMMYFUNCTION("""COMPUTED_VALUE"""),"Agua De La Vida")</f>
        <v>Agua De La Vida</v>
      </c>
      <c r="D224" s="79" t="str">
        <f>IFERROR(__xludf.DUMMYFUNCTION("""COMPUTED_VALUE"""),"Personal")</f>
        <v>Personal</v>
      </c>
      <c r="E224" s="108" t="str">
        <f t="shared" si="1"/>
        <v>Apr</v>
      </c>
      <c r="F224" s="79" t="str">
        <f>IFERROR(__xludf.DUMMYFUNCTION("""COMPUTED_VALUE"""),"Shaeffer")</f>
        <v>Shaeffer</v>
      </c>
    </row>
    <row r="225">
      <c r="A225" s="85">
        <f>IFERROR(__xludf.DUMMYFUNCTION("""COMPUTED_VALUE"""),45391.0)</f>
        <v>45391</v>
      </c>
      <c r="B225" s="109">
        <f>IFERROR(__xludf.DUMMYFUNCTION("""COMPUTED_VALUE"""),9.0)</f>
        <v>9</v>
      </c>
      <c r="C225" s="79" t="str">
        <f>IFERROR(__xludf.DUMMYFUNCTION("""COMPUTED_VALUE"""),"Occulus Beer Garden")</f>
        <v>Occulus Beer Garden</v>
      </c>
      <c r="D225" s="79" t="str">
        <f>IFERROR(__xludf.DUMMYFUNCTION("""COMPUTED_VALUE"""),"Alcohol/Weed")</f>
        <v>Alcohol/Weed</v>
      </c>
      <c r="E225" s="108" t="str">
        <f t="shared" si="1"/>
        <v>Apr</v>
      </c>
      <c r="F225" s="79" t="str">
        <f>IFERROR(__xludf.DUMMYFUNCTION("""COMPUTED_VALUE"""),"Shaeffer")</f>
        <v>Shaeffer</v>
      </c>
    </row>
    <row r="226">
      <c r="A226" s="85">
        <f>IFERROR(__xludf.DUMMYFUNCTION("""COMPUTED_VALUE"""),45392.0)</f>
        <v>45392</v>
      </c>
      <c r="B226" s="109">
        <f>IFERROR(__xludf.DUMMYFUNCTION("""COMPUTED_VALUE"""),62.98)</f>
        <v>62.98</v>
      </c>
      <c r="C226" s="79" t="str">
        <f>IFERROR(__xludf.DUMMYFUNCTION("""COMPUTED_VALUE"""),"Culture hustle - yves klein blue paint")</f>
        <v>Culture hustle - yves klein blue paint</v>
      </c>
      <c r="D226" s="79" t="str">
        <f>IFERROR(__xludf.DUMMYFUNCTION("""COMPUTED_VALUE"""),"Studio")</f>
        <v>Studio</v>
      </c>
      <c r="E226" s="108" t="str">
        <f t="shared" si="1"/>
        <v>Apr</v>
      </c>
      <c r="F226" s="79" t="str">
        <f>IFERROR(__xludf.DUMMYFUNCTION("""COMPUTED_VALUE"""),"Shaeffer")</f>
        <v>Shaeffer</v>
      </c>
    </row>
    <row r="227">
      <c r="A227" s="85">
        <f>IFERROR(__xludf.DUMMYFUNCTION("""COMPUTED_VALUE"""),45392.0)</f>
        <v>45392</v>
      </c>
      <c r="B227" s="109">
        <f>IFERROR(__xludf.DUMMYFUNCTION("""COMPUTED_VALUE"""),87.09)</f>
        <v>87.09</v>
      </c>
      <c r="C227" s="79" t="str">
        <f>IFERROR(__xludf.DUMMYFUNCTION("""COMPUTED_VALUE"""),"Loftie")</f>
        <v>Loftie</v>
      </c>
      <c r="D227" s="79" t="str">
        <f>IFERROR(__xludf.DUMMYFUNCTION("""COMPUTED_VALUE"""),"Household")</f>
        <v>Household</v>
      </c>
      <c r="E227" s="108" t="str">
        <f t="shared" si="1"/>
        <v>Apr</v>
      </c>
      <c r="F227" s="79" t="str">
        <f>IFERROR(__xludf.DUMMYFUNCTION("""COMPUTED_VALUE"""),"Shaeffer")</f>
        <v>Shaeffer</v>
      </c>
    </row>
    <row r="228">
      <c r="A228" s="85">
        <f>IFERROR(__xludf.DUMMYFUNCTION("""COMPUTED_VALUE"""),45383.0)</f>
        <v>45383</v>
      </c>
      <c r="B228" s="109">
        <f>IFERROR(__xludf.DUMMYFUNCTION("""COMPUTED_VALUE"""),5.63)</f>
        <v>5.63</v>
      </c>
      <c r="C228" s="79" t="str">
        <f>IFERROR(__xludf.DUMMYFUNCTION("""COMPUTED_VALUE"""),"birch coffee")</f>
        <v>birch coffee</v>
      </c>
      <c r="D228" s="79" t="str">
        <f>IFERROR(__xludf.DUMMYFUNCTION("""COMPUTED_VALUE"""),"Work Meals")</f>
        <v>Work Meals</v>
      </c>
      <c r="E228" s="108" t="str">
        <f t="shared" si="1"/>
        <v>Apr</v>
      </c>
      <c r="F228" s="79" t="str">
        <f>IFERROR(__xludf.DUMMYFUNCTION("""COMPUTED_VALUE"""),"Shaeffer")</f>
        <v>Shaeffer</v>
      </c>
    </row>
    <row r="229">
      <c r="A229" s="85">
        <f>IFERROR(__xludf.DUMMYFUNCTION("""COMPUTED_VALUE"""),45386.0)</f>
        <v>45386</v>
      </c>
      <c r="B229" s="109">
        <f>IFERROR(__xludf.DUMMYFUNCTION("""COMPUTED_VALUE"""),5.43)</f>
        <v>5.43</v>
      </c>
      <c r="C229" s="79" t="str">
        <f>IFERROR(__xludf.DUMMYFUNCTION("""COMPUTED_VALUE"""),"Blue Collar")</f>
        <v>Blue Collar</v>
      </c>
      <c r="D229" s="79" t="str">
        <f>IFERROR(__xludf.DUMMYFUNCTION("""COMPUTED_VALUE"""),"Work Meals")</f>
        <v>Work Meals</v>
      </c>
      <c r="E229" s="108" t="str">
        <f t="shared" si="1"/>
        <v>Apr</v>
      </c>
      <c r="F229" s="79" t="str">
        <f>IFERROR(__xludf.DUMMYFUNCTION("""COMPUTED_VALUE"""),"Shaeffer")</f>
        <v>Shaeffer</v>
      </c>
    </row>
    <row r="230">
      <c r="A230" s="85">
        <f>IFERROR(__xludf.DUMMYFUNCTION("""COMPUTED_VALUE"""),45387.0)</f>
        <v>45387</v>
      </c>
      <c r="B230" s="109">
        <f>IFERROR(__xludf.DUMMYFUNCTION("""COMPUTED_VALUE"""),15.06)</f>
        <v>15.06</v>
      </c>
      <c r="C230" s="79" t="str">
        <f>IFERROR(__xludf.DUMMYFUNCTION("""COMPUTED_VALUE"""),"Harumatsu")</f>
        <v>Harumatsu</v>
      </c>
      <c r="D230" s="79" t="str">
        <f>IFERROR(__xludf.DUMMYFUNCTION("""COMPUTED_VALUE"""),"Meals")</f>
        <v>Meals</v>
      </c>
      <c r="E230" s="108" t="str">
        <f t="shared" si="1"/>
        <v>Apr</v>
      </c>
      <c r="F230" s="79" t="str">
        <f>IFERROR(__xludf.DUMMYFUNCTION("""COMPUTED_VALUE"""),"Shaeffer")</f>
        <v>Shaeffer</v>
      </c>
    </row>
    <row r="231">
      <c r="A231" s="85">
        <f>IFERROR(__xludf.DUMMYFUNCTION("""COMPUTED_VALUE"""),45387.0)</f>
        <v>45387</v>
      </c>
      <c r="B231" s="109">
        <f>IFERROR(__xludf.DUMMYFUNCTION("""COMPUTED_VALUE"""),35.48)</f>
        <v>35.48</v>
      </c>
      <c r="C231" s="79" t="str">
        <f>IFERROR(__xludf.DUMMYFUNCTION("""COMPUTED_VALUE"""),"knickerbocker bar")</f>
        <v>knickerbocker bar</v>
      </c>
      <c r="D231" s="79" t="str">
        <f>IFERROR(__xludf.DUMMYFUNCTION("""COMPUTED_VALUE"""),"Alcohol/Weed")</f>
        <v>Alcohol/Weed</v>
      </c>
      <c r="E231" s="108" t="str">
        <f t="shared" si="1"/>
        <v>Apr</v>
      </c>
      <c r="F231" s="79" t="str">
        <f>IFERROR(__xludf.DUMMYFUNCTION("""COMPUTED_VALUE"""),"Shaeffer")</f>
        <v>Shaeffer</v>
      </c>
    </row>
    <row r="232">
      <c r="A232" s="85">
        <f>IFERROR(__xludf.DUMMYFUNCTION("""COMPUTED_VALUE"""),45388.0)</f>
        <v>45388</v>
      </c>
      <c r="B232" s="109">
        <f>IFERROR(__xludf.DUMMYFUNCTION("""COMPUTED_VALUE"""),45.11)</f>
        <v>45.11</v>
      </c>
      <c r="C232" s="79" t="str">
        <f>IFERROR(__xludf.DUMMYFUNCTION("""COMPUTED_VALUE"""),"Queen Fallafal")</f>
        <v>Queen Fallafal</v>
      </c>
      <c r="D232" s="79" t="str">
        <f>IFERROR(__xludf.DUMMYFUNCTION("""COMPUTED_VALUE"""),"Meals")</f>
        <v>Meals</v>
      </c>
      <c r="E232" s="108" t="str">
        <f t="shared" si="1"/>
        <v>Apr</v>
      </c>
      <c r="F232" s="79" t="str">
        <f>IFERROR(__xludf.DUMMYFUNCTION("""COMPUTED_VALUE"""),"Shaeffer")</f>
        <v>Shaeffer</v>
      </c>
    </row>
    <row r="233">
      <c r="A233" s="85">
        <f>IFERROR(__xludf.DUMMYFUNCTION("""COMPUTED_VALUE"""),45388.0)</f>
        <v>45388</v>
      </c>
      <c r="B233" s="109">
        <f>IFERROR(__xludf.DUMMYFUNCTION("""COMPUTED_VALUE"""),44.14)</f>
        <v>44.14</v>
      </c>
      <c r="C233" s="79" t="str">
        <f>IFERROR(__xludf.DUMMYFUNCTION("""COMPUTED_VALUE"""),"Pitanga")</f>
        <v>Pitanga</v>
      </c>
      <c r="D233" s="79" t="str">
        <f>IFERROR(__xludf.DUMMYFUNCTION("""COMPUTED_VALUE"""),"Meals")</f>
        <v>Meals</v>
      </c>
      <c r="E233" s="108" t="str">
        <f t="shared" si="1"/>
        <v>Apr</v>
      </c>
      <c r="F233" s="79" t="str">
        <f>IFERROR(__xludf.DUMMYFUNCTION("""COMPUTED_VALUE"""),"Shaeffer")</f>
        <v>Shaeffer</v>
      </c>
    </row>
    <row r="234">
      <c r="A234" s="85">
        <f>IFERROR(__xludf.DUMMYFUNCTION("""COMPUTED_VALUE"""),45390.0)</f>
        <v>45390</v>
      </c>
      <c r="B234" s="109">
        <f>IFERROR(__xludf.DUMMYFUNCTION("""COMPUTED_VALUE"""),45.73)</f>
        <v>45.73</v>
      </c>
      <c r="C234" s="79" t="str">
        <f>IFERROR(__xludf.DUMMYFUNCTION("""COMPUTED_VALUE"""),"Sephora")</f>
        <v>Sephora</v>
      </c>
      <c r="D234" s="79" t="str">
        <f>IFERROR(__xludf.DUMMYFUNCTION("""COMPUTED_VALUE"""),"Personal")</f>
        <v>Personal</v>
      </c>
      <c r="E234" s="108" t="str">
        <f t="shared" si="1"/>
        <v>Apr</v>
      </c>
      <c r="F234" s="79" t="str">
        <f>IFERROR(__xludf.DUMMYFUNCTION("""COMPUTED_VALUE"""),"Shaeffer")</f>
        <v>Shaeffer</v>
      </c>
    </row>
    <row r="235">
      <c r="A235" s="85">
        <f>IFERROR(__xludf.DUMMYFUNCTION("""COMPUTED_VALUE"""),45390.0)</f>
        <v>45390</v>
      </c>
      <c r="B235" s="109">
        <f>IFERROR(__xludf.DUMMYFUNCTION("""COMPUTED_VALUE"""),79.71)</f>
        <v>79.71</v>
      </c>
      <c r="C235" s="79" t="str">
        <f>IFERROR(__xludf.DUMMYFUNCTION("""COMPUTED_VALUE"""),"Gotham")</f>
        <v>Gotham</v>
      </c>
      <c r="D235" s="79" t="str">
        <f>IFERROR(__xludf.DUMMYFUNCTION("""COMPUTED_VALUE"""),"Alcohol/Weed")</f>
        <v>Alcohol/Weed</v>
      </c>
      <c r="E235" s="108" t="str">
        <f t="shared" si="1"/>
        <v>Apr</v>
      </c>
      <c r="F235" s="79" t="str">
        <f>IFERROR(__xludf.DUMMYFUNCTION("""COMPUTED_VALUE"""),"Shaeffer")</f>
        <v>Shaeffer</v>
      </c>
    </row>
    <row r="236">
      <c r="A236" s="85">
        <f>IFERROR(__xludf.DUMMYFUNCTION("""COMPUTED_VALUE"""),45383.0)</f>
        <v>45383</v>
      </c>
      <c r="B236" s="109">
        <f>IFERROR(__xludf.DUMMYFUNCTION("""COMPUTED_VALUE"""),40.08)</f>
        <v>40.08</v>
      </c>
      <c r="C236" s="79" t="str">
        <f>IFERROR(__xludf.DUMMYFUNCTION("""COMPUTED_VALUE"""),"acupressure socks")</f>
        <v>acupressure socks</v>
      </c>
      <c r="D236" s="79" t="str">
        <f>IFERROR(__xludf.DUMMYFUNCTION("""COMPUTED_VALUE"""),"Personal")</f>
        <v>Personal</v>
      </c>
      <c r="E236" s="108" t="str">
        <f t="shared" si="1"/>
        <v>Apr</v>
      </c>
      <c r="F236" s="79" t="str">
        <f>IFERROR(__xludf.DUMMYFUNCTION("""COMPUTED_VALUE"""),"Shaeffer")</f>
        <v>Shaeffer</v>
      </c>
    </row>
    <row r="237">
      <c r="A237" s="85">
        <f>IFERROR(__xludf.DUMMYFUNCTION("""COMPUTED_VALUE"""),45392.0)</f>
        <v>45392</v>
      </c>
      <c r="B237" s="109">
        <f>IFERROR(__xludf.DUMMYFUNCTION("""COMPUTED_VALUE"""),5.63)</f>
        <v>5.63</v>
      </c>
      <c r="C237" s="79" t="str">
        <f>IFERROR(__xludf.DUMMYFUNCTION("""COMPUTED_VALUE"""),"birch")</f>
        <v>birch</v>
      </c>
      <c r="D237" s="79" t="str">
        <f>IFERROR(__xludf.DUMMYFUNCTION("""COMPUTED_VALUE"""),"Work Meals")</f>
        <v>Work Meals</v>
      </c>
      <c r="E237" s="108" t="str">
        <f t="shared" si="1"/>
        <v>Apr</v>
      </c>
      <c r="F237" s="79" t="str">
        <f>IFERROR(__xludf.DUMMYFUNCTION("""COMPUTED_VALUE"""),"Shaeffer")</f>
        <v>Shaeffer</v>
      </c>
    </row>
    <row r="238">
      <c r="A238" s="85">
        <f>IFERROR(__xludf.DUMMYFUNCTION("""COMPUTED_VALUE"""),45391.0)</f>
        <v>45391</v>
      </c>
      <c r="B238" s="109">
        <f>IFERROR(__xludf.DUMMYFUNCTION("""COMPUTED_VALUE"""),10.89)</f>
        <v>10.89</v>
      </c>
      <c r="C238" s="79" t="str">
        <f>IFERROR(__xludf.DUMMYFUNCTION("""COMPUTED_VALUE"""),"takahachi")</f>
        <v>takahachi</v>
      </c>
      <c r="D238" s="79" t="str">
        <f>IFERROR(__xludf.DUMMYFUNCTION("""COMPUTED_VALUE"""),"Meals")</f>
        <v>Meals</v>
      </c>
      <c r="E238" s="108" t="str">
        <f t="shared" si="1"/>
        <v>Apr</v>
      </c>
      <c r="F238" s="79" t="str">
        <f>IFERROR(__xludf.DUMMYFUNCTION("""COMPUTED_VALUE"""),"Shaeffer")</f>
        <v>Shaeffer</v>
      </c>
    </row>
    <row r="239">
      <c r="A239" s="85">
        <f>IFERROR(__xludf.DUMMYFUNCTION("""COMPUTED_VALUE"""),45391.0)</f>
        <v>45391</v>
      </c>
      <c r="B239" s="109">
        <f>IFERROR(__xludf.DUMMYFUNCTION("""COMPUTED_VALUE"""),30.49)</f>
        <v>30.49</v>
      </c>
      <c r="C239" s="79" t="str">
        <f>IFERROR(__xludf.DUMMYFUNCTION("""COMPUTED_VALUE"""),"osteria del porto")</f>
        <v>osteria del porto</v>
      </c>
      <c r="D239" s="79" t="str">
        <f>IFERROR(__xludf.DUMMYFUNCTION("""COMPUTED_VALUE"""),"Meals")</f>
        <v>Meals</v>
      </c>
      <c r="E239" s="108" t="str">
        <f t="shared" si="1"/>
        <v>Apr</v>
      </c>
      <c r="F239" s="79" t="str">
        <f>IFERROR(__xludf.DUMMYFUNCTION("""COMPUTED_VALUE"""),"Shaeffer")</f>
        <v>Shaeffer</v>
      </c>
    </row>
    <row r="240">
      <c r="A240" s="85">
        <f>IFERROR(__xludf.DUMMYFUNCTION("""COMPUTED_VALUE"""),45391.0)</f>
        <v>45391</v>
      </c>
      <c r="B240" s="109">
        <f>IFERROR(__xludf.DUMMYFUNCTION("""COMPUTED_VALUE"""),6.51)</f>
        <v>6.51</v>
      </c>
      <c r="C240" s="79" t="str">
        <f>IFERROR(__xludf.DUMMYFUNCTION("""COMPUTED_VALUE"""),"the little shop")</f>
        <v>the little shop</v>
      </c>
      <c r="D240" s="79" t="str">
        <f>IFERROR(__xludf.DUMMYFUNCTION("""COMPUTED_VALUE"""),"Alcohol/Weed")</f>
        <v>Alcohol/Weed</v>
      </c>
      <c r="E240" s="108" t="str">
        <f t="shared" si="1"/>
        <v>Apr</v>
      </c>
      <c r="F240" s="79" t="str">
        <f>IFERROR(__xludf.DUMMYFUNCTION("""COMPUTED_VALUE"""),"Shaeffer")</f>
        <v>Shaeffer</v>
      </c>
    </row>
    <row r="241">
      <c r="A241" s="85">
        <f>IFERROR(__xludf.DUMMYFUNCTION("""COMPUTED_VALUE"""),45391.0)</f>
        <v>45391</v>
      </c>
      <c r="B241" s="109">
        <f>IFERROR(__xludf.DUMMYFUNCTION("""COMPUTED_VALUE"""),9.8)</f>
        <v>9.8</v>
      </c>
      <c r="C241" s="79" t="str">
        <f>IFERROR(__xludf.DUMMYFUNCTION("""COMPUTED_VALUE"""),"Bok Lei Po Trading")</f>
        <v>Bok Lei Po Trading</v>
      </c>
      <c r="D241" s="79" t="str">
        <f>IFERROR(__xludf.DUMMYFUNCTION("""COMPUTED_VALUE"""),"Personal")</f>
        <v>Personal</v>
      </c>
      <c r="E241" s="108" t="str">
        <f t="shared" si="1"/>
        <v>Apr</v>
      </c>
      <c r="F241" s="79" t="str">
        <f>IFERROR(__xludf.DUMMYFUNCTION("""COMPUTED_VALUE"""),"Shaeffer")</f>
        <v>Shaeffer</v>
      </c>
    </row>
    <row r="242">
      <c r="A242" s="85">
        <f>IFERROR(__xludf.DUMMYFUNCTION("""COMPUTED_VALUE"""),45392.0)</f>
        <v>45392</v>
      </c>
      <c r="B242" s="109">
        <f>IFERROR(__xludf.DUMMYFUNCTION("""COMPUTED_VALUE"""),10.91)</f>
        <v>10.91</v>
      </c>
      <c r="C242" s="79" t="str">
        <f>IFERROR(__xludf.DUMMYFUNCTION("""COMPUTED_VALUE"""),"Uber - Joe")</f>
        <v>Uber - Joe</v>
      </c>
      <c r="D242" s="79" t="str">
        <f>IFERROR(__xludf.DUMMYFUNCTION("""COMPUTED_VALUE"""),"Transportation")</f>
        <v>Transportation</v>
      </c>
      <c r="E242" s="108" t="str">
        <f t="shared" si="1"/>
        <v>Apr</v>
      </c>
      <c r="F242" s="79" t="str">
        <f>IFERROR(__xludf.DUMMYFUNCTION("""COMPUTED_VALUE"""),"Gil")</f>
        <v>Gil</v>
      </c>
    </row>
    <row r="243">
      <c r="A243" s="85">
        <f>IFERROR(__xludf.DUMMYFUNCTION("""COMPUTED_VALUE"""),45394.0)</f>
        <v>45394</v>
      </c>
      <c r="B243" s="109">
        <f>IFERROR(__xludf.DUMMYFUNCTION("""COMPUTED_VALUE"""),21.4)</f>
        <v>21.4</v>
      </c>
      <c r="C243" s="79" t="str">
        <f>IFERROR(__xludf.DUMMYFUNCTION("""COMPUTED_VALUE"""),"Maki Maki")</f>
        <v>Maki Maki</v>
      </c>
      <c r="D243" s="79" t="str">
        <f>IFERROR(__xludf.DUMMYFUNCTION("""COMPUTED_VALUE"""),"Work Meals")</f>
        <v>Work Meals</v>
      </c>
      <c r="E243" s="108" t="str">
        <f t="shared" si="1"/>
        <v>Apr</v>
      </c>
      <c r="F243" s="79" t="str">
        <f>IFERROR(__xludf.DUMMYFUNCTION("""COMPUTED_VALUE"""),"Gil")</f>
        <v>Gil</v>
      </c>
    </row>
    <row r="244">
      <c r="A244" s="85">
        <f>IFERROR(__xludf.DUMMYFUNCTION("""COMPUTED_VALUE"""),45394.0)</f>
        <v>45394</v>
      </c>
      <c r="B244" s="109">
        <f>IFERROR(__xludf.DUMMYFUNCTION("""COMPUTED_VALUE"""),18.38)</f>
        <v>18.38</v>
      </c>
      <c r="C244" s="79" t="str">
        <f>IFERROR(__xludf.DUMMYFUNCTION("""COMPUTED_VALUE"""),"Walmart - Feather Razor Blades")</f>
        <v>Walmart - Feather Razor Blades</v>
      </c>
      <c r="D244" s="79" t="str">
        <f>IFERROR(__xludf.DUMMYFUNCTION("""COMPUTED_VALUE"""),"Personal")</f>
        <v>Personal</v>
      </c>
      <c r="E244" s="108" t="str">
        <f t="shared" si="1"/>
        <v>Apr</v>
      </c>
      <c r="F244" s="79" t="str">
        <f>IFERROR(__xludf.DUMMYFUNCTION("""COMPUTED_VALUE"""),"Gil")</f>
        <v>Gil</v>
      </c>
    </row>
    <row r="245">
      <c r="A245" s="85">
        <f>IFERROR(__xludf.DUMMYFUNCTION("""COMPUTED_VALUE"""),45394.0)</f>
        <v>45394</v>
      </c>
      <c r="B245" s="109">
        <f>IFERROR(__xludf.DUMMYFUNCTION("""COMPUTED_VALUE"""),10.56)</f>
        <v>10.56</v>
      </c>
      <c r="C245" s="79" t="str">
        <f>IFERROR(__xludf.DUMMYFUNCTION("""COMPUTED_VALUE"""),"Woorijip")</f>
        <v>Woorijip</v>
      </c>
      <c r="D245" s="79" t="str">
        <f>IFERROR(__xludf.DUMMYFUNCTION("""COMPUTED_VALUE"""),"Work Meals")</f>
        <v>Work Meals</v>
      </c>
      <c r="E245" s="108" t="str">
        <f t="shared" si="1"/>
        <v>Apr</v>
      </c>
      <c r="F245" s="79" t="str">
        <f>IFERROR(__xludf.DUMMYFUNCTION("""COMPUTED_VALUE"""),"Gil")</f>
        <v>Gil</v>
      </c>
    </row>
    <row r="246">
      <c r="A246" s="85">
        <f>IFERROR(__xludf.DUMMYFUNCTION("""COMPUTED_VALUE"""),45392.0)</f>
        <v>45392</v>
      </c>
      <c r="B246" s="109">
        <f>IFERROR(__xludf.DUMMYFUNCTION("""COMPUTED_VALUE"""),8.35)</f>
        <v>8.35</v>
      </c>
      <c r="C246" s="79" t="str">
        <f>IFERROR(__xludf.DUMMYFUNCTION("""COMPUTED_VALUE"""),"7th Street Burger")</f>
        <v>7th Street Burger</v>
      </c>
      <c r="D246" s="79" t="str">
        <f>IFERROR(__xludf.DUMMYFUNCTION("""COMPUTED_VALUE"""),"Meals")</f>
        <v>Meals</v>
      </c>
      <c r="E246" s="108" t="str">
        <f t="shared" si="1"/>
        <v>Apr</v>
      </c>
      <c r="F246" s="79" t="str">
        <f>IFERROR(__xludf.DUMMYFUNCTION("""COMPUTED_VALUE"""),"Gil")</f>
        <v>Gil</v>
      </c>
    </row>
    <row r="247">
      <c r="A247" s="85">
        <f>IFERROR(__xludf.DUMMYFUNCTION("""COMPUTED_VALUE"""),45395.0)</f>
        <v>45395</v>
      </c>
      <c r="B247" s="109">
        <f>IFERROR(__xludf.DUMMYFUNCTION("""COMPUTED_VALUE"""),30.82)</f>
        <v>30.82</v>
      </c>
      <c r="C247" s="79" t="str">
        <f>IFERROR(__xludf.DUMMYFUNCTION("""COMPUTED_VALUE"""),"UberEats - Klom Klorm")</f>
        <v>UberEats - Klom Klorm</v>
      </c>
      <c r="D247" s="79" t="str">
        <f>IFERROR(__xludf.DUMMYFUNCTION("""COMPUTED_VALUE"""),"Meals")</f>
        <v>Meals</v>
      </c>
      <c r="E247" s="108" t="str">
        <f t="shared" si="1"/>
        <v>Apr</v>
      </c>
      <c r="F247" s="79" t="str">
        <f>IFERROR(__xludf.DUMMYFUNCTION("""COMPUTED_VALUE"""),"Gil")</f>
        <v>Gil</v>
      </c>
    </row>
    <row r="248">
      <c r="A248" s="85">
        <f>IFERROR(__xludf.DUMMYFUNCTION("""COMPUTED_VALUE"""),45395.0)</f>
        <v>45395</v>
      </c>
      <c r="B248" s="109">
        <f>IFERROR(__xludf.DUMMYFUNCTION("""COMPUTED_VALUE"""),18.18)</f>
        <v>18.18</v>
      </c>
      <c r="C248" s="79" t="str">
        <f>IFERROR(__xludf.DUMMYFUNCTION("""COMPUTED_VALUE"""),"DIG ")</f>
        <v>DIG </v>
      </c>
      <c r="D248" s="79" t="str">
        <f>IFERROR(__xludf.DUMMYFUNCTION("""COMPUTED_VALUE"""),"Work Meals")</f>
        <v>Work Meals</v>
      </c>
      <c r="E248" s="108" t="str">
        <f t="shared" si="1"/>
        <v>Apr</v>
      </c>
      <c r="F248" s="79" t="str">
        <f>IFERROR(__xludf.DUMMYFUNCTION("""COMPUTED_VALUE"""),"Gil")</f>
        <v>Gil</v>
      </c>
    </row>
    <row r="249">
      <c r="A249" s="85">
        <f>IFERROR(__xludf.DUMMYFUNCTION("""COMPUTED_VALUE"""),45395.0)</f>
        <v>45395</v>
      </c>
      <c r="B249" s="109">
        <f>IFERROR(__xludf.DUMMYFUNCTION("""COMPUTED_VALUE"""),5.63)</f>
        <v>5.63</v>
      </c>
      <c r="C249" s="79" t="str">
        <f>IFERROR(__xludf.DUMMYFUNCTION("""COMPUTED_VALUE"""),"Birch Coffee")</f>
        <v>Birch Coffee</v>
      </c>
      <c r="D249" s="79" t="str">
        <f>IFERROR(__xludf.DUMMYFUNCTION("""COMPUTED_VALUE"""),"Work Meals")</f>
        <v>Work Meals</v>
      </c>
      <c r="E249" s="108" t="str">
        <f t="shared" si="1"/>
        <v>Apr</v>
      </c>
      <c r="F249" s="79" t="str">
        <f>IFERROR(__xludf.DUMMYFUNCTION("""COMPUTED_VALUE"""),"Gil")</f>
        <v>Gil</v>
      </c>
    </row>
    <row r="250">
      <c r="A250" s="85">
        <f>IFERROR(__xludf.DUMMYFUNCTION("""COMPUTED_VALUE"""),45387.0)</f>
        <v>45387</v>
      </c>
      <c r="B250" s="109">
        <f>IFERROR(__xludf.DUMMYFUNCTION("""COMPUTED_VALUE"""),13.99)</f>
        <v>13.99</v>
      </c>
      <c r="C250" s="79" t="str">
        <f>IFERROR(__xludf.DUMMYFUNCTION("""COMPUTED_VALUE"""),"YouTube Premium")</f>
        <v>YouTube Premium</v>
      </c>
      <c r="D250" s="79" t="str">
        <f>IFERROR(__xludf.DUMMYFUNCTION("""COMPUTED_VALUE"""),"Subscriptions")</f>
        <v>Subscriptions</v>
      </c>
      <c r="E250" s="108" t="str">
        <f t="shared" si="1"/>
        <v>Apr</v>
      </c>
      <c r="F250" s="79" t="str">
        <f>IFERROR(__xludf.DUMMYFUNCTION("""COMPUTED_VALUE"""),"Gil")</f>
        <v>Gil</v>
      </c>
    </row>
    <row r="251">
      <c r="A251" s="85">
        <f>IFERROR(__xludf.DUMMYFUNCTION("""COMPUTED_VALUE"""),45355.0)</f>
        <v>45355</v>
      </c>
      <c r="B251" s="111">
        <f>IFERROR(__xludf.DUMMYFUNCTION("""COMPUTED_VALUE"""),7.72)</f>
        <v>7.72</v>
      </c>
      <c r="C251" s="79" t="str">
        <f>IFERROR(__xludf.DUMMYFUNCTION("""COMPUTED_VALUE"""),"Chick-Fil-A")</f>
        <v>Chick-Fil-A</v>
      </c>
      <c r="D251" s="79" t="str">
        <f>IFERROR(__xludf.DUMMYFUNCTION("""COMPUTED_VALUE"""),"Meals")</f>
        <v>Meals</v>
      </c>
      <c r="E251" s="108" t="str">
        <f t="shared" si="1"/>
        <v>Mar</v>
      </c>
      <c r="F251" s="79" t="str">
        <f>IFERROR(__xludf.DUMMYFUNCTION("""COMPUTED_VALUE"""),"Gil")</f>
        <v>Gil</v>
      </c>
    </row>
    <row r="252">
      <c r="A252" s="85">
        <f>IFERROR(__xludf.DUMMYFUNCTION("""COMPUTED_VALUE"""),45369.0)</f>
        <v>45369</v>
      </c>
      <c r="B252" s="111">
        <f>IFERROR(__xludf.DUMMYFUNCTION("""COMPUTED_VALUE"""),108.86)</f>
        <v>108.86</v>
      </c>
      <c r="C252" s="79" t="str">
        <f>IFERROR(__xludf.DUMMYFUNCTION("""COMPUTED_VALUE"""),"Google ONE Storage - Annual Plan")</f>
        <v>Google ONE Storage - Annual Plan</v>
      </c>
      <c r="D252" s="79" t="str">
        <f>IFERROR(__xludf.DUMMYFUNCTION("""COMPUTED_VALUE"""),"Subscriptions")</f>
        <v>Subscriptions</v>
      </c>
      <c r="E252" s="108" t="str">
        <f t="shared" si="1"/>
        <v>Mar</v>
      </c>
      <c r="F252" s="79" t="str">
        <f>IFERROR(__xludf.DUMMYFUNCTION("""COMPUTED_VALUE"""),"Gil")</f>
        <v>Gil</v>
      </c>
    </row>
    <row r="253">
      <c r="A253" s="85">
        <f>IFERROR(__xludf.DUMMYFUNCTION("""COMPUTED_VALUE"""),45372.0)</f>
        <v>45372</v>
      </c>
      <c r="B253" s="111">
        <f>IFERROR(__xludf.DUMMYFUNCTION("""COMPUTED_VALUE"""),22.81)</f>
        <v>22.81</v>
      </c>
      <c r="C253" s="79" t="str">
        <f>IFERROR(__xludf.DUMMYFUNCTION("""COMPUTED_VALUE"""),"Taim")</f>
        <v>Taim</v>
      </c>
      <c r="D253" s="79" t="str">
        <f>IFERROR(__xludf.DUMMYFUNCTION("""COMPUTED_VALUE"""),"Work Meals")</f>
        <v>Work Meals</v>
      </c>
      <c r="E253" s="108" t="str">
        <f t="shared" si="1"/>
        <v>Mar</v>
      </c>
      <c r="F253" s="79" t="str">
        <f>IFERROR(__xludf.DUMMYFUNCTION("""COMPUTED_VALUE"""),"Gil")</f>
        <v>Gil</v>
      </c>
    </row>
    <row r="254">
      <c r="A254" s="85">
        <f>IFERROR(__xludf.DUMMYFUNCTION("""COMPUTED_VALUE"""),45382.0)</f>
        <v>45382</v>
      </c>
      <c r="B254" s="111">
        <f>IFERROR(__xludf.DUMMYFUNCTION("""COMPUTED_VALUE"""),143.9)</f>
        <v>143.9</v>
      </c>
      <c r="C254" s="79" t="str">
        <f>IFERROR(__xludf.DUMMYFUNCTION("""COMPUTED_VALUE"""),"OMNY")</f>
        <v>OMNY</v>
      </c>
      <c r="D254" s="79" t="str">
        <f>IFERROR(__xludf.DUMMYFUNCTION("""COMPUTED_VALUE"""),"Transportation")</f>
        <v>Transportation</v>
      </c>
      <c r="E254" s="108" t="str">
        <f t="shared" si="1"/>
        <v>Mar</v>
      </c>
      <c r="F254" s="79" t="str">
        <f>IFERROR(__xludf.DUMMYFUNCTION("""COMPUTED_VALUE"""),"Gil")</f>
        <v>Gil</v>
      </c>
    </row>
    <row r="255">
      <c r="A255" s="85">
        <f>IFERROR(__xludf.DUMMYFUNCTION("""COMPUTED_VALUE"""),45387.0)</f>
        <v>45387</v>
      </c>
      <c r="B255" s="109">
        <f>IFERROR(__xludf.DUMMYFUNCTION("""COMPUTED_VALUE"""),29.21)</f>
        <v>29.21</v>
      </c>
      <c r="C255" s="79" t="str">
        <f>IFERROR(__xludf.DUMMYFUNCTION("""COMPUTED_VALUE"""),"eBay - Orange Ikea Lamp")</f>
        <v>eBay - Orange Ikea Lamp</v>
      </c>
      <c r="D255" s="79" t="str">
        <f>IFERROR(__xludf.DUMMYFUNCTION("""COMPUTED_VALUE"""),"Household")</f>
        <v>Household</v>
      </c>
      <c r="E255" s="108" t="str">
        <f t="shared" si="1"/>
        <v>Apr</v>
      </c>
      <c r="F255" s="79" t="str">
        <f>IFERROR(__xludf.DUMMYFUNCTION("""COMPUTED_VALUE"""),"Gil")</f>
        <v>Gil</v>
      </c>
    </row>
    <row r="256">
      <c r="A256" s="85">
        <f>IFERROR(__xludf.DUMMYFUNCTION("""COMPUTED_VALUE"""),45373.0)</f>
        <v>45373</v>
      </c>
      <c r="B256" s="111">
        <f>IFERROR(__xludf.DUMMYFUNCTION("""COMPUTED_VALUE"""),10.88)</f>
        <v>10.88</v>
      </c>
      <c r="C256" s="79" t="str">
        <f>IFERROR(__xludf.DUMMYFUNCTION("""COMPUTED_VALUE"""),"Amazon - Dead Sea Foot Deodorant")</f>
        <v>Amazon - Dead Sea Foot Deodorant</v>
      </c>
      <c r="D256" s="79" t="str">
        <f>IFERROR(__xludf.DUMMYFUNCTION("""COMPUTED_VALUE"""),"Personal")</f>
        <v>Personal</v>
      </c>
      <c r="E256" s="108" t="str">
        <f t="shared" si="1"/>
        <v>Mar</v>
      </c>
      <c r="F256" s="79" t="str">
        <f>IFERROR(__xludf.DUMMYFUNCTION("""COMPUTED_VALUE"""),"Gil")</f>
        <v>Gil</v>
      </c>
    </row>
    <row r="257">
      <c r="A257" s="85">
        <f>IFERROR(__xludf.DUMMYFUNCTION("""COMPUTED_VALUE"""),45355.0)</f>
        <v>45355</v>
      </c>
      <c r="B257" s="111">
        <f>IFERROR(__xludf.DUMMYFUNCTION("""COMPUTED_VALUE"""),3.97)</f>
        <v>3.97</v>
      </c>
      <c r="C257" s="79" t="str">
        <f>IFERROR(__xludf.DUMMYFUNCTION("""COMPUTED_VALUE"""),"Klom Klorm")</f>
        <v>Klom Klorm</v>
      </c>
      <c r="D257" s="79" t="str">
        <f>IFERROR(__xludf.DUMMYFUNCTION("""COMPUTED_VALUE"""),"Meals")</f>
        <v>Meals</v>
      </c>
      <c r="E257" s="108" t="str">
        <f t="shared" si="1"/>
        <v>Mar</v>
      </c>
      <c r="F257" s="79" t="str">
        <f>IFERROR(__xludf.DUMMYFUNCTION("""COMPUTED_VALUE"""),"Gil")</f>
        <v>Gil</v>
      </c>
    </row>
    <row r="258">
      <c r="A258" s="85">
        <f>IFERROR(__xludf.DUMMYFUNCTION("""COMPUTED_VALUE"""),45364.0)</f>
        <v>45364</v>
      </c>
      <c r="B258" s="111">
        <f>IFERROR(__xludf.DUMMYFUNCTION("""COMPUTED_VALUE"""),7.0)</f>
        <v>7</v>
      </c>
      <c r="C258" s="79" t="str">
        <f>IFERROR(__xludf.DUMMYFUNCTION("""COMPUTED_VALUE"""),"uberEats - Taqueria Diana")</f>
        <v>uberEats - Taqueria Diana</v>
      </c>
      <c r="D258" s="79" t="str">
        <f>IFERROR(__xludf.DUMMYFUNCTION("""COMPUTED_VALUE"""),"Work Meals")</f>
        <v>Work Meals</v>
      </c>
      <c r="E258" s="108" t="str">
        <f t="shared" si="1"/>
        <v>Mar</v>
      </c>
      <c r="F258" s="79" t="str">
        <f>IFERROR(__xludf.DUMMYFUNCTION("""COMPUTED_VALUE"""),"Gil")</f>
        <v>Gil</v>
      </c>
    </row>
    <row r="259">
      <c r="A259" s="85">
        <f>IFERROR(__xludf.DUMMYFUNCTION("""COMPUTED_VALUE"""),45352.0)</f>
        <v>45352</v>
      </c>
      <c r="B259" s="111">
        <f>IFERROR(__xludf.DUMMYFUNCTION("""COMPUTED_VALUE"""),2.9)</f>
        <v>2.9</v>
      </c>
      <c r="C259" s="79" t="str">
        <f>IFERROR(__xludf.DUMMYFUNCTION("""COMPUTED_VALUE"""),"MTA")</f>
        <v>MTA</v>
      </c>
      <c r="D259" s="79" t="str">
        <f>IFERROR(__xludf.DUMMYFUNCTION("""COMPUTED_VALUE"""),"Transportation")</f>
        <v>Transportation</v>
      </c>
      <c r="E259" s="108" t="str">
        <f t="shared" si="1"/>
        <v>Mar</v>
      </c>
      <c r="F259" s="79" t="str">
        <f>IFERROR(__xludf.DUMMYFUNCTION("""COMPUTED_VALUE"""),"Gil")</f>
        <v>Gil</v>
      </c>
    </row>
    <row r="260">
      <c r="A260" s="85">
        <f>IFERROR(__xludf.DUMMYFUNCTION("""COMPUTED_VALUE"""),45396.0)</f>
        <v>45396</v>
      </c>
      <c r="B260" s="109">
        <f>IFERROR(__xludf.DUMMYFUNCTION("""COMPUTED_VALUE"""),5.63)</f>
        <v>5.63</v>
      </c>
      <c r="C260" s="79" t="str">
        <f>IFERROR(__xludf.DUMMYFUNCTION("""COMPUTED_VALUE"""),"Birch Coffee")</f>
        <v>Birch Coffee</v>
      </c>
      <c r="D260" s="79" t="str">
        <f>IFERROR(__xludf.DUMMYFUNCTION("""COMPUTED_VALUE"""),"Meals")</f>
        <v>Meals</v>
      </c>
      <c r="E260" s="108" t="str">
        <f t="shared" si="1"/>
        <v>Apr</v>
      </c>
      <c r="F260" s="79" t="str">
        <f>IFERROR(__xludf.DUMMYFUNCTION("""COMPUTED_VALUE"""),"Gil")</f>
        <v>Gil</v>
      </c>
    </row>
    <row r="261">
      <c r="A261" s="85">
        <f>IFERROR(__xludf.DUMMYFUNCTION("""COMPUTED_VALUE"""),45396.0)</f>
        <v>45396</v>
      </c>
      <c r="B261" s="109">
        <f>IFERROR(__xludf.DUMMYFUNCTION("""COMPUTED_VALUE"""),27.0)</f>
        <v>27</v>
      </c>
      <c r="C261" s="79" t="str">
        <f>IFERROR(__xludf.DUMMYFUNCTION("""COMPUTED_VALUE"""),"Chinese at Meg's ")</f>
        <v>Chinese at Meg's </v>
      </c>
      <c r="D261" s="79" t="str">
        <f>IFERROR(__xludf.DUMMYFUNCTION("""COMPUTED_VALUE"""),"Meals")</f>
        <v>Meals</v>
      </c>
      <c r="E261" s="108" t="str">
        <f t="shared" si="1"/>
        <v>Apr</v>
      </c>
      <c r="F261" s="79" t="str">
        <f>IFERROR(__xludf.DUMMYFUNCTION("""COMPUTED_VALUE"""),"Gil")</f>
        <v>Gil</v>
      </c>
    </row>
    <row r="262">
      <c r="A262" s="85">
        <f>IFERROR(__xludf.DUMMYFUNCTION("""COMPUTED_VALUE"""),45397.0)</f>
        <v>45397</v>
      </c>
      <c r="B262" s="109">
        <f>IFERROR(__xludf.DUMMYFUNCTION("""COMPUTED_VALUE"""),9.8)</f>
        <v>9.8</v>
      </c>
      <c r="C262" s="79" t="str">
        <f>IFERROR(__xludf.DUMMYFUNCTION("""COMPUTED_VALUE"""),"Pret a Manger")</f>
        <v>Pret a Manger</v>
      </c>
      <c r="D262" s="79" t="str">
        <f>IFERROR(__xludf.DUMMYFUNCTION("""COMPUTED_VALUE"""),"Work Meals")</f>
        <v>Work Meals</v>
      </c>
      <c r="E262" s="108" t="str">
        <f t="shared" si="1"/>
        <v>Apr</v>
      </c>
      <c r="F262" s="79" t="str">
        <f>IFERROR(__xludf.DUMMYFUNCTION("""COMPUTED_VALUE"""),"Gil")</f>
        <v>Gil</v>
      </c>
    </row>
    <row r="263">
      <c r="A263" s="85">
        <f>IFERROR(__xludf.DUMMYFUNCTION("""COMPUTED_VALUE"""),45398.0)</f>
        <v>45398</v>
      </c>
      <c r="B263" s="109">
        <f>IFERROR(__xludf.DUMMYFUNCTION("""COMPUTED_VALUE"""),21.97)</f>
        <v>21.97</v>
      </c>
      <c r="C263" s="79" t="str">
        <f>IFERROR(__xludf.DUMMYFUNCTION("""COMPUTED_VALUE"""),"Alf Bakery")</f>
        <v>Alf Bakery</v>
      </c>
      <c r="D263" s="79" t="str">
        <f>IFERROR(__xludf.DUMMYFUNCTION("""COMPUTED_VALUE"""),"Work Meals")</f>
        <v>Work Meals</v>
      </c>
      <c r="E263" s="108" t="str">
        <f t="shared" si="1"/>
        <v>Apr</v>
      </c>
      <c r="F263" s="79" t="str">
        <f>IFERROR(__xludf.DUMMYFUNCTION("""COMPUTED_VALUE"""),"Gil")</f>
        <v>Gil</v>
      </c>
    </row>
    <row r="264">
      <c r="A264" s="85">
        <f>IFERROR(__xludf.DUMMYFUNCTION("""COMPUTED_VALUE"""),45399.0)</f>
        <v>45399</v>
      </c>
      <c r="B264" s="109">
        <f>IFERROR(__xludf.DUMMYFUNCTION("""COMPUTED_VALUE"""),27.22)</f>
        <v>27.22</v>
      </c>
      <c r="C264" s="79" t="str">
        <f>IFERROR(__xludf.DUMMYFUNCTION("""COMPUTED_VALUE"""),"Mili")</f>
        <v>Mili</v>
      </c>
      <c r="D264" s="79" t="str">
        <f>IFERROR(__xludf.DUMMYFUNCTION("""COMPUTED_VALUE"""),"Work Meals")</f>
        <v>Work Meals</v>
      </c>
      <c r="E264" s="108" t="str">
        <f t="shared" si="1"/>
        <v>Apr</v>
      </c>
      <c r="F264" s="79" t="str">
        <f>IFERROR(__xludf.DUMMYFUNCTION("""COMPUTED_VALUE"""),"Gil")</f>
        <v>Gil</v>
      </c>
    </row>
    <row r="265">
      <c r="A265" s="85">
        <f>IFERROR(__xludf.DUMMYFUNCTION("""COMPUTED_VALUE"""),45383.0)</f>
        <v>45383</v>
      </c>
      <c r="B265" s="109">
        <f>IFERROR(__xludf.DUMMYFUNCTION("""COMPUTED_VALUE"""),331.25)</f>
        <v>331.25</v>
      </c>
      <c r="C265" s="79" t="str">
        <f>IFERROR(__xludf.DUMMYFUNCTION("""COMPUTED_VALUE"""),"236 Moore St. - #38")</f>
        <v>236 Moore St. - #38</v>
      </c>
      <c r="D265" s="79" t="str">
        <f>IFERROR(__xludf.DUMMYFUNCTION("""COMPUTED_VALUE"""),"Storage")</f>
        <v>Storage</v>
      </c>
      <c r="E265" s="108" t="str">
        <f t="shared" si="1"/>
        <v>Apr</v>
      </c>
      <c r="F265" s="79" t="str">
        <f>IFERROR(__xludf.DUMMYFUNCTION("""COMPUTED_VALUE"""),"Gil")</f>
        <v>Gil</v>
      </c>
    </row>
    <row r="266">
      <c r="A266" s="85">
        <f>IFERROR(__xludf.DUMMYFUNCTION("""COMPUTED_VALUE"""),45400.0)</f>
        <v>45400</v>
      </c>
      <c r="B266" s="109">
        <f>IFERROR(__xludf.DUMMYFUNCTION("""COMPUTED_VALUE"""),27.34)</f>
        <v>27.34</v>
      </c>
      <c r="C266" s="79" t="str">
        <f>IFERROR(__xludf.DUMMYFUNCTION("""COMPUTED_VALUE"""),"Milu")</f>
        <v>Milu</v>
      </c>
      <c r="D266" s="79" t="str">
        <f>IFERROR(__xludf.DUMMYFUNCTION("""COMPUTED_VALUE"""),"Work Meals")</f>
        <v>Work Meals</v>
      </c>
      <c r="E266" s="108" t="str">
        <f t="shared" si="1"/>
        <v>Apr</v>
      </c>
      <c r="F266" s="79" t="str">
        <f>IFERROR(__xludf.DUMMYFUNCTION("""COMPUTED_VALUE"""),"Gil")</f>
        <v>Gil</v>
      </c>
    </row>
    <row r="267">
      <c r="A267" s="85">
        <f>IFERROR(__xludf.DUMMYFUNCTION("""COMPUTED_VALUE"""),45400.0)</f>
        <v>45400</v>
      </c>
      <c r="B267" s="109">
        <f>IFERROR(__xludf.DUMMYFUNCTION("""COMPUTED_VALUE"""),5.99)</f>
        <v>5.99</v>
      </c>
      <c r="C267" s="79" t="str">
        <f>IFERROR(__xludf.DUMMYFUNCTION("""COMPUTED_VALUE"""),"Lucia Pizza of Soho")</f>
        <v>Lucia Pizza of Soho</v>
      </c>
      <c r="D267" s="79" t="str">
        <f>IFERROR(__xludf.DUMMYFUNCTION("""COMPUTED_VALUE"""),"Meals")</f>
        <v>Meals</v>
      </c>
      <c r="E267" s="108" t="str">
        <f t="shared" si="1"/>
        <v>Apr</v>
      </c>
      <c r="F267" s="79" t="str">
        <f>IFERROR(__xludf.DUMMYFUNCTION("""COMPUTED_VALUE"""),"Gil")</f>
        <v>Gil</v>
      </c>
    </row>
    <row r="268">
      <c r="A268" s="85">
        <f>IFERROR(__xludf.DUMMYFUNCTION("""COMPUTED_VALUE"""),45401.0)</f>
        <v>45401</v>
      </c>
      <c r="B268" s="109">
        <f>IFERROR(__xludf.DUMMYFUNCTION("""COMPUTED_VALUE"""),3.9)</f>
        <v>3.9</v>
      </c>
      <c r="C268" s="79" t="str">
        <f>IFERROR(__xludf.DUMMYFUNCTION("""COMPUTED_VALUE"""),"Le Fournil")</f>
        <v>Le Fournil</v>
      </c>
      <c r="D268" s="79" t="str">
        <f>IFERROR(__xludf.DUMMYFUNCTION("""COMPUTED_VALUE"""),"Meals")</f>
        <v>Meals</v>
      </c>
      <c r="E268" s="108" t="str">
        <f t="shared" si="1"/>
        <v>Apr</v>
      </c>
      <c r="F268" s="79" t="str">
        <f>IFERROR(__xludf.DUMMYFUNCTION("""COMPUTED_VALUE"""),"Gil")</f>
        <v>Gil</v>
      </c>
    </row>
    <row r="269">
      <c r="A269" s="85">
        <f>IFERROR(__xludf.DUMMYFUNCTION("""COMPUTED_VALUE"""),45401.0)</f>
        <v>45401</v>
      </c>
      <c r="B269" s="109">
        <f>IFERROR(__xludf.DUMMYFUNCTION("""COMPUTED_VALUE"""),6.5)</f>
        <v>6.5</v>
      </c>
      <c r="C269" s="79" t="str">
        <f>IFERROR(__xludf.DUMMYFUNCTION("""COMPUTED_VALUE"""),"Abraço")</f>
        <v>Abraço</v>
      </c>
      <c r="D269" s="79" t="str">
        <f>IFERROR(__xludf.DUMMYFUNCTION("""COMPUTED_VALUE"""),"Meals")</f>
        <v>Meals</v>
      </c>
      <c r="E269" s="108" t="str">
        <f t="shared" si="1"/>
        <v>Apr</v>
      </c>
      <c r="F269" s="79" t="str">
        <f>IFERROR(__xludf.DUMMYFUNCTION("""COMPUTED_VALUE"""),"Gil")</f>
        <v>Gil</v>
      </c>
    </row>
    <row r="270">
      <c r="A270" s="85">
        <f>IFERROR(__xludf.DUMMYFUNCTION("""COMPUTED_VALUE"""),45402.0)</f>
        <v>45402</v>
      </c>
      <c r="B270" s="109">
        <f>IFERROR(__xludf.DUMMYFUNCTION("""COMPUTED_VALUE"""),34.4)</f>
        <v>34.4</v>
      </c>
      <c r="C270" s="79" t="str">
        <f>IFERROR(__xludf.DUMMYFUNCTION("""COMPUTED_VALUE"""),"Thai Hot Box")</f>
        <v>Thai Hot Box</v>
      </c>
      <c r="D270" s="79" t="str">
        <f>IFERROR(__xludf.DUMMYFUNCTION("""COMPUTED_VALUE"""),"Work Meals")</f>
        <v>Work Meals</v>
      </c>
      <c r="E270" s="108" t="str">
        <f t="shared" si="1"/>
        <v>Apr</v>
      </c>
      <c r="F270" s="79" t="str">
        <f>IFERROR(__xludf.DUMMYFUNCTION("""COMPUTED_VALUE"""),"Gil")</f>
        <v>Gil</v>
      </c>
    </row>
    <row r="271">
      <c r="A271" s="85">
        <f>IFERROR(__xludf.DUMMYFUNCTION("""COMPUTED_VALUE"""),45403.0)</f>
        <v>45403</v>
      </c>
      <c r="B271" s="109">
        <f>IFERROR(__xludf.DUMMYFUNCTION("""COMPUTED_VALUE"""),75.0)</f>
        <v>75</v>
      </c>
      <c r="C271" s="79" t="str">
        <f>IFERROR(__xludf.DUMMYFUNCTION("""COMPUTED_VALUE"""),"JetBlue Bag Fee")</f>
        <v>JetBlue Bag Fee</v>
      </c>
      <c r="D271" s="79" t="str">
        <f>IFERROR(__xludf.DUMMYFUNCTION("""COMPUTED_VALUE"""),"Travel")</f>
        <v>Travel</v>
      </c>
      <c r="E271" s="108" t="str">
        <f t="shared" si="1"/>
        <v>Apr</v>
      </c>
      <c r="F271" s="79" t="str">
        <f>IFERROR(__xludf.DUMMYFUNCTION("""COMPUTED_VALUE"""),"Gil")</f>
        <v>Gil</v>
      </c>
    </row>
    <row r="272">
      <c r="A272" s="85">
        <f>IFERROR(__xludf.DUMMYFUNCTION("""COMPUTED_VALUE"""),45405.0)</f>
        <v>45405</v>
      </c>
      <c r="B272" s="109">
        <f>IFERROR(__xludf.DUMMYFUNCTION("""COMPUTED_VALUE"""),9.13)</f>
        <v>9.13</v>
      </c>
      <c r="C272" s="79" t="str">
        <f>IFERROR(__xludf.DUMMYFUNCTION("""COMPUTED_VALUE"""),"DIG")</f>
        <v>DIG</v>
      </c>
      <c r="D272" s="79" t="str">
        <f>IFERROR(__xludf.DUMMYFUNCTION("""COMPUTED_VALUE"""),"Work Meals")</f>
        <v>Work Meals</v>
      </c>
      <c r="E272" s="108" t="str">
        <f t="shared" si="1"/>
        <v>Apr</v>
      </c>
      <c r="F272" s="79" t="str">
        <f>IFERROR(__xludf.DUMMYFUNCTION("""COMPUTED_VALUE"""),"Gil")</f>
        <v>Gil</v>
      </c>
    </row>
    <row r="273">
      <c r="A273" s="85">
        <f>IFERROR(__xludf.DUMMYFUNCTION("""COMPUTED_VALUE"""),45406.0)</f>
        <v>45406</v>
      </c>
      <c r="B273" s="109">
        <f>IFERROR(__xludf.DUMMYFUNCTION("""COMPUTED_VALUE"""),13.05)</f>
        <v>13.05</v>
      </c>
      <c r="C273" s="79" t="str">
        <f>IFERROR(__xludf.DUMMYFUNCTION("""COMPUTED_VALUE"""),"Jamba Juice - JFK")</f>
        <v>Jamba Juice - JFK</v>
      </c>
      <c r="D273" s="79" t="str">
        <f>IFERROR(__xludf.DUMMYFUNCTION("""COMPUTED_VALUE"""),"Travel")</f>
        <v>Travel</v>
      </c>
      <c r="E273" s="108" t="str">
        <f t="shared" si="1"/>
        <v>Apr</v>
      </c>
      <c r="F273" s="79" t="str">
        <f>IFERROR(__xludf.DUMMYFUNCTION("""COMPUTED_VALUE"""),"Gil")</f>
        <v>Gil</v>
      </c>
    </row>
    <row r="274">
      <c r="A274" s="85">
        <f>IFERROR(__xludf.DUMMYFUNCTION("""COMPUTED_VALUE"""),45406.0)</f>
        <v>45406</v>
      </c>
      <c r="B274" s="109">
        <f>IFERROR(__xludf.DUMMYFUNCTION("""COMPUTED_VALUE"""),32.64)</f>
        <v>32.64</v>
      </c>
      <c r="C274" s="79" t="str">
        <f>IFERROR(__xludf.DUMMYFUNCTION("""COMPUTED_VALUE"""),"Adobe ")</f>
        <v>Adobe </v>
      </c>
      <c r="D274" s="79" t="str">
        <f>IFERROR(__xludf.DUMMYFUNCTION("""COMPUTED_VALUE"""),"Subscriptions")</f>
        <v>Subscriptions</v>
      </c>
      <c r="E274" s="108" t="str">
        <f t="shared" si="1"/>
        <v>Apr</v>
      </c>
      <c r="F274" s="79" t="str">
        <f>IFERROR(__xludf.DUMMYFUNCTION("""COMPUTED_VALUE"""),"Gil")</f>
        <v>Gil</v>
      </c>
    </row>
    <row r="275">
      <c r="A275" s="85">
        <f>IFERROR(__xludf.DUMMYFUNCTION("""COMPUTED_VALUE"""),45406.0)</f>
        <v>45406</v>
      </c>
      <c r="B275" s="109">
        <f>IFERROR(__xludf.DUMMYFUNCTION("""COMPUTED_VALUE"""),6.99)</f>
        <v>6.99</v>
      </c>
      <c r="C275" s="79" t="str">
        <f>IFERROR(__xludf.DUMMYFUNCTION("""COMPUTED_VALUE"""),"LAX snacks ")</f>
        <v>LAX snacks </v>
      </c>
      <c r="D275" s="79" t="str">
        <f>IFERROR(__xludf.DUMMYFUNCTION("""COMPUTED_VALUE"""),"Travel")</f>
        <v>Travel</v>
      </c>
      <c r="E275" s="108" t="str">
        <f t="shared" si="1"/>
        <v>Apr</v>
      </c>
      <c r="F275" s="79" t="str">
        <f>IFERROR(__xludf.DUMMYFUNCTION("""COMPUTED_VALUE"""),"Gil")</f>
        <v>Gil</v>
      </c>
    </row>
    <row r="276">
      <c r="A276" s="85">
        <f>IFERROR(__xludf.DUMMYFUNCTION("""COMPUTED_VALUE"""),45406.0)</f>
        <v>45406</v>
      </c>
      <c r="B276" s="109">
        <f>IFERROR(__xludf.DUMMYFUNCTION("""COMPUTED_VALUE"""),14.66)</f>
        <v>14.66</v>
      </c>
      <c r="C276" s="79" t="str">
        <f>IFERROR(__xludf.DUMMYFUNCTION("""COMPUTED_VALUE"""),"Menotti's")</f>
        <v>Menotti's</v>
      </c>
      <c r="D276" s="79" t="str">
        <f>IFERROR(__xludf.DUMMYFUNCTION("""COMPUTED_VALUE"""),"Travel")</f>
        <v>Travel</v>
      </c>
      <c r="E276" s="108" t="str">
        <f t="shared" si="1"/>
        <v>Apr</v>
      </c>
      <c r="F276" s="79" t="str">
        <f>IFERROR(__xludf.DUMMYFUNCTION("""COMPUTED_VALUE"""),"Gil")</f>
        <v>Gil</v>
      </c>
    </row>
    <row r="277">
      <c r="A277" s="85">
        <f>IFERROR(__xludf.DUMMYFUNCTION("""COMPUTED_VALUE"""),45407.0)</f>
        <v>45407</v>
      </c>
      <c r="B277" s="109">
        <f>IFERROR(__xludf.DUMMYFUNCTION("""COMPUTED_VALUE"""),30.0)</f>
        <v>30</v>
      </c>
      <c r="C277" s="79" t="str">
        <f>IFERROR(__xludf.DUMMYFUNCTION("""COMPUTED_VALUE"""),"La Rusa")</f>
        <v>La Rusa</v>
      </c>
      <c r="D277" s="79" t="str">
        <f>IFERROR(__xludf.DUMMYFUNCTION("""COMPUTED_VALUE"""),"Travel")</f>
        <v>Travel</v>
      </c>
      <c r="E277" s="108" t="str">
        <f t="shared" si="1"/>
        <v>Apr</v>
      </c>
      <c r="F277" s="79" t="str">
        <f>IFERROR(__xludf.DUMMYFUNCTION("""COMPUTED_VALUE"""),"Gil")</f>
        <v>Gil</v>
      </c>
    </row>
    <row r="278">
      <c r="A278" s="85">
        <f>IFERROR(__xludf.DUMMYFUNCTION("""COMPUTED_VALUE"""),45407.0)</f>
        <v>45407</v>
      </c>
      <c r="B278" s="109">
        <f>IFERROR(__xludf.DUMMYFUNCTION("""COMPUTED_VALUE"""),31.1)</f>
        <v>31.1</v>
      </c>
      <c r="C278" s="79" t="str">
        <f>IFERROR(__xludf.DUMMYFUNCTION("""COMPUTED_VALUE"""),"Burgerlords")</f>
        <v>Burgerlords</v>
      </c>
      <c r="D278" s="79" t="str">
        <f>IFERROR(__xludf.DUMMYFUNCTION("""COMPUTED_VALUE"""),"Travel")</f>
        <v>Travel</v>
      </c>
      <c r="E278" s="108" t="str">
        <f t="shared" si="1"/>
        <v>Apr</v>
      </c>
      <c r="F278" s="79" t="str">
        <f>IFERROR(__xludf.DUMMYFUNCTION("""COMPUTED_VALUE"""),"Gil")</f>
        <v>Gil</v>
      </c>
    </row>
    <row r="279">
      <c r="A279" s="85">
        <f>IFERROR(__xludf.DUMMYFUNCTION("""COMPUTED_VALUE"""),45407.0)</f>
        <v>45407</v>
      </c>
      <c r="B279" s="109">
        <f>IFERROR(__xludf.DUMMYFUNCTION("""COMPUTED_VALUE"""),8.75)</f>
        <v>8.75</v>
      </c>
      <c r="C279" s="79" t="str">
        <f>IFERROR(__xludf.DUMMYFUNCTION("""COMPUTED_VALUE"""),"Burgerlords")</f>
        <v>Burgerlords</v>
      </c>
      <c r="D279" s="79" t="str">
        <f>IFERROR(__xludf.DUMMYFUNCTION("""COMPUTED_VALUE"""),"Travel")</f>
        <v>Travel</v>
      </c>
      <c r="E279" s="108" t="str">
        <f t="shared" si="1"/>
        <v>Apr</v>
      </c>
      <c r="F279" s="79" t="str">
        <f>IFERROR(__xludf.DUMMYFUNCTION("""COMPUTED_VALUE"""),"Gil")</f>
        <v>Gil</v>
      </c>
    </row>
    <row r="280">
      <c r="A280" s="85">
        <f>IFERROR(__xludf.DUMMYFUNCTION("""COMPUTED_VALUE"""),45407.0)</f>
        <v>45407</v>
      </c>
      <c r="B280" s="109">
        <f>IFERROR(__xludf.DUMMYFUNCTION("""COMPUTED_VALUE"""),18.0)</f>
        <v>18</v>
      </c>
      <c r="C280" s="79" t="str">
        <f>IFERROR(__xludf.DUMMYFUNCTION("""COMPUTED_VALUE"""),"La Cuevita")</f>
        <v>La Cuevita</v>
      </c>
      <c r="D280" s="79" t="str">
        <f>IFERROR(__xludf.DUMMYFUNCTION("""COMPUTED_VALUE"""),"Travel")</f>
        <v>Travel</v>
      </c>
      <c r="E280" s="108" t="str">
        <f t="shared" si="1"/>
        <v>Apr</v>
      </c>
      <c r="F280" s="79" t="str">
        <f>IFERROR(__xludf.DUMMYFUNCTION("""COMPUTED_VALUE"""),"Gil")</f>
        <v>Gil</v>
      </c>
    </row>
    <row r="281">
      <c r="A281" s="85">
        <f>IFERROR(__xludf.DUMMYFUNCTION("""COMPUTED_VALUE"""),45408.0)</f>
        <v>45408</v>
      </c>
      <c r="B281" s="109">
        <f>IFERROR(__xludf.DUMMYFUNCTION("""COMPUTED_VALUE"""),5.31)</f>
        <v>5.31</v>
      </c>
      <c r="C281" s="79" t="str">
        <f>IFERROR(__xludf.DUMMYFUNCTION("""COMPUTED_VALUE"""),"Neptune's Nest")</f>
        <v>Neptune's Nest</v>
      </c>
      <c r="D281" s="79" t="str">
        <f>IFERROR(__xludf.DUMMYFUNCTION("""COMPUTED_VALUE"""),"Travel")</f>
        <v>Travel</v>
      </c>
      <c r="E281" s="108" t="str">
        <f t="shared" si="1"/>
        <v>Apr</v>
      </c>
      <c r="F281" s="79" t="str">
        <f>IFERROR(__xludf.DUMMYFUNCTION("""COMPUTED_VALUE"""),"Gil")</f>
        <v>Gil</v>
      </c>
    </row>
    <row r="282">
      <c r="A282" s="85">
        <f>IFERROR(__xludf.DUMMYFUNCTION("""COMPUTED_VALUE"""),45410.0)</f>
        <v>45410</v>
      </c>
      <c r="B282" s="109">
        <f>IFERROR(__xludf.DUMMYFUNCTION("""COMPUTED_VALUE"""),28.66)</f>
        <v>28.66</v>
      </c>
      <c r="C282" s="79" t="str">
        <f>IFERROR(__xludf.DUMMYFUNCTION("""COMPUTED_VALUE"""),"The Stone Femme")</f>
        <v>The Stone Femme</v>
      </c>
      <c r="D282" s="79" t="str">
        <f>IFERROR(__xludf.DUMMYFUNCTION("""COMPUTED_VALUE"""),"Travel")</f>
        <v>Travel</v>
      </c>
      <c r="E282" s="108" t="str">
        <f t="shared" si="1"/>
        <v>Apr</v>
      </c>
      <c r="F282" s="79" t="str">
        <f>IFERROR(__xludf.DUMMYFUNCTION("""COMPUTED_VALUE"""),"Gil")</f>
        <v>Gil</v>
      </c>
    </row>
    <row r="283">
      <c r="A283" s="85">
        <f>IFERROR(__xludf.DUMMYFUNCTION("""COMPUTED_VALUE"""),45411.0)</f>
        <v>45411</v>
      </c>
      <c r="B283" s="109">
        <f>IFERROR(__xludf.DUMMYFUNCTION("""COMPUTED_VALUE"""),20.95)</f>
        <v>20.95</v>
      </c>
      <c r="C283" s="79" t="str">
        <f>IFERROR(__xludf.DUMMYFUNCTION("""COMPUTED_VALUE"""),"Guisados")</f>
        <v>Guisados</v>
      </c>
      <c r="D283" s="79" t="str">
        <f>IFERROR(__xludf.DUMMYFUNCTION("""COMPUTED_VALUE"""),"Travel")</f>
        <v>Travel</v>
      </c>
      <c r="E283" s="108" t="str">
        <f t="shared" si="1"/>
        <v>Apr</v>
      </c>
      <c r="F283" s="79" t="str">
        <f>IFERROR(__xludf.DUMMYFUNCTION("""COMPUTED_VALUE"""),"Gil")</f>
        <v>Gil</v>
      </c>
    </row>
    <row r="284">
      <c r="A284" s="85">
        <f>IFERROR(__xludf.DUMMYFUNCTION("""COMPUTED_VALUE"""),45413.0)</f>
        <v>45413</v>
      </c>
      <c r="B284" s="111">
        <f>IFERROR(__xludf.DUMMYFUNCTION("""COMPUTED_VALUE"""),331.25)</f>
        <v>331.25</v>
      </c>
      <c r="C284" s="79" t="str">
        <f>IFERROR(__xludf.DUMMYFUNCTION("""COMPUTED_VALUE"""),"236 Moore St. #38")</f>
        <v>236 Moore St. #38</v>
      </c>
      <c r="D284" s="79" t="str">
        <f>IFERROR(__xludf.DUMMYFUNCTION("""COMPUTED_VALUE"""),"Storage")</f>
        <v>Storage</v>
      </c>
      <c r="E284" s="108" t="str">
        <f t="shared" si="1"/>
        <v>May</v>
      </c>
      <c r="F284" s="79" t="str">
        <f>IFERROR(__xludf.DUMMYFUNCTION("""COMPUTED_VALUE"""),"Gil")</f>
        <v>Gil</v>
      </c>
    </row>
    <row r="285">
      <c r="A285" s="85">
        <f>IFERROR(__xludf.DUMMYFUNCTION("""COMPUTED_VALUE"""),45413.0)</f>
        <v>45413</v>
      </c>
      <c r="B285" s="111">
        <f>IFERROR(__xludf.DUMMYFUNCTION("""COMPUTED_VALUE"""),18.51)</f>
        <v>18.51</v>
      </c>
      <c r="C285" s="79" t="str">
        <f>IFERROR(__xludf.DUMMYFUNCTION("""COMPUTED_VALUE"""),"Milu")</f>
        <v>Milu</v>
      </c>
      <c r="D285" s="79" t="str">
        <f>IFERROR(__xludf.DUMMYFUNCTION("""COMPUTED_VALUE"""),"Work Meals")</f>
        <v>Work Meals</v>
      </c>
      <c r="E285" s="108" t="str">
        <f t="shared" si="1"/>
        <v>May</v>
      </c>
      <c r="F285" s="79" t="str">
        <f>IFERROR(__xludf.DUMMYFUNCTION("""COMPUTED_VALUE"""),"Gil")</f>
        <v>Gil</v>
      </c>
    </row>
    <row r="286">
      <c r="A286" s="85">
        <f>IFERROR(__xludf.DUMMYFUNCTION("""COMPUTED_VALUE"""),45414.0)</f>
        <v>45414</v>
      </c>
      <c r="B286" s="111">
        <f>IFERROR(__xludf.DUMMYFUNCTION("""COMPUTED_VALUE"""),11.17)</f>
        <v>11.17</v>
      </c>
      <c r="C286" s="79" t="str">
        <f>IFERROR(__xludf.DUMMYFUNCTION("""COMPUTED_VALUE"""),"Joju")</f>
        <v>Joju</v>
      </c>
      <c r="D286" s="79" t="str">
        <f>IFERROR(__xludf.DUMMYFUNCTION("""COMPUTED_VALUE"""),"Work Meals")</f>
        <v>Work Meals</v>
      </c>
      <c r="E286" s="108" t="str">
        <f t="shared" si="1"/>
        <v>May</v>
      </c>
      <c r="F286" s="79" t="str">
        <f>IFERROR(__xludf.DUMMYFUNCTION("""COMPUTED_VALUE"""),"Gil")</f>
        <v>Gil</v>
      </c>
    </row>
    <row r="287">
      <c r="A287" s="85">
        <f>IFERROR(__xludf.DUMMYFUNCTION("""COMPUTED_VALUE"""),45415.0)</f>
        <v>45415</v>
      </c>
      <c r="B287" s="111">
        <f>IFERROR(__xludf.DUMMYFUNCTION("""COMPUTED_VALUE"""),14.69)</f>
        <v>14.69</v>
      </c>
      <c r="C287" s="79" t="str">
        <f>IFERROR(__xludf.DUMMYFUNCTION("""COMPUTED_VALUE"""),"King of Falafel")</f>
        <v>King of Falafel</v>
      </c>
      <c r="D287" s="79" t="str">
        <f>IFERROR(__xludf.DUMMYFUNCTION("""COMPUTED_VALUE"""),"Meals")</f>
        <v>Meals</v>
      </c>
      <c r="E287" s="108" t="str">
        <f t="shared" si="1"/>
        <v>May</v>
      </c>
      <c r="F287" s="79" t="str">
        <f>IFERROR(__xludf.DUMMYFUNCTION("""COMPUTED_VALUE"""),"Gil")</f>
        <v>Gil</v>
      </c>
    </row>
    <row r="288">
      <c r="A288" s="85">
        <f>IFERROR(__xludf.DUMMYFUNCTION("""COMPUTED_VALUE"""),45415.0)</f>
        <v>45415</v>
      </c>
      <c r="B288" s="111">
        <f>IFERROR(__xludf.DUMMYFUNCTION("""COMPUTED_VALUE"""),15.36)</f>
        <v>15.36</v>
      </c>
      <c r="C288" s="79" t="str">
        <f>IFERROR(__xludf.DUMMYFUNCTION("""COMPUTED_VALUE"""),"Bandcamp")</f>
        <v>Bandcamp</v>
      </c>
      <c r="D288" s="79" t="str">
        <f>IFERROR(__xludf.DUMMYFUNCTION("""COMPUTED_VALUE"""),"Personal")</f>
        <v>Personal</v>
      </c>
      <c r="E288" s="108" t="str">
        <f t="shared" si="1"/>
        <v>May</v>
      </c>
      <c r="F288" s="79" t="str">
        <f>IFERROR(__xludf.DUMMYFUNCTION("""COMPUTED_VALUE"""),"Gil")</f>
        <v>Gil</v>
      </c>
    </row>
    <row r="289">
      <c r="A289" s="85">
        <f>IFERROR(__xludf.DUMMYFUNCTION("""COMPUTED_VALUE"""),45406.0)</f>
        <v>45406</v>
      </c>
      <c r="B289" s="111">
        <f>IFERROR(__xludf.DUMMYFUNCTION("""COMPUTED_VALUE"""),36.51)</f>
        <v>36.51</v>
      </c>
      <c r="C289" s="79" t="str">
        <f>IFERROR(__xludf.DUMMYFUNCTION("""COMPUTED_VALUE"""),"Amazon - Travel Supplies")</f>
        <v>Amazon - Travel Supplies</v>
      </c>
      <c r="D289" s="79" t="str">
        <f>IFERROR(__xludf.DUMMYFUNCTION("""COMPUTED_VALUE"""),"Travel")</f>
        <v>Travel</v>
      </c>
      <c r="E289" s="108" t="str">
        <f t="shared" si="1"/>
        <v>Apr</v>
      </c>
      <c r="F289" s="79" t="str">
        <f>IFERROR(__xludf.DUMMYFUNCTION("""COMPUTED_VALUE"""),"Gil")</f>
        <v>Gil</v>
      </c>
    </row>
    <row r="290">
      <c r="A290" s="85">
        <f>IFERROR(__xludf.DUMMYFUNCTION("""COMPUTED_VALUE"""),45406.0)</f>
        <v>45406</v>
      </c>
      <c r="B290" s="111">
        <f>IFERROR(__xludf.DUMMYFUNCTION("""COMPUTED_VALUE"""),6.75)</f>
        <v>6.75</v>
      </c>
      <c r="C290" s="79" t="str">
        <f>IFERROR(__xludf.DUMMYFUNCTION("""COMPUTED_VALUE"""),"Starbucks JFK")</f>
        <v>Starbucks JFK</v>
      </c>
      <c r="D290" s="79" t="str">
        <f>IFERROR(__xludf.DUMMYFUNCTION("""COMPUTED_VALUE"""),"Travel")</f>
        <v>Travel</v>
      </c>
      <c r="E290" s="108" t="str">
        <f t="shared" si="1"/>
        <v>Apr</v>
      </c>
      <c r="F290" s="79" t="str">
        <f>IFERROR(__xludf.DUMMYFUNCTION("""COMPUTED_VALUE"""),"Gil")</f>
        <v>Gil</v>
      </c>
    </row>
    <row r="291">
      <c r="A291" s="85">
        <f>IFERROR(__xludf.DUMMYFUNCTION("""COMPUTED_VALUE"""),45399.0)</f>
        <v>45399</v>
      </c>
      <c r="B291" s="111">
        <f>IFERROR(__xludf.DUMMYFUNCTION("""COMPUTED_VALUE"""),27.22)</f>
        <v>27.22</v>
      </c>
      <c r="C291" s="79" t="str">
        <f>IFERROR(__xludf.DUMMYFUNCTION("""COMPUTED_VALUE"""),"Milu")</f>
        <v>Milu</v>
      </c>
      <c r="D291" s="79" t="str">
        <f>IFERROR(__xludf.DUMMYFUNCTION("""COMPUTED_VALUE"""),"Work Meals")</f>
        <v>Work Meals</v>
      </c>
      <c r="E291" s="108" t="str">
        <f t="shared" si="1"/>
        <v>Apr</v>
      </c>
      <c r="F291" s="79" t="str">
        <f>IFERROR(__xludf.DUMMYFUNCTION("""COMPUTED_VALUE"""),"Gil")</f>
        <v>Gil</v>
      </c>
    </row>
    <row r="292">
      <c r="A292" s="85">
        <f>IFERROR(__xludf.DUMMYFUNCTION("""COMPUTED_VALUE"""),45391.0)</f>
        <v>45391</v>
      </c>
      <c r="B292" s="111">
        <f>IFERROR(__xludf.DUMMYFUNCTION("""COMPUTED_VALUE"""),241.97)</f>
        <v>241.97</v>
      </c>
      <c r="C292" s="79" t="str">
        <f>IFERROR(__xludf.DUMMYFUNCTION("""COMPUTED_VALUE"""),"Shaeffer Bday - Lovely Day &amp; Trapizzino")</f>
        <v>Shaeffer Bday - Lovely Day &amp; Trapizzino</v>
      </c>
      <c r="D292" s="79" t="str">
        <f>IFERROR(__xludf.DUMMYFUNCTION("""COMPUTED_VALUE"""),"Gifts/Donations")</f>
        <v>Gifts/Donations</v>
      </c>
      <c r="E292" s="108" t="str">
        <f t="shared" si="1"/>
        <v>Apr</v>
      </c>
      <c r="F292" s="79" t="str">
        <f>IFERROR(__xludf.DUMMYFUNCTION("""COMPUTED_VALUE"""),"Gil")</f>
        <v>Gil</v>
      </c>
    </row>
    <row r="293">
      <c r="A293" s="85">
        <f>IFERROR(__xludf.DUMMYFUNCTION("""COMPUTED_VALUE"""),45405.0)</f>
        <v>45405</v>
      </c>
      <c r="B293" s="111">
        <f>IFERROR(__xludf.DUMMYFUNCTION("""COMPUTED_VALUE"""),299.92)</f>
        <v>299.92</v>
      </c>
      <c r="C293" s="79" t="str">
        <f>IFERROR(__xludf.DUMMYFUNCTION("""COMPUTED_VALUE"""),"Equinox")</f>
        <v>Equinox</v>
      </c>
      <c r="D293" s="79" t="str">
        <f>IFERROR(__xludf.DUMMYFUNCTION("""COMPUTED_VALUE"""),"Gym")</f>
        <v>Gym</v>
      </c>
      <c r="E293" s="108" t="str">
        <f t="shared" si="1"/>
        <v>Apr</v>
      </c>
      <c r="F293" s="79" t="str">
        <f>IFERROR(__xludf.DUMMYFUNCTION("""COMPUTED_VALUE"""),"Gil")</f>
        <v>Gil</v>
      </c>
    </row>
    <row r="294">
      <c r="A294" s="85">
        <f>IFERROR(__xludf.DUMMYFUNCTION("""COMPUTED_VALUE"""),45412.0)</f>
        <v>45412</v>
      </c>
      <c r="B294" s="111">
        <f>IFERROR(__xludf.DUMMYFUNCTION("""COMPUTED_VALUE"""),20.1)</f>
        <v>20.1</v>
      </c>
      <c r="C294" s="79" t="str">
        <f>IFERROR(__xludf.DUMMYFUNCTION("""COMPUTED_VALUE"""),"MTA")</f>
        <v>MTA</v>
      </c>
      <c r="D294" s="79" t="str">
        <f>IFERROR(__xludf.DUMMYFUNCTION("""COMPUTED_VALUE"""),"Transportation")</f>
        <v>Transportation</v>
      </c>
      <c r="E294" s="108" t="str">
        <f t="shared" si="1"/>
        <v>Apr</v>
      </c>
      <c r="F294" s="79" t="str">
        <f>IFERROR(__xludf.DUMMYFUNCTION("""COMPUTED_VALUE"""),"Gil")</f>
        <v>Gil</v>
      </c>
    </row>
    <row r="295">
      <c r="A295" s="85">
        <f>IFERROR(__xludf.DUMMYFUNCTION("""COMPUTED_VALUE"""),45412.0)</f>
        <v>45412</v>
      </c>
      <c r="B295" s="111">
        <f>IFERROR(__xludf.DUMMYFUNCTION("""COMPUTED_VALUE"""),29.88)</f>
        <v>29.88</v>
      </c>
      <c r="C295" s="79" t="str">
        <f>IFERROR(__xludf.DUMMYFUNCTION("""COMPUTED_VALUE"""),"Uber - JFK Terminal 7")</f>
        <v>Uber - JFK Terminal 7</v>
      </c>
      <c r="D295" s="79" t="str">
        <f>IFERROR(__xludf.DUMMYFUNCTION("""COMPUTED_VALUE"""),"Travel")</f>
        <v>Travel</v>
      </c>
      <c r="E295" s="108" t="str">
        <f t="shared" si="1"/>
        <v>Apr</v>
      </c>
      <c r="F295" s="79" t="str">
        <f>IFERROR(__xludf.DUMMYFUNCTION("""COMPUTED_VALUE"""),"Gil")</f>
        <v>Gil</v>
      </c>
    </row>
    <row r="296">
      <c r="A296" s="85">
        <f>IFERROR(__xludf.DUMMYFUNCTION("""COMPUTED_VALUE"""),45392.0)</f>
        <v>45392</v>
      </c>
      <c r="B296" s="111">
        <f>IFERROR(__xludf.DUMMYFUNCTION("""COMPUTED_VALUE"""),10.91)</f>
        <v>10.91</v>
      </c>
      <c r="C296" s="79" t="str">
        <f>IFERROR(__xludf.DUMMYFUNCTION("""COMPUTED_VALUE"""),"Uber - JOE - Cipriani")</f>
        <v>Uber - JOE - Cipriani</v>
      </c>
      <c r="D296" s="79" t="str">
        <f>IFERROR(__xludf.DUMMYFUNCTION("""COMPUTED_VALUE"""),"Transportation")</f>
        <v>Transportation</v>
      </c>
      <c r="E296" s="108" t="str">
        <f t="shared" si="1"/>
        <v>Apr</v>
      </c>
      <c r="F296" s="79" t="str">
        <f>IFERROR(__xludf.DUMMYFUNCTION("""COMPUTED_VALUE"""),"Gil")</f>
        <v>Gil</v>
      </c>
    </row>
    <row r="297">
      <c r="A297" s="85">
        <f>IFERROR(__xludf.DUMMYFUNCTION("""COMPUTED_VALUE"""),45412.0)</f>
        <v>45412</v>
      </c>
      <c r="B297" s="111">
        <f>IFERROR(__xludf.DUMMYFUNCTION("""COMPUTED_VALUE"""),-11.86)</f>
        <v>-11.86</v>
      </c>
      <c r="C297" s="79" t="str">
        <f>IFERROR(__xludf.DUMMYFUNCTION("""COMPUTED_VALUE"""),"Cashback")</f>
        <v>Cashback</v>
      </c>
      <c r="D297" s="79" t="str">
        <f>IFERROR(__xludf.DUMMYFUNCTION("""COMPUTED_VALUE"""),"Transportation")</f>
        <v>Transportation</v>
      </c>
      <c r="E297" s="108" t="str">
        <f t="shared" si="1"/>
        <v>Apr</v>
      </c>
      <c r="F297" s="79" t="str">
        <f>IFERROR(__xludf.DUMMYFUNCTION("""COMPUTED_VALUE"""),"Gil")</f>
        <v>Gil</v>
      </c>
    </row>
    <row r="298">
      <c r="A298" s="85">
        <f>IFERROR(__xludf.DUMMYFUNCTION("""COMPUTED_VALUE"""),45412.0)</f>
        <v>45412</v>
      </c>
      <c r="B298" s="111">
        <f>IFERROR(__xludf.DUMMYFUNCTION("""COMPUTED_VALUE"""),109.4)</f>
        <v>109.4</v>
      </c>
      <c r="C298" s="79" t="str">
        <f>IFERROR(__xludf.DUMMYFUNCTION("""COMPUTED_VALUE"""),"MTA - Discover")</f>
        <v>MTA - Discover</v>
      </c>
      <c r="D298" s="79" t="str">
        <f>IFERROR(__xludf.DUMMYFUNCTION("""COMPUTED_VALUE"""),"Transportation")</f>
        <v>Transportation</v>
      </c>
      <c r="E298" s="108" t="str">
        <f t="shared" si="1"/>
        <v>Apr</v>
      </c>
      <c r="F298" s="79" t="str">
        <f>IFERROR(__xludf.DUMMYFUNCTION("""COMPUTED_VALUE"""),"Gil")</f>
        <v>Gil</v>
      </c>
    </row>
    <row r="299">
      <c r="A299" s="85">
        <f>IFERROR(__xludf.DUMMYFUNCTION("""COMPUTED_VALUE"""),45400.0)</f>
        <v>45400</v>
      </c>
      <c r="B299" s="111">
        <f>IFERROR(__xludf.DUMMYFUNCTION("""COMPUTED_VALUE"""),22.54)</f>
        <v>22.54</v>
      </c>
      <c r="C299" s="79" t="str">
        <f>IFERROR(__xludf.DUMMYFUNCTION("""COMPUTED_VALUE"""),"Morgan's Market - Flowers for Shaeffer")</f>
        <v>Morgan's Market - Flowers for Shaeffer</v>
      </c>
      <c r="D299" s="79" t="str">
        <f>IFERROR(__xludf.DUMMYFUNCTION("""COMPUTED_VALUE"""),"Gifts/Donations")</f>
        <v>Gifts/Donations</v>
      </c>
      <c r="E299" s="108" t="str">
        <f t="shared" si="1"/>
        <v>Apr</v>
      </c>
      <c r="F299" s="79" t="str">
        <f>IFERROR(__xludf.DUMMYFUNCTION("""COMPUTED_VALUE"""),"Gil")</f>
        <v>Gil</v>
      </c>
    </row>
    <row r="300">
      <c r="A300" s="85">
        <f>IFERROR(__xludf.DUMMYFUNCTION("""COMPUTED_VALUE"""),45399.0)</f>
        <v>45399</v>
      </c>
      <c r="B300" s="111">
        <f>IFERROR(__xludf.DUMMYFUNCTION("""COMPUTED_VALUE"""),29.99)</f>
        <v>29.99</v>
      </c>
      <c r="C300" s="79" t="str">
        <f>IFERROR(__xludf.DUMMYFUNCTION("""COMPUTED_VALUE"""),"Goodwill")</f>
        <v>Goodwill</v>
      </c>
      <c r="D300" s="79" t="str">
        <f>IFERROR(__xludf.DUMMYFUNCTION("""COMPUTED_VALUE"""),"Clothing")</f>
        <v>Clothing</v>
      </c>
      <c r="E300" s="108" t="str">
        <f t="shared" si="1"/>
        <v>Apr</v>
      </c>
      <c r="F300" s="79" t="str">
        <f>IFERROR(__xludf.DUMMYFUNCTION("""COMPUTED_VALUE"""),"Gil")</f>
        <v>Gil</v>
      </c>
    </row>
    <row r="301">
      <c r="A301" s="85">
        <f>IFERROR(__xludf.DUMMYFUNCTION("""COMPUTED_VALUE"""),45399.0)</f>
        <v>45399</v>
      </c>
      <c r="B301" s="111">
        <f>IFERROR(__xludf.DUMMYFUNCTION("""COMPUTED_VALUE"""),12.0)</f>
        <v>12</v>
      </c>
      <c r="C301" s="79" t="str">
        <f>IFERROR(__xludf.DUMMYFUNCTION("""COMPUTED_VALUE"""),"2nd Street")</f>
        <v>2nd Street</v>
      </c>
      <c r="D301" s="79" t="str">
        <f>IFERROR(__xludf.DUMMYFUNCTION("""COMPUTED_VALUE"""),"Clothing")</f>
        <v>Clothing</v>
      </c>
      <c r="E301" s="108" t="str">
        <f t="shared" si="1"/>
        <v>Apr</v>
      </c>
      <c r="F301" s="79" t="str">
        <f>IFERROR(__xludf.DUMMYFUNCTION("""COMPUTED_VALUE"""),"Gil")</f>
        <v>Gil</v>
      </c>
    </row>
    <row r="302">
      <c r="A302" s="85">
        <f>IFERROR(__xludf.DUMMYFUNCTION("""COMPUTED_VALUE"""),45384.0)</f>
        <v>45384</v>
      </c>
      <c r="B302" s="111">
        <f>IFERROR(__xludf.DUMMYFUNCTION("""COMPUTED_VALUE"""),38.87)</f>
        <v>38.87</v>
      </c>
      <c r="C302" s="79" t="str">
        <f>IFERROR(__xludf.DUMMYFUNCTION("""COMPUTED_VALUE"""),"Amazon S&amp;S - MD Solar Sciences BB Creme")</f>
        <v>Amazon S&amp;S - MD Solar Sciences BB Creme</v>
      </c>
      <c r="D302" s="79" t="str">
        <f>IFERROR(__xludf.DUMMYFUNCTION("""COMPUTED_VALUE"""),"Personal")</f>
        <v>Personal</v>
      </c>
      <c r="E302" s="108" t="str">
        <f t="shared" si="1"/>
        <v>Apr</v>
      </c>
      <c r="F302" s="79" t="str">
        <f>IFERROR(__xludf.DUMMYFUNCTION("""COMPUTED_VALUE"""),"Gil")</f>
        <v>Gil</v>
      </c>
    </row>
    <row r="303">
      <c r="A303" s="85">
        <f>IFERROR(__xludf.DUMMYFUNCTION("""COMPUTED_VALUE"""),45384.0)</f>
        <v>45384</v>
      </c>
      <c r="B303" s="111">
        <f>IFERROR(__xludf.DUMMYFUNCTION("""COMPUTED_VALUE"""),71.97)</f>
        <v>71.97</v>
      </c>
      <c r="C303" s="79" t="str">
        <f>IFERROR(__xludf.DUMMYFUNCTION("""COMPUTED_VALUE"""),"Amazon S&amp;S - Whey Powder")</f>
        <v>Amazon S&amp;S - Whey Powder</v>
      </c>
      <c r="D303" s="79" t="str">
        <f>IFERROR(__xludf.DUMMYFUNCTION("""COMPUTED_VALUE"""),"Groceries")</f>
        <v>Groceries</v>
      </c>
      <c r="E303" s="108" t="str">
        <f t="shared" si="1"/>
        <v>Apr</v>
      </c>
      <c r="F303" s="79" t="str">
        <f>IFERROR(__xludf.DUMMYFUNCTION("""COMPUTED_VALUE"""),"Gil")</f>
        <v>Gil</v>
      </c>
    </row>
    <row r="304">
      <c r="A304" s="85">
        <f>IFERROR(__xludf.DUMMYFUNCTION("""COMPUTED_VALUE"""),45405.0)</f>
        <v>45405</v>
      </c>
      <c r="B304" s="111">
        <f>IFERROR(__xludf.DUMMYFUNCTION("""COMPUTED_VALUE"""),5.43)</f>
        <v>5.43</v>
      </c>
      <c r="C304" s="79" t="str">
        <f>IFERROR(__xludf.DUMMYFUNCTION("""COMPUTED_VALUE"""),"Amazon - Luggage Tags")</f>
        <v>Amazon - Luggage Tags</v>
      </c>
      <c r="D304" s="79" t="str">
        <f>IFERROR(__xludf.DUMMYFUNCTION("""COMPUTED_VALUE"""),"Travel")</f>
        <v>Travel</v>
      </c>
      <c r="E304" s="108" t="str">
        <f t="shared" si="1"/>
        <v>Apr</v>
      </c>
      <c r="F304" s="79" t="str">
        <f>IFERROR(__xludf.DUMMYFUNCTION("""COMPUTED_VALUE"""),"Gil")</f>
        <v>Gil</v>
      </c>
    </row>
    <row r="305">
      <c r="A305" s="85">
        <f>IFERROR(__xludf.DUMMYFUNCTION("""COMPUTED_VALUE"""),45416.0)</f>
        <v>45416</v>
      </c>
      <c r="B305" s="111">
        <f>IFERROR(__xludf.DUMMYFUNCTION("""COMPUTED_VALUE"""),9.26)</f>
        <v>9.26</v>
      </c>
      <c r="C305" s="79" t="str">
        <f>IFERROR(__xludf.DUMMYFUNCTION("""COMPUTED_VALUE"""),"Marinara")</f>
        <v>Marinara</v>
      </c>
      <c r="D305" s="79" t="str">
        <f>IFERROR(__xludf.DUMMYFUNCTION("""COMPUTED_VALUE"""),"Work Meals")</f>
        <v>Work Meals</v>
      </c>
      <c r="E305" s="108" t="str">
        <f t="shared" si="1"/>
        <v>May</v>
      </c>
      <c r="F305" s="79" t="str">
        <f>IFERROR(__xludf.DUMMYFUNCTION("""COMPUTED_VALUE"""),"Gil")</f>
        <v>Gil</v>
      </c>
    </row>
    <row r="306">
      <c r="A306" s="85">
        <f>IFERROR(__xludf.DUMMYFUNCTION("""COMPUTED_VALUE"""),45417.0)</f>
        <v>45417</v>
      </c>
      <c r="B306" s="111">
        <f>IFERROR(__xludf.DUMMYFUNCTION("""COMPUTED_VALUE"""),32.64)</f>
        <v>32.64</v>
      </c>
      <c r="C306" s="79" t="str">
        <f>IFERROR(__xludf.DUMMYFUNCTION("""COMPUTED_VALUE"""),"Adobe")</f>
        <v>Adobe</v>
      </c>
      <c r="D306" s="79" t="str">
        <f>IFERROR(__xludf.DUMMYFUNCTION("""COMPUTED_VALUE"""),"Subscriptions")</f>
        <v>Subscriptions</v>
      </c>
      <c r="E306" s="108" t="str">
        <f t="shared" si="1"/>
        <v>May</v>
      </c>
      <c r="F306" s="79" t="str">
        <f>IFERROR(__xludf.DUMMYFUNCTION("""COMPUTED_VALUE"""),"Gil")</f>
        <v>Gil</v>
      </c>
    </row>
    <row r="307">
      <c r="A307" s="85">
        <f>IFERROR(__xludf.DUMMYFUNCTION("""COMPUTED_VALUE"""),45417.0)</f>
        <v>45417</v>
      </c>
      <c r="B307" s="111">
        <f>IFERROR(__xludf.DUMMYFUNCTION("""COMPUTED_VALUE"""),15.0)</f>
        <v>15</v>
      </c>
      <c r="C307" s="79" t="str">
        <f>IFERROR(__xludf.DUMMYFUNCTION("""COMPUTED_VALUE"""),"Taiwan pork chop house")</f>
        <v>Taiwan pork chop house</v>
      </c>
      <c r="D307" s="79" t="str">
        <f>IFERROR(__xludf.DUMMYFUNCTION("""COMPUTED_VALUE"""),"Meals")</f>
        <v>Meals</v>
      </c>
      <c r="E307" s="108" t="str">
        <f t="shared" si="1"/>
        <v>May</v>
      </c>
      <c r="F307" s="79" t="str">
        <f>IFERROR(__xludf.DUMMYFUNCTION("""COMPUTED_VALUE"""),"Gil")</f>
        <v>Gil</v>
      </c>
    </row>
    <row r="308">
      <c r="A308" s="85">
        <f>IFERROR(__xludf.DUMMYFUNCTION("""COMPUTED_VALUE"""),45400.0)</f>
        <v>45400</v>
      </c>
      <c r="B308" s="111">
        <f>IFERROR(__xludf.DUMMYFUNCTION("""COMPUTED_VALUE"""),10.35)</f>
        <v>10.35</v>
      </c>
      <c r="C308" s="79" t="str">
        <f>IFERROR(__xludf.DUMMYFUNCTION("""COMPUTED_VALUE"""),"Oculus Beer Garden")</f>
        <v>Oculus Beer Garden</v>
      </c>
      <c r="D308" s="79" t="str">
        <f>IFERROR(__xludf.DUMMYFUNCTION("""COMPUTED_VALUE"""),"Alcohol/Weed")</f>
        <v>Alcohol/Weed</v>
      </c>
      <c r="E308" s="108" t="str">
        <f t="shared" si="1"/>
        <v>Apr</v>
      </c>
      <c r="F308" s="79" t="str">
        <f>IFERROR(__xludf.DUMMYFUNCTION("""COMPUTED_VALUE"""),"Shaeffer")</f>
        <v>Shaeffer</v>
      </c>
    </row>
    <row r="309">
      <c r="A309" s="85">
        <f>IFERROR(__xludf.DUMMYFUNCTION("""COMPUTED_VALUE"""),45402.0)</f>
        <v>45402</v>
      </c>
      <c r="B309" s="111">
        <f>IFERROR(__xludf.DUMMYFUNCTION("""COMPUTED_VALUE"""),16.0)</f>
        <v>16</v>
      </c>
      <c r="C309" s="79" t="str">
        <f>IFERROR(__xludf.DUMMYFUNCTION("""COMPUTED_VALUE"""),"NYC FERRY")</f>
        <v>NYC FERRY</v>
      </c>
      <c r="D309" s="79" t="str">
        <f>IFERROR(__xludf.DUMMYFUNCTION("""COMPUTED_VALUE"""),"Transportation")</f>
        <v>Transportation</v>
      </c>
      <c r="E309" s="108" t="str">
        <f t="shared" si="1"/>
        <v>Apr</v>
      </c>
      <c r="F309" s="79" t="str">
        <f>IFERROR(__xludf.DUMMYFUNCTION("""COMPUTED_VALUE"""),"Shaeffer")</f>
        <v>Shaeffer</v>
      </c>
    </row>
    <row r="310">
      <c r="A310" s="85">
        <f>IFERROR(__xludf.DUMMYFUNCTION("""COMPUTED_VALUE"""),45411.0)</f>
        <v>45411</v>
      </c>
      <c r="B310" s="111">
        <f>IFERROR(__xludf.DUMMYFUNCTION("""COMPUTED_VALUE"""),6.53)</f>
        <v>6.53</v>
      </c>
      <c r="C310" s="79" t="str">
        <f>IFERROR(__xludf.DUMMYFUNCTION("""COMPUTED_VALUE"""),"Hunting Gardens giftshop")</f>
        <v>Hunting Gardens giftshop</v>
      </c>
      <c r="D310" s="79" t="str">
        <f>IFERROR(__xludf.DUMMYFUNCTION("""COMPUTED_VALUE"""),"Personal")</f>
        <v>Personal</v>
      </c>
      <c r="E310" s="108" t="str">
        <f t="shared" si="1"/>
        <v>Apr</v>
      </c>
      <c r="F310" s="79" t="str">
        <f>IFERROR(__xludf.DUMMYFUNCTION("""COMPUTED_VALUE"""),"Shaeffer")</f>
        <v>Shaeffer</v>
      </c>
    </row>
    <row r="311">
      <c r="A311" s="85">
        <f>IFERROR(__xludf.DUMMYFUNCTION("""COMPUTED_VALUE"""),45382.0)</f>
        <v>45382</v>
      </c>
      <c r="B311" s="111">
        <f>IFERROR(__xludf.DUMMYFUNCTION("""COMPUTED_VALUE"""),122.0)</f>
        <v>122</v>
      </c>
      <c r="C311" s="79" t="str">
        <f>IFERROR(__xludf.DUMMYFUNCTION("""COMPUTED_VALUE"""),"SKIMS")</f>
        <v>SKIMS</v>
      </c>
      <c r="D311" s="79" t="str">
        <f>IFERROR(__xludf.DUMMYFUNCTION("""COMPUTED_VALUE"""),"Clothing")</f>
        <v>Clothing</v>
      </c>
      <c r="E311" s="108" t="str">
        <f t="shared" si="1"/>
        <v>Mar</v>
      </c>
      <c r="F311" s="79" t="str">
        <f>IFERROR(__xludf.DUMMYFUNCTION("""COMPUTED_VALUE"""),"Shaeffer")</f>
        <v>Shaeffer</v>
      </c>
    </row>
    <row r="312">
      <c r="A312" s="85">
        <f>IFERROR(__xludf.DUMMYFUNCTION("""COMPUTED_VALUE"""),45397.0)</f>
        <v>45397</v>
      </c>
      <c r="B312" s="111">
        <f>IFERROR(__xludf.DUMMYFUNCTION("""COMPUTED_VALUE"""),510.3)</f>
        <v>510.3</v>
      </c>
      <c r="C312" s="79" t="str">
        <f>IFERROR(__xludf.DUMMYFUNCTION("""COMPUTED_VALUE"""),"Iphone")</f>
        <v>Iphone</v>
      </c>
      <c r="D312" s="79" t="str">
        <f>IFERROR(__xludf.DUMMYFUNCTION("""COMPUTED_VALUE"""),"Personal")</f>
        <v>Personal</v>
      </c>
      <c r="E312" s="108" t="str">
        <f t="shared" si="1"/>
        <v>Apr</v>
      </c>
      <c r="F312" s="79" t="str">
        <f>IFERROR(__xludf.DUMMYFUNCTION("""COMPUTED_VALUE"""),"Shaeffer")</f>
        <v>Shaeffer</v>
      </c>
    </row>
    <row r="313">
      <c r="A313" s="85">
        <f>IFERROR(__xludf.DUMMYFUNCTION("""COMPUTED_VALUE"""),45393.0)</f>
        <v>45393</v>
      </c>
      <c r="B313" s="111">
        <f>IFERROR(__xludf.DUMMYFUNCTION("""COMPUTED_VALUE"""),230.66)</f>
        <v>230.66</v>
      </c>
      <c r="C313" s="79" t="str">
        <f>IFERROR(__xludf.DUMMYFUNCTION("""COMPUTED_VALUE"""),"Studio Utilities")</f>
        <v>Studio Utilities</v>
      </c>
      <c r="D313" s="79" t="str">
        <f>IFERROR(__xludf.DUMMYFUNCTION("""COMPUTED_VALUE"""),"Studio")</f>
        <v>Studio</v>
      </c>
      <c r="E313" s="108" t="str">
        <f t="shared" si="1"/>
        <v>Apr</v>
      </c>
      <c r="F313" s="79" t="str">
        <f>IFERROR(__xludf.DUMMYFUNCTION("""COMPUTED_VALUE"""),"Shaeffer")</f>
        <v>Shaeffer</v>
      </c>
    </row>
    <row r="314">
      <c r="A314" s="85">
        <f>IFERROR(__xludf.DUMMYFUNCTION("""COMPUTED_VALUE"""),45414.0)</f>
        <v>45414</v>
      </c>
      <c r="B314" s="111">
        <f>IFERROR(__xludf.DUMMYFUNCTION("""COMPUTED_VALUE"""),8.0)</f>
        <v>8</v>
      </c>
      <c r="C314" s="79" t="str">
        <f>IFERROR(__xludf.DUMMYFUNCTION("""COMPUTED_VALUE"""),"323 Mailroom")</f>
        <v>323 Mailroom</v>
      </c>
      <c r="D314" s="79" t="str">
        <f>IFERROR(__xludf.DUMMYFUNCTION("""COMPUTED_VALUE"""),"Studio")</f>
        <v>Studio</v>
      </c>
      <c r="E314" s="108" t="str">
        <f t="shared" si="1"/>
        <v>May</v>
      </c>
      <c r="F314" s="79" t="str">
        <f>IFERROR(__xludf.DUMMYFUNCTION("""COMPUTED_VALUE"""),"Shaeffer")</f>
        <v>Shaeffer</v>
      </c>
    </row>
    <row r="315">
      <c r="A315" s="85">
        <f>IFERROR(__xludf.DUMMYFUNCTION("""COMPUTED_VALUE"""),45395.0)</f>
        <v>45395</v>
      </c>
      <c r="B315" s="111">
        <f>IFERROR(__xludf.DUMMYFUNCTION("""COMPUTED_VALUE"""),129.0)</f>
        <v>129</v>
      </c>
      <c r="C315" s="79" t="str">
        <f>IFERROR(__xludf.DUMMYFUNCTION("""COMPUTED_VALUE"""),"Jeffery's Grocery - KBNO")</f>
        <v>Jeffery's Grocery - KBNO</v>
      </c>
      <c r="D315" s="79" t="str">
        <f>IFERROR(__xludf.DUMMYFUNCTION("""COMPUTED_VALUE"""),"Entertainment")</f>
        <v>Entertainment</v>
      </c>
      <c r="E315" s="108" t="str">
        <f t="shared" si="1"/>
        <v>Apr</v>
      </c>
      <c r="F315" s="79" t="str">
        <f>IFERROR(__xludf.DUMMYFUNCTION("""COMPUTED_VALUE"""),"Shaeffer")</f>
        <v>Shaeffer</v>
      </c>
    </row>
    <row r="316">
      <c r="A316" s="85">
        <f>IFERROR(__xludf.DUMMYFUNCTION("""COMPUTED_VALUE"""),45395.0)</f>
        <v>45395</v>
      </c>
      <c r="B316" s="111">
        <f>IFERROR(__xludf.DUMMYFUNCTION("""COMPUTED_VALUE"""),16.27)</f>
        <v>16.27</v>
      </c>
      <c r="C316" s="79" t="str">
        <f>IFERROR(__xludf.DUMMYFUNCTION("""COMPUTED_VALUE"""),"L'Imprimerie")</f>
        <v>L'Imprimerie</v>
      </c>
      <c r="D316" s="79" t="str">
        <f>IFERROR(__xludf.DUMMYFUNCTION("""COMPUTED_VALUE"""),"Meals")</f>
        <v>Meals</v>
      </c>
      <c r="E316" s="108" t="str">
        <f t="shared" si="1"/>
        <v>Apr</v>
      </c>
      <c r="F316" s="79" t="str">
        <f>IFERROR(__xludf.DUMMYFUNCTION("""COMPUTED_VALUE"""),"Shaeffer")</f>
        <v>Shaeffer</v>
      </c>
    </row>
    <row r="317">
      <c r="A317" s="85">
        <f>IFERROR(__xludf.DUMMYFUNCTION("""COMPUTED_VALUE"""),45397.0)</f>
        <v>45397</v>
      </c>
      <c r="B317" s="111">
        <f>IFERROR(__xludf.DUMMYFUNCTION("""COMPUTED_VALUE"""),13.39)</f>
        <v>13.39</v>
      </c>
      <c r="C317" s="79" t="str">
        <f>IFERROR(__xludf.DUMMYFUNCTION("""COMPUTED_VALUE"""),"Mah-ze-Dahr Bakery")</f>
        <v>Mah-ze-Dahr Bakery</v>
      </c>
      <c r="D317" s="79" t="str">
        <f>IFERROR(__xludf.DUMMYFUNCTION("""COMPUTED_VALUE"""),"Meals")</f>
        <v>Meals</v>
      </c>
      <c r="E317" s="108" t="str">
        <f t="shared" si="1"/>
        <v>Apr</v>
      </c>
      <c r="F317" s="79" t="str">
        <f>IFERROR(__xludf.DUMMYFUNCTION("""COMPUTED_VALUE"""),"Shaeffer")</f>
        <v>Shaeffer</v>
      </c>
    </row>
    <row r="318">
      <c r="A318" s="85">
        <f>IFERROR(__xludf.DUMMYFUNCTION("""COMPUTED_VALUE"""),45397.0)</f>
        <v>45397</v>
      </c>
      <c r="B318" s="111">
        <f>IFERROR(__xludf.DUMMYFUNCTION("""COMPUTED_VALUE"""),119.0)</f>
        <v>119</v>
      </c>
      <c r="C318" s="79" t="str">
        <f>IFERROR(__xludf.DUMMYFUNCTION("""COMPUTED_VALUE"""),"YMCA")</f>
        <v>YMCA</v>
      </c>
      <c r="D318" s="79" t="str">
        <f>IFERROR(__xludf.DUMMYFUNCTION("""COMPUTED_VALUE"""),"Gym")</f>
        <v>Gym</v>
      </c>
      <c r="E318" s="108" t="str">
        <f t="shared" si="1"/>
        <v>Apr</v>
      </c>
      <c r="F318" s="79" t="str">
        <f>IFERROR(__xludf.DUMMYFUNCTION("""COMPUTED_VALUE"""),"Shaeffer")</f>
        <v>Shaeffer</v>
      </c>
    </row>
    <row r="319">
      <c r="A319" s="85">
        <f>IFERROR(__xludf.DUMMYFUNCTION("""COMPUTED_VALUE"""),45383.0)</f>
        <v>45383</v>
      </c>
      <c r="B319" s="111">
        <f>IFERROR(__xludf.DUMMYFUNCTION("""COMPUTED_VALUE"""),7.61)</f>
        <v>7.61</v>
      </c>
      <c r="C319" s="79" t="str">
        <f>IFERROR(__xludf.DUMMYFUNCTION("""COMPUTED_VALUE"""),"Freedom Wine Cellar")</f>
        <v>Freedom Wine Cellar</v>
      </c>
      <c r="D319" s="79" t="str">
        <f>IFERROR(__xludf.DUMMYFUNCTION("""COMPUTED_VALUE"""),"Alcohol/Weed")</f>
        <v>Alcohol/Weed</v>
      </c>
      <c r="E319" s="108" t="str">
        <f t="shared" si="1"/>
        <v>Apr</v>
      </c>
      <c r="F319" s="79" t="str">
        <f>IFERROR(__xludf.DUMMYFUNCTION("""COMPUTED_VALUE"""),"Shaeffer")</f>
        <v>Shaeffer</v>
      </c>
    </row>
    <row r="320">
      <c r="A320" s="85">
        <f>IFERROR(__xludf.DUMMYFUNCTION("""COMPUTED_VALUE"""),45398.0)</f>
        <v>45398</v>
      </c>
      <c r="B320" s="111">
        <f>IFERROR(__xludf.DUMMYFUNCTION("""COMPUTED_VALUE"""),10.35)</f>
        <v>10.35</v>
      </c>
      <c r="C320" s="79" t="str">
        <f>IFERROR(__xludf.DUMMYFUNCTION("""COMPUTED_VALUE"""),"WF Beer Garden")</f>
        <v>WF Beer Garden</v>
      </c>
      <c r="D320" s="79" t="str">
        <f>IFERROR(__xludf.DUMMYFUNCTION("""COMPUTED_VALUE"""),"Alcohol/Weed")</f>
        <v>Alcohol/Weed</v>
      </c>
      <c r="E320" s="108" t="str">
        <f t="shared" si="1"/>
        <v>Apr</v>
      </c>
      <c r="F320" s="79" t="str">
        <f>IFERROR(__xludf.DUMMYFUNCTION("""COMPUTED_VALUE"""),"Shaeffer")</f>
        <v>Shaeffer</v>
      </c>
    </row>
    <row r="321">
      <c r="A321" s="85">
        <f>IFERROR(__xludf.DUMMYFUNCTION("""COMPUTED_VALUE"""),45402.0)</f>
        <v>45402</v>
      </c>
      <c r="B321" s="111">
        <f>IFERROR(__xludf.DUMMYFUNCTION("""COMPUTED_VALUE"""),12.67)</f>
        <v>12.67</v>
      </c>
      <c r="C321" s="79" t="str">
        <f>IFERROR(__xludf.DUMMYFUNCTION("""COMPUTED_VALUE"""),"Foster Sundry")</f>
        <v>Foster Sundry</v>
      </c>
      <c r="D321" s="79" t="str">
        <f>IFERROR(__xludf.DUMMYFUNCTION("""COMPUTED_VALUE"""),"Meals")</f>
        <v>Meals</v>
      </c>
      <c r="E321" s="108" t="str">
        <f t="shared" si="1"/>
        <v>Apr</v>
      </c>
      <c r="F321" s="79" t="str">
        <f>IFERROR(__xludf.DUMMYFUNCTION("""COMPUTED_VALUE"""),"Shaeffer")</f>
        <v>Shaeffer</v>
      </c>
    </row>
    <row r="322">
      <c r="A322" s="85">
        <f>IFERROR(__xludf.DUMMYFUNCTION("""COMPUTED_VALUE"""),45402.0)</f>
        <v>45402</v>
      </c>
      <c r="B322" s="111">
        <f>IFERROR(__xludf.DUMMYFUNCTION("""COMPUTED_VALUE"""),42.91)</f>
        <v>42.91</v>
      </c>
      <c r="C322" s="79" t="str">
        <f>IFERROR(__xludf.DUMMYFUNCTION("""COMPUTED_VALUE"""),"Cowgirl Seahorse")</f>
        <v>Cowgirl Seahorse</v>
      </c>
      <c r="D322" s="79" t="str">
        <f>IFERROR(__xludf.DUMMYFUNCTION("""COMPUTED_VALUE"""),"Meals")</f>
        <v>Meals</v>
      </c>
      <c r="E322" s="108" t="str">
        <f t="shared" si="1"/>
        <v>Apr</v>
      </c>
      <c r="F322" s="79" t="str">
        <f>IFERROR(__xludf.DUMMYFUNCTION("""COMPUTED_VALUE"""),"Shaeffer")</f>
        <v>Shaeffer</v>
      </c>
    </row>
    <row r="323">
      <c r="A323" s="85">
        <f>IFERROR(__xludf.DUMMYFUNCTION("""COMPUTED_VALUE"""),45405.0)</f>
        <v>45405</v>
      </c>
      <c r="B323" s="111">
        <f>IFERROR(__xludf.DUMMYFUNCTION("""COMPUTED_VALUE"""),7.25)</f>
        <v>7.25</v>
      </c>
      <c r="C323" s="79" t="str">
        <f>IFERROR(__xludf.DUMMYFUNCTION("""COMPUTED_VALUE"""),"Cafe Leche")</f>
        <v>Cafe Leche</v>
      </c>
      <c r="D323" s="79" t="str">
        <f>IFERROR(__xludf.DUMMYFUNCTION("""COMPUTED_VALUE"""),"Travel")</f>
        <v>Travel</v>
      </c>
      <c r="E323" s="108" t="str">
        <f t="shared" si="1"/>
        <v>Apr</v>
      </c>
      <c r="F323" s="79" t="str">
        <f>IFERROR(__xludf.DUMMYFUNCTION("""COMPUTED_VALUE"""),"Shaeffer")</f>
        <v>Shaeffer</v>
      </c>
    </row>
    <row r="324">
      <c r="A324" s="85">
        <f>IFERROR(__xludf.DUMMYFUNCTION("""COMPUTED_VALUE"""),45406.0)</f>
        <v>45406</v>
      </c>
      <c r="B324" s="111">
        <f>IFERROR(__xludf.DUMMYFUNCTION("""COMPUTED_VALUE"""),8.0)</f>
        <v>8</v>
      </c>
      <c r="C324" s="79" t="str">
        <f>IFERROR(__xludf.DUMMYFUNCTION("""COMPUTED_VALUE"""),"Menottis")</f>
        <v>Menottis</v>
      </c>
      <c r="D324" s="79" t="str">
        <f>IFERROR(__xludf.DUMMYFUNCTION("""COMPUTED_VALUE"""),"Meals")</f>
        <v>Meals</v>
      </c>
      <c r="E324" s="108" t="str">
        <f t="shared" si="1"/>
        <v>Apr</v>
      </c>
      <c r="F324" s="79" t="str">
        <f>IFERROR(__xludf.DUMMYFUNCTION("""COMPUTED_VALUE"""),"Shaeffer")</f>
        <v>Shaeffer</v>
      </c>
    </row>
    <row r="325">
      <c r="A325" s="85">
        <f>IFERROR(__xludf.DUMMYFUNCTION("""COMPUTED_VALUE"""),45407.0)</f>
        <v>45407</v>
      </c>
      <c r="B325" s="111">
        <f>IFERROR(__xludf.DUMMYFUNCTION("""COMPUTED_VALUE"""),18.6)</f>
        <v>18.6</v>
      </c>
      <c r="C325" s="79" t="str">
        <f>IFERROR(__xludf.DUMMYFUNCTION("""COMPUTED_VALUE"""),"Vintage spot - LA")</f>
        <v>Vintage spot - LA</v>
      </c>
      <c r="D325" s="79" t="str">
        <f>IFERROR(__xludf.DUMMYFUNCTION("""COMPUTED_VALUE"""),"Clothing")</f>
        <v>Clothing</v>
      </c>
      <c r="E325" s="108" t="str">
        <f t="shared" si="1"/>
        <v>Apr</v>
      </c>
      <c r="F325" s="79" t="str">
        <f>IFERROR(__xludf.DUMMYFUNCTION("""COMPUTED_VALUE"""),"Shaeffer")</f>
        <v>Shaeffer</v>
      </c>
    </row>
    <row r="326">
      <c r="A326" s="85">
        <f>IFERROR(__xludf.DUMMYFUNCTION("""COMPUTED_VALUE"""),45408.0)</f>
        <v>45408</v>
      </c>
      <c r="B326" s="111">
        <f>IFERROR(__xludf.DUMMYFUNCTION("""COMPUTED_VALUE"""),16.16)</f>
        <v>16.16</v>
      </c>
      <c r="C326" s="79" t="str">
        <f>IFERROR(__xludf.DUMMYFUNCTION("""COMPUTED_VALUE"""),"Neptunes Net")</f>
        <v>Neptunes Net</v>
      </c>
      <c r="D326" s="79" t="str">
        <f>IFERROR(__xludf.DUMMYFUNCTION("""COMPUTED_VALUE"""),"Meals")</f>
        <v>Meals</v>
      </c>
      <c r="E326" s="108" t="str">
        <f t="shared" si="1"/>
        <v>Apr</v>
      </c>
      <c r="F326" s="79" t="str">
        <f>IFERROR(__xludf.DUMMYFUNCTION("""COMPUTED_VALUE"""),"Shaeffer")</f>
        <v>Shaeffer</v>
      </c>
    </row>
    <row r="327">
      <c r="A327" s="85">
        <f>IFERROR(__xludf.DUMMYFUNCTION("""COMPUTED_VALUE"""),45412.0)</f>
        <v>45412</v>
      </c>
      <c r="B327" s="111">
        <f>IFERROR(__xludf.DUMMYFUNCTION("""COMPUTED_VALUE"""),45.08)</f>
        <v>45.08</v>
      </c>
      <c r="C327" s="79" t="str">
        <f>IFERROR(__xludf.DUMMYFUNCTION("""COMPUTED_VALUE"""),"Lyft - month of April")</f>
        <v>Lyft - month of April</v>
      </c>
      <c r="D327" s="79" t="str">
        <f>IFERROR(__xludf.DUMMYFUNCTION("""COMPUTED_VALUE"""),"Transportation")</f>
        <v>Transportation</v>
      </c>
      <c r="E327" s="108" t="str">
        <f t="shared" si="1"/>
        <v>Apr</v>
      </c>
      <c r="F327" s="79" t="str">
        <f>IFERROR(__xludf.DUMMYFUNCTION("""COMPUTED_VALUE"""),"Shaeffer")</f>
        <v>Shaeffer</v>
      </c>
    </row>
    <row r="328">
      <c r="A328" s="85">
        <f>IFERROR(__xludf.DUMMYFUNCTION("""COMPUTED_VALUE"""),45391.0)</f>
        <v>45391</v>
      </c>
      <c r="B328" s="111">
        <f>IFERROR(__xludf.DUMMYFUNCTION("""COMPUTED_VALUE"""),10.35)</f>
        <v>10.35</v>
      </c>
      <c r="C328" s="79" t="str">
        <f>IFERROR(__xludf.DUMMYFUNCTION("""COMPUTED_VALUE"""),"WF Beer Garden")</f>
        <v>WF Beer Garden</v>
      </c>
      <c r="D328" s="79" t="str">
        <f>IFERROR(__xludf.DUMMYFUNCTION("""COMPUTED_VALUE"""),"Alcohol/Weed")</f>
        <v>Alcohol/Weed</v>
      </c>
      <c r="E328" s="108" t="str">
        <f t="shared" si="1"/>
        <v>Apr</v>
      </c>
      <c r="F328" s="79" t="str">
        <f>IFERROR(__xludf.DUMMYFUNCTION("""COMPUTED_VALUE"""),"Shaeffer")</f>
        <v>Shaeffer</v>
      </c>
    </row>
    <row r="329">
      <c r="A329" s="85">
        <f>IFERROR(__xludf.DUMMYFUNCTION("""COMPUTED_VALUE"""),45392.0)</f>
        <v>45392</v>
      </c>
      <c r="B329" s="111">
        <f>IFERROR(__xludf.DUMMYFUNCTION("""COMPUTED_VALUE"""),62.98)</f>
        <v>62.98</v>
      </c>
      <c r="C329" s="79" t="str">
        <f>IFERROR(__xludf.DUMMYFUNCTION("""COMPUTED_VALUE"""),"Culture Hustle - Studio Paint")</f>
        <v>Culture Hustle - Studio Paint</v>
      </c>
      <c r="D329" s="79" t="str">
        <f>IFERROR(__xludf.DUMMYFUNCTION("""COMPUTED_VALUE"""),"Studio")</f>
        <v>Studio</v>
      </c>
      <c r="E329" s="108" t="str">
        <f t="shared" si="1"/>
        <v>Apr</v>
      </c>
      <c r="F329" s="79" t="str">
        <f>IFERROR(__xludf.DUMMYFUNCTION("""COMPUTED_VALUE"""),"Shaeffer")</f>
        <v>Shaeffer</v>
      </c>
    </row>
    <row r="330">
      <c r="A330" s="85">
        <f>IFERROR(__xludf.DUMMYFUNCTION("""COMPUTED_VALUE"""),45392.0)</f>
        <v>45392</v>
      </c>
      <c r="B330" s="111">
        <f>IFERROR(__xludf.DUMMYFUNCTION("""COMPUTED_VALUE"""),87.09)</f>
        <v>87.09</v>
      </c>
      <c r="C330" s="79" t="str">
        <f>IFERROR(__xludf.DUMMYFUNCTION("""COMPUTED_VALUE"""),"Loftie")</f>
        <v>Loftie</v>
      </c>
      <c r="D330" s="79" t="str">
        <f>IFERROR(__xludf.DUMMYFUNCTION("""COMPUTED_VALUE"""),"Household")</f>
        <v>Household</v>
      </c>
      <c r="E330" s="108" t="str">
        <f t="shared" si="1"/>
        <v>Apr</v>
      </c>
      <c r="F330" s="79" t="str">
        <f>IFERROR(__xludf.DUMMYFUNCTION("""COMPUTED_VALUE"""),"Shaeffer")</f>
        <v>Shaeffer</v>
      </c>
    </row>
    <row r="331">
      <c r="A331" s="85">
        <f>IFERROR(__xludf.DUMMYFUNCTION("""COMPUTED_VALUE"""),45398.0)</f>
        <v>45398</v>
      </c>
      <c r="B331" s="111">
        <f>IFERROR(__xludf.DUMMYFUNCTION("""COMPUTED_VALUE"""),72.0)</f>
        <v>72</v>
      </c>
      <c r="C331" s="79" t="str">
        <f>IFERROR(__xludf.DUMMYFUNCTION("""COMPUTED_VALUE"""),"Pela Case")</f>
        <v>Pela Case</v>
      </c>
      <c r="D331" s="79" t="str">
        <f>IFERROR(__xludf.DUMMYFUNCTION("""COMPUTED_VALUE"""),"Personal")</f>
        <v>Personal</v>
      </c>
      <c r="E331" s="108" t="str">
        <f t="shared" si="1"/>
        <v>Apr</v>
      </c>
      <c r="F331" s="79" t="str">
        <f>IFERROR(__xludf.DUMMYFUNCTION("""COMPUTED_VALUE"""),"Shaeffer")</f>
        <v>Shaeffer</v>
      </c>
    </row>
    <row r="332">
      <c r="A332" s="85">
        <f>IFERROR(__xludf.DUMMYFUNCTION("""COMPUTED_VALUE"""),45402.0)</f>
        <v>45402</v>
      </c>
      <c r="B332" s="111">
        <f>IFERROR(__xludf.DUMMYFUNCTION("""COMPUTED_VALUE"""),15.15)</f>
        <v>15.15</v>
      </c>
      <c r="C332" s="79" t="str">
        <f>IFERROR(__xludf.DUMMYFUNCTION("""COMPUTED_VALUE"""),"REgal Essex")</f>
        <v>REgal Essex</v>
      </c>
      <c r="D332" s="79" t="str">
        <f>IFERROR(__xludf.DUMMYFUNCTION("""COMPUTED_VALUE"""),"Alcohol/Weed")</f>
        <v>Alcohol/Weed</v>
      </c>
      <c r="E332" s="108" t="str">
        <f t="shared" si="1"/>
        <v>Apr</v>
      </c>
      <c r="F332" s="79" t="str">
        <f>IFERROR(__xludf.DUMMYFUNCTION("""COMPUTED_VALUE"""),"Shaeffer")</f>
        <v>Shaeffer</v>
      </c>
    </row>
    <row r="333">
      <c r="A333" s="85">
        <f>IFERROR(__xludf.DUMMYFUNCTION("""COMPUTED_VALUE"""),45404.0)</f>
        <v>45404</v>
      </c>
      <c r="B333" s="111">
        <f>IFERROR(__xludf.DUMMYFUNCTION("""COMPUTED_VALUE"""),48.08)</f>
        <v>48.08</v>
      </c>
      <c r="C333" s="79" t="str">
        <f>IFERROR(__xludf.DUMMYFUNCTION("""COMPUTED_VALUE"""),"JFK T5 5Steak")</f>
        <v>JFK T5 5Steak</v>
      </c>
      <c r="D333" s="79" t="str">
        <f>IFERROR(__xludf.DUMMYFUNCTION("""COMPUTED_VALUE"""),"Travel")</f>
        <v>Travel</v>
      </c>
      <c r="E333" s="108" t="str">
        <f t="shared" si="1"/>
        <v>Apr</v>
      </c>
      <c r="F333" s="79" t="str">
        <f>IFERROR(__xludf.DUMMYFUNCTION("""COMPUTED_VALUE"""),"Shaeffer")</f>
        <v>Shaeffer</v>
      </c>
    </row>
    <row r="334">
      <c r="A334" s="85">
        <f>IFERROR(__xludf.DUMMYFUNCTION("""COMPUTED_VALUE"""),45404.0)</f>
        <v>45404</v>
      </c>
      <c r="B334" s="111">
        <f>IFERROR(__xludf.DUMMYFUNCTION("""COMPUTED_VALUE"""),13.63)</f>
        <v>13.63</v>
      </c>
      <c r="C334" s="79" t="str">
        <f>IFERROR(__xludf.DUMMYFUNCTION("""COMPUTED_VALUE"""),"JFK T5 G10")</f>
        <v>JFK T5 G10</v>
      </c>
      <c r="D334" s="79" t="str">
        <f>IFERROR(__xludf.DUMMYFUNCTION("""COMPUTED_VALUE"""),"Alcohol/Weed")</f>
        <v>Alcohol/Weed</v>
      </c>
      <c r="E334" s="108" t="str">
        <f t="shared" si="1"/>
        <v>Apr</v>
      </c>
      <c r="F334" s="79" t="str">
        <f>IFERROR(__xludf.DUMMYFUNCTION("""COMPUTED_VALUE"""),"Shaeffer")</f>
        <v>Shaeffer</v>
      </c>
    </row>
    <row r="335">
      <c r="A335" s="85">
        <f>IFERROR(__xludf.DUMMYFUNCTION("""COMPUTED_VALUE"""),45405.0)</f>
        <v>45405</v>
      </c>
      <c r="B335" s="111">
        <f>IFERROR(__xludf.DUMMYFUNCTION("""COMPUTED_VALUE"""),41.61)</f>
        <v>41.61</v>
      </c>
      <c r="C335" s="79" t="str">
        <f>IFERROR(__xludf.DUMMYFUNCTION("""COMPUTED_VALUE"""),"Leader of the Pack")</f>
        <v>Leader of the Pack</v>
      </c>
      <c r="D335" s="79" t="str">
        <f>IFERROR(__xludf.DUMMYFUNCTION("""COMPUTED_VALUE"""),"Clothing")</f>
        <v>Clothing</v>
      </c>
      <c r="E335" s="108" t="str">
        <f t="shared" si="1"/>
        <v>Apr</v>
      </c>
      <c r="F335" s="79" t="str">
        <f>IFERROR(__xludf.DUMMYFUNCTION("""COMPUTED_VALUE"""),"Shaeffer")</f>
        <v>Shaeffer</v>
      </c>
    </row>
    <row r="336">
      <c r="A336" s="85">
        <f>IFERROR(__xludf.DUMMYFUNCTION("""COMPUTED_VALUE"""),45405.0)</f>
        <v>45405</v>
      </c>
      <c r="B336" s="111">
        <f>IFERROR(__xludf.DUMMYFUNCTION("""COMPUTED_VALUE"""),35.0)</f>
        <v>35</v>
      </c>
      <c r="C336" s="79" t="str">
        <f>IFERROR(__xludf.DUMMYFUNCTION("""COMPUTED_VALUE"""),"Out Of the Closet")</f>
        <v>Out Of the Closet</v>
      </c>
      <c r="D336" s="79" t="str">
        <f>IFERROR(__xludf.DUMMYFUNCTION("""COMPUTED_VALUE"""),"Clothing")</f>
        <v>Clothing</v>
      </c>
      <c r="E336" s="108" t="str">
        <f t="shared" si="1"/>
        <v>Apr</v>
      </c>
      <c r="F336" s="79" t="str">
        <f>IFERROR(__xludf.DUMMYFUNCTION("""COMPUTED_VALUE"""),"Shaeffer")</f>
        <v>Shaeffer</v>
      </c>
    </row>
    <row r="337">
      <c r="A337" s="85">
        <f>IFERROR(__xludf.DUMMYFUNCTION("""COMPUTED_VALUE"""),45406.0)</f>
        <v>45406</v>
      </c>
      <c r="B337" s="111">
        <f>IFERROR(__xludf.DUMMYFUNCTION("""COMPUTED_VALUE"""),146.51)</f>
        <v>146.51</v>
      </c>
      <c r="C337" s="79" t="str">
        <f>IFERROR(__xludf.DUMMYFUNCTION("""COMPUTED_VALUE"""),"Hidden Treasures")</f>
        <v>Hidden Treasures</v>
      </c>
      <c r="D337" s="79" t="str">
        <f>IFERROR(__xludf.DUMMYFUNCTION("""COMPUTED_VALUE"""),"Clothing")</f>
        <v>Clothing</v>
      </c>
      <c r="E337" s="108" t="str">
        <f t="shared" si="1"/>
        <v>Apr</v>
      </c>
      <c r="F337" s="79" t="str">
        <f>IFERROR(__xludf.DUMMYFUNCTION("""COMPUTED_VALUE"""),"Shaeffer")</f>
        <v>Shaeffer</v>
      </c>
    </row>
    <row r="338">
      <c r="A338" s="85">
        <f>IFERROR(__xludf.DUMMYFUNCTION("""COMPUTED_VALUE"""),45407.0)</f>
        <v>45407</v>
      </c>
      <c r="B338" s="111">
        <f>IFERROR(__xludf.DUMMYFUNCTION("""COMPUTED_VALUE"""),31.73)</f>
        <v>31.73</v>
      </c>
      <c r="C338" s="79" t="str">
        <f>IFERROR(__xludf.DUMMYFUNCTION("""COMPUTED_VALUE"""),"El Ruso")</f>
        <v>El Ruso</v>
      </c>
      <c r="D338" s="79" t="str">
        <f>IFERROR(__xludf.DUMMYFUNCTION("""COMPUTED_VALUE"""),"Travel")</f>
        <v>Travel</v>
      </c>
      <c r="E338" s="108" t="str">
        <f t="shared" si="1"/>
        <v>Apr</v>
      </c>
      <c r="F338" s="79" t="str">
        <f>IFERROR(__xludf.DUMMYFUNCTION("""COMPUTED_VALUE"""),"Shaeffer")</f>
        <v>Shaeffer</v>
      </c>
    </row>
    <row r="339">
      <c r="A339" s="85">
        <f>IFERROR(__xludf.DUMMYFUNCTION("""COMPUTED_VALUE"""),45407.0)</f>
        <v>45407</v>
      </c>
      <c r="B339" s="111">
        <f>IFERROR(__xludf.DUMMYFUNCTION("""COMPUTED_VALUE"""),360.26)</f>
        <v>360.26</v>
      </c>
      <c r="C339" s="79" t="str">
        <f>IFERROR(__xludf.DUMMYFUNCTION("""COMPUTED_VALUE"""),"Luxe De Ville")</f>
        <v>Luxe De Ville</v>
      </c>
      <c r="D339" s="79" t="str">
        <f>IFERROR(__xludf.DUMMYFUNCTION("""COMPUTED_VALUE"""),"Clothing")</f>
        <v>Clothing</v>
      </c>
      <c r="E339" s="108" t="str">
        <f t="shared" si="1"/>
        <v>Apr</v>
      </c>
      <c r="F339" s="79" t="str">
        <f>IFERROR(__xludf.DUMMYFUNCTION("""COMPUTED_VALUE"""),"Shaeffer")</f>
        <v>Shaeffer</v>
      </c>
    </row>
    <row r="340">
      <c r="A340" s="85">
        <f>IFERROR(__xludf.DUMMYFUNCTION("""COMPUTED_VALUE"""),45408.0)</f>
        <v>45408</v>
      </c>
      <c r="B340" s="111">
        <f>IFERROR(__xludf.DUMMYFUNCTION("""COMPUTED_VALUE"""),24.21)</f>
        <v>24.21</v>
      </c>
      <c r="C340" s="79" t="str">
        <f>IFERROR(__xludf.DUMMYFUNCTION("""COMPUTED_VALUE"""),"Burgerlords")</f>
        <v>Burgerlords</v>
      </c>
      <c r="D340" s="79" t="str">
        <f>IFERROR(__xludf.DUMMYFUNCTION("""COMPUTED_VALUE"""),"Travel")</f>
        <v>Travel</v>
      </c>
      <c r="E340" s="108" t="str">
        <f t="shared" si="1"/>
        <v>Apr</v>
      </c>
      <c r="F340" s="79" t="str">
        <f>IFERROR(__xludf.DUMMYFUNCTION("""COMPUTED_VALUE"""),"Shaeffer")</f>
        <v>Shaeffer</v>
      </c>
    </row>
    <row r="341">
      <c r="A341" s="85">
        <f>IFERROR(__xludf.DUMMYFUNCTION("""COMPUTED_VALUE"""),45408.0)</f>
        <v>45408</v>
      </c>
      <c r="B341" s="111">
        <f>IFERROR(__xludf.DUMMYFUNCTION("""COMPUTED_VALUE"""),15.0)</f>
        <v>15</v>
      </c>
      <c r="C341" s="79" t="str">
        <f>IFERROR(__xludf.DUMMYFUNCTION("""COMPUTED_VALUE"""),"La Cuevita")</f>
        <v>La Cuevita</v>
      </c>
      <c r="D341" s="79" t="str">
        <f>IFERROR(__xludf.DUMMYFUNCTION("""COMPUTED_VALUE"""),"Alcohol/Weed")</f>
        <v>Alcohol/Weed</v>
      </c>
      <c r="E341" s="108" t="str">
        <f t="shared" si="1"/>
        <v>Apr</v>
      </c>
      <c r="F341" s="79" t="str">
        <f>IFERROR(__xludf.DUMMYFUNCTION("""COMPUTED_VALUE"""),"Shaeffer")</f>
        <v>Shaeffer</v>
      </c>
    </row>
    <row r="342">
      <c r="A342" s="85">
        <f>IFERROR(__xludf.DUMMYFUNCTION("""COMPUTED_VALUE"""),45410.0)</f>
        <v>45410</v>
      </c>
      <c r="B342" s="111">
        <f>IFERROR(__xludf.DUMMYFUNCTION("""COMPUTED_VALUE"""),30.9)</f>
        <v>30.9</v>
      </c>
      <c r="C342" s="79" t="str">
        <f>IFERROR(__xludf.DUMMYFUNCTION("""COMPUTED_VALUE"""),"HawkHouse")</f>
        <v>HawkHouse</v>
      </c>
      <c r="D342" s="79" t="str">
        <f>IFERROR(__xludf.DUMMYFUNCTION("""COMPUTED_VALUE"""),"Personal")</f>
        <v>Personal</v>
      </c>
      <c r="E342" s="108" t="str">
        <f t="shared" si="1"/>
        <v>Apr</v>
      </c>
      <c r="F342" s="79" t="str">
        <f>IFERROR(__xludf.DUMMYFUNCTION("""COMPUTED_VALUE"""),"Shaeffer")</f>
        <v>Shaeffer</v>
      </c>
    </row>
    <row r="343">
      <c r="A343" s="85">
        <f>IFERROR(__xludf.DUMMYFUNCTION("""COMPUTED_VALUE"""),45412.0)</f>
        <v>45412</v>
      </c>
      <c r="B343" s="111">
        <f>IFERROR(__xludf.DUMMYFUNCTION("""COMPUTED_VALUE"""),14.22)</f>
        <v>14.22</v>
      </c>
      <c r="C343" s="79" t="str">
        <f>IFERROR(__xludf.DUMMYFUNCTION("""COMPUTED_VALUE"""),"Guisados")</f>
        <v>Guisados</v>
      </c>
      <c r="D343" s="79" t="str">
        <f>IFERROR(__xludf.DUMMYFUNCTION("""COMPUTED_VALUE"""),"Travel")</f>
        <v>Travel</v>
      </c>
      <c r="E343" s="108" t="str">
        <f t="shared" si="1"/>
        <v>Apr</v>
      </c>
      <c r="F343" s="79" t="str">
        <f>IFERROR(__xludf.DUMMYFUNCTION("""COMPUTED_VALUE"""),"Shaeffer")</f>
        <v>Shaeffer</v>
      </c>
    </row>
    <row r="344">
      <c r="A344" s="85">
        <f>IFERROR(__xludf.DUMMYFUNCTION("""COMPUTED_VALUE"""),45412.0)</f>
        <v>45412</v>
      </c>
      <c r="B344" s="111">
        <f>IFERROR(__xludf.DUMMYFUNCTION("""COMPUTED_VALUE"""),29.09)</f>
        <v>29.09</v>
      </c>
      <c r="C344" s="79" t="str">
        <f>IFERROR(__xludf.DUMMYFUNCTION("""COMPUTED_VALUE"""),"Noshi Sushi")</f>
        <v>Noshi Sushi</v>
      </c>
      <c r="D344" s="79" t="str">
        <f>IFERROR(__xludf.DUMMYFUNCTION("""COMPUTED_VALUE"""),"Travel")</f>
        <v>Travel</v>
      </c>
      <c r="E344" s="108" t="str">
        <f t="shared" si="1"/>
        <v>Apr</v>
      </c>
      <c r="F344" s="79" t="str">
        <f>IFERROR(__xludf.DUMMYFUNCTION("""COMPUTED_VALUE"""),"Shaeffer")</f>
        <v>Shaeffer</v>
      </c>
    </row>
    <row r="345">
      <c r="A345" s="85">
        <f>IFERROR(__xludf.DUMMYFUNCTION("""COMPUTED_VALUE"""),45412.0)</f>
        <v>45412</v>
      </c>
      <c r="B345" s="111">
        <f>IFERROR(__xludf.DUMMYFUNCTION("""COMPUTED_VALUE"""),51.46)</f>
        <v>51.46</v>
      </c>
      <c r="C345" s="79" t="str">
        <f>IFERROR(__xludf.DUMMYFUNCTION("""COMPUTED_VALUE"""),"Spellbound Sky")</f>
        <v>Spellbound Sky</v>
      </c>
      <c r="D345" s="79" t="str">
        <f>IFERROR(__xludf.DUMMYFUNCTION("""COMPUTED_VALUE"""),"Personal")</f>
        <v>Personal</v>
      </c>
      <c r="E345" s="108" t="str">
        <f t="shared" si="1"/>
        <v>Apr</v>
      </c>
      <c r="F345" s="79" t="str">
        <f>IFERROR(__xludf.DUMMYFUNCTION("""COMPUTED_VALUE"""),"Shaeffer")</f>
        <v>Shaeffer</v>
      </c>
    </row>
    <row r="346">
      <c r="A346" s="85">
        <f>IFERROR(__xludf.DUMMYFUNCTION("""COMPUTED_VALUE"""),45418.0)</f>
        <v>45418</v>
      </c>
      <c r="B346" s="111">
        <f>IFERROR(__xludf.DUMMYFUNCTION("""COMPUTED_VALUE"""),12.47)</f>
        <v>12.47</v>
      </c>
      <c r="C346" s="79" t="str">
        <f>IFERROR(__xludf.DUMMYFUNCTION("""COMPUTED_VALUE"""),"My Pie Pizza Romana")</f>
        <v>My Pie Pizza Romana</v>
      </c>
      <c r="D346" s="79" t="str">
        <f>IFERROR(__xludf.DUMMYFUNCTION("""COMPUTED_VALUE"""),"Work Meals")</f>
        <v>Work Meals</v>
      </c>
      <c r="E346" s="108" t="str">
        <f t="shared" si="1"/>
        <v>May</v>
      </c>
      <c r="F346" s="79" t="str">
        <f>IFERROR(__xludf.DUMMYFUNCTION("""COMPUTED_VALUE"""),"Gil")</f>
        <v>Gil</v>
      </c>
    </row>
    <row r="347">
      <c r="A347" s="85">
        <f>IFERROR(__xludf.DUMMYFUNCTION("""COMPUTED_VALUE"""),45418.0)</f>
        <v>45418</v>
      </c>
      <c r="B347" s="111">
        <f>IFERROR(__xludf.DUMMYFUNCTION("""COMPUTED_VALUE"""),120.0)</f>
        <v>120</v>
      </c>
      <c r="C347" s="79" t="str">
        <f>IFERROR(__xludf.DUMMYFUNCTION("""COMPUTED_VALUE"""),"P.J. Clarke's")</f>
        <v>P.J. Clarke's</v>
      </c>
      <c r="D347" s="79" t="str">
        <f>IFERROR(__xludf.DUMMYFUNCTION("""COMPUTED_VALUE"""),"Alcohol/Weed")</f>
        <v>Alcohol/Weed</v>
      </c>
      <c r="E347" s="108" t="str">
        <f t="shared" si="1"/>
        <v>May</v>
      </c>
      <c r="F347" s="79" t="str">
        <f>IFERROR(__xludf.DUMMYFUNCTION("""COMPUTED_VALUE"""),"Gil")</f>
        <v>Gil</v>
      </c>
    </row>
    <row r="348">
      <c r="A348" s="85">
        <f>IFERROR(__xludf.DUMMYFUNCTION("""COMPUTED_VALUE"""),45420.0)</f>
        <v>45420</v>
      </c>
      <c r="B348" s="111">
        <f>IFERROR(__xludf.DUMMYFUNCTION("""COMPUTED_VALUE"""),14.9)</f>
        <v>14.9</v>
      </c>
      <c r="C348" s="79" t="str">
        <f>IFERROR(__xludf.DUMMYFUNCTION("""COMPUTED_VALUE"""),"Uniqlo")</f>
        <v>Uniqlo</v>
      </c>
      <c r="D348" s="79" t="str">
        <f>IFERROR(__xludf.DUMMYFUNCTION("""COMPUTED_VALUE"""),"Clothing")</f>
        <v>Clothing</v>
      </c>
      <c r="E348" s="108" t="str">
        <f t="shared" si="1"/>
        <v>May</v>
      </c>
      <c r="F348" s="79" t="str">
        <f>IFERROR(__xludf.DUMMYFUNCTION("""COMPUTED_VALUE"""),"Gil")</f>
        <v>Gil</v>
      </c>
    </row>
    <row r="349">
      <c r="A349" s="85">
        <f>IFERROR(__xludf.DUMMYFUNCTION("""COMPUTED_VALUE"""),45420.0)</f>
        <v>45420</v>
      </c>
      <c r="B349" s="111">
        <f>IFERROR(__xludf.DUMMYFUNCTION("""COMPUTED_VALUE"""),88.84)</f>
        <v>88.84</v>
      </c>
      <c r="C349" s="79" t="str">
        <f>IFERROR(__xludf.DUMMYFUNCTION("""COMPUTED_VALUE"""),"Ulta Beauty - Peach &amp; Lily")</f>
        <v>Ulta Beauty - Peach &amp; Lily</v>
      </c>
      <c r="D349" s="79" t="str">
        <f>IFERROR(__xludf.DUMMYFUNCTION("""COMPUTED_VALUE"""),"Personal")</f>
        <v>Personal</v>
      </c>
      <c r="E349" s="108" t="str">
        <f t="shared" si="1"/>
        <v>May</v>
      </c>
      <c r="F349" s="79" t="str">
        <f>IFERROR(__xludf.DUMMYFUNCTION("""COMPUTED_VALUE"""),"Gil")</f>
        <v>Gil</v>
      </c>
    </row>
    <row r="350">
      <c r="A350" s="85">
        <f>IFERROR(__xludf.DUMMYFUNCTION("""COMPUTED_VALUE"""),45424.0)</f>
        <v>45424</v>
      </c>
      <c r="B350" s="111">
        <f>IFERROR(__xludf.DUMMYFUNCTION("""COMPUTED_VALUE"""),65.31)</f>
        <v>65.31</v>
      </c>
      <c r="C350" s="79" t="str">
        <f>IFERROR(__xludf.DUMMYFUNCTION("""COMPUTED_VALUE"""),"Abebooks")</f>
        <v>Abebooks</v>
      </c>
      <c r="D350" s="79" t="str">
        <f>IFERROR(__xludf.DUMMYFUNCTION("""COMPUTED_VALUE"""),"Gifts/Donations")</f>
        <v>Gifts/Donations</v>
      </c>
      <c r="E350" s="108" t="str">
        <f t="shared" si="1"/>
        <v>May</v>
      </c>
      <c r="F350" s="79" t="str">
        <f>IFERROR(__xludf.DUMMYFUNCTION("""COMPUTED_VALUE"""),"Gil")</f>
        <v>Gil</v>
      </c>
    </row>
    <row r="351">
      <c r="A351" s="85">
        <f>IFERROR(__xludf.DUMMYFUNCTION("""COMPUTED_VALUE"""),45429.0)</f>
        <v>45429</v>
      </c>
      <c r="B351" s="111">
        <f>IFERROR(__xludf.DUMMYFUNCTION("""COMPUTED_VALUE"""),47.0)</f>
        <v>47</v>
      </c>
      <c r="C351" s="79" t="str">
        <f>IFERROR(__xludf.DUMMYFUNCTION("""COMPUTED_VALUE"""),"Superiority Burger")</f>
        <v>Superiority Burger</v>
      </c>
      <c r="D351" s="79" t="str">
        <f>IFERROR(__xludf.DUMMYFUNCTION("""COMPUTED_VALUE"""),"Meals")</f>
        <v>Meals</v>
      </c>
      <c r="E351" s="108" t="str">
        <f t="shared" si="1"/>
        <v>May</v>
      </c>
      <c r="F351" s="79" t="str">
        <f>IFERROR(__xludf.DUMMYFUNCTION("""COMPUTED_VALUE"""),"Gil")</f>
        <v>Gil</v>
      </c>
    </row>
    <row r="352">
      <c r="A352" s="85">
        <f>IFERROR(__xludf.DUMMYFUNCTION("""COMPUTED_VALUE"""),45429.0)</f>
        <v>45429</v>
      </c>
      <c r="B352" s="111">
        <f>IFERROR(__xludf.DUMMYFUNCTION("""COMPUTED_VALUE"""),6.5)</f>
        <v>6.5</v>
      </c>
      <c r="C352" s="79" t="str">
        <f>IFERROR(__xludf.DUMMYFUNCTION("""COMPUTED_VALUE"""),"Abraço")</f>
        <v>Abraço</v>
      </c>
      <c r="D352" s="79" t="str">
        <f>IFERROR(__xludf.DUMMYFUNCTION("""COMPUTED_VALUE"""),"Meals")</f>
        <v>Meals</v>
      </c>
      <c r="E352" s="108" t="str">
        <f t="shared" si="1"/>
        <v>May</v>
      </c>
      <c r="F352" s="79" t="str">
        <f>IFERROR(__xludf.DUMMYFUNCTION("""COMPUTED_VALUE"""),"Gil")</f>
        <v>Gil</v>
      </c>
    </row>
    <row r="353">
      <c r="A353" s="85">
        <f>IFERROR(__xludf.DUMMYFUNCTION("""COMPUTED_VALUE"""),45432.0)</f>
        <v>45432</v>
      </c>
      <c r="B353" s="111">
        <f>IFERROR(__xludf.DUMMYFUNCTION("""COMPUTED_VALUE"""),13.28)</f>
        <v>13.28</v>
      </c>
      <c r="C353" s="79" t="str">
        <f>IFERROR(__xludf.DUMMYFUNCTION("""COMPUTED_VALUE"""),"DIG")</f>
        <v>DIG</v>
      </c>
      <c r="D353" s="79" t="str">
        <f>IFERROR(__xludf.DUMMYFUNCTION("""COMPUTED_VALUE"""),"Work Meals")</f>
        <v>Work Meals</v>
      </c>
      <c r="E353" s="108" t="str">
        <f t="shared" si="1"/>
        <v>May</v>
      </c>
      <c r="F353" s="79" t="str">
        <f>IFERROR(__xludf.DUMMYFUNCTION("""COMPUTED_VALUE"""),"Gil")</f>
        <v>Gil</v>
      </c>
    </row>
    <row r="354">
      <c r="A354" s="85">
        <f>IFERROR(__xludf.DUMMYFUNCTION("""COMPUTED_VALUE"""),45432.0)</f>
        <v>45432</v>
      </c>
      <c r="B354" s="111">
        <f>IFERROR(__xludf.DUMMYFUNCTION("""COMPUTED_VALUE"""),25.43)</f>
        <v>25.43</v>
      </c>
      <c r="C354" s="79" t="str">
        <f>IFERROR(__xludf.DUMMYFUNCTION("""COMPUTED_VALUE"""),"IDEA Books")</f>
        <v>IDEA Books</v>
      </c>
      <c r="D354" s="79" t="str">
        <f>IFERROR(__xludf.DUMMYFUNCTION("""COMPUTED_VALUE"""),"Personal")</f>
        <v>Personal</v>
      </c>
      <c r="E354" s="108" t="str">
        <f t="shared" si="1"/>
        <v>May</v>
      </c>
      <c r="F354" s="79" t="str">
        <f>IFERROR(__xludf.DUMMYFUNCTION("""COMPUTED_VALUE"""),"Gil")</f>
        <v>Gil</v>
      </c>
    </row>
    <row r="355">
      <c r="A355" s="85">
        <f>IFERROR(__xludf.DUMMYFUNCTION("""COMPUTED_VALUE"""),45431.0)</f>
        <v>45431</v>
      </c>
      <c r="B355" s="111">
        <f>IFERROR(__xludf.DUMMYFUNCTION("""COMPUTED_VALUE"""),144.79)</f>
        <v>144.79</v>
      </c>
      <c r="C355" s="79" t="str">
        <f>IFERROR(__xludf.DUMMYFUNCTION("""COMPUTED_VALUE"""),"Canopic Studio - Etsy")</f>
        <v>Canopic Studio - Etsy</v>
      </c>
      <c r="D355" s="79" t="str">
        <f>IFERROR(__xludf.DUMMYFUNCTION("""COMPUTED_VALUE"""),"Personal")</f>
        <v>Personal</v>
      </c>
      <c r="E355" s="108" t="str">
        <f t="shared" si="1"/>
        <v>May</v>
      </c>
      <c r="F355" s="79" t="str">
        <f>IFERROR(__xludf.DUMMYFUNCTION("""COMPUTED_VALUE"""),"Gil")</f>
        <v>Gil</v>
      </c>
    </row>
    <row r="356">
      <c r="A356" s="85">
        <f>IFERROR(__xludf.DUMMYFUNCTION("""COMPUTED_VALUE"""),45433.0)</f>
        <v>45433</v>
      </c>
      <c r="B356" s="111">
        <f>IFERROR(__xludf.DUMMYFUNCTION("""COMPUTED_VALUE"""),16.2)</f>
        <v>16.2</v>
      </c>
      <c r="C356" s="79" t="str">
        <f>IFERROR(__xludf.DUMMYFUNCTION("""COMPUTED_VALUE"""),"I'Milky")</f>
        <v>I'Milky</v>
      </c>
      <c r="D356" s="79" t="str">
        <f>IFERROR(__xludf.DUMMYFUNCTION("""COMPUTED_VALUE"""),"Work Meals")</f>
        <v>Work Meals</v>
      </c>
      <c r="E356" s="108" t="str">
        <f t="shared" si="1"/>
        <v>May</v>
      </c>
      <c r="F356" s="79" t="str">
        <f>IFERROR(__xludf.DUMMYFUNCTION("""COMPUTED_VALUE"""),"Gil")</f>
        <v>Gil</v>
      </c>
    </row>
    <row r="357">
      <c r="A357" s="85">
        <f>IFERROR(__xludf.DUMMYFUNCTION("""COMPUTED_VALUE"""),45432.0)</f>
        <v>45432</v>
      </c>
      <c r="B357" s="111">
        <f>IFERROR(__xludf.DUMMYFUNCTION("""COMPUTED_VALUE"""),19.33)</f>
        <v>19.33</v>
      </c>
      <c r="C357" s="79" t="str">
        <f>IFERROR(__xludf.DUMMYFUNCTION("""COMPUTED_VALUE"""),"Animal")</f>
        <v>Animal</v>
      </c>
      <c r="D357" s="79" t="str">
        <f>IFERROR(__xludf.DUMMYFUNCTION("""COMPUTED_VALUE"""),"Alcohol/Weed")</f>
        <v>Alcohol/Weed</v>
      </c>
      <c r="E357" s="108" t="str">
        <f t="shared" si="1"/>
        <v>May</v>
      </c>
      <c r="F357" s="79" t="str">
        <f>IFERROR(__xludf.DUMMYFUNCTION("""COMPUTED_VALUE"""),"Gil")</f>
        <v>Gil</v>
      </c>
    </row>
    <row r="358">
      <c r="A358" s="85">
        <f>IFERROR(__xludf.DUMMYFUNCTION("""COMPUTED_VALUE"""),45433.0)</f>
        <v>45433</v>
      </c>
      <c r="B358" s="111">
        <f>IFERROR(__xludf.DUMMYFUNCTION("""COMPUTED_VALUE"""),6.99)</f>
        <v>6.99</v>
      </c>
      <c r="C358" s="79" t="str">
        <f>IFERROR(__xludf.DUMMYFUNCTION("""COMPUTED_VALUE"""),"Fini")</f>
        <v>Fini</v>
      </c>
      <c r="D358" s="79" t="str">
        <f>IFERROR(__xludf.DUMMYFUNCTION("""COMPUTED_VALUE"""),"Work Meals")</f>
        <v>Work Meals</v>
      </c>
      <c r="E358" s="108" t="str">
        <f t="shared" si="1"/>
        <v>May</v>
      </c>
      <c r="F358" s="79" t="str">
        <f>IFERROR(__xludf.DUMMYFUNCTION("""COMPUTED_VALUE"""),"Gil")</f>
        <v>Gil</v>
      </c>
    </row>
    <row r="359">
      <c r="A359" s="85">
        <f>IFERROR(__xludf.DUMMYFUNCTION("""COMPUTED_VALUE"""),45435.0)</f>
        <v>45435</v>
      </c>
      <c r="B359" s="111">
        <f>IFERROR(__xludf.DUMMYFUNCTION("""COMPUTED_VALUE"""),36.03)</f>
        <v>36.03</v>
      </c>
      <c r="C359" s="79" t="str">
        <f>IFERROR(__xludf.DUMMYFUNCTION("""COMPUTED_VALUE"""),"Chow House")</f>
        <v>Chow House</v>
      </c>
      <c r="D359" s="79" t="str">
        <f>IFERROR(__xludf.DUMMYFUNCTION("""COMPUTED_VALUE"""),"Work Meals")</f>
        <v>Work Meals</v>
      </c>
      <c r="E359" s="108" t="str">
        <f t="shared" si="1"/>
        <v>May</v>
      </c>
      <c r="F359" s="79" t="str">
        <f>IFERROR(__xludf.DUMMYFUNCTION("""COMPUTED_VALUE"""),"Gil")</f>
        <v>Gil</v>
      </c>
    </row>
    <row r="360">
      <c r="A360" s="85">
        <f>IFERROR(__xludf.DUMMYFUNCTION("""COMPUTED_VALUE"""),45436.0)</f>
        <v>45436</v>
      </c>
      <c r="B360" s="111">
        <f>IFERROR(__xludf.DUMMYFUNCTION("""COMPUTED_VALUE"""),6.17)</f>
        <v>6.17</v>
      </c>
      <c r="C360" s="79" t="str">
        <f>IFERROR(__xludf.DUMMYFUNCTION("""COMPUTED_VALUE"""),"Birch Coffee")</f>
        <v>Birch Coffee</v>
      </c>
      <c r="D360" s="79" t="str">
        <f>IFERROR(__xludf.DUMMYFUNCTION("""COMPUTED_VALUE"""),"Meals")</f>
        <v>Meals</v>
      </c>
      <c r="E360" s="108" t="str">
        <f t="shared" si="1"/>
        <v>May</v>
      </c>
      <c r="F360" s="79" t="str">
        <f>IFERROR(__xludf.DUMMYFUNCTION("""COMPUTED_VALUE"""),"Gil")</f>
        <v>Gil</v>
      </c>
    </row>
    <row r="361">
      <c r="A361" s="85">
        <f>IFERROR(__xludf.DUMMYFUNCTION("""COMPUTED_VALUE"""),45436.0)</f>
        <v>45436</v>
      </c>
      <c r="B361" s="111">
        <f>IFERROR(__xludf.DUMMYFUNCTION("""COMPUTED_VALUE"""),14.0)</f>
        <v>14</v>
      </c>
      <c r="C361" s="79" t="str">
        <f>IFERROR(__xludf.DUMMYFUNCTION("""COMPUTED_VALUE"""),"Kato Sake Works")</f>
        <v>Kato Sake Works</v>
      </c>
      <c r="D361" s="79" t="str">
        <f>IFERROR(__xludf.DUMMYFUNCTION("""COMPUTED_VALUE"""),"Alcohol/Weed")</f>
        <v>Alcohol/Weed</v>
      </c>
      <c r="E361" s="108" t="str">
        <f t="shared" si="1"/>
        <v>May</v>
      </c>
      <c r="F361" s="79" t="str">
        <f>IFERROR(__xludf.DUMMYFUNCTION("""COMPUTED_VALUE"""),"Gil")</f>
        <v>Gil</v>
      </c>
    </row>
    <row r="362">
      <c r="A362" s="85">
        <f>IFERROR(__xludf.DUMMYFUNCTION("""COMPUTED_VALUE"""),45436.0)</f>
        <v>45436</v>
      </c>
      <c r="B362" s="111">
        <f>IFERROR(__xludf.DUMMYFUNCTION("""COMPUTED_VALUE"""),12.89)</f>
        <v>12.89</v>
      </c>
      <c r="C362" s="79" t="str">
        <f>IFERROR(__xludf.DUMMYFUNCTION("""COMPUTED_VALUE"""),"Joe and John's Pizzeria")</f>
        <v>Joe and John's Pizzeria</v>
      </c>
      <c r="D362" s="79" t="str">
        <f>IFERROR(__xludf.DUMMYFUNCTION("""COMPUTED_VALUE"""),"Meals")</f>
        <v>Meals</v>
      </c>
      <c r="E362" s="108" t="str">
        <f t="shared" si="1"/>
        <v>May</v>
      </c>
      <c r="F362" s="79" t="str">
        <f>IFERROR(__xludf.DUMMYFUNCTION("""COMPUTED_VALUE"""),"Gil")</f>
        <v>Gil</v>
      </c>
    </row>
    <row r="363">
      <c r="A363" s="85">
        <f>IFERROR(__xludf.DUMMYFUNCTION("""COMPUTED_VALUE"""),45437.0)</f>
        <v>45437</v>
      </c>
      <c r="B363" s="111">
        <f>IFERROR(__xludf.DUMMYFUNCTION("""COMPUTED_VALUE"""),8.48)</f>
        <v>8.48</v>
      </c>
      <c r="C363" s="79" t="str">
        <f>IFERROR(__xludf.DUMMYFUNCTION("""COMPUTED_VALUE"""),"Brooklyn Natural")</f>
        <v>Brooklyn Natural</v>
      </c>
      <c r="D363" s="79" t="str">
        <f>IFERROR(__xludf.DUMMYFUNCTION("""COMPUTED_VALUE"""),"Groceries")</f>
        <v>Groceries</v>
      </c>
      <c r="E363" s="108" t="str">
        <f t="shared" si="1"/>
        <v>May</v>
      </c>
      <c r="F363" s="79" t="str">
        <f>IFERROR(__xludf.DUMMYFUNCTION("""COMPUTED_VALUE"""),"Gil")</f>
        <v>Gil</v>
      </c>
    </row>
    <row r="364">
      <c r="A364" s="85">
        <f>IFERROR(__xludf.DUMMYFUNCTION("""COMPUTED_VALUE"""),45437.0)</f>
        <v>45437</v>
      </c>
      <c r="B364" s="111">
        <f>IFERROR(__xludf.DUMMYFUNCTION("""COMPUTED_VALUE"""),52.0)</f>
        <v>52</v>
      </c>
      <c r="C364" s="79" t="str">
        <f>IFERROR(__xludf.DUMMYFUNCTION("""COMPUTED_VALUE"""),"Chiangmai")</f>
        <v>Chiangmai</v>
      </c>
      <c r="D364" s="79" t="str">
        <f>IFERROR(__xludf.DUMMYFUNCTION("""COMPUTED_VALUE"""),"Meals")</f>
        <v>Meals</v>
      </c>
      <c r="E364" s="108" t="str">
        <f t="shared" si="1"/>
        <v>May</v>
      </c>
      <c r="F364" s="79" t="str">
        <f>IFERROR(__xludf.DUMMYFUNCTION("""COMPUTED_VALUE"""),"Gil")</f>
        <v>Gil</v>
      </c>
    </row>
    <row r="365">
      <c r="A365" s="85">
        <f>IFERROR(__xludf.DUMMYFUNCTION("""COMPUTED_VALUE"""),45437.0)</f>
        <v>45437</v>
      </c>
      <c r="B365" s="111">
        <f>IFERROR(__xludf.DUMMYFUNCTION("""COMPUTED_VALUE"""),15.24)</f>
        <v>15.24</v>
      </c>
      <c r="C365" s="79" t="str">
        <f>IFERROR(__xludf.DUMMYFUNCTION("""COMPUTED_VALUE"""),"Variety Coffee")</f>
        <v>Variety Coffee</v>
      </c>
      <c r="D365" s="79" t="str">
        <f>IFERROR(__xludf.DUMMYFUNCTION("""COMPUTED_VALUE"""),"Meals")</f>
        <v>Meals</v>
      </c>
      <c r="E365" s="108" t="str">
        <f t="shared" si="1"/>
        <v>May</v>
      </c>
      <c r="F365" s="79" t="str">
        <f>IFERROR(__xludf.DUMMYFUNCTION("""COMPUTED_VALUE"""),"Gil")</f>
        <v>Gil</v>
      </c>
    </row>
    <row r="366">
      <c r="A366" s="85">
        <f>IFERROR(__xludf.DUMMYFUNCTION("""COMPUTED_VALUE"""),45439.0)</f>
        <v>45439</v>
      </c>
      <c r="B366" s="111">
        <f>IFERROR(__xludf.DUMMYFUNCTION("""COMPUTED_VALUE"""),12.64)</f>
        <v>12.64</v>
      </c>
      <c r="C366" s="79" t="str">
        <f>IFERROR(__xludf.DUMMYFUNCTION("""COMPUTED_VALUE"""),"Van Leeuwen")</f>
        <v>Van Leeuwen</v>
      </c>
      <c r="D366" s="79" t="str">
        <f>IFERROR(__xludf.DUMMYFUNCTION("""COMPUTED_VALUE"""),"Meals")</f>
        <v>Meals</v>
      </c>
      <c r="E366" s="108" t="str">
        <f t="shared" si="1"/>
        <v>May</v>
      </c>
      <c r="F366" s="79" t="str">
        <f>IFERROR(__xludf.DUMMYFUNCTION("""COMPUTED_VALUE"""),"Gil")</f>
        <v>Gil</v>
      </c>
    </row>
    <row r="367">
      <c r="A367" s="85">
        <f>IFERROR(__xludf.DUMMYFUNCTION("""COMPUTED_VALUE"""),45438.0)</f>
        <v>45438</v>
      </c>
      <c r="B367" s="111">
        <f>IFERROR(__xludf.DUMMYFUNCTION("""COMPUTED_VALUE"""),50.0)</f>
        <v>50</v>
      </c>
      <c r="C367" s="79" t="str">
        <f>IFERROR(__xludf.DUMMYFUNCTION("""COMPUTED_VALUE"""),"The Crooked Knife")</f>
        <v>The Crooked Knife</v>
      </c>
      <c r="D367" s="79" t="str">
        <f>IFERROR(__xludf.DUMMYFUNCTION("""COMPUTED_VALUE"""),"Meals")</f>
        <v>Meals</v>
      </c>
      <c r="E367" s="108" t="str">
        <f t="shared" si="1"/>
        <v>May</v>
      </c>
      <c r="F367" s="79" t="str">
        <f>IFERROR(__xludf.DUMMYFUNCTION("""COMPUTED_VALUE"""),"Gil")</f>
        <v>Gil</v>
      </c>
    </row>
    <row r="368">
      <c r="A368" s="85">
        <f>IFERROR(__xludf.DUMMYFUNCTION("""COMPUTED_VALUE"""),45439.0)</f>
        <v>45439</v>
      </c>
      <c r="B368" s="111">
        <f>IFERROR(__xludf.DUMMYFUNCTION("""COMPUTED_VALUE"""),88.85)</f>
        <v>88.85</v>
      </c>
      <c r="C368" s="79" t="str">
        <f>IFERROR(__xludf.DUMMYFUNCTION("""COMPUTED_VALUE"""),"Peach &amp; Lily")</f>
        <v>Peach &amp; Lily</v>
      </c>
      <c r="D368" s="79" t="str">
        <f>IFERROR(__xludf.DUMMYFUNCTION("""COMPUTED_VALUE"""),"Personal")</f>
        <v>Personal</v>
      </c>
      <c r="E368" s="108" t="str">
        <f t="shared" si="1"/>
        <v>May</v>
      </c>
      <c r="F368" s="79" t="str">
        <f>IFERROR(__xludf.DUMMYFUNCTION("""COMPUTED_VALUE"""),"Gil")</f>
        <v>Gil</v>
      </c>
    </row>
    <row r="369">
      <c r="A369" s="85">
        <f>IFERROR(__xludf.DUMMYFUNCTION("""COMPUTED_VALUE"""),45439.0)</f>
        <v>45439</v>
      </c>
      <c r="B369" s="111">
        <f>IFERROR(__xludf.DUMMYFUNCTION("""COMPUTED_VALUE"""),94.62)</f>
        <v>94.62</v>
      </c>
      <c r="C369" s="79" t="str">
        <f>IFERROR(__xludf.DUMMYFUNCTION("""COMPUTED_VALUE"""),"Everybody.world")</f>
        <v>Everybody.world</v>
      </c>
      <c r="D369" s="79" t="str">
        <f>IFERROR(__xludf.DUMMYFUNCTION("""COMPUTED_VALUE"""),"Clothing")</f>
        <v>Clothing</v>
      </c>
      <c r="E369" s="108" t="str">
        <f t="shared" si="1"/>
        <v>May</v>
      </c>
      <c r="F369" s="79" t="str">
        <f>IFERROR(__xludf.DUMMYFUNCTION("""COMPUTED_VALUE"""),"Gil")</f>
        <v>Gil</v>
      </c>
    </row>
    <row r="370">
      <c r="A370" s="85">
        <f>IFERROR(__xludf.DUMMYFUNCTION("""COMPUTED_VALUE"""),45435.0)</f>
        <v>45435</v>
      </c>
      <c r="B370" s="111">
        <f>IFERROR(__xludf.DUMMYFUNCTION("""COMPUTED_VALUE"""),299.92)</f>
        <v>299.92</v>
      </c>
      <c r="C370" s="79" t="str">
        <f>IFERROR(__xludf.DUMMYFUNCTION("""COMPUTED_VALUE"""),"Equinox")</f>
        <v>Equinox</v>
      </c>
      <c r="D370" s="79" t="str">
        <f>IFERROR(__xludf.DUMMYFUNCTION("""COMPUTED_VALUE"""),"Gym")</f>
        <v>Gym</v>
      </c>
      <c r="E370" s="108" t="str">
        <f t="shared" si="1"/>
        <v>May</v>
      </c>
      <c r="F370" s="79" t="str">
        <f>IFERROR(__xludf.DUMMYFUNCTION("""COMPUTED_VALUE"""),"Gil")</f>
        <v>Gil</v>
      </c>
    </row>
    <row r="371">
      <c r="A371" s="85">
        <f>IFERROR(__xludf.DUMMYFUNCTION("""COMPUTED_VALUE"""),45441.0)</f>
        <v>45441</v>
      </c>
      <c r="B371" s="111">
        <f>IFERROR(__xludf.DUMMYFUNCTION("""COMPUTED_VALUE"""),32.64)</f>
        <v>32.64</v>
      </c>
      <c r="C371" s="79" t="str">
        <f>IFERROR(__xludf.DUMMYFUNCTION("""COMPUTED_VALUE"""),"Adobe")</f>
        <v>Adobe</v>
      </c>
      <c r="D371" s="79" t="str">
        <f>IFERROR(__xludf.DUMMYFUNCTION("""COMPUTED_VALUE"""),"Subscriptions")</f>
        <v>Subscriptions</v>
      </c>
      <c r="E371" s="108" t="str">
        <f t="shared" si="1"/>
        <v>May</v>
      </c>
      <c r="F371" s="79" t="str">
        <f>IFERROR(__xludf.DUMMYFUNCTION("""COMPUTED_VALUE"""),"Gil")</f>
        <v>Gil</v>
      </c>
    </row>
    <row r="372">
      <c r="A372" s="85">
        <f>IFERROR(__xludf.DUMMYFUNCTION("""COMPUTED_VALUE"""),45420.0)</f>
        <v>45420</v>
      </c>
      <c r="B372" s="111">
        <f>IFERROR(__xludf.DUMMYFUNCTION("""COMPUTED_VALUE"""),76.2)</f>
        <v>76.2</v>
      </c>
      <c r="C372" s="79" t="str">
        <f>IFERROR(__xludf.DUMMYFUNCTION("""COMPUTED_VALUE"""),"Microsoft Annual Subscription")</f>
        <v>Microsoft Annual Subscription</v>
      </c>
      <c r="D372" s="79" t="str">
        <f>IFERROR(__xludf.DUMMYFUNCTION("""COMPUTED_VALUE"""),"Subscriptions")</f>
        <v>Subscriptions</v>
      </c>
      <c r="E372" s="108" t="str">
        <f t="shared" si="1"/>
        <v>May</v>
      </c>
      <c r="F372" s="79" t="str">
        <f>IFERROR(__xludf.DUMMYFUNCTION("""COMPUTED_VALUE"""),"Shaeffer")</f>
        <v>Shaeffer</v>
      </c>
    </row>
    <row r="373">
      <c r="A373" s="85">
        <f>IFERROR(__xludf.DUMMYFUNCTION("""COMPUTED_VALUE"""),45443.0)</f>
        <v>45443</v>
      </c>
      <c r="B373" s="111">
        <f>IFERROR(__xludf.DUMMYFUNCTION("""COMPUTED_VALUE"""),6.93)</f>
        <v>6.93</v>
      </c>
      <c r="C373" s="79" t="str">
        <f>IFERROR(__xludf.DUMMYFUNCTION("""COMPUTED_VALUE"""),"Yough")</f>
        <v>Yough</v>
      </c>
      <c r="D373" s="79" t="str">
        <f>IFERROR(__xludf.DUMMYFUNCTION("""COMPUTED_VALUE"""),"Work Meals")</f>
        <v>Work Meals</v>
      </c>
      <c r="E373" s="108" t="str">
        <f t="shared" si="1"/>
        <v>May</v>
      </c>
      <c r="F373" s="79" t="str">
        <f>IFERROR(__xludf.DUMMYFUNCTION("""COMPUTED_VALUE"""),"Shaeffer")</f>
        <v>Shaeffer</v>
      </c>
    </row>
    <row r="374">
      <c r="A374" s="85">
        <f>IFERROR(__xludf.DUMMYFUNCTION("""COMPUTED_VALUE"""),45437.0)</f>
        <v>45437</v>
      </c>
      <c r="B374" s="111">
        <f>IFERROR(__xludf.DUMMYFUNCTION("""COMPUTED_VALUE"""),3.99)</f>
        <v>3.99</v>
      </c>
      <c r="C374" s="79" t="str">
        <f>IFERROR(__xludf.DUMMYFUNCTION("""COMPUTED_VALUE"""),"Movie rental - southland tales")</f>
        <v>Movie rental - southland tales</v>
      </c>
      <c r="D374" s="79" t="str">
        <f>IFERROR(__xludf.DUMMYFUNCTION("""COMPUTED_VALUE"""),"Entertainment")</f>
        <v>Entertainment</v>
      </c>
      <c r="E374" s="108" t="str">
        <f t="shared" si="1"/>
        <v>May</v>
      </c>
      <c r="F374" s="79" t="str">
        <f>IFERROR(__xludf.DUMMYFUNCTION("""COMPUTED_VALUE"""),"Shaeffer")</f>
        <v>Shaeffer</v>
      </c>
    </row>
    <row r="375">
      <c r="A375" s="85">
        <f>IFERROR(__xludf.DUMMYFUNCTION("""COMPUTED_VALUE"""),45428.0)</f>
        <v>45428</v>
      </c>
      <c r="B375" s="111">
        <f>IFERROR(__xludf.DUMMYFUNCTION("""COMPUTED_VALUE"""),42.44)</f>
        <v>42.44</v>
      </c>
      <c r="C375" s="79" t="str">
        <f>IFERROR(__xludf.DUMMYFUNCTION("""COMPUTED_VALUE"""),"Big Bottle")</f>
        <v>Big Bottle</v>
      </c>
      <c r="D375" s="79" t="str">
        <f>IFERROR(__xludf.DUMMYFUNCTION("""COMPUTED_VALUE"""),"Alcohol/Weed")</f>
        <v>Alcohol/Weed</v>
      </c>
      <c r="E375" s="108" t="str">
        <f t="shared" si="1"/>
        <v>May</v>
      </c>
      <c r="F375" s="79" t="str">
        <f>IFERROR(__xludf.DUMMYFUNCTION("""COMPUTED_VALUE"""),"Shaeffer")</f>
        <v>Shaeffer</v>
      </c>
    </row>
    <row r="376">
      <c r="A376" s="85">
        <f>IFERROR(__xludf.DUMMYFUNCTION("""COMPUTED_VALUE"""),45425.0)</f>
        <v>45425</v>
      </c>
      <c r="B376" s="111">
        <f>IFERROR(__xludf.DUMMYFUNCTION("""COMPUTED_VALUE"""),16.0)</f>
        <v>16</v>
      </c>
      <c r="C376" s="79" t="str">
        <f>IFERROR(__xludf.DUMMYFUNCTION("""COMPUTED_VALUE"""),"Alosa Campground")</f>
        <v>Alosa Campground</v>
      </c>
      <c r="D376" s="79" t="str">
        <f>IFERROR(__xludf.DUMMYFUNCTION("""COMPUTED_VALUE"""),"Entertainment")</f>
        <v>Entertainment</v>
      </c>
      <c r="E376" s="108" t="str">
        <f t="shared" si="1"/>
        <v>May</v>
      </c>
      <c r="F376" s="79" t="str">
        <f>IFERROR(__xludf.DUMMYFUNCTION("""COMPUTED_VALUE"""),"Shaeffer")</f>
        <v>Shaeffer</v>
      </c>
    </row>
    <row r="377">
      <c r="A377" s="85">
        <f>IFERROR(__xludf.DUMMYFUNCTION("""COMPUTED_VALUE"""),45415.0)</f>
        <v>45415</v>
      </c>
      <c r="B377" s="111">
        <f>IFERROR(__xludf.DUMMYFUNCTION("""COMPUTED_VALUE"""),2.17)</f>
        <v>2.17</v>
      </c>
      <c r="C377" s="79" t="str">
        <f>IFERROR(__xludf.DUMMYFUNCTION("""COMPUTED_VALUE"""),"Gmail storage")</f>
        <v>Gmail storage</v>
      </c>
      <c r="D377" s="79" t="str">
        <f>IFERROR(__xludf.DUMMYFUNCTION("""COMPUTED_VALUE"""),"Subscriptions")</f>
        <v>Subscriptions</v>
      </c>
      <c r="E377" s="108" t="str">
        <f t="shared" si="1"/>
        <v>May</v>
      </c>
      <c r="F377" s="79" t="str">
        <f>IFERROR(__xludf.DUMMYFUNCTION("""COMPUTED_VALUE"""),"Shaeffer")</f>
        <v>Shaeffer</v>
      </c>
    </row>
    <row r="378">
      <c r="A378" s="85">
        <f>IFERROR(__xludf.DUMMYFUNCTION("""COMPUTED_VALUE"""),45414.0)</f>
        <v>45414</v>
      </c>
      <c r="B378" s="111">
        <f>IFERROR(__xludf.DUMMYFUNCTION("""COMPUTED_VALUE"""),9.99)</f>
        <v>9.99</v>
      </c>
      <c r="C378" s="79" t="str">
        <f>IFERROR(__xludf.DUMMYFUNCTION("""COMPUTED_VALUE"""),"I cloud storage")</f>
        <v>I cloud storage</v>
      </c>
      <c r="D378" s="79" t="str">
        <f>IFERROR(__xludf.DUMMYFUNCTION("""COMPUTED_VALUE"""),"Subscriptions")</f>
        <v>Subscriptions</v>
      </c>
      <c r="E378" s="108" t="str">
        <f t="shared" si="1"/>
        <v>May</v>
      </c>
      <c r="F378" s="79" t="str">
        <f>IFERROR(__xludf.DUMMYFUNCTION("""COMPUTED_VALUE"""),"Shaeffer")</f>
        <v>Shaeffer</v>
      </c>
    </row>
    <row r="379">
      <c r="A379" s="85">
        <f>IFERROR(__xludf.DUMMYFUNCTION("""COMPUTED_VALUE"""),45435.0)</f>
        <v>45435</v>
      </c>
      <c r="B379" s="111">
        <f>IFERROR(__xludf.DUMMYFUNCTION("""COMPUTED_VALUE"""),444.85)</f>
        <v>444.85</v>
      </c>
      <c r="C379" s="79" t="str">
        <f>IFERROR(__xludf.DUMMYFUNCTION("""COMPUTED_VALUE"""),"Outnet - Clothes")</f>
        <v>Outnet - Clothes</v>
      </c>
      <c r="D379" s="79" t="str">
        <f>IFERROR(__xludf.DUMMYFUNCTION("""COMPUTED_VALUE"""),"Clothing")</f>
        <v>Clothing</v>
      </c>
      <c r="E379" s="108" t="str">
        <f t="shared" si="1"/>
        <v>May</v>
      </c>
      <c r="F379" s="79" t="str">
        <f>IFERROR(__xludf.DUMMYFUNCTION("""COMPUTED_VALUE"""),"Shaeffer")</f>
        <v>Shaeffer</v>
      </c>
    </row>
    <row r="380">
      <c r="A380" s="85">
        <f>IFERROR(__xludf.DUMMYFUNCTION("""COMPUTED_VALUE"""),45439.0)</f>
        <v>45439</v>
      </c>
      <c r="B380" s="111">
        <f>IFERROR(__xludf.DUMMYFUNCTION("""COMPUTED_VALUE"""),45.0)</f>
        <v>45</v>
      </c>
      <c r="C380" s="79" t="str">
        <f>IFERROR(__xludf.DUMMYFUNCTION("""COMPUTED_VALUE"""),"Zev Wine")</f>
        <v>Zev Wine</v>
      </c>
      <c r="D380" s="79" t="str">
        <f>IFERROR(__xludf.DUMMYFUNCTION("""COMPUTED_VALUE"""),"Alcohol/Weed")</f>
        <v>Alcohol/Weed</v>
      </c>
      <c r="E380" s="108" t="str">
        <f t="shared" si="1"/>
        <v>May</v>
      </c>
      <c r="F380" s="79" t="str">
        <f>IFERROR(__xludf.DUMMYFUNCTION("""COMPUTED_VALUE"""),"Shaeffer")</f>
        <v>Shaeffer</v>
      </c>
    </row>
    <row r="381">
      <c r="A381" s="85">
        <f>IFERROR(__xludf.DUMMYFUNCTION("""COMPUTED_VALUE"""),45443.0)</f>
        <v>45443</v>
      </c>
      <c r="B381" s="111">
        <f>IFERROR(__xludf.DUMMYFUNCTION("""COMPUTED_VALUE"""),25.0)</f>
        <v>25</v>
      </c>
      <c r="C381" s="79" t="str">
        <f>IFERROR(__xludf.DUMMYFUNCTION("""COMPUTED_VALUE"""),"Hotel Drink - Venmo ")</f>
        <v>Hotel Drink - Venmo </v>
      </c>
      <c r="D381" s="79" t="str">
        <f>IFERROR(__xludf.DUMMYFUNCTION("""COMPUTED_VALUE"""),"Alcohol/Weed")</f>
        <v>Alcohol/Weed</v>
      </c>
      <c r="E381" s="108" t="str">
        <f t="shared" si="1"/>
        <v>May</v>
      </c>
      <c r="F381" s="79" t="str">
        <f>IFERROR(__xludf.DUMMYFUNCTION("""COMPUTED_VALUE"""),"Shaeffer")</f>
        <v>Shaeffer</v>
      </c>
    </row>
    <row r="382">
      <c r="A382" s="85">
        <f>IFERROR(__xludf.DUMMYFUNCTION("""COMPUTED_VALUE"""),45438.0)</f>
        <v>45438</v>
      </c>
      <c r="B382" s="111">
        <f>IFERROR(__xludf.DUMMYFUNCTION("""COMPUTED_VALUE"""),39.0)</f>
        <v>39</v>
      </c>
      <c r="C382" s="79" t="str">
        <f>IFERROR(__xludf.DUMMYFUNCTION("""COMPUTED_VALUE"""),"Copperstills Dinner")</f>
        <v>Copperstills Dinner</v>
      </c>
      <c r="D382" s="79" t="str">
        <f>IFERROR(__xludf.DUMMYFUNCTION("""COMPUTED_VALUE"""),"Meals")</f>
        <v>Meals</v>
      </c>
      <c r="E382" s="108" t="str">
        <f t="shared" si="1"/>
        <v>May</v>
      </c>
      <c r="F382" s="79" t="str">
        <f>IFERROR(__xludf.DUMMYFUNCTION("""COMPUTED_VALUE"""),"Shaeffer")</f>
        <v>Shaeffer</v>
      </c>
    </row>
    <row r="383">
      <c r="A383" s="85">
        <f>IFERROR(__xludf.DUMMYFUNCTION("""COMPUTED_VALUE"""),45437.0)</f>
        <v>45437</v>
      </c>
      <c r="B383" s="111">
        <f>IFERROR(__xludf.DUMMYFUNCTION("""COMPUTED_VALUE"""),52.0)</f>
        <v>52</v>
      </c>
      <c r="C383" s="79" t="str">
        <f>IFERROR(__xludf.DUMMYFUNCTION("""COMPUTED_VALUE"""),"Venmo Dale - Dinner ")</f>
        <v>Venmo Dale - Dinner </v>
      </c>
      <c r="D383" s="79" t="str">
        <f>IFERROR(__xludf.DUMMYFUNCTION("""COMPUTED_VALUE"""),"Meals")</f>
        <v>Meals</v>
      </c>
      <c r="E383" s="108" t="str">
        <f t="shared" si="1"/>
        <v>May</v>
      </c>
      <c r="F383" s="79" t="str">
        <f>IFERROR(__xludf.DUMMYFUNCTION("""COMPUTED_VALUE"""),"Shaeffer")</f>
        <v>Shaeffer</v>
      </c>
    </row>
    <row r="384">
      <c r="A384" s="85">
        <f>IFERROR(__xludf.DUMMYFUNCTION("""COMPUTED_VALUE"""),45436.0)</f>
        <v>45436</v>
      </c>
      <c r="B384" s="111">
        <f>IFERROR(__xludf.DUMMYFUNCTION("""COMPUTED_VALUE"""),33.0)</f>
        <v>33</v>
      </c>
      <c r="C384" s="79" t="str">
        <f>IFERROR(__xludf.DUMMYFUNCTION("""COMPUTED_VALUE"""),"Sake - Venmo Laurel")</f>
        <v>Sake - Venmo Laurel</v>
      </c>
      <c r="D384" s="79" t="str">
        <f>IFERROR(__xludf.DUMMYFUNCTION("""COMPUTED_VALUE"""),"Alcohol/Weed")</f>
        <v>Alcohol/Weed</v>
      </c>
      <c r="E384" s="108" t="str">
        <f t="shared" si="1"/>
        <v>May</v>
      </c>
      <c r="F384" s="79" t="str">
        <f>IFERROR(__xludf.DUMMYFUNCTION("""COMPUTED_VALUE"""),"Shaeffer")</f>
        <v>Shaeffer</v>
      </c>
    </row>
    <row r="385">
      <c r="A385" s="85">
        <f>IFERROR(__xludf.DUMMYFUNCTION("""COMPUTED_VALUE"""),45433.0)</f>
        <v>45433</v>
      </c>
      <c r="B385" s="111">
        <f>IFERROR(__xludf.DUMMYFUNCTION("""COMPUTED_VALUE"""),64.0)</f>
        <v>64</v>
      </c>
      <c r="C385" s="79" t="str">
        <f>IFERROR(__xludf.DUMMYFUNCTION("""COMPUTED_VALUE"""),"Studio Internet - March/April")</f>
        <v>Studio Internet - March/April</v>
      </c>
      <c r="D385" s="79" t="str">
        <f>IFERROR(__xludf.DUMMYFUNCTION("""COMPUTED_VALUE"""),"Studio")</f>
        <v>Studio</v>
      </c>
      <c r="E385" s="108" t="str">
        <f t="shared" si="1"/>
        <v>May</v>
      </c>
      <c r="F385" s="79" t="str">
        <f>IFERROR(__xludf.DUMMYFUNCTION("""COMPUTED_VALUE"""),"Shaeffer")</f>
        <v>Shaeffer</v>
      </c>
    </row>
    <row r="386">
      <c r="A386" s="85">
        <f>IFERROR(__xludf.DUMMYFUNCTION("""COMPUTED_VALUE"""),45433.0)</f>
        <v>45433</v>
      </c>
      <c r="B386" s="111">
        <f>IFERROR(__xludf.DUMMYFUNCTION("""COMPUTED_VALUE"""),45.0)</f>
        <v>45</v>
      </c>
      <c r="C386" s="79" t="str">
        <f>IFERROR(__xludf.DUMMYFUNCTION("""COMPUTED_VALUE"""),"Olde Towne Bar- Venmo Tori")</f>
        <v>Olde Towne Bar- Venmo Tori</v>
      </c>
      <c r="D386" s="79" t="str">
        <f>IFERROR(__xludf.DUMMYFUNCTION("""COMPUTED_VALUE"""),"Alcohol/Weed")</f>
        <v>Alcohol/Weed</v>
      </c>
      <c r="E386" s="108" t="str">
        <f t="shared" si="1"/>
        <v>May</v>
      </c>
      <c r="F386" s="79" t="str">
        <f>IFERROR(__xludf.DUMMYFUNCTION("""COMPUTED_VALUE"""),"Shaeffer")</f>
        <v>Shaeffer</v>
      </c>
    </row>
    <row r="387">
      <c r="A387" s="85">
        <f>IFERROR(__xludf.DUMMYFUNCTION("""COMPUTED_VALUE"""),45427.0)</f>
        <v>45427</v>
      </c>
      <c r="B387" s="111">
        <f>IFERROR(__xludf.DUMMYFUNCTION("""COMPUTED_VALUE"""),10.0)</f>
        <v>10</v>
      </c>
      <c r="C387" s="79" t="str">
        <f>IFERROR(__xludf.DUMMYFUNCTION("""COMPUTED_VALUE"""),"Sandy Blanket Sushi-Venmo Mack")</f>
        <v>Sandy Blanket Sushi-Venmo Mack</v>
      </c>
      <c r="D387" s="79" t="str">
        <f>IFERROR(__xludf.DUMMYFUNCTION("""COMPUTED_VALUE"""),"Meals")</f>
        <v>Meals</v>
      </c>
      <c r="E387" s="108" t="str">
        <f t="shared" si="1"/>
        <v>May</v>
      </c>
      <c r="F387" s="79" t="str">
        <f>IFERROR(__xludf.DUMMYFUNCTION("""COMPUTED_VALUE"""),"Shaeffer")</f>
        <v>Shaeffer</v>
      </c>
    </row>
    <row r="388">
      <c r="A388" s="85">
        <f>IFERROR(__xludf.DUMMYFUNCTION("""COMPUTED_VALUE"""),-612013.0)</f>
        <v>-612013</v>
      </c>
      <c r="B388" s="111">
        <f>IFERROR(__xludf.DUMMYFUNCTION("""COMPUTED_VALUE"""),40.0)</f>
        <v>40</v>
      </c>
      <c r="C388" s="79" t="str">
        <f>IFERROR(__xludf.DUMMYFUNCTION("""COMPUTED_VALUE"""),"Venmo-Jacob")</f>
        <v>Venmo-Jacob</v>
      </c>
      <c r="D388" s="79" t="str">
        <f>IFERROR(__xludf.DUMMYFUNCTION("""COMPUTED_VALUE"""),"Alcohol/Weed")</f>
        <v>Alcohol/Weed</v>
      </c>
      <c r="E388" s="108" t="str">
        <f t="shared" si="1"/>
        <v>May</v>
      </c>
      <c r="F388" s="79" t="str">
        <f>IFERROR(__xludf.DUMMYFUNCTION("""COMPUTED_VALUE"""),"Shaeffer")</f>
        <v>Shaeffer</v>
      </c>
    </row>
    <row r="389">
      <c r="A389" s="85">
        <f>IFERROR(__xludf.DUMMYFUNCTION("""COMPUTED_VALUE"""),45418.0)</f>
        <v>45418</v>
      </c>
      <c r="B389" s="111">
        <f>IFERROR(__xludf.DUMMYFUNCTION("""COMPUTED_VALUE"""),120.0)</f>
        <v>120</v>
      </c>
      <c r="C389" s="79" t="str">
        <f>IFERROR(__xludf.DUMMYFUNCTION("""COMPUTED_VALUE"""),"Farideh's bd")</f>
        <v>Farideh's bd</v>
      </c>
      <c r="D389" s="79" t="str">
        <f>IFERROR(__xludf.DUMMYFUNCTION("""COMPUTED_VALUE"""),"Meals")</f>
        <v>Meals</v>
      </c>
      <c r="E389" s="108" t="str">
        <f t="shared" si="1"/>
        <v>May</v>
      </c>
      <c r="F389" s="79" t="str">
        <f>IFERROR(__xludf.DUMMYFUNCTION("""COMPUTED_VALUE"""),"Shaeffer")</f>
        <v>Shaeffer</v>
      </c>
    </row>
    <row r="390">
      <c r="A390" s="85">
        <f>IFERROR(__xludf.DUMMYFUNCTION("""COMPUTED_VALUE"""),45412.0)</f>
        <v>45412</v>
      </c>
      <c r="B390" s="111">
        <f>IFERROR(__xludf.DUMMYFUNCTION("""COMPUTED_VALUE"""),61.14)</f>
        <v>61.14</v>
      </c>
      <c r="C390" s="79" t="str">
        <f>IFERROR(__xludf.DUMMYFUNCTION("""COMPUTED_VALUE"""),"Studio - April Electrical")</f>
        <v>Studio - April Electrical</v>
      </c>
      <c r="D390" s="79" t="str">
        <f>IFERROR(__xludf.DUMMYFUNCTION("""COMPUTED_VALUE"""),"Studio")</f>
        <v>Studio</v>
      </c>
      <c r="E390" s="108" t="str">
        <f t="shared" si="1"/>
        <v>Apr</v>
      </c>
      <c r="F390" s="79" t="str">
        <f>IFERROR(__xludf.DUMMYFUNCTION("""COMPUTED_VALUE"""),"Shaeffer")</f>
        <v>Shaeffer</v>
      </c>
    </row>
    <row r="391">
      <c r="A391" s="85">
        <f>IFERROR(__xludf.DUMMYFUNCTION("""COMPUTED_VALUE"""),45439.0)</f>
        <v>45439</v>
      </c>
      <c r="B391" s="111">
        <f>IFERROR(__xludf.DUMMYFUNCTION("""COMPUTED_VALUE"""),24.0)</f>
        <v>24</v>
      </c>
      <c r="C391" s="79" t="str">
        <f>IFERROR(__xludf.DUMMYFUNCTION("""COMPUTED_VALUE"""),"Patreon - Kelli Anderson")</f>
        <v>Patreon - Kelli Anderson</v>
      </c>
      <c r="D391" s="79" t="str">
        <f>IFERROR(__xludf.DUMMYFUNCTION("""COMPUTED_VALUE"""),"Subscriptions")</f>
        <v>Subscriptions</v>
      </c>
      <c r="E391" s="108" t="str">
        <f t="shared" si="1"/>
        <v>May</v>
      </c>
      <c r="F391" s="79" t="str">
        <f>IFERROR(__xludf.DUMMYFUNCTION("""COMPUTED_VALUE"""),"Gil")</f>
        <v>Gil</v>
      </c>
    </row>
    <row r="392">
      <c r="A392" s="85">
        <f>IFERROR(__xludf.DUMMYFUNCTION("""COMPUTED_VALUE"""),45441.0)</f>
        <v>45441</v>
      </c>
      <c r="B392" s="111">
        <f>IFERROR(__xludf.DUMMYFUNCTION("""COMPUTED_VALUE"""),6.0)</f>
        <v>6</v>
      </c>
      <c r="C392" s="79" t="str">
        <f>IFERROR(__xludf.DUMMYFUNCTION("""COMPUTED_VALUE"""),"Jose bd strawberries")</f>
        <v>Jose bd strawberries</v>
      </c>
      <c r="D392" s="79" t="str">
        <f>IFERROR(__xludf.DUMMYFUNCTION("""COMPUTED_VALUE"""),"Entertainment")</f>
        <v>Entertainment</v>
      </c>
      <c r="E392" s="108" t="str">
        <f t="shared" si="1"/>
        <v>May</v>
      </c>
      <c r="F392" s="79" t="str">
        <f>IFERROR(__xludf.DUMMYFUNCTION("""COMPUTED_VALUE"""),"Shaeffer")</f>
        <v>Shaeffer</v>
      </c>
    </row>
    <row r="393">
      <c r="A393" s="85">
        <f>IFERROR(__xludf.DUMMYFUNCTION("""COMPUTED_VALUE"""),45440.0)</f>
        <v>45440</v>
      </c>
      <c r="B393" s="111">
        <f>IFERROR(__xludf.DUMMYFUNCTION("""COMPUTED_VALUE"""),30.9)</f>
        <v>30.9</v>
      </c>
      <c r="C393" s="79" t="str">
        <f>IFERROR(__xludf.DUMMYFUNCTION("""COMPUTED_VALUE"""),"Hawkhouse")</f>
        <v>Hawkhouse</v>
      </c>
      <c r="D393" s="79" t="str">
        <f>IFERROR(__xludf.DUMMYFUNCTION("""COMPUTED_VALUE"""),"Subscriptions")</f>
        <v>Subscriptions</v>
      </c>
      <c r="E393" s="108" t="str">
        <f t="shared" si="1"/>
        <v>May</v>
      </c>
      <c r="F393" s="79" t="str">
        <f>IFERROR(__xludf.DUMMYFUNCTION("""COMPUTED_VALUE"""),"Shaeffer")</f>
        <v>Shaeffer</v>
      </c>
    </row>
    <row r="394">
      <c r="A394" s="85">
        <f>IFERROR(__xludf.DUMMYFUNCTION("""COMPUTED_VALUE"""),45439.0)</f>
        <v>45439</v>
      </c>
      <c r="B394" s="111">
        <f>IFERROR(__xludf.DUMMYFUNCTION("""COMPUTED_VALUE"""),117.0)</f>
        <v>117</v>
      </c>
      <c r="C394" s="79" t="str">
        <f>IFERROR(__xludf.DUMMYFUNCTION("""COMPUTED_VALUE"""),"Mate the Label")</f>
        <v>Mate the Label</v>
      </c>
      <c r="D394" s="79" t="str">
        <f>IFERROR(__xludf.DUMMYFUNCTION("""COMPUTED_VALUE"""),"Clothing")</f>
        <v>Clothing</v>
      </c>
      <c r="E394" s="108" t="str">
        <f t="shared" si="1"/>
        <v>May</v>
      </c>
      <c r="F394" s="79" t="str">
        <f>IFERROR(__xludf.DUMMYFUNCTION("""COMPUTED_VALUE"""),"Shaeffer")</f>
        <v>Shaeffer</v>
      </c>
    </row>
    <row r="395">
      <c r="A395" s="85">
        <f>IFERROR(__xludf.DUMMYFUNCTION("""COMPUTED_VALUE"""),45434.0)</f>
        <v>45434</v>
      </c>
      <c r="B395" s="111">
        <f>IFERROR(__xludf.DUMMYFUNCTION("""COMPUTED_VALUE"""),53.34)</f>
        <v>53.34</v>
      </c>
      <c r="C395" s="79" t="str">
        <f>IFERROR(__xludf.DUMMYFUNCTION("""COMPUTED_VALUE"""),"Korres")</f>
        <v>Korres</v>
      </c>
      <c r="D395" s="79" t="str">
        <f>IFERROR(__xludf.DUMMYFUNCTION("""COMPUTED_VALUE"""),"Personal")</f>
        <v>Personal</v>
      </c>
      <c r="E395" s="108" t="str">
        <f t="shared" si="1"/>
        <v>May</v>
      </c>
      <c r="F395" s="79" t="str">
        <f>IFERROR(__xludf.DUMMYFUNCTION("""COMPUTED_VALUE"""),"Shaeffer")</f>
        <v>Shaeffer</v>
      </c>
    </row>
    <row r="396">
      <c r="A396" s="85">
        <f>IFERROR(__xludf.DUMMYFUNCTION("""COMPUTED_VALUE"""),45423.0)</f>
        <v>45423</v>
      </c>
      <c r="B396" s="111">
        <f>IFERROR(__xludf.DUMMYFUNCTION("""COMPUTED_VALUE"""),50.0)</f>
        <v>50</v>
      </c>
      <c r="C396" s="79" t="str">
        <f>IFERROR(__xludf.DUMMYFUNCTION("""COMPUTED_VALUE"""),"Atelier Jolie - Mimi Plange")</f>
        <v>Atelier Jolie - Mimi Plange</v>
      </c>
      <c r="D396" s="79" t="str">
        <f>IFERROR(__xludf.DUMMYFUNCTION("""COMPUTED_VALUE"""),"Studio")</f>
        <v>Studio</v>
      </c>
      <c r="E396" s="108" t="str">
        <f t="shared" si="1"/>
        <v>May</v>
      </c>
      <c r="F396" s="79" t="str">
        <f>IFERROR(__xludf.DUMMYFUNCTION("""COMPUTED_VALUE"""),"Shaeffer")</f>
        <v>Shaeffer</v>
      </c>
    </row>
    <row r="397">
      <c r="A397" s="85">
        <f>IFERROR(__xludf.DUMMYFUNCTION("""COMPUTED_VALUE"""),45422.0)</f>
        <v>45422</v>
      </c>
      <c r="B397" s="111">
        <f>IFERROR(__xludf.DUMMYFUNCTION("""COMPUTED_VALUE"""),17.32)</f>
        <v>17.32</v>
      </c>
      <c r="C397" s="79" t="str">
        <f>IFERROR(__xludf.DUMMYFUNCTION("""COMPUTED_VALUE"""),"Digg Inn - delivery")</f>
        <v>Digg Inn - delivery</v>
      </c>
      <c r="D397" s="79" t="str">
        <f>IFERROR(__xludf.DUMMYFUNCTION("""COMPUTED_VALUE"""),"Work Meals")</f>
        <v>Work Meals</v>
      </c>
      <c r="E397" s="108" t="str">
        <f t="shared" si="1"/>
        <v>May</v>
      </c>
      <c r="F397" s="79" t="str">
        <f>IFERROR(__xludf.DUMMYFUNCTION("""COMPUTED_VALUE"""),"Shaeffer")</f>
        <v>Shaeffer</v>
      </c>
    </row>
    <row r="398">
      <c r="A398" s="85">
        <f>IFERROR(__xludf.DUMMYFUNCTION("""COMPUTED_VALUE"""),45418.0)</f>
        <v>45418</v>
      </c>
      <c r="B398" s="111">
        <f>IFERROR(__xludf.DUMMYFUNCTION("""COMPUTED_VALUE"""),79.92)</f>
        <v>79.92</v>
      </c>
      <c r="C398" s="79" t="str">
        <f>IFERROR(__xludf.DUMMYFUNCTION("""COMPUTED_VALUE"""),"Quijote - Faridehs BD")</f>
        <v>Quijote - Faridehs BD</v>
      </c>
      <c r="D398" s="79" t="str">
        <f>IFERROR(__xludf.DUMMYFUNCTION("""COMPUTED_VALUE"""),"Alcohol/Weed")</f>
        <v>Alcohol/Weed</v>
      </c>
      <c r="E398" s="108" t="str">
        <f t="shared" si="1"/>
        <v>May</v>
      </c>
      <c r="F398" s="79" t="str">
        <f>IFERROR(__xludf.DUMMYFUNCTION("""COMPUTED_VALUE"""),"Shaeffer")</f>
        <v>Shaeffer</v>
      </c>
    </row>
    <row r="399">
      <c r="A399" s="85">
        <f>IFERROR(__xludf.DUMMYFUNCTION("""COMPUTED_VALUE"""),45414.0)</f>
        <v>45414</v>
      </c>
      <c r="B399" s="111">
        <f>IFERROR(__xludf.DUMMYFUNCTION("""COMPUTED_VALUE"""),69.57)</f>
        <v>69.57</v>
      </c>
      <c r="C399" s="79" t="str">
        <f>IFERROR(__xludf.DUMMYFUNCTION("""COMPUTED_VALUE"""),"LAX - Fords Filling")</f>
        <v>LAX - Fords Filling</v>
      </c>
      <c r="D399" s="79" t="str">
        <f>IFERROR(__xludf.DUMMYFUNCTION("""COMPUTED_VALUE"""),"Work Meals")</f>
        <v>Work Meals</v>
      </c>
      <c r="E399" s="108" t="str">
        <f t="shared" si="1"/>
        <v>May</v>
      </c>
      <c r="F399" s="79" t="str">
        <f>IFERROR(__xludf.DUMMYFUNCTION("""COMPUTED_VALUE"""),"Shaeffer")</f>
        <v>Shaeffer</v>
      </c>
    </row>
    <row r="400">
      <c r="A400" s="85">
        <f>IFERROR(__xludf.DUMMYFUNCTION("""COMPUTED_VALUE"""),45413.0)</f>
        <v>45413</v>
      </c>
      <c r="B400" s="111">
        <f>IFERROR(__xludf.DUMMYFUNCTION("""COMPUTED_VALUE"""),73.32)</f>
        <v>73.32</v>
      </c>
      <c r="C400" s="79" t="str">
        <f>IFERROR(__xludf.DUMMYFUNCTION("""COMPUTED_VALUE"""),"Tam OShanter")</f>
        <v>Tam OShanter</v>
      </c>
      <c r="D400" s="79" t="str">
        <f>IFERROR(__xludf.DUMMYFUNCTION("""COMPUTED_VALUE"""),"Travel")</f>
        <v>Travel</v>
      </c>
      <c r="E400" s="108" t="str">
        <f t="shared" si="1"/>
        <v>May</v>
      </c>
      <c r="F400" s="79" t="str">
        <f>IFERROR(__xludf.DUMMYFUNCTION("""COMPUTED_VALUE"""),"Shaeffer")</f>
        <v>Shaeffer</v>
      </c>
    </row>
    <row r="401">
      <c r="A401" s="85">
        <f>IFERROR(__xludf.DUMMYFUNCTION("""COMPUTED_VALUE"""),45417.0)</f>
        <v>45417</v>
      </c>
      <c r="B401" s="111">
        <f>IFERROR(__xludf.DUMMYFUNCTION("""COMPUTED_VALUE"""),16.21)</f>
        <v>16.21</v>
      </c>
      <c r="C401" s="79" t="str">
        <f>IFERROR(__xludf.DUMMYFUNCTION("""COMPUTED_VALUE"""),"bbq Olive chicken")</f>
        <v>bbq Olive chicken</v>
      </c>
      <c r="D401" s="79" t="str">
        <f>IFERROR(__xludf.DUMMYFUNCTION("""COMPUTED_VALUE"""),"Meals")</f>
        <v>Meals</v>
      </c>
      <c r="E401" s="108" t="str">
        <f t="shared" si="1"/>
        <v>May</v>
      </c>
      <c r="F401" s="79" t="str">
        <f>IFERROR(__xludf.DUMMYFUNCTION("""COMPUTED_VALUE"""),"Gil")</f>
        <v>Gil</v>
      </c>
    </row>
    <row r="402">
      <c r="A402" s="85">
        <f>IFERROR(__xludf.DUMMYFUNCTION("""COMPUTED_VALUE"""),45420.0)</f>
        <v>45420</v>
      </c>
      <c r="B402" s="111">
        <f>IFERROR(__xludf.DUMMYFUNCTION("""COMPUTED_VALUE"""),375.0)</f>
        <v>375</v>
      </c>
      <c r="C402" s="79" t="str">
        <f>IFERROR(__xludf.DUMMYFUNCTION("""COMPUTED_VALUE"""),"323 May Rent")</f>
        <v>323 May Rent</v>
      </c>
      <c r="D402" s="79" t="str">
        <f>IFERROR(__xludf.DUMMYFUNCTION("""COMPUTED_VALUE"""),"Studio")</f>
        <v>Studio</v>
      </c>
      <c r="E402" s="108" t="str">
        <f t="shared" si="1"/>
        <v>May</v>
      </c>
      <c r="F402" s="79" t="str">
        <f>IFERROR(__xludf.DUMMYFUNCTION("""COMPUTED_VALUE"""),"Shaeffer")</f>
        <v>Shaeffer</v>
      </c>
    </row>
    <row r="403">
      <c r="A403" s="85">
        <f>IFERROR(__xludf.DUMMYFUNCTION("""COMPUTED_VALUE"""),45414.0)</f>
        <v>45414</v>
      </c>
      <c r="B403" s="111">
        <f>IFERROR(__xludf.DUMMYFUNCTION("""COMPUTED_VALUE"""),45.39)</f>
        <v>45.39</v>
      </c>
      <c r="C403" s="79" t="str">
        <f>IFERROR(__xludf.DUMMYFUNCTION("""COMPUTED_VALUE"""),"MD SOLARSC")</f>
        <v>MD SOLARSC</v>
      </c>
      <c r="D403" s="79" t="str">
        <f>IFERROR(__xludf.DUMMYFUNCTION("""COMPUTED_VALUE"""),"Personal")</f>
        <v>Personal</v>
      </c>
      <c r="E403" s="108" t="str">
        <f t="shared" si="1"/>
        <v>May</v>
      </c>
      <c r="F403" s="79" t="str">
        <f>IFERROR(__xludf.DUMMYFUNCTION("""COMPUTED_VALUE"""),"Shaeffer")</f>
        <v>Shaeffer</v>
      </c>
    </row>
    <row r="404">
      <c r="A404" s="85">
        <f>IFERROR(__xludf.DUMMYFUNCTION("""COMPUTED_VALUE"""),45414.0)</f>
        <v>45414</v>
      </c>
      <c r="B404" s="111">
        <f>IFERROR(__xludf.DUMMYFUNCTION("""COMPUTED_VALUE"""),149.0)</f>
        <v>149</v>
      </c>
      <c r="C404" s="79" t="str">
        <f>IFERROR(__xludf.DUMMYFUNCTION("""COMPUTED_VALUE"""),"Zen Business")</f>
        <v>Zen Business</v>
      </c>
      <c r="D404" s="79" t="str">
        <f>IFERROR(__xludf.DUMMYFUNCTION("""COMPUTED_VALUE"""),"Studio")</f>
        <v>Studio</v>
      </c>
      <c r="E404" s="108" t="str">
        <f t="shared" si="1"/>
        <v>May</v>
      </c>
      <c r="F404" s="79" t="str">
        <f>IFERROR(__xludf.DUMMYFUNCTION("""COMPUTED_VALUE"""),"Shaeffer")</f>
        <v>Shaeffer</v>
      </c>
    </row>
    <row r="405">
      <c r="A405" s="85">
        <f>IFERROR(__xludf.DUMMYFUNCTION("""COMPUTED_VALUE"""),45419.0)</f>
        <v>45419</v>
      </c>
      <c r="B405" s="111">
        <f>IFERROR(__xludf.DUMMYFUNCTION("""COMPUTED_VALUE"""),7.0)</f>
        <v>7</v>
      </c>
      <c r="C405" s="79" t="str">
        <f>IFERROR(__xludf.DUMMYFUNCTION("""COMPUTED_VALUE"""),"Movie popcorn")</f>
        <v>Movie popcorn</v>
      </c>
      <c r="D405" s="79" t="str">
        <f>IFERROR(__xludf.DUMMYFUNCTION("""COMPUTED_VALUE"""),"Entertainment")</f>
        <v>Entertainment</v>
      </c>
      <c r="E405" s="108" t="str">
        <f t="shared" si="1"/>
        <v>May</v>
      </c>
      <c r="F405" s="79" t="str">
        <f>IFERROR(__xludf.DUMMYFUNCTION("""COMPUTED_VALUE"""),"Shaeffer")</f>
        <v>Shaeffer</v>
      </c>
    </row>
    <row r="406">
      <c r="A406" s="85">
        <f>IFERROR(__xludf.DUMMYFUNCTION("""COMPUTED_VALUE"""),45420.0)</f>
        <v>45420</v>
      </c>
      <c r="B406" s="111">
        <f>IFERROR(__xludf.DUMMYFUNCTION("""COMPUTED_VALUE"""),25.57)</f>
        <v>25.57</v>
      </c>
      <c r="C406" s="79" t="str">
        <f>IFERROR(__xludf.DUMMYFUNCTION("""COMPUTED_VALUE"""),"Rosa - work lunch")</f>
        <v>Rosa - work lunch</v>
      </c>
      <c r="D406" s="79" t="str">
        <f>IFERROR(__xludf.DUMMYFUNCTION("""COMPUTED_VALUE"""),"Work Meals")</f>
        <v>Work Meals</v>
      </c>
      <c r="E406" s="108" t="str">
        <f t="shared" si="1"/>
        <v>May</v>
      </c>
      <c r="F406" s="79" t="str">
        <f>IFERROR(__xludf.DUMMYFUNCTION("""COMPUTED_VALUE"""),"Shaeffer")</f>
        <v>Shaeffer</v>
      </c>
    </row>
    <row r="407">
      <c r="A407" s="85">
        <f>IFERROR(__xludf.DUMMYFUNCTION("""COMPUTED_VALUE"""),45415.0)</f>
        <v>45415</v>
      </c>
      <c r="B407" s="111">
        <f>IFERROR(__xludf.DUMMYFUNCTION("""COMPUTED_VALUE"""),19.0)</f>
        <v>19</v>
      </c>
      <c r="C407" s="79" t="str">
        <f>IFERROR(__xludf.DUMMYFUNCTION("""COMPUTED_VALUE"""),"Lyft to Tiki Ti")</f>
        <v>Lyft to Tiki Ti</v>
      </c>
      <c r="D407" s="79" t="str">
        <f>IFERROR(__xludf.DUMMYFUNCTION("""COMPUTED_VALUE"""),"Travel")</f>
        <v>Travel</v>
      </c>
      <c r="E407" s="108" t="str">
        <f t="shared" si="1"/>
        <v>May</v>
      </c>
      <c r="F407" s="79" t="str">
        <f>IFERROR(__xludf.DUMMYFUNCTION("""COMPUTED_VALUE"""),"Shaeffer")</f>
        <v>Shaeffer</v>
      </c>
    </row>
    <row r="408">
      <c r="A408" s="85">
        <f>IFERROR(__xludf.DUMMYFUNCTION("""COMPUTED_VALUE"""),45415.0)</f>
        <v>45415</v>
      </c>
      <c r="B408" s="111">
        <f>IFERROR(__xludf.DUMMYFUNCTION("""COMPUTED_VALUE"""),42.0)</f>
        <v>42</v>
      </c>
      <c r="C408" s="79" t="str">
        <f>IFERROR(__xludf.DUMMYFUNCTION("""COMPUTED_VALUE"""),"Lyft home from LA trip")</f>
        <v>Lyft home from LA trip</v>
      </c>
      <c r="D408" s="79" t="str">
        <f>IFERROR(__xludf.DUMMYFUNCTION("""COMPUTED_VALUE"""),"Travel")</f>
        <v>Travel</v>
      </c>
      <c r="E408" s="108" t="str">
        <f t="shared" si="1"/>
        <v>May</v>
      </c>
      <c r="F408" s="79" t="str">
        <f>IFERROR(__xludf.DUMMYFUNCTION("""COMPUTED_VALUE"""),"Shaeffer")</f>
        <v>Shaeffer</v>
      </c>
    </row>
    <row r="409">
      <c r="A409" s="85">
        <f>IFERROR(__xludf.DUMMYFUNCTION("""COMPUTED_VALUE"""),45422.0)</f>
        <v>45422</v>
      </c>
      <c r="B409" s="111">
        <f>IFERROR(__xludf.DUMMYFUNCTION("""COMPUTED_VALUE"""),14.97)</f>
        <v>14.97</v>
      </c>
      <c r="C409" s="79" t="str">
        <f>IFERROR(__xludf.DUMMYFUNCTION("""COMPUTED_VALUE"""),"Spring Natural Foods")</f>
        <v>Spring Natural Foods</v>
      </c>
      <c r="D409" s="79" t="str">
        <f>IFERROR(__xludf.DUMMYFUNCTION("""COMPUTED_VALUE"""),"Work Meals")</f>
        <v>Work Meals</v>
      </c>
      <c r="E409" s="108" t="str">
        <f t="shared" si="1"/>
        <v>May</v>
      </c>
      <c r="F409" s="79" t="str">
        <f>IFERROR(__xludf.DUMMYFUNCTION("""COMPUTED_VALUE"""),"Shaeffer")</f>
        <v>Shaeffer</v>
      </c>
    </row>
    <row r="410">
      <c r="A410" s="85">
        <f>IFERROR(__xludf.DUMMYFUNCTION("""COMPUTED_VALUE"""),45422.0)</f>
        <v>45422</v>
      </c>
      <c r="B410" s="111">
        <f>IFERROR(__xludf.DUMMYFUNCTION("""COMPUTED_VALUE"""),32.7)</f>
        <v>32.7</v>
      </c>
      <c r="C410" s="79" t="str">
        <f>IFERROR(__xludf.DUMMYFUNCTION("""COMPUTED_VALUE"""),"Dick Blick")</f>
        <v>Dick Blick</v>
      </c>
      <c r="D410" s="79" t="str">
        <f>IFERROR(__xludf.DUMMYFUNCTION("""COMPUTED_VALUE"""),"Studio")</f>
        <v>Studio</v>
      </c>
      <c r="E410" s="108" t="str">
        <f t="shared" si="1"/>
        <v>May</v>
      </c>
      <c r="F410" s="79" t="str">
        <f>IFERROR(__xludf.DUMMYFUNCTION("""COMPUTED_VALUE"""),"Shaeffer")</f>
        <v>Shaeffer</v>
      </c>
    </row>
    <row r="411">
      <c r="A411" s="85">
        <f>IFERROR(__xludf.DUMMYFUNCTION("""COMPUTED_VALUE"""),45422.0)</f>
        <v>45422</v>
      </c>
      <c r="B411" s="111">
        <f>IFERROR(__xludf.DUMMYFUNCTION("""COMPUTED_VALUE"""),23.94)</f>
        <v>23.94</v>
      </c>
      <c r="C411" s="79" t="str">
        <f>IFERROR(__xludf.DUMMYFUNCTION("""COMPUTED_VALUE"""),"Big Tree Bottles")</f>
        <v>Big Tree Bottles</v>
      </c>
      <c r="D411" s="79" t="str">
        <f>IFERROR(__xludf.DUMMYFUNCTION("""COMPUTED_VALUE"""),"Alcohol/Weed")</f>
        <v>Alcohol/Weed</v>
      </c>
      <c r="E411" s="108" t="str">
        <f t="shared" si="1"/>
        <v>May</v>
      </c>
      <c r="F411" s="79" t="str">
        <f>IFERROR(__xludf.DUMMYFUNCTION("""COMPUTED_VALUE"""),"Shaeffer")</f>
        <v>Shaeffer</v>
      </c>
    </row>
    <row r="412">
      <c r="A412" s="85">
        <f>IFERROR(__xludf.DUMMYFUNCTION("""COMPUTED_VALUE"""),45422.0)</f>
        <v>45422</v>
      </c>
      <c r="B412" s="111">
        <f>IFERROR(__xludf.DUMMYFUNCTION("""COMPUTED_VALUE"""),27.29)</f>
        <v>27.29</v>
      </c>
      <c r="C412" s="79" t="str">
        <f>IFERROR(__xludf.DUMMYFUNCTION("""COMPUTED_VALUE"""),"I'Milky")</f>
        <v>I'Milky</v>
      </c>
      <c r="D412" s="79" t="str">
        <f>IFERROR(__xludf.DUMMYFUNCTION("""COMPUTED_VALUE"""),"Work Meals")</f>
        <v>Work Meals</v>
      </c>
      <c r="E412" s="108" t="str">
        <f t="shared" si="1"/>
        <v>May</v>
      </c>
      <c r="F412" s="79" t="str">
        <f>IFERROR(__xludf.DUMMYFUNCTION("""COMPUTED_VALUE"""),"Shaeffer")</f>
        <v>Shaeffer</v>
      </c>
    </row>
    <row r="413">
      <c r="A413" s="85">
        <f>IFERROR(__xludf.DUMMYFUNCTION("""COMPUTED_VALUE"""),45423.0)</f>
        <v>45423</v>
      </c>
      <c r="B413" s="111">
        <f>IFERROR(__xludf.DUMMYFUNCTION("""COMPUTED_VALUE"""),16.98)</f>
        <v>16.98</v>
      </c>
      <c r="C413" s="79" t="str">
        <f>IFERROR(__xludf.DUMMYFUNCTION("""COMPUTED_VALUE"""),"Gnocci on 9th")</f>
        <v>Gnocci on 9th</v>
      </c>
      <c r="D413" s="79" t="str">
        <f>IFERROR(__xludf.DUMMYFUNCTION("""COMPUTED_VALUE"""),"Work Meals")</f>
        <v>Work Meals</v>
      </c>
      <c r="E413" s="108" t="str">
        <f t="shared" si="1"/>
        <v>May</v>
      </c>
      <c r="F413" s="79" t="str">
        <f>IFERROR(__xludf.DUMMYFUNCTION("""COMPUTED_VALUE"""),"Shaeffer")</f>
        <v>Shaeffer</v>
      </c>
    </row>
    <row r="414">
      <c r="A414" s="85">
        <f>IFERROR(__xludf.DUMMYFUNCTION("""COMPUTED_VALUE"""),45423.0)</f>
        <v>45423</v>
      </c>
      <c r="B414" s="111">
        <f>IFERROR(__xludf.DUMMYFUNCTION("""COMPUTED_VALUE"""),4.99)</f>
        <v>4.99</v>
      </c>
      <c r="C414" s="79" t="str">
        <f>IFERROR(__xludf.DUMMYFUNCTION("""COMPUTED_VALUE"""),"Mr Lemon")</f>
        <v>Mr Lemon</v>
      </c>
      <c r="D414" s="79" t="str">
        <f>IFERROR(__xludf.DUMMYFUNCTION("""COMPUTED_VALUE"""),"Work Meals")</f>
        <v>Work Meals</v>
      </c>
      <c r="E414" s="108" t="str">
        <f t="shared" si="1"/>
        <v>May</v>
      </c>
      <c r="F414" s="79" t="str">
        <f>IFERROR(__xludf.DUMMYFUNCTION("""COMPUTED_VALUE"""),"Shaeffer")</f>
        <v>Shaeffer</v>
      </c>
    </row>
    <row r="415">
      <c r="A415" s="85">
        <f>IFERROR(__xludf.DUMMYFUNCTION("""COMPUTED_VALUE"""),45423.0)</f>
        <v>45423</v>
      </c>
      <c r="B415" s="111">
        <f>IFERROR(__xludf.DUMMYFUNCTION("""COMPUTED_VALUE"""),15.0)</f>
        <v>15</v>
      </c>
      <c r="C415" s="79" t="str">
        <f>IFERROR(__xludf.DUMMYFUNCTION("""COMPUTED_VALUE"""),"Knead Love")</f>
        <v>Knead Love</v>
      </c>
      <c r="D415" s="79" t="str">
        <f>IFERROR(__xludf.DUMMYFUNCTION("""COMPUTED_VALUE"""),"Work Meals")</f>
        <v>Work Meals</v>
      </c>
      <c r="E415" s="108" t="str">
        <f t="shared" si="1"/>
        <v>May</v>
      </c>
      <c r="F415" s="79" t="str">
        <f>IFERROR(__xludf.DUMMYFUNCTION("""COMPUTED_VALUE"""),"Shaeffer")</f>
        <v>Shaeffer</v>
      </c>
    </row>
    <row r="416">
      <c r="A416" s="85">
        <f>IFERROR(__xludf.DUMMYFUNCTION("""COMPUTED_VALUE"""),45423.0)</f>
        <v>45423</v>
      </c>
      <c r="B416" s="111">
        <f>IFERROR(__xludf.DUMMYFUNCTION("""COMPUTED_VALUE"""),6.0)</f>
        <v>6</v>
      </c>
      <c r="C416" s="79" t="str">
        <f>IFERROR(__xludf.DUMMYFUNCTION("""COMPUTED_VALUE"""),"Abraco")</f>
        <v>Abraco</v>
      </c>
      <c r="D416" s="79" t="str">
        <f>IFERROR(__xludf.DUMMYFUNCTION("""COMPUTED_VALUE"""),"Work Meals")</f>
        <v>Work Meals</v>
      </c>
      <c r="E416" s="108" t="str">
        <f t="shared" si="1"/>
        <v>May</v>
      </c>
      <c r="F416" s="79" t="str">
        <f>IFERROR(__xludf.DUMMYFUNCTION("""COMPUTED_VALUE"""),"Shaeffer")</f>
        <v>Shaeffer</v>
      </c>
    </row>
    <row r="417">
      <c r="A417" s="85">
        <f>IFERROR(__xludf.DUMMYFUNCTION("""COMPUTED_VALUE"""),45422.0)</f>
        <v>45422</v>
      </c>
      <c r="B417" s="111">
        <f>IFERROR(__xludf.DUMMYFUNCTION("""COMPUTED_VALUE"""),7.0)</f>
        <v>7</v>
      </c>
      <c r="C417" s="79" t="str">
        <f>IFERROR(__xludf.DUMMYFUNCTION("""COMPUTED_VALUE"""),"Abraco")</f>
        <v>Abraco</v>
      </c>
      <c r="D417" s="79" t="str">
        <f>IFERROR(__xludf.DUMMYFUNCTION("""COMPUTED_VALUE"""),"Work Meals")</f>
        <v>Work Meals</v>
      </c>
      <c r="E417" s="108" t="str">
        <f t="shared" si="1"/>
        <v>May</v>
      </c>
      <c r="F417" s="79" t="str">
        <f>IFERROR(__xludf.DUMMYFUNCTION("""COMPUTED_VALUE"""),"Shaeffer")</f>
        <v>Shaeffer</v>
      </c>
    </row>
    <row r="418">
      <c r="A418" s="85">
        <f>IFERROR(__xludf.DUMMYFUNCTION("""COMPUTED_VALUE"""),45423.0)</f>
        <v>45423</v>
      </c>
      <c r="B418" s="111">
        <f>IFERROR(__xludf.DUMMYFUNCTION("""COMPUTED_VALUE"""),14.96)</f>
        <v>14.96</v>
      </c>
      <c r="C418" s="79" t="str">
        <f>IFERROR(__xludf.DUMMYFUNCTION("""COMPUTED_VALUE"""),"L'Mo/MrLemon")</f>
        <v>L'Mo/MrLemon</v>
      </c>
      <c r="D418" s="79" t="str">
        <f>IFERROR(__xludf.DUMMYFUNCTION("""COMPUTED_VALUE"""),"Work Meals")</f>
        <v>Work Meals</v>
      </c>
      <c r="E418" s="108" t="str">
        <f t="shared" si="1"/>
        <v>May</v>
      </c>
      <c r="F418" s="79" t="str">
        <f>IFERROR(__xludf.DUMMYFUNCTION("""COMPUTED_VALUE"""),"Shaeffer")</f>
        <v>Shaeffer</v>
      </c>
    </row>
    <row r="419">
      <c r="A419" s="85">
        <f>IFERROR(__xludf.DUMMYFUNCTION("""COMPUTED_VALUE"""),45427.0)</f>
        <v>45427</v>
      </c>
      <c r="B419" s="111">
        <f>IFERROR(__xludf.DUMMYFUNCTION("""COMPUTED_VALUE"""),11.42)</f>
        <v>11.42</v>
      </c>
      <c r="C419" s="79" t="str">
        <f>IFERROR(__xludf.DUMMYFUNCTION("""COMPUTED_VALUE"""),"WF lunch")</f>
        <v>WF lunch</v>
      </c>
      <c r="D419" s="79" t="str">
        <f>IFERROR(__xludf.DUMMYFUNCTION("""COMPUTED_VALUE"""),"Work Meals")</f>
        <v>Work Meals</v>
      </c>
      <c r="E419" s="108" t="str">
        <f t="shared" si="1"/>
        <v>May</v>
      </c>
      <c r="F419" s="79" t="str">
        <f>IFERROR(__xludf.DUMMYFUNCTION("""COMPUTED_VALUE"""),"Shaeffer")</f>
        <v>Shaeffer</v>
      </c>
    </row>
    <row r="420">
      <c r="A420" s="85">
        <f>IFERROR(__xludf.DUMMYFUNCTION("""COMPUTED_VALUE"""),45427.0)</f>
        <v>45427</v>
      </c>
      <c r="B420" s="111">
        <f>IFERROR(__xludf.DUMMYFUNCTION("""COMPUTED_VALUE"""),119.0)</f>
        <v>119</v>
      </c>
      <c r="C420" s="79" t="str">
        <f>IFERROR(__xludf.DUMMYFUNCTION("""COMPUTED_VALUE"""),"YMCA")</f>
        <v>YMCA</v>
      </c>
      <c r="D420" s="79" t="str">
        <f>IFERROR(__xludf.DUMMYFUNCTION("""COMPUTED_VALUE"""),"Gym")</f>
        <v>Gym</v>
      </c>
      <c r="E420" s="108" t="str">
        <f t="shared" si="1"/>
        <v>May</v>
      </c>
      <c r="F420" s="79" t="str">
        <f>IFERROR(__xludf.DUMMYFUNCTION("""COMPUTED_VALUE"""),"Shaeffer")</f>
        <v>Shaeffer</v>
      </c>
    </row>
    <row r="421">
      <c r="A421" s="85">
        <f>IFERROR(__xludf.DUMMYFUNCTION("""COMPUTED_VALUE"""),45429.0)</f>
        <v>45429</v>
      </c>
      <c r="B421" s="111">
        <f>IFERROR(__xludf.DUMMYFUNCTION("""COMPUTED_VALUE"""),5.66)</f>
        <v>5.66</v>
      </c>
      <c r="C421" s="79" t="str">
        <f>IFERROR(__xludf.DUMMYFUNCTION("""COMPUTED_VALUE"""),"lyft")</f>
        <v>lyft</v>
      </c>
      <c r="D421" s="79" t="str">
        <f>IFERROR(__xludf.DUMMYFUNCTION("""COMPUTED_VALUE"""),"Transportation")</f>
        <v>Transportation</v>
      </c>
      <c r="E421" s="108" t="str">
        <f t="shared" si="1"/>
        <v>May</v>
      </c>
      <c r="F421" s="79" t="str">
        <f>IFERROR(__xludf.DUMMYFUNCTION("""COMPUTED_VALUE"""),"Shaeffer")</f>
        <v>Shaeffer</v>
      </c>
    </row>
    <row r="422">
      <c r="A422" s="85">
        <f>IFERROR(__xludf.DUMMYFUNCTION("""COMPUTED_VALUE"""),45433.0)</f>
        <v>45433</v>
      </c>
      <c r="B422" s="111">
        <f>IFERROR(__xludf.DUMMYFUNCTION("""COMPUTED_VALUE"""),30.93)</f>
        <v>30.93</v>
      </c>
      <c r="C422" s="79" t="str">
        <f>IFERROR(__xludf.DUMMYFUNCTION("""COMPUTED_VALUE"""),"Animal")</f>
        <v>Animal</v>
      </c>
      <c r="D422" s="79" t="str">
        <f>IFERROR(__xludf.DUMMYFUNCTION("""COMPUTED_VALUE"""),"Alcohol/Weed")</f>
        <v>Alcohol/Weed</v>
      </c>
      <c r="E422" s="108" t="str">
        <f t="shared" si="1"/>
        <v>May</v>
      </c>
      <c r="F422" s="79" t="str">
        <f>IFERROR(__xludf.DUMMYFUNCTION("""COMPUTED_VALUE"""),"Shaeffer")</f>
        <v>Shaeffer</v>
      </c>
    </row>
    <row r="423">
      <c r="A423" s="85">
        <f>IFERROR(__xludf.DUMMYFUNCTION("""COMPUTED_VALUE"""),45435.0)</f>
        <v>45435</v>
      </c>
      <c r="B423" s="111">
        <f>IFERROR(__xludf.DUMMYFUNCTION("""COMPUTED_VALUE"""),5.43)</f>
        <v>5.43</v>
      </c>
      <c r="C423" s="79" t="str">
        <f>IFERROR(__xludf.DUMMYFUNCTION("""COMPUTED_VALUE"""),"flatiron wines")</f>
        <v>flatiron wines</v>
      </c>
      <c r="D423" s="79" t="str">
        <f>IFERROR(__xludf.DUMMYFUNCTION("""COMPUTED_VALUE"""),"Alcohol/Weed")</f>
        <v>Alcohol/Weed</v>
      </c>
      <c r="E423" s="108" t="str">
        <f t="shared" si="1"/>
        <v>May</v>
      </c>
      <c r="F423" s="79" t="str">
        <f>IFERROR(__xludf.DUMMYFUNCTION("""COMPUTED_VALUE"""),"Shaeffer")</f>
        <v>Shaeffer</v>
      </c>
    </row>
    <row r="424">
      <c r="A424" s="85">
        <f>IFERROR(__xludf.DUMMYFUNCTION("""COMPUTED_VALUE"""),45436.0)</f>
        <v>45436</v>
      </c>
      <c r="B424" s="111">
        <f>IFERROR(__xludf.DUMMYFUNCTION("""COMPUTED_VALUE"""),8.08)</f>
        <v>8.08</v>
      </c>
      <c r="C424" s="79" t="str">
        <f>IFERROR(__xludf.DUMMYFUNCTION("""COMPUTED_VALUE"""),"Strange Flavor Burge")</f>
        <v>Strange Flavor Burge</v>
      </c>
      <c r="D424" s="79" t="str">
        <f>IFERROR(__xludf.DUMMYFUNCTION("""COMPUTED_VALUE"""),"Work Meals")</f>
        <v>Work Meals</v>
      </c>
      <c r="E424" s="108" t="str">
        <f t="shared" si="1"/>
        <v>May</v>
      </c>
      <c r="F424" s="79" t="str">
        <f>IFERROR(__xludf.DUMMYFUNCTION("""COMPUTED_VALUE"""),"Shaeffer")</f>
        <v>Shaeffer</v>
      </c>
    </row>
    <row r="425">
      <c r="A425" s="85">
        <f>IFERROR(__xludf.DUMMYFUNCTION("""COMPUTED_VALUE"""),45436.0)</f>
        <v>45436</v>
      </c>
      <c r="B425" s="111">
        <f>IFERROR(__xludf.DUMMYFUNCTION("""COMPUTED_VALUE"""),68.41)</f>
        <v>68.41</v>
      </c>
      <c r="C425" s="79" t="str">
        <f>IFERROR(__xludf.DUMMYFUNCTION("""COMPUTED_VALUE"""),"Holiday Cocktail Lounge")</f>
        <v>Holiday Cocktail Lounge</v>
      </c>
      <c r="D425" s="79" t="str">
        <f>IFERROR(__xludf.DUMMYFUNCTION("""COMPUTED_VALUE"""),"Work Meals")</f>
        <v>Work Meals</v>
      </c>
      <c r="E425" s="108" t="str">
        <f t="shared" si="1"/>
        <v>May</v>
      </c>
      <c r="F425" s="79" t="str">
        <f>IFERROR(__xludf.DUMMYFUNCTION("""COMPUTED_VALUE"""),"Shaeffer")</f>
        <v>Shaeffer</v>
      </c>
    </row>
    <row r="426">
      <c r="A426" s="85">
        <f>IFERROR(__xludf.DUMMYFUNCTION("""COMPUTED_VALUE"""),45437.0)</f>
        <v>45437</v>
      </c>
      <c r="B426" s="111">
        <f>IFERROR(__xludf.DUMMYFUNCTION("""COMPUTED_VALUE"""),5.48)</f>
        <v>5.48</v>
      </c>
      <c r="C426" s="79" t="str">
        <f>IFERROR(__xludf.DUMMYFUNCTION("""COMPUTED_VALUE"""),"Bklyn Natural")</f>
        <v>Bklyn Natural</v>
      </c>
      <c r="D426" s="79" t="str">
        <f>IFERROR(__xludf.DUMMYFUNCTION("""COMPUTED_VALUE"""),"Work Meals")</f>
        <v>Work Meals</v>
      </c>
      <c r="E426" s="108" t="str">
        <f t="shared" si="1"/>
        <v>May</v>
      </c>
      <c r="F426" s="79" t="str">
        <f>IFERROR(__xludf.DUMMYFUNCTION("""COMPUTED_VALUE"""),"Shaeffer")</f>
        <v>Shaeffer</v>
      </c>
    </row>
    <row r="427">
      <c r="A427" s="85">
        <f>IFERROR(__xludf.DUMMYFUNCTION("""COMPUTED_VALUE"""),45438.0)</f>
        <v>45438</v>
      </c>
      <c r="B427" s="111">
        <f>IFERROR(__xludf.DUMMYFUNCTION("""COMPUTED_VALUE"""),3.05)</f>
        <v>3.05</v>
      </c>
      <c r="C427" s="79" t="str">
        <f>IFERROR(__xludf.DUMMYFUNCTION("""COMPUTED_VALUE"""),"Lyft")</f>
        <v>Lyft</v>
      </c>
      <c r="D427" s="79" t="str">
        <f>IFERROR(__xludf.DUMMYFUNCTION("""COMPUTED_VALUE"""),"Transportation")</f>
        <v>Transportation</v>
      </c>
      <c r="E427" s="108" t="str">
        <f t="shared" si="1"/>
        <v>May</v>
      </c>
      <c r="F427" s="79" t="str">
        <f>IFERROR(__xludf.DUMMYFUNCTION("""COMPUTED_VALUE"""),"Shaeffer")</f>
        <v>Shaeffer</v>
      </c>
    </row>
    <row r="428">
      <c r="A428" s="85">
        <f>IFERROR(__xludf.DUMMYFUNCTION("""COMPUTED_VALUE"""),45438.0)</f>
        <v>45438</v>
      </c>
      <c r="B428" s="111">
        <f>IFERROR(__xludf.DUMMYFUNCTION("""COMPUTED_VALUE"""),12.45)</f>
        <v>12.45</v>
      </c>
      <c r="C428" s="79" t="str">
        <f>IFERROR(__xludf.DUMMYFUNCTION("""COMPUTED_VALUE"""),"Van Leeuwen")</f>
        <v>Van Leeuwen</v>
      </c>
      <c r="D428" s="79" t="str">
        <f>IFERROR(__xludf.DUMMYFUNCTION("""COMPUTED_VALUE"""),"Work Meals")</f>
        <v>Work Meals</v>
      </c>
      <c r="E428" s="108" t="str">
        <f t="shared" si="1"/>
        <v>May</v>
      </c>
      <c r="F428" s="79" t="str">
        <f>IFERROR(__xludf.DUMMYFUNCTION("""COMPUTED_VALUE"""),"Shaeffer")</f>
        <v>Shaeffer</v>
      </c>
    </row>
    <row r="429">
      <c r="A429" s="85">
        <f>IFERROR(__xludf.DUMMYFUNCTION("""COMPUTED_VALUE"""),45441.0)</f>
        <v>45441</v>
      </c>
      <c r="B429" s="111">
        <f>IFERROR(__xludf.DUMMYFUNCTION("""COMPUTED_VALUE"""),15.8)</f>
        <v>15.8</v>
      </c>
      <c r="C429" s="79" t="str">
        <f>IFERROR(__xludf.DUMMYFUNCTION("""COMPUTED_VALUE"""),"MeShopXUSD")</f>
        <v>MeShopXUSD</v>
      </c>
      <c r="D429" s="79" t="str">
        <f>IFERROR(__xludf.DUMMYFUNCTION("""COMPUTED_VALUE"""),"Studio")</f>
        <v>Studio</v>
      </c>
      <c r="E429" s="108" t="str">
        <f t="shared" si="1"/>
        <v>May</v>
      </c>
      <c r="F429" s="79" t="str">
        <f>IFERROR(__xludf.DUMMYFUNCTION("""COMPUTED_VALUE"""),"Shaeffer")</f>
        <v>Shaeffer</v>
      </c>
    </row>
    <row r="430">
      <c r="A430" s="85">
        <f>IFERROR(__xludf.DUMMYFUNCTION("""COMPUTED_VALUE"""),45442.0)</f>
        <v>45442</v>
      </c>
      <c r="B430" s="111">
        <f>IFERROR(__xludf.DUMMYFUNCTION("""COMPUTED_VALUE"""),5.8)</f>
        <v>5.8</v>
      </c>
      <c r="C430" s="79" t="str">
        <f>IFERROR(__xludf.DUMMYFUNCTION("""COMPUTED_VALUE"""),"MTA")</f>
        <v>MTA</v>
      </c>
      <c r="D430" s="79" t="str">
        <f>IFERROR(__xludf.DUMMYFUNCTION("""COMPUTED_VALUE"""),"Transportation")</f>
        <v>Transportation</v>
      </c>
      <c r="E430" s="108" t="str">
        <f t="shared" si="1"/>
        <v>May</v>
      </c>
      <c r="F430" s="79" t="str">
        <f>IFERROR(__xludf.DUMMYFUNCTION("""COMPUTED_VALUE"""),"Gil")</f>
        <v>Gil</v>
      </c>
    </row>
    <row r="431">
      <c r="A431" s="85">
        <f>IFERROR(__xludf.DUMMYFUNCTION("""COMPUTED_VALUE"""),45443.0)</f>
        <v>45443</v>
      </c>
      <c r="B431" s="111">
        <f>IFERROR(__xludf.DUMMYFUNCTION("""COMPUTED_VALUE"""),21.29)</f>
        <v>21.29</v>
      </c>
      <c r="C431" s="79" t="str">
        <f>IFERROR(__xludf.DUMMYFUNCTION("""COMPUTED_VALUE"""),"Uber to CCC")</f>
        <v>Uber to CCC</v>
      </c>
      <c r="D431" s="79" t="str">
        <f>IFERROR(__xludf.DUMMYFUNCTION("""COMPUTED_VALUE"""),"Transportation")</f>
        <v>Transportation</v>
      </c>
      <c r="E431" s="108" t="str">
        <f t="shared" si="1"/>
        <v>May</v>
      </c>
      <c r="F431" s="79" t="str">
        <f>IFERROR(__xludf.DUMMYFUNCTION("""COMPUTED_VALUE"""),"Gil")</f>
        <v>Gil</v>
      </c>
    </row>
    <row r="432">
      <c r="A432" s="85">
        <f>IFERROR(__xludf.DUMMYFUNCTION("""COMPUTED_VALUE"""),45444.0)</f>
        <v>45444</v>
      </c>
      <c r="B432" s="111">
        <f>IFERROR(__xludf.DUMMYFUNCTION("""COMPUTED_VALUE"""),28.75)</f>
        <v>28.75</v>
      </c>
      <c r="C432" s="79" t="str">
        <f>IFERROR(__xludf.DUMMYFUNCTION("""COMPUTED_VALUE"""),"Takarashi")</f>
        <v>Takarashi</v>
      </c>
      <c r="D432" s="79" t="str">
        <f>IFERROR(__xludf.DUMMYFUNCTION("""COMPUTED_VALUE"""),"Work Meals")</f>
        <v>Work Meals</v>
      </c>
      <c r="E432" s="108" t="str">
        <f t="shared" si="1"/>
        <v>Jun</v>
      </c>
      <c r="F432" s="79" t="str">
        <f>IFERROR(__xludf.DUMMYFUNCTION("""COMPUTED_VALUE"""),"Shaeffer")</f>
        <v>Shaeffer</v>
      </c>
    </row>
    <row r="433">
      <c r="A433" s="85">
        <f>IFERROR(__xludf.DUMMYFUNCTION("""COMPUTED_VALUE"""),45443.0)</f>
        <v>45443</v>
      </c>
      <c r="B433" s="111">
        <f>IFERROR(__xludf.DUMMYFUNCTION("""COMPUTED_VALUE"""),136.8)</f>
        <v>136.8</v>
      </c>
      <c r="C433" s="79" t="str">
        <f>IFERROR(__xludf.DUMMYFUNCTION("""COMPUTED_VALUE"""),"Discover - MTA")</f>
        <v>Discover - MTA</v>
      </c>
      <c r="D433" s="79" t="str">
        <f>IFERROR(__xludf.DUMMYFUNCTION("""COMPUTED_VALUE"""),"Transportation")</f>
        <v>Transportation</v>
      </c>
      <c r="E433" s="108" t="str">
        <f t="shared" si="1"/>
        <v>May</v>
      </c>
      <c r="F433" s="79" t="str">
        <f>IFERROR(__xludf.DUMMYFUNCTION("""COMPUTED_VALUE"""),"Gil")</f>
        <v>Gil</v>
      </c>
    </row>
    <row r="434">
      <c r="A434" s="85">
        <f>IFERROR(__xludf.DUMMYFUNCTION("""COMPUTED_VALUE"""),45444.0)</f>
        <v>45444</v>
      </c>
      <c r="B434" s="111">
        <f>IFERROR(__xludf.DUMMYFUNCTION("""COMPUTED_VALUE"""),331.25)</f>
        <v>331.25</v>
      </c>
      <c r="C434" s="79" t="str">
        <f>IFERROR(__xludf.DUMMYFUNCTION("""COMPUTED_VALUE"""),"236 Moore St. #38")</f>
        <v>236 Moore St. #38</v>
      </c>
      <c r="D434" s="79" t="str">
        <f>IFERROR(__xludf.DUMMYFUNCTION("""COMPUTED_VALUE"""),"Storage")</f>
        <v>Storage</v>
      </c>
      <c r="E434" s="108" t="str">
        <f t="shared" si="1"/>
        <v>Jun</v>
      </c>
      <c r="F434" s="79" t="str">
        <f>IFERROR(__xludf.DUMMYFUNCTION("""COMPUTED_VALUE"""),"Gil")</f>
        <v>Gil</v>
      </c>
    </row>
    <row r="435">
      <c r="A435" s="85">
        <f>IFERROR(__xludf.DUMMYFUNCTION("""COMPUTED_VALUE"""),45453.0)</f>
        <v>45453</v>
      </c>
      <c r="B435" s="111">
        <f>IFERROR(__xludf.DUMMYFUNCTION("""COMPUTED_VALUE"""),13.05)</f>
        <v>13.05</v>
      </c>
      <c r="C435" s="79" t="str">
        <f>IFERROR(__xludf.DUMMYFUNCTION("""COMPUTED_VALUE"""),"Amazon - Charging Cable")</f>
        <v>Amazon - Charging Cable</v>
      </c>
      <c r="D435" s="79" t="str">
        <f>IFERROR(__xludf.DUMMYFUNCTION("""COMPUTED_VALUE"""),"Personal")</f>
        <v>Personal</v>
      </c>
      <c r="E435" s="108" t="str">
        <f t="shared" si="1"/>
        <v>Jun</v>
      </c>
      <c r="F435" s="79" t="str">
        <f>IFERROR(__xludf.DUMMYFUNCTION("""COMPUTED_VALUE"""),"Gil")</f>
        <v>Gil</v>
      </c>
    </row>
    <row r="436">
      <c r="A436" s="85">
        <f>IFERROR(__xludf.DUMMYFUNCTION("""COMPUTED_VALUE"""),45444.0)</f>
        <v>45444</v>
      </c>
      <c r="B436" s="111">
        <f>IFERROR(__xludf.DUMMYFUNCTION("""COMPUTED_VALUE"""),57.75)</f>
        <v>57.75</v>
      </c>
      <c r="C436" s="79" t="str">
        <f>IFERROR(__xludf.DUMMYFUNCTION("""COMPUTED_VALUE"""),"Amazon S&amp;S - Avene Eau Thermale")</f>
        <v>Amazon S&amp;S - Avene Eau Thermale</v>
      </c>
      <c r="D436" s="79" t="str">
        <f>IFERROR(__xludf.DUMMYFUNCTION("""COMPUTED_VALUE"""),"Personal")</f>
        <v>Personal</v>
      </c>
      <c r="E436" s="108" t="str">
        <f t="shared" si="1"/>
        <v>Jun</v>
      </c>
      <c r="F436" s="79" t="str">
        <f>IFERROR(__xludf.DUMMYFUNCTION("""COMPUTED_VALUE"""),"Gil")</f>
        <v>Gil</v>
      </c>
    </row>
    <row r="437">
      <c r="A437" s="85">
        <f>IFERROR(__xludf.DUMMYFUNCTION("""COMPUTED_VALUE"""),45444.0)</f>
        <v>45444</v>
      </c>
      <c r="B437" s="111">
        <f>IFERROR(__xludf.DUMMYFUNCTION("""COMPUTED_VALUE"""),38.87)</f>
        <v>38.87</v>
      </c>
      <c r="C437" s="79" t="str">
        <f>IFERROR(__xludf.DUMMYFUNCTION("""COMPUTED_VALUE"""),"Amazon S&amp;S - MD Solar Sciences")</f>
        <v>Amazon S&amp;S - MD Solar Sciences</v>
      </c>
      <c r="D437" s="79" t="str">
        <f>IFERROR(__xludf.DUMMYFUNCTION("""COMPUTED_VALUE"""),"Personal")</f>
        <v>Personal</v>
      </c>
      <c r="E437" s="108" t="str">
        <f t="shared" si="1"/>
        <v>Jun</v>
      </c>
      <c r="F437" s="79" t="str">
        <f>IFERROR(__xludf.DUMMYFUNCTION("""COMPUTED_VALUE"""),"Gil")</f>
        <v>Gil</v>
      </c>
    </row>
    <row r="438">
      <c r="A438" s="85">
        <f>IFERROR(__xludf.DUMMYFUNCTION("""COMPUTED_VALUE"""),45444.0)</f>
        <v>45444</v>
      </c>
      <c r="B438" s="111">
        <f>IFERROR(__xludf.DUMMYFUNCTION("""COMPUTED_VALUE"""),7.69)</f>
        <v>7.69</v>
      </c>
      <c r="C438" s="79" t="str">
        <f>IFERROR(__xludf.DUMMYFUNCTION("""COMPUTED_VALUE"""),"Amazon - Compound W")</f>
        <v>Amazon - Compound W</v>
      </c>
      <c r="D438" s="79" t="str">
        <f>IFERROR(__xludf.DUMMYFUNCTION("""COMPUTED_VALUE"""),"Personal")</f>
        <v>Personal</v>
      </c>
      <c r="E438" s="108" t="str">
        <f t="shared" si="1"/>
        <v>Jun</v>
      </c>
      <c r="F438" s="79" t="str">
        <f>IFERROR(__xludf.DUMMYFUNCTION("""COMPUTED_VALUE"""),"Gil")</f>
        <v>Gil</v>
      </c>
    </row>
    <row r="439">
      <c r="A439" s="85">
        <f>IFERROR(__xludf.DUMMYFUNCTION("""COMPUTED_VALUE"""),45445.0)</f>
        <v>45445</v>
      </c>
      <c r="B439" s="111">
        <f>IFERROR(__xludf.DUMMYFUNCTION("""COMPUTED_VALUE"""),20.0)</f>
        <v>20</v>
      </c>
      <c r="C439" s="79" t="str">
        <f>IFERROR(__xludf.DUMMYFUNCTION("""COMPUTED_VALUE"""),"Wine")</f>
        <v>Wine</v>
      </c>
      <c r="D439" s="79" t="str">
        <f>IFERROR(__xludf.DUMMYFUNCTION("""COMPUTED_VALUE"""),"Alcohol/Weed")</f>
        <v>Alcohol/Weed</v>
      </c>
      <c r="E439" s="108" t="str">
        <f t="shared" si="1"/>
        <v>Jun</v>
      </c>
      <c r="F439" s="79" t="str">
        <f>IFERROR(__xludf.DUMMYFUNCTION("""COMPUTED_VALUE"""),"Shaeffer")</f>
        <v>Shaeffer</v>
      </c>
    </row>
    <row r="440">
      <c r="A440" s="85">
        <f>IFERROR(__xludf.DUMMYFUNCTION("""COMPUTED_VALUE"""),45448.0)</f>
        <v>45448</v>
      </c>
      <c r="B440" s="111">
        <f>IFERROR(__xludf.DUMMYFUNCTION("""COMPUTED_VALUE"""),29.02)</f>
        <v>29.02</v>
      </c>
      <c r="C440" s="79" t="str">
        <f>IFERROR(__xludf.DUMMYFUNCTION("""COMPUTED_VALUE"""),"Dick Blick")</f>
        <v>Dick Blick</v>
      </c>
      <c r="D440" s="79" t="str">
        <f>IFERROR(__xludf.DUMMYFUNCTION("""COMPUTED_VALUE"""),"Studio")</f>
        <v>Studio</v>
      </c>
      <c r="E440" s="108" t="str">
        <f t="shared" si="1"/>
        <v>Jun</v>
      </c>
      <c r="F440" s="79" t="str">
        <f>IFERROR(__xludf.DUMMYFUNCTION("""COMPUTED_VALUE"""),"Shaeffer")</f>
        <v>Shaeffer</v>
      </c>
    </row>
    <row r="441">
      <c r="A441" s="85">
        <f>IFERROR(__xludf.DUMMYFUNCTION("""COMPUTED_VALUE"""),45449.0)</f>
        <v>45449</v>
      </c>
      <c r="B441" s="111">
        <f>IFERROR(__xludf.DUMMYFUNCTION("""COMPUTED_VALUE"""),45.0)</f>
        <v>45</v>
      </c>
      <c r="C441" s="79" t="str">
        <f>IFERROR(__xludf.DUMMYFUNCTION("""COMPUTED_VALUE"""),"Yoga - face workshop")</f>
        <v>Yoga - face workshop</v>
      </c>
      <c r="D441" s="79" t="str">
        <f>IFERROR(__xludf.DUMMYFUNCTION("""COMPUTED_VALUE"""),"Personal")</f>
        <v>Personal</v>
      </c>
      <c r="E441" s="108" t="str">
        <f t="shared" si="1"/>
        <v>Jun</v>
      </c>
      <c r="F441" s="79" t="str">
        <f>IFERROR(__xludf.DUMMYFUNCTION("""COMPUTED_VALUE"""),"Shaeffer")</f>
        <v>Shaeffer</v>
      </c>
    </row>
    <row r="442">
      <c r="A442" s="85">
        <f>IFERROR(__xludf.DUMMYFUNCTION("""COMPUTED_VALUE"""),45449.0)</f>
        <v>45449</v>
      </c>
      <c r="B442" s="111">
        <f>IFERROR(__xludf.DUMMYFUNCTION("""COMPUTED_VALUE"""),5.36)</f>
        <v>5.36</v>
      </c>
      <c r="C442" s="79" t="str">
        <f>IFERROR(__xludf.DUMMYFUNCTION("""COMPUTED_VALUE"""),"Foreigner coffee")</f>
        <v>Foreigner coffee</v>
      </c>
      <c r="D442" s="79" t="str">
        <f>IFERROR(__xludf.DUMMYFUNCTION("""COMPUTED_VALUE"""),"Work Meals")</f>
        <v>Work Meals</v>
      </c>
      <c r="E442" s="108" t="str">
        <f t="shared" si="1"/>
        <v>Jun</v>
      </c>
      <c r="F442" s="79" t="str">
        <f>IFERROR(__xludf.DUMMYFUNCTION("""COMPUTED_VALUE"""),"Shaeffer")</f>
        <v>Shaeffer</v>
      </c>
    </row>
    <row r="443">
      <c r="A443" s="85">
        <f>IFERROR(__xludf.DUMMYFUNCTION("""COMPUTED_VALUE"""),45450.0)</f>
        <v>45450</v>
      </c>
      <c r="B443" s="111">
        <f>IFERROR(__xludf.DUMMYFUNCTION("""COMPUTED_VALUE"""),375.0)</f>
        <v>375</v>
      </c>
      <c r="C443" s="79" t="str">
        <f>IFERROR(__xludf.DUMMYFUNCTION("""COMPUTED_VALUE"""),"June Studio Rent")</f>
        <v>June Studio Rent</v>
      </c>
      <c r="D443" s="79" t="str">
        <f>IFERROR(__xludf.DUMMYFUNCTION("""COMPUTED_VALUE"""),"Studio")</f>
        <v>Studio</v>
      </c>
      <c r="E443" s="108" t="str">
        <f t="shared" si="1"/>
        <v>Jun</v>
      </c>
      <c r="F443" s="79" t="str">
        <f>IFERROR(__xludf.DUMMYFUNCTION("""COMPUTED_VALUE"""),"Shaeffer")</f>
        <v>Shaeffer</v>
      </c>
    </row>
    <row r="444">
      <c r="A444" s="85">
        <f>IFERROR(__xludf.DUMMYFUNCTION("""COMPUTED_VALUE"""),45450.0)</f>
        <v>45450</v>
      </c>
      <c r="B444" s="111">
        <f>IFERROR(__xludf.DUMMYFUNCTION("""COMPUTED_VALUE"""),14.1)</f>
        <v>14.1</v>
      </c>
      <c r="C444" s="79" t="str">
        <f>IFERROR(__xludf.DUMMYFUNCTION("""COMPUTED_VALUE"""),"REI")</f>
        <v>REI</v>
      </c>
      <c r="D444" s="79" t="str">
        <f>IFERROR(__xludf.DUMMYFUNCTION("""COMPUTED_VALUE"""),"Personal")</f>
        <v>Personal</v>
      </c>
      <c r="E444" s="108" t="str">
        <f t="shared" si="1"/>
        <v>Jun</v>
      </c>
      <c r="F444" s="79" t="str">
        <f>IFERROR(__xludf.DUMMYFUNCTION("""COMPUTED_VALUE"""),"Gil")</f>
        <v>Gil</v>
      </c>
    </row>
    <row r="445">
      <c r="A445" s="85">
        <f>IFERROR(__xludf.DUMMYFUNCTION("""COMPUTED_VALUE"""),45451.0)</f>
        <v>45451</v>
      </c>
      <c r="B445" s="111">
        <f>IFERROR(__xludf.DUMMYFUNCTION("""COMPUTED_VALUE"""),14.68)</f>
        <v>14.68</v>
      </c>
      <c r="C445" s="79" t="str">
        <f>IFERROR(__xludf.DUMMYFUNCTION("""COMPUTED_VALUE"""),"Studio kitchen")</f>
        <v>Studio kitchen</v>
      </c>
      <c r="D445" s="79" t="str">
        <f>IFERROR(__xludf.DUMMYFUNCTION("""COMPUTED_VALUE"""),"Studio")</f>
        <v>Studio</v>
      </c>
      <c r="E445" s="108" t="str">
        <f t="shared" si="1"/>
        <v>Jun</v>
      </c>
      <c r="F445" s="79" t="str">
        <f>IFERROR(__xludf.DUMMYFUNCTION("""COMPUTED_VALUE"""),"Shaeffer")</f>
        <v>Shaeffer</v>
      </c>
    </row>
    <row r="446">
      <c r="A446" s="85">
        <f>IFERROR(__xludf.DUMMYFUNCTION("""COMPUTED_VALUE"""),45453.0)</f>
        <v>45453</v>
      </c>
      <c r="B446" s="111">
        <f>IFERROR(__xludf.DUMMYFUNCTION("""COMPUTED_VALUE"""),40.0)</f>
        <v>40</v>
      </c>
      <c r="C446" s="79" t="str">
        <f>IFERROR(__xludf.DUMMYFUNCTION("""COMPUTED_VALUE"""),"Altreno")</f>
        <v>Altreno</v>
      </c>
      <c r="D446" s="79" t="str">
        <f>IFERROR(__xludf.DUMMYFUNCTION("""COMPUTED_VALUE"""),"Personal")</f>
        <v>Personal</v>
      </c>
      <c r="E446" s="108" t="str">
        <f t="shared" si="1"/>
        <v>Jun</v>
      </c>
      <c r="F446" s="79" t="str">
        <f>IFERROR(__xludf.DUMMYFUNCTION("""COMPUTED_VALUE"""),"Gil")</f>
        <v>Gil</v>
      </c>
    </row>
    <row r="447">
      <c r="A447" s="85">
        <f>IFERROR(__xludf.DUMMYFUNCTION("""COMPUTED_VALUE"""),45455.0)</f>
        <v>45455</v>
      </c>
      <c r="B447" s="111">
        <f>IFERROR(__xludf.DUMMYFUNCTION("""COMPUTED_VALUE"""),10.8)</f>
        <v>10.8</v>
      </c>
      <c r="C447" s="79" t="str">
        <f>IFERROR(__xludf.DUMMYFUNCTION("""COMPUTED_VALUE"""),"Lucia of Soho")</f>
        <v>Lucia of Soho</v>
      </c>
      <c r="D447" s="79" t="str">
        <f>IFERROR(__xludf.DUMMYFUNCTION("""COMPUTED_VALUE"""),"Meals")</f>
        <v>Meals</v>
      </c>
      <c r="E447" s="108" t="str">
        <f t="shared" si="1"/>
        <v>Jun</v>
      </c>
      <c r="F447" s="79" t="str">
        <f>IFERROR(__xludf.DUMMYFUNCTION("""COMPUTED_VALUE"""),"Gil")</f>
        <v>Gil</v>
      </c>
    </row>
    <row r="448">
      <c r="A448" s="85">
        <f>IFERROR(__xludf.DUMMYFUNCTION("""COMPUTED_VALUE"""),45450.0)</f>
        <v>45450</v>
      </c>
      <c r="B448" s="111">
        <f>IFERROR(__xludf.DUMMYFUNCTION("""COMPUTED_VALUE"""),226.11)</f>
        <v>226.11</v>
      </c>
      <c r="C448" s="79" t="str">
        <f>IFERROR(__xludf.DUMMYFUNCTION("""COMPUTED_VALUE"""),"323 annual insurance ")</f>
        <v>323 annual insurance </v>
      </c>
      <c r="D448" s="79" t="str">
        <f>IFERROR(__xludf.DUMMYFUNCTION("""COMPUTED_VALUE"""),"Studio")</f>
        <v>Studio</v>
      </c>
      <c r="E448" s="108" t="str">
        <f t="shared" si="1"/>
        <v>Jun</v>
      </c>
      <c r="F448" s="79" t="str">
        <f>IFERROR(__xludf.DUMMYFUNCTION("""COMPUTED_VALUE"""),"Shaeffer")</f>
        <v>Shaeffer</v>
      </c>
    </row>
    <row r="449">
      <c r="A449" s="85">
        <f>IFERROR(__xludf.DUMMYFUNCTION("""COMPUTED_VALUE"""),45455.0)</f>
        <v>45455</v>
      </c>
      <c r="B449" s="111">
        <f>IFERROR(__xludf.DUMMYFUNCTION("""COMPUTED_VALUE"""),24.42)</f>
        <v>24.42</v>
      </c>
      <c r="C449" s="79" t="str">
        <f>IFERROR(__xludf.DUMMYFUNCTION("""COMPUTED_VALUE"""),"eBay - gramma necklace")</f>
        <v>eBay - gramma necklace</v>
      </c>
      <c r="D449" s="79" t="str">
        <f>IFERROR(__xludf.DUMMYFUNCTION("""COMPUTED_VALUE"""),"Personal")</f>
        <v>Personal</v>
      </c>
      <c r="E449" s="108" t="str">
        <f t="shared" si="1"/>
        <v>Jun</v>
      </c>
      <c r="F449" s="79" t="str">
        <f>IFERROR(__xludf.DUMMYFUNCTION("""COMPUTED_VALUE"""),"Shaeffer")</f>
        <v>Shaeffer</v>
      </c>
    </row>
    <row r="450">
      <c r="A450" s="85">
        <f>IFERROR(__xludf.DUMMYFUNCTION("""COMPUTED_VALUE"""),45458.0)</f>
        <v>45458</v>
      </c>
      <c r="B450" s="111">
        <f>IFERROR(__xludf.DUMMYFUNCTION("""COMPUTED_VALUE"""),6.17)</f>
        <v>6.17</v>
      </c>
      <c r="C450" s="79" t="str">
        <f>IFERROR(__xludf.DUMMYFUNCTION("""COMPUTED_VALUE"""),"Birch Coffee")</f>
        <v>Birch Coffee</v>
      </c>
      <c r="D450" s="79" t="str">
        <f>IFERROR(__xludf.DUMMYFUNCTION("""COMPUTED_VALUE"""),"Meals")</f>
        <v>Meals</v>
      </c>
      <c r="E450" s="108" t="str">
        <f t="shared" si="1"/>
        <v>Jun</v>
      </c>
      <c r="F450" s="79" t="str">
        <f>IFERROR(__xludf.DUMMYFUNCTION("""COMPUTED_VALUE"""),"Gil")</f>
        <v>Gil</v>
      </c>
    </row>
    <row r="451">
      <c r="A451" s="85">
        <f>IFERROR(__xludf.DUMMYFUNCTION("""COMPUTED_VALUE"""),45458.0)</f>
        <v>45458</v>
      </c>
      <c r="B451" s="111">
        <f>IFERROR(__xludf.DUMMYFUNCTION("""COMPUTED_VALUE"""),14.59)</f>
        <v>14.59</v>
      </c>
      <c r="C451" s="79" t="str">
        <f>IFERROR(__xludf.DUMMYFUNCTION("""COMPUTED_VALUE"""),"DIG")</f>
        <v>DIG</v>
      </c>
      <c r="D451" s="79" t="str">
        <f>IFERROR(__xludf.DUMMYFUNCTION("""COMPUTED_VALUE"""),"Work Meals")</f>
        <v>Work Meals</v>
      </c>
      <c r="E451" s="108" t="str">
        <f t="shared" si="1"/>
        <v>Jun</v>
      </c>
      <c r="F451" s="79" t="str">
        <f>IFERROR(__xludf.DUMMYFUNCTION("""COMPUTED_VALUE"""),"Gil")</f>
        <v>Gil</v>
      </c>
    </row>
    <row r="452">
      <c r="A452" s="85">
        <f>IFERROR(__xludf.DUMMYFUNCTION("""COMPUTED_VALUE"""),45458.0)</f>
        <v>45458</v>
      </c>
      <c r="B452" s="111">
        <f>IFERROR(__xludf.DUMMYFUNCTION("""COMPUTED_VALUE"""),8.09)</f>
        <v>8.09</v>
      </c>
      <c r="C452" s="79" t="str">
        <f>IFERROR(__xludf.DUMMYFUNCTION("""COMPUTED_VALUE"""),"Westside Market")</f>
        <v>Westside Market</v>
      </c>
      <c r="D452" s="79" t="str">
        <f>IFERROR(__xludf.DUMMYFUNCTION("""COMPUTED_VALUE"""),"Groceries")</f>
        <v>Groceries</v>
      </c>
      <c r="E452" s="108" t="str">
        <f t="shared" si="1"/>
        <v>Jun</v>
      </c>
      <c r="F452" s="79" t="str">
        <f>IFERROR(__xludf.DUMMYFUNCTION("""COMPUTED_VALUE"""),"Gil")</f>
        <v>Gil</v>
      </c>
    </row>
    <row r="453">
      <c r="A453" s="85">
        <f>IFERROR(__xludf.DUMMYFUNCTION("""COMPUTED_VALUE"""),45459.0)</f>
        <v>45459</v>
      </c>
      <c r="B453" s="111">
        <f>IFERROR(__xludf.DUMMYFUNCTION("""COMPUTED_VALUE"""),10.8)</f>
        <v>10.8</v>
      </c>
      <c r="C453" s="79" t="str">
        <f>IFERROR(__xludf.DUMMYFUNCTION("""COMPUTED_VALUE"""),"Koré Coffee")</f>
        <v>Koré Coffee</v>
      </c>
      <c r="D453" s="79" t="str">
        <f>IFERROR(__xludf.DUMMYFUNCTION("""COMPUTED_VALUE"""),"Meals")</f>
        <v>Meals</v>
      </c>
      <c r="E453" s="108" t="str">
        <f t="shared" si="1"/>
        <v>Jun</v>
      </c>
      <c r="F453" s="79" t="str">
        <f>IFERROR(__xludf.DUMMYFUNCTION("""COMPUTED_VALUE"""),"Gil")</f>
        <v>Gil</v>
      </c>
    </row>
    <row r="454">
      <c r="A454" s="85">
        <f>IFERROR(__xludf.DUMMYFUNCTION("""COMPUTED_VALUE"""),45461.0)</f>
        <v>45461</v>
      </c>
      <c r="B454" s="111">
        <f>IFERROR(__xludf.DUMMYFUNCTION("""COMPUTED_VALUE"""),8.24)</f>
        <v>8.24</v>
      </c>
      <c r="C454" s="79" t="str">
        <f>IFERROR(__xludf.DUMMYFUNCTION("""COMPUTED_VALUE"""),"Amazon - OGX Teatree Shampoo")</f>
        <v>Amazon - OGX Teatree Shampoo</v>
      </c>
      <c r="D454" s="79" t="str">
        <f>IFERROR(__xludf.DUMMYFUNCTION("""COMPUTED_VALUE"""),"Personal")</f>
        <v>Personal</v>
      </c>
      <c r="E454" s="108" t="str">
        <f t="shared" si="1"/>
        <v>Jun</v>
      </c>
      <c r="F454" s="79" t="str">
        <f>IFERROR(__xludf.DUMMYFUNCTION("""COMPUTED_VALUE"""),"Gil")</f>
        <v>Gil</v>
      </c>
    </row>
    <row r="455">
      <c r="A455" s="85">
        <f>IFERROR(__xludf.DUMMYFUNCTION("""COMPUTED_VALUE"""),45461.0)</f>
        <v>45461</v>
      </c>
      <c r="B455" s="111">
        <f>IFERROR(__xludf.DUMMYFUNCTION("""COMPUTED_VALUE"""),4.23)</f>
        <v>4.23</v>
      </c>
      <c r="C455" s="79" t="str">
        <f>IFERROR(__xludf.DUMMYFUNCTION("""COMPUTED_VALUE"""),"Westside Market")</f>
        <v>Westside Market</v>
      </c>
      <c r="D455" s="79" t="str">
        <f>IFERROR(__xludf.DUMMYFUNCTION("""COMPUTED_VALUE"""),"Work Meals")</f>
        <v>Work Meals</v>
      </c>
      <c r="E455" s="108" t="str">
        <f t="shared" si="1"/>
        <v>Jun</v>
      </c>
      <c r="F455" s="79" t="str">
        <f>IFERROR(__xludf.DUMMYFUNCTION("""COMPUTED_VALUE"""),"Gil")</f>
        <v>Gil</v>
      </c>
    </row>
    <row r="456">
      <c r="A456" s="85">
        <f>IFERROR(__xludf.DUMMYFUNCTION("""COMPUTED_VALUE"""),45461.0)</f>
        <v>45461</v>
      </c>
      <c r="B456" s="111">
        <f>IFERROR(__xludf.DUMMYFUNCTION("""COMPUTED_VALUE"""),25.0)</f>
        <v>25</v>
      </c>
      <c r="C456" s="79" t="str">
        <f>IFERROR(__xludf.DUMMYFUNCTION("""COMPUTED_VALUE"""),"El sabrosa")</f>
        <v>El sabrosa</v>
      </c>
      <c r="D456" s="79" t="str">
        <f>IFERROR(__xludf.DUMMYFUNCTION("""COMPUTED_VALUE"""),"Work Meals")</f>
        <v>Work Meals</v>
      </c>
      <c r="E456" s="108" t="str">
        <f t="shared" si="1"/>
        <v>Jun</v>
      </c>
      <c r="F456" s="79" t="str">
        <f>IFERROR(__xludf.DUMMYFUNCTION("""COMPUTED_VALUE"""),"Shaeffer")</f>
        <v>Shaeffer</v>
      </c>
    </row>
    <row r="457">
      <c r="A457" s="85">
        <f>IFERROR(__xludf.DUMMYFUNCTION("""COMPUTED_VALUE"""),45462.0)</f>
        <v>45462</v>
      </c>
      <c r="B457" s="111">
        <f>IFERROR(__xludf.DUMMYFUNCTION("""COMPUTED_VALUE"""),250.0)</f>
        <v>250</v>
      </c>
      <c r="C457" s="79" t="str">
        <f>IFERROR(__xludf.DUMMYFUNCTION("""COMPUTED_VALUE"""),"Craigslist studio chair")</f>
        <v>Craigslist studio chair</v>
      </c>
      <c r="D457" s="79" t="str">
        <f>IFERROR(__xludf.DUMMYFUNCTION("""COMPUTED_VALUE"""),"Studio")</f>
        <v>Studio</v>
      </c>
      <c r="E457" s="108" t="str">
        <f t="shared" si="1"/>
        <v>Jun</v>
      </c>
      <c r="F457" s="79" t="str">
        <f>IFERROR(__xludf.DUMMYFUNCTION("""COMPUTED_VALUE"""),"Shaeffer")</f>
        <v>Shaeffer</v>
      </c>
    </row>
    <row r="458">
      <c r="A458" s="85">
        <f>IFERROR(__xludf.DUMMYFUNCTION("""COMPUTED_VALUE"""),45462.0)</f>
        <v>45462</v>
      </c>
      <c r="B458" s="111">
        <f>IFERROR(__xludf.DUMMYFUNCTION("""COMPUTED_VALUE"""),4.0)</f>
        <v>4</v>
      </c>
      <c r="C458" s="79" t="str">
        <f>IFERROR(__xludf.DUMMYFUNCTION("""COMPUTED_VALUE"""),"Lost Bread Co.")</f>
        <v>Lost Bread Co.</v>
      </c>
      <c r="D458" s="79" t="str">
        <f>IFERROR(__xludf.DUMMYFUNCTION("""COMPUTED_VALUE"""),"Meals")</f>
        <v>Meals</v>
      </c>
      <c r="E458" s="108" t="str">
        <f t="shared" si="1"/>
        <v>Jun</v>
      </c>
      <c r="F458" s="79" t="str">
        <f>IFERROR(__xludf.DUMMYFUNCTION("""COMPUTED_VALUE"""),"Gil")</f>
        <v>Gil</v>
      </c>
    </row>
    <row r="459">
      <c r="A459" s="85">
        <f>IFERROR(__xludf.DUMMYFUNCTION("""COMPUTED_VALUE"""),45462.0)</f>
        <v>45462</v>
      </c>
      <c r="B459" s="111">
        <f>IFERROR(__xludf.DUMMYFUNCTION("""COMPUTED_VALUE"""),7.75)</f>
        <v>7.75</v>
      </c>
      <c r="C459" s="79" t="str">
        <f>IFERROR(__xludf.DUMMYFUNCTION("""COMPUTED_VALUE"""),"% Arabica")</f>
        <v>% Arabica</v>
      </c>
      <c r="D459" s="79" t="str">
        <f>IFERROR(__xludf.DUMMYFUNCTION("""COMPUTED_VALUE"""),"Meals")</f>
        <v>Meals</v>
      </c>
      <c r="E459" s="108" t="str">
        <f t="shared" si="1"/>
        <v>Jun</v>
      </c>
      <c r="F459" s="79" t="str">
        <f>IFERROR(__xludf.DUMMYFUNCTION("""COMPUTED_VALUE"""),"Gil")</f>
        <v>Gil</v>
      </c>
    </row>
    <row r="460">
      <c r="A460" s="85">
        <f>IFERROR(__xludf.DUMMYFUNCTION("""COMPUTED_VALUE"""),45465.0)</f>
        <v>45465</v>
      </c>
      <c r="B460" s="111">
        <f>IFERROR(__xludf.DUMMYFUNCTION("""COMPUTED_VALUE"""),34.16)</f>
        <v>34.16</v>
      </c>
      <c r="C460" s="79" t="str">
        <f>IFERROR(__xludf.DUMMYFUNCTION("""COMPUTED_VALUE"""),"Ruby's Grill")</f>
        <v>Ruby's Grill</v>
      </c>
      <c r="D460" s="79" t="str">
        <f>IFERROR(__xludf.DUMMYFUNCTION("""COMPUTED_VALUE"""),"Alcohol/Weed")</f>
        <v>Alcohol/Weed</v>
      </c>
      <c r="E460" s="108" t="str">
        <f t="shared" si="1"/>
        <v>Jun</v>
      </c>
      <c r="F460" s="79" t="str">
        <f>IFERROR(__xludf.DUMMYFUNCTION("""COMPUTED_VALUE"""),"Gil")</f>
        <v>Gil</v>
      </c>
    </row>
    <row r="461">
      <c r="A461" s="85">
        <f>IFERROR(__xludf.DUMMYFUNCTION("""COMPUTED_VALUE"""),45465.0)</f>
        <v>45465</v>
      </c>
      <c r="B461" s="111">
        <f>IFERROR(__xludf.DUMMYFUNCTION("""COMPUTED_VALUE"""),11.97)</f>
        <v>11.97</v>
      </c>
      <c r="C461" s="79" t="str">
        <f>IFERROR(__xludf.DUMMYFUNCTION("""COMPUTED_VALUE"""),"Nathan's")</f>
        <v>Nathan's</v>
      </c>
      <c r="D461" s="79" t="str">
        <f>IFERROR(__xludf.DUMMYFUNCTION("""COMPUTED_VALUE"""),"Meals")</f>
        <v>Meals</v>
      </c>
      <c r="E461" s="108" t="str">
        <f t="shared" si="1"/>
        <v>Jun</v>
      </c>
      <c r="F461" s="79" t="str">
        <f>IFERROR(__xludf.DUMMYFUNCTION("""COMPUTED_VALUE"""),"Gil")</f>
        <v>Gil</v>
      </c>
    </row>
    <row r="462">
      <c r="A462" s="85">
        <f>IFERROR(__xludf.DUMMYFUNCTION("""COMPUTED_VALUE"""),45467.0)</f>
        <v>45467</v>
      </c>
      <c r="B462" s="111">
        <f>IFERROR(__xludf.DUMMYFUNCTION("""COMPUTED_VALUE"""),32.64)</f>
        <v>32.64</v>
      </c>
      <c r="C462" s="79" t="str">
        <f>IFERROR(__xludf.DUMMYFUNCTION("""COMPUTED_VALUE"""),"Adobe")</f>
        <v>Adobe</v>
      </c>
      <c r="D462" s="79" t="str">
        <f>IFERROR(__xludf.DUMMYFUNCTION("""COMPUTED_VALUE"""),"Subscriptions")</f>
        <v>Subscriptions</v>
      </c>
      <c r="E462" s="108" t="str">
        <f t="shared" si="1"/>
        <v>Jun</v>
      </c>
      <c r="F462" s="79" t="str">
        <f>IFERROR(__xludf.DUMMYFUNCTION("""COMPUTED_VALUE"""),"Gil")</f>
        <v>Gil</v>
      </c>
    </row>
    <row r="463">
      <c r="A463" s="85">
        <f>IFERROR(__xludf.DUMMYFUNCTION("""COMPUTED_VALUE"""),45468.0)</f>
        <v>45468</v>
      </c>
      <c r="B463" s="111">
        <f>IFERROR(__xludf.DUMMYFUNCTION("""COMPUTED_VALUE"""),5.9)</f>
        <v>5.9</v>
      </c>
      <c r="C463" s="79" t="str">
        <f>IFERROR(__xludf.DUMMYFUNCTION("""COMPUTED_VALUE"""),"Variety")</f>
        <v>Variety</v>
      </c>
      <c r="D463" s="79" t="str">
        <f>IFERROR(__xludf.DUMMYFUNCTION("""COMPUTED_VALUE"""),"Work Meals")</f>
        <v>Work Meals</v>
      </c>
      <c r="E463" s="108" t="str">
        <f t="shared" si="1"/>
        <v>Jun</v>
      </c>
      <c r="F463" s="79" t="str">
        <f>IFERROR(__xludf.DUMMYFUNCTION("""COMPUTED_VALUE"""),"Shaeffer")</f>
        <v>Shaeffer</v>
      </c>
    </row>
    <row r="464">
      <c r="A464" s="85">
        <f>IFERROR(__xludf.DUMMYFUNCTION("""COMPUTED_VALUE"""),45467.0)</f>
        <v>45467</v>
      </c>
      <c r="B464" s="111">
        <f>IFERROR(__xludf.DUMMYFUNCTION("""COMPUTED_VALUE"""),26.98)</f>
        <v>26.98</v>
      </c>
      <c r="C464" s="79" t="str">
        <f>IFERROR(__xludf.DUMMYFUNCTION("""COMPUTED_VALUE"""),"O.P.C.")</f>
        <v>O.P.C.</v>
      </c>
      <c r="D464" s="79" t="str">
        <f>IFERROR(__xludf.DUMMYFUNCTION("""COMPUTED_VALUE"""),"Clothing")</f>
        <v>Clothing</v>
      </c>
      <c r="E464" s="108" t="str">
        <f t="shared" si="1"/>
        <v>Jun</v>
      </c>
      <c r="F464" s="79" t="str">
        <f>IFERROR(__xludf.DUMMYFUNCTION("""COMPUTED_VALUE"""),"Gil")</f>
        <v>Gil</v>
      </c>
    </row>
    <row r="465">
      <c r="A465" s="85">
        <f>IFERROR(__xludf.DUMMYFUNCTION("""COMPUTED_VALUE"""),45468.0)</f>
        <v>45468</v>
      </c>
      <c r="B465" s="111">
        <f>IFERROR(__xludf.DUMMYFUNCTION("""COMPUTED_VALUE"""),40.0)</f>
        <v>40</v>
      </c>
      <c r="C465" s="79" t="str">
        <f>IFERROR(__xludf.DUMMYFUNCTION("""COMPUTED_VALUE"""),"Unique Boutique")</f>
        <v>Unique Boutique</v>
      </c>
      <c r="D465" s="79" t="str">
        <f>IFERROR(__xludf.DUMMYFUNCTION("""COMPUTED_VALUE"""),"Clothing")</f>
        <v>Clothing</v>
      </c>
      <c r="E465" s="108" t="str">
        <f t="shared" si="1"/>
        <v>Jun</v>
      </c>
      <c r="F465" s="79" t="str">
        <f>IFERROR(__xludf.DUMMYFUNCTION("""COMPUTED_VALUE"""),"Gil")</f>
        <v>Gil</v>
      </c>
    </row>
    <row r="466">
      <c r="A466" s="85">
        <f>IFERROR(__xludf.DUMMYFUNCTION("""COMPUTED_VALUE"""),45471.0)</f>
        <v>45471</v>
      </c>
      <c r="B466" s="111">
        <f>IFERROR(__xludf.DUMMYFUNCTION("""COMPUTED_VALUE"""),10.38)</f>
        <v>10.38</v>
      </c>
      <c r="C466" s="79" t="str">
        <f>IFERROR(__xludf.DUMMYFUNCTION("""COMPUTED_VALUE"""),"Popeye's ")</f>
        <v>Popeye's </v>
      </c>
      <c r="D466" s="79" t="str">
        <f>IFERROR(__xludf.DUMMYFUNCTION("""COMPUTED_VALUE"""),"Meals")</f>
        <v>Meals</v>
      </c>
      <c r="E466" s="108" t="str">
        <f t="shared" si="1"/>
        <v>Jun</v>
      </c>
      <c r="F466" s="79" t="str">
        <f>IFERROR(__xludf.DUMMYFUNCTION("""COMPUTED_VALUE"""),"Gil")</f>
        <v>Gil</v>
      </c>
    </row>
    <row r="467">
      <c r="A467" s="85">
        <f>IFERROR(__xludf.DUMMYFUNCTION("""COMPUTED_VALUE"""),45472.0)</f>
        <v>45472</v>
      </c>
      <c r="B467" s="111">
        <f>IFERROR(__xludf.DUMMYFUNCTION("""COMPUTED_VALUE"""),25.0)</f>
        <v>25</v>
      </c>
      <c r="C467" s="79" t="str">
        <f>IFERROR(__xludf.DUMMYFUNCTION("""COMPUTED_VALUE"""),"El Santo")</f>
        <v>El Santo</v>
      </c>
      <c r="D467" s="79" t="str">
        <f>IFERROR(__xludf.DUMMYFUNCTION("""COMPUTED_VALUE"""),"Meals")</f>
        <v>Meals</v>
      </c>
      <c r="E467" s="108" t="str">
        <f t="shared" si="1"/>
        <v>Jun</v>
      </c>
      <c r="F467" s="79" t="str">
        <f>IFERROR(__xludf.DUMMYFUNCTION("""COMPUTED_VALUE"""),"Gil")</f>
        <v>Gil</v>
      </c>
    </row>
    <row r="468">
      <c r="A468" s="85">
        <f>IFERROR(__xludf.DUMMYFUNCTION("""COMPUTED_VALUE"""),45471.0)</f>
        <v>45471</v>
      </c>
      <c r="B468" s="111">
        <f>IFERROR(__xludf.DUMMYFUNCTION("""COMPUTED_VALUE"""),4.0)</f>
        <v>4</v>
      </c>
      <c r="C468" s="79" t="str">
        <f>IFERROR(__xludf.DUMMYFUNCTION("""COMPUTED_VALUE"""),"Lost Bread")</f>
        <v>Lost Bread</v>
      </c>
      <c r="D468" s="79" t="str">
        <f>IFERROR(__xludf.DUMMYFUNCTION("""COMPUTED_VALUE"""),"Meals")</f>
        <v>Meals</v>
      </c>
      <c r="E468" s="108" t="str">
        <f t="shared" si="1"/>
        <v>Jun</v>
      </c>
      <c r="F468" s="79" t="str">
        <f>IFERROR(__xludf.DUMMYFUNCTION("""COMPUTED_VALUE"""),"Gil")</f>
        <v>Gil</v>
      </c>
    </row>
    <row r="469">
      <c r="A469" s="85">
        <f>IFERROR(__xludf.DUMMYFUNCTION("""COMPUTED_VALUE"""),45472.0)</f>
        <v>45472</v>
      </c>
      <c r="B469" s="111">
        <f>IFERROR(__xludf.DUMMYFUNCTION("""COMPUTED_VALUE"""),12.62)</f>
        <v>12.62</v>
      </c>
      <c r="C469" s="79" t="str">
        <f>IFERROR(__xludf.DUMMYFUNCTION("""COMPUTED_VALUE"""),"Crossroads Caffe")</f>
        <v>Crossroads Caffe</v>
      </c>
      <c r="D469" s="79" t="str">
        <f>IFERROR(__xludf.DUMMYFUNCTION("""COMPUTED_VALUE"""),"Meals")</f>
        <v>Meals</v>
      </c>
      <c r="E469" s="108" t="str">
        <f t="shared" si="1"/>
        <v>Jun</v>
      </c>
      <c r="F469" s="79" t="str">
        <f>IFERROR(__xludf.DUMMYFUNCTION("""COMPUTED_VALUE"""),"Gil")</f>
        <v>Gil</v>
      </c>
    </row>
    <row r="470">
      <c r="A470" s="85">
        <f>IFERROR(__xludf.DUMMYFUNCTION("""COMPUTED_VALUE"""),45473.0)</f>
        <v>45473</v>
      </c>
      <c r="B470" s="111">
        <f>IFERROR(__xludf.DUMMYFUNCTION("""COMPUTED_VALUE"""),37.5)</f>
        <v>37.5</v>
      </c>
      <c r="C470" s="79" t="str">
        <f>IFERROR(__xludf.DUMMYFUNCTION("""COMPUTED_VALUE"""),"Za'tar")</f>
        <v>Za'tar</v>
      </c>
      <c r="D470" s="79" t="str">
        <f>IFERROR(__xludf.DUMMYFUNCTION("""COMPUTED_VALUE"""),"Meals")</f>
        <v>Meals</v>
      </c>
      <c r="E470" s="108" t="str">
        <f t="shared" si="1"/>
        <v>Jun</v>
      </c>
      <c r="F470" s="79" t="str">
        <f>IFERROR(__xludf.DUMMYFUNCTION("""COMPUTED_VALUE"""),"Gil")</f>
        <v>Gil</v>
      </c>
    </row>
    <row r="471">
      <c r="A471" s="85">
        <f>IFERROR(__xludf.DUMMYFUNCTION("""COMPUTED_VALUE"""),45474.0)</f>
        <v>45474</v>
      </c>
      <c r="B471" s="109">
        <f>IFERROR(__xludf.DUMMYFUNCTION("""COMPUTED_VALUE"""),32.66)</f>
        <v>32.66</v>
      </c>
      <c r="C471" s="79" t="str">
        <f>IFERROR(__xludf.DUMMYFUNCTION("""COMPUTED_VALUE"""),"Ulta Beauty")</f>
        <v>Ulta Beauty</v>
      </c>
      <c r="D471" s="79" t="str">
        <f>IFERROR(__xludf.DUMMYFUNCTION("""COMPUTED_VALUE"""),"Personal")</f>
        <v>Personal</v>
      </c>
      <c r="E471" s="108" t="str">
        <f t="shared" si="1"/>
        <v>Jul</v>
      </c>
      <c r="F471" s="79" t="str">
        <f>IFERROR(__xludf.DUMMYFUNCTION("""COMPUTED_VALUE"""),"Gil")</f>
        <v>Gil</v>
      </c>
    </row>
    <row r="472">
      <c r="A472" s="85">
        <f>IFERROR(__xludf.DUMMYFUNCTION("""COMPUTED_VALUE"""),45474.0)</f>
        <v>45474</v>
      </c>
      <c r="B472" s="109">
        <f>IFERROR(__xludf.DUMMYFUNCTION("""COMPUTED_VALUE"""),6.17)</f>
        <v>6.17</v>
      </c>
      <c r="C472" s="79" t="str">
        <f>IFERROR(__xludf.DUMMYFUNCTION("""COMPUTED_VALUE"""),"Birch Coffee")</f>
        <v>Birch Coffee</v>
      </c>
      <c r="D472" s="79" t="str">
        <f>IFERROR(__xludf.DUMMYFUNCTION("""COMPUTED_VALUE"""),"Meals")</f>
        <v>Meals</v>
      </c>
      <c r="E472" s="108" t="str">
        <f t="shared" si="1"/>
        <v>Jul</v>
      </c>
      <c r="F472" s="79" t="str">
        <f>IFERROR(__xludf.DUMMYFUNCTION("""COMPUTED_VALUE"""),"Gil")</f>
        <v>Gil</v>
      </c>
    </row>
    <row r="473">
      <c r="A473" s="85">
        <f>IFERROR(__xludf.DUMMYFUNCTION("""COMPUTED_VALUE"""),45474.0)</f>
        <v>45474</v>
      </c>
      <c r="B473" s="109">
        <f>IFERROR(__xludf.DUMMYFUNCTION("""COMPUTED_VALUE"""),3.9)</f>
        <v>3.9</v>
      </c>
      <c r="C473" s="79" t="str">
        <f>IFERROR(__xludf.DUMMYFUNCTION("""COMPUTED_VALUE"""),"Aux Merveilleux de Fred")</f>
        <v>Aux Merveilleux de Fred</v>
      </c>
      <c r="D473" s="79" t="str">
        <f>IFERROR(__xludf.DUMMYFUNCTION("""COMPUTED_VALUE"""),"Meals")</f>
        <v>Meals</v>
      </c>
      <c r="E473" s="108" t="str">
        <f t="shared" si="1"/>
        <v>Jul</v>
      </c>
      <c r="F473" s="79" t="str">
        <f>IFERROR(__xludf.DUMMYFUNCTION("""COMPUTED_VALUE"""),"Gil")</f>
        <v>Gil</v>
      </c>
    </row>
    <row r="474">
      <c r="A474" s="85">
        <f>IFERROR(__xludf.DUMMYFUNCTION("""COMPUTED_VALUE"""),45475.0)</f>
        <v>45475</v>
      </c>
      <c r="B474" s="109">
        <f>IFERROR(__xludf.DUMMYFUNCTION("""COMPUTED_VALUE"""),30.98)</f>
        <v>30.98</v>
      </c>
      <c r="C474" s="79" t="str">
        <f>IFERROR(__xludf.DUMMYFUNCTION("""COMPUTED_VALUE"""),"Kitty's Hudson")</f>
        <v>Kitty's Hudson</v>
      </c>
      <c r="D474" s="79" t="str">
        <f>IFERROR(__xludf.DUMMYFUNCTION("""COMPUTED_VALUE"""),"Meals")</f>
        <v>Meals</v>
      </c>
      <c r="E474" s="108" t="str">
        <f t="shared" si="1"/>
        <v>Jul</v>
      </c>
      <c r="F474" s="79" t="str">
        <f>IFERROR(__xludf.DUMMYFUNCTION("""COMPUTED_VALUE"""),"Gil")</f>
        <v>Gil</v>
      </c>
    </row>
    <row r="475">
      <c r="A475" s="85">
        <f>IFERROR(__xludf.DUMMYFUNCTION("""COMPUTED_VALUE"""),45475.0)</f>
        <v>45475</v>
      </c>
      <c r="B475" s="109">
        <f>IFERROR(__xludf.DUMMYFUNCTION("""COMPUTED_VALUE"""),57.0)</f>
        <v>57</v>
      </c>
      <c r="C475" s="79" t="str">
        <f>IFERROR(__xludf.DUMMYFUNCTION("""COMPUTED_VALUE"""),"skinbeautifulRx")</f>
        <v>skinbeautifulRx</v>
      </c>
      <c r="D475" s="79" t="str">
        <f>IFERROR(__xludf.DUMMYFUNCTION("""COMPUTED_VALUE"""),"Personal")</f>
        <v>Personal</v>
      </c>
      <c r="E475" s="108" t="str">
        <f t="shared" si="1"/>
        <v>Jul</v>
      </c>
      <c r="F475" s="79" t="str">
        <f>IFERROR(__xludf.DUMMYFUNCTION("""COMPUTED_VALUE"""),"Gil")</f>
        <v>Gil</v>
      </c>
    </row>
    <row r="476">
      <c r="A476" s="85">
        <f>IFERROR(__xludf.DUMMYFUNCTION("""COMPUTED_VALUE"""),45475.0)</f>
        <v>45475</v>
      </c>
      <c r="B476" s="109">
        <f>IFERROR(__xludf.DUMMYFUNCTION("""COMPUTED_VALUE"""),14.81)</f>
        <v>14.81</v>
      </c>
      <c r="C476" s="79" t="str">
        <f>IFERROR(__xludf.DUMMYFUNCTION("""COMPUTED_VALUE"""),"Thai @ Lex")</f>
        <v>Thai @ Lex</v>
      </c>
      <c r="D476" s="79" t="str">
        <f>IFERROR(__xludf.DUMMYFUNCTION("""COMPUTED_VALUE"""),"Work Meals")</f>
        <v>Work Meals</v>
      </c>
      <c r="E476" s="108" t="str">
        <f t="shared" si="1"/>
        <v>Jul</v>
      </c>
      <c r="F476" s="79" t="str">
        <f>IFERROR(__xludf.DUMMYFUNCTION("""COMPUTED_VALUE"""),"Gil")</f>
        <v>Gil</v>
      </c>
    </row>
    <row r="477">
      <c r="A477" s="85">
        <f>IFERROR(__xludf.DUMMYFUNCTION("""COMPUTED_VALUE"""),45476.0)</f>
        <v>45476</v>
      </c>
      <c r="B477" s="109">
        <f>IFERROR(__xludf.DUMMYFUNCTION("""COMPUTED_VALUE"""),14.45)</f>
        <v>14.45</v>
      </c>
      <c r="C477" s="79" t="str">
        <f>IFERROR(__xludf.DUMMYFUNCTION("""COMPUTED_VALUE"""),"Torch and Crown")</f>
        <v>Torch and Crown</v>
      </c>
      <c r="D477" s="79" t="str">
        <f>IFERROR(__xludf.DUMMYFUNCTION("""COMPUTED_VALUE"""),"Alcohol/Weed")</f>
        <v>Alcohol/Weed</v>
      </c>
      <c r="E477" s="108" t="str">
        <f t="shared" si="1"/>
        <v>Jul</v>
      </c>
      <c r="F477" s="79" t="str">
        <f>IFERROR(__xludf.DUMMYFUNCTION("""COMPUTED_VALUE"""),"Gil")</f>
        <v>Gil</v>
      </c>
    </row>
    <row r="478">
      <c r="A478" s="85">
        <f>IFERROR(__xludf.DUMMYFUNCTION("""COMPUTED_VALUE"""),45476.0)</f>
        <v>45476</v>
      </c>
      <c r="B478" s="109">
        <f>IFERROR(__xludf.DUMMYFUNCTION("""COMPUTED_VALUE"""),10.8)</f>
        <v>10.8</v>
      </c>
      <c r="C478" s="79" t="str">
        <f>IFERROR(__xludf.DUMMYFUNCTION("""COMPUTED_VALUE"""),"Lucia")</f>
        <v>Lucia</v>
      </c>
      <c r="D478" s="79" t="str">
        <f>IFERROR(__xludf.DUMMYFUNCTION("""COMPUTED_VALUE"""),"Meals")</f>
        <v>Meals</v>
      </c>
      <c r="E478" s="108" t="str">
        <f t="shared" si="1"/>
        <v>Jul</v>
      </c>
      <c r="F478" s="79" t="str">
        <f>IFERROR(__xludf.DUMMYFUNCTION("""COMPUTED_VALUE"""),"Gil")</f>
        <v>Gil</v>
      </c>
    </row>
    <row r="479">
      <c r="A479" s="85">
        <f>IFERROR(__xludf.DUMMYFUNCTION("""COMPUTED_VALUE"""),45460.0)</f>
        <v>45460</v>
      </c>
      <c r="B479" s="111">
        <f>IFERROR(__xludf.DUMMYFUNCTION("""COMPUTED_VALUE"""),41.81)</f>
        <v>41.81</v>
      </c>
      <c r="C479" s="79" t="str">
        <f>IFERROR(__xludf.DUMMYFUNCTION("""COMPUTED_VALUE"""),"Shindo")</f>
        <v>Shindo</v>
      </c>
      <c r="D479" s="79" t="str">
        <f>IFERROR(__xludf.DUMMYFUNCTION("""COMPUTED_VALUE"""),"Studio")</f>
        <v>Studio</v>
      </c>
      <c r="E479" s="108" t="str">
        <f t="shared" si="1"/>
        <v>Jun</v>
      </c>
      <c r="F479" s="79" t="str">
        <f>IFERROR(__xludf.DUMMYFUNCTION("""COMPUTED_VALUE"""),"Shaeffer")</f>
        <v>Shaeffer</v>
      </c>
    </row>
    <row r="480">
      <c r="A480" s="85">
        <f>IFERROR(__xludf.DUMMYFUNCTION("""COMPUTED_VALUE"""),45468.0)</f>
        <v>45468</v>
      </c>
      <c r="B480" s="111">
        <f>IFERROR(__xludf.DUMMYFUNCTION("""COMPUTED_VALUE"""),6.43)</f>
        <v>6.43</v>
      </c>
      <c r="C480" s="79" t="str">
        <f>IFERROR(__xludf.DUMMYFUNCTION("""COMPUTED_VALUE"""),"il Makiage")</f>
        <v>il Makiage</v>
      </c>
      <c r="D480" s="79" t="str">
        <f>IFERROR(__xludf.DUMMYFUNCTION("""COMPUTED_VALUE"""),"Personal")</f>
        <v>Personal</v>
      </c>
      <c r="E480" s="108" t="str">
        <f t="shared" si="1"/>
        <v>Jun</v>
      </c>
      <c r="F480" s="79" t="str">
        <f>IFERROR(__xludf.DUMMYFUNCTION("""COMPUTED_VALUE"""),"Shaeffer")</f>
        <v>Shaeffer</v>
      </c>
    </row>
    <row r="481">
      <c r="A481" s="85">
        <f>IFERROR(__xludf.DUMMYFUNCTION("""COMPUTED_VALUE"""),45469.0)</f>
        <v>45469</v>
      </c>
      <c r="B481" s="111">
        <f>IFERROR(__xludf.DUMMYFUNCTION("""COMPUTED_VALUE"""),14.99)</f>
        <v>14.99</v>
      </c>
      <c r="C481" s="79" t="str">
        <f>IFERROR(__xludf.DUMMYFUNCTION("""COMPUTED_VALUE"""),"Liven-app")</f>
        <v>Liven-app</v>
      </c>
      <c r="D481" s="79" t="str">
        <f>IFERROR(__xludf.DUMMYFUNCTION("""COMPUTED_VALUE"""),"Personal")</f>
        <v>Personal</v>
      </c>
      <c r="E481" s="108" t="str">
        <f t="shared" si="1"/>
        <v>Jun</v>
      </c>
      <c r="F481" s="79" t="str">
        <f>IFERROR(__xludf.DUMMYFUNCTION("""COMPUTED_VALUE"""),"Shaeffer")</f>
        <v>Shaeffer</v>
      </c>
    </row>
    <row r="482">
      <c r="A482" s="85">
        <f>IFERROR(__xludf.DUMMYFUNCTION("""COMPUTED_VALUE"""),45469.0)</f>
        <v>45469</v>
      </c>
      <c r="B482" s="111">
        <f>IFERROR(__xludf.DUMMYFUNCTION("""COMPUTED_VALUE"""),82.0)</f>
        <v>82</v>
      </c>
      <c r="C482" s="79" t="str">
        <f>IFERROR(__xludf.DUMMYFUNCTION("""COMPUTED_VALUE"""),"Feiona Jewelry")</f>
        <v>Feiona Jewelry</v>
      </c>
      <c r="D482" s="79" t="str">
        <f>IFERROR(__xludf.DUMMYFUNCTION("""COMPUTED_VALUE"""),"Personal")</f>
        <v>Personal</v>
      </c>
      <c r="E482" s="108" t="str">
        <f t="shared" si="1"/>
        <v>Jun</v>
      </c>
      <c r="F482" s="79" t="str">
        <f>IFERROR(__xludf.DUMMYFUNCTION("""COMPUTED_VALUE"""),"Shaeffer")</f>
        <v>Shaeffer</v>
      </c>
    </row>
    <row r="483">
      <c r="A483" s="85">
        <f>IFERROR(__xludf.DUMMYFUNCTION("""COMPUTED_VALUE"""),45474.0)</f>
        <v>45474</v>
      </c>
      <c r="B483" s="111">
        <f>IFERROR(__xludf.DUMMYFUNCTION("""COMPUTED_VALUE"""),15.29)</f>
        <v>15.29</v>
      </c>
      <c r="C483" s="79" t="str">
        <f>IFERROR(__xludf.DUMMYFUNCTION("""COMPUTED_VALUE"""),"Stewarts")</f>
        <v>Stewarts</v>
      </c>
      <c r="D483" s="79" t="str">
        <f>IFERROR(__xludf.DUMMYFUNCTION("""COMPUTED_VALUE"""),"Meals")</f>
        <v>Meals</v>
      </c>
      <c r="E483" s="108" t="str">
        <f t="shared" si="1"/>
        <v>Jul</v>
      </c>
      <c r="F483" s="79" t="str">
        <f>IFERROR(__xludf.DUMMYFUNCTION("""COMPUTED_VALUE"""),"Shaeffer")</f>
        <v>Shaeffer</v>
      </c>
    </row>
    <row r="484">
      <c r="A484" s="85">
        <f>IFERROR(__xludf.DUMMYFUNCTION("""COMPUTED_VALUE"""),45475.0)</f>
        <v>45475</v>
      </c>
      <c r="B484" s="111">
        <f>IFERROR(__xludf.DUMMYFUNCTION("""COMPUTED_VALUE"""),9.99)</f>
        <v>9.99</v>
      </c>
      <c r="C484" s="79" t="str">
        <f>IFERROR(__xludf.DUMMYFUNCTION("""COMPUTED_VALUE"""),"i cloud storage ")</f>
        <v>i cloud storage </v>
      </c>
      <c r="D484" s="79" t="str">
        <f>IFERROR(__xludf.DUMMYFUNCTION("""COMPUTED_VALUE"""),"Subscriptions")</f>
        <v>Subscriptions</v>
      </c>
      <c r="E484" s="108" t="str">
        <f t="shared" si="1"/>
        <v>Jul</v>
      </c>
      <c r="F484" s="79" t="str">
        <f>IFERROR(__xludf.DUMMYFUNCTION("""COMPUTED_VALUE"""),"Shaeffer")</f>
        <v>Shaeffer</v>
      </c>
    </row>
    <row r="485">
      <c r="A485" s="85">
        <f>IFERROR(__xludf.DUMMYFUNCTION("""COMPUTED_VALUE"""),45475.0)</f>
        <v>45475</v>
      </c>
      <c r="B485" s="111">
        <f>IFERROR(__xludf.DUMMYFUNCTION("""COMPUTED_VALUE"""),23.92)</f>
        <v>23.92</v>
      </c>
      <c r="C485" s="79" t="str">
        <f>IFERROR(__xludf.DUMMYFUNCTION("""COMPUTED_VALUE"""),"Kittys Market")</f>
        <v>Kittys Market</v>
      </c>
      <c r="D485" s="79" t="str">
        <f>IFERROR(__xludf.DUMMYFUNCTION("""COMPUTED_VALUE"""),"Meals")</f>
        <v>Meals</v>
      </c>
      <c r="E485" s="108" t="str">
        <f t="shared" si="1"/>
        <v>Jul</v>
      </c>
      <c r="F485" s="79" t="str">
        <f>IFERROR(__xludf.DUMMYFUNCTION("""COMPUTED_VALUE"""),"Shaeffer")</f>
        <v>Shaeffer</v>
      </c>
    </row>
    <row r="486">
      <c r="A486" s="85">
        <f>IFERROR(__xludf.DUMMYFUNCTION("""COMPUTED_VALUE"""),45476.0)</f>
        <v>45476</v>
      </c>
      <c r="B486" s="111">
        <f>IFERROR(__xludf.DUMMYFUNCTION("""COMPUTED_VALUE"""),7.6)</f>
        <v>7.6</v>
      </c>
      <c r="C486" s="79" t="str">
        <f>IFERROR(__xludf.DUMMYFUNCTION("""COMPUTED_VALUE"""),"Lightroom monthly sub")</f>
        <v>Lightroom monthly sub</v>
      </c>
      <c r="D486" s="79" t="str">
        <f>IFERROR(__xludf.DUMMYFUNCTION("""COMPUTED_VALUE"""),"Subscriptions")</f>
        <v>Subscriptions</v>
      </c>
      <c r="E486" s="108" t="str">
        <f t="shared" si="1"/>
        <v>Jul</v>
      </c>
      <c r="F486" s="79" t="str">
        <f>IFERROR(__xludf.DUMMYFUNCTION("""COMPUTED_VALUE"""),"Shaeffer")</f>
        <v>Shaeffer</v>
      </c>
    </row>
    <row r="487">
      <c r="A487" s="85">
        <f>IFERROR(__xludf.DUMMYFUNCTION("""COMPUTED_VALUE"""),45451.0)</f>
        <v>45451</v>
      </c>
      <c r="B487" s="111">
        <f>IFERROR(__xludf.DUMMYFUNCTION("""COMPUTED_VALUE"""),66.0)</f>
        <v>66</v>
      </c>
      <c r="C487" s="79" t="str">
        <f>IFERROR(__xludf.DUMMYFUNCTION("""COMPUTED_VALUE"""),"winonas - tony venmo")</f>
        <v>winonas - tony venmo</v>
      </c>
      <c r="D487" s="79" t="str">
        <f>IFERROR(__xludf.DUMMYFUNCTION("""COMPUTED_VALUE"""),"Meals")</f>
        <v>Meals</v>
      </c>
      <c r="E487" s="108" t="str">
        <f t="shared" si="1"/>
        <v>Jun</v>
      </c>
      <c r="F487" s="79" t="str">
        <f>IFERROR(__xludf.DUMMYFUNCTION("""COMPUTED_VALUE"""),"Shaeffer")</f>
        <v>Shaeffer</v>
      </c>
    </row>
    <row r="488">
      <c r="A488" s="85">
        <f>IFERROR(__xludf.DUMMYFUNCTION("""COMPUTED_VALUE"""),45463.0)</f>
        <v>45463</v>
      </c>
      <c r="B488" s="111">
        <f>IFERROR(__xludf.DUMMYFUNCTION("""COMPUTED_VALUE"""),120.0)</f>
        <v>120</v>
      </c>
      <c r="C488" s="79" t="str">
        <f>IFERROR(__xludf.DUMMYFUNCTION("""COMPUTED_VALUE"""),"Canoe trip")</f>
        <v>Canoe trip</v>
      </c>
      <c r="D488" s="79" t="str">
        <f>IFERROR(__xludf.DUMMYFUNCTION("""COMPUTED_VALUE"""),"Travel")</f>
        <v>Travel</v>
      </c>
      <c r="E488" s="108" t="str">
        <f t="shared" si="1"/>
        <v>Jun</v>
      </c>
      <c r="F488" s="79" t="str">
        <f>IFERROR(__xludf.DUMMYFUNCTION("""COMPUTED_VALUE"""),"Shaeffer")</f>
        <v>Shaeffer</v>
      </c>
    </row>
    <row r="489">
      <c r="A489" s="85">
        <f>IFERROR(__xludf.DUMMYFUNCTION("""COMPUTED_VALUE"""),45464.0)</f>
        <v>45464</v>
      </c>
      <c r="B489" s="111">
        <f>IFERROR(__xludf.DUMMYFUNCTION("""COMPUTED_VALUE"""),35.0)</f>
        <v>35</v>
      </c>
      <c r="C489" s="79" t="str">
        <f>IFERROR(__xludf.DUMMYFUNCTION("""COMPUTED_VALUE"""),"Kopitam - lili venmo")</f>
        <v>Kopitam - lili venmo</v>
      </c>
      <c r="D489" s="79" t="str">
        <f>IFERROR(__xludf.DUMMYFUNCTION("""COMPUTED_VALUE"""),"Meals")</f>
        <v>Meals</v>
      </c>
      <c r="E489" s="108" t="str">
        <f t="shared" si="1"/>
        <v>Jun</v>
      </c>
      <c r="F489" s="79" t="str">
        <f>IFERROR(__xludf.DUMMYFUNCTION("""COMPUTED_VALUE"""),"Shaeffer")</f>
        <v>Shaeffer</v>
      </c>
    </row>
    <row r="490">
      <c r="A490" s="85">
        <f>IFERROR(__xludf.DUMMYFUNCTION("""COMPUTED_VALUE"""),45479.0)</f>
        <v>45479</v>
      </c>
      <c r="B490" s="111">
        <f>IFERROR(__xludf.DUMMYFUNCTION("""COMPUTED_VALUE"""),10.0)</f>
        <v>10</v>
      </c>
      <c r="C490" s="79" t="str">
        <f>IFERROR(__xludf.DUMMYFUNCTION("""COMPUTED_VALUE"""),"323 - June internet")</f>
        <v>323 - June internet</v>
      </c>
      <c r="D490" s="79" t="str">
        <f>IFERROR(__xludf.DUMMYFUNCTION("""COMPUTED_VALUE"""),"Studio")</f>
        <v>Studio</v>
      </c>
      <c r="E490" s="108" t="str">
        <f t="shared" si="1"/>
        <v>Jul</v>
      </c>
      <c r="F490" s="79" t="str">
        <f>IFERROR(__xludf.DUMMYFUNCTION("""COMPUTED_VALUE"""),"Shaeffer")</f>
        <v>Shaeffer</v>
      </c>
    </row>
    <row r="491">
      <c r="A491" s="85">
        <f>IFERROR(__xludf.DUMMYFUNCTION("""COMPUTED_VALUE"""),45447.0)</f>
        <v>45447</v>
      </c>
      <c r="B491" s="111">
        <f>IFERROR(__xludf.DUMMYFUNCTION("""COMPUTED_VALUE"""),252.8)</f>
        <v>252.8</v>
      </c>
      <c r="C491" s="79" t="str">
        <f>IFERROR(__xludf.DUMMYFUNCTION("""COMPUTED_VALUE"""),"Jet Blue - Belize flights ")</f>
        <v>Jet Blue - Belize flights </v>
      </c>
      <c r="D491" s="79" t="str">
        <f>IFERROR(__xludf.DUMMYFUNCTION("""COMPUTED_VALUE"""),"Travel")</f>
        <v>Travel</v>
      </c>
      <c r="E491" s="108" t="str">
        <f t="shared" si="1"/>
        <v>Jun</v>
      </c>
      <c r="F491" s="79" t="str">
        <f>IFERROR(__xludf.DUMMYFUNCTION("""COMPUTED_VALUE"""),"Shaeffer")</f>
        <v>Shaeffer</v>
      </c>
    </row>
    <row r="492">
      <c r="A492" s="85">
        <f>IFERROR(__xludf.DUMMYFUNCTION("""COMPUTED_VALUE"""),45456.0)</f>
        <v>45456</v>
      </c>
      <c r="B492" s="111">
        <f>IFERROR(__xludf.DUMMYFUNCTION("""COMPUTED_VALUE"""),16.76)</f>
        <v>16.76</v>
      </c>
      <c r="C492" s="79" t="str">
        <f>IFERROR(__xludf.DUMMYFUNCTION("""COMPUTED_VALUE"""),"Lilis Victorian")</f>
        <v>Lilis Victorian</v>
      </c>
      <c r="D492" s="79" t="str">
        <f>IFERROR(__xludf.DUMMYFUNCTION("""COMPUTED_VALUE"""),"Alcohol/Weed")</f>
        <v>Alcohol/Weed</v>
      </c>
      <c r="E492" s="108" t="str">
        <f t="shared" si="1"/>
        <v>Jun</v>
      </c>
      <c r="F492" s="79" t="str">
        <f>IFERROR(__xludf.DUMMYFUNCTION("""COMPUTED_VALUE"""),"Shaeffer")</f>
        <v>Shaeffer</v>
      </c>
    </row>
    <row r="493">
      <c r="A493" s="85">
        <f>IFERROR(__xludf.DUMMYFUNCTION("""COMPUTED_VALUE"""),45457.0)</f>
        <v>45457</v>
      </c>
      <c r="B493" s="111">
        <f>IFERROR(__xludf.DUMMYFUNCTION("""COMPUTED_VALUE"""),8.12)</f>
        <v>8.12</v>
      </c>
      <c r="C493" s="79" t="str">
        <f>IFERROR(__xludf.DUMMYFUNCTION("""COMPUTED_VALUE"""),"God Bless Deli")</f>
        <v>God Bless Deli</v>
      </c>
      <c r="D493" s="79" t="str">
        <f>IFERROR(__xludf.DUMMYFUNCTION("""COMPUTED_VALUE"""),"Meals")</f>
        <v>Meals</v>
      </c>
      <c r="E493" s="108" t="str">
        <f t="shared" si="1"/>
        <v>Jun</v>
      </c>
      <c r="F493" s="79" t="str">
        <f>IFERROR(__xludf.DUMMYFUNCTION("""COMPUTED_VALUE"""),"Shaeffer")</f>
        <v>Shaeffer</v>
      </c>
    </row>
    <row r="494">
      <c r="A494" s="85">
        <f>IFERROR(__xludf.DUMMYFUNCTION("""COMPUTED_VALUE"""),45461.0)</f>
        <v>45461</v>
      </c>
      <c r="B494" s="111">
        <f>IFERROR(__xludf.DUMMYFUNCTION("""COMPUTED_VALUE"""),37.0)</f>
        <v>37</v>
      </c>
      <c r="C494" s="79" t="str">
        <f>IFERROR(__xludf.DUMMYFUNCTION("""COMPUTED_VALUE"""),"Big Tree Bottles")</f>
        <v>Big Tree Bottles</v>
      </c>
      <c r="D494" s="79" t="str">
        <f>IFERROR(__xludf.DUMMYFUNCTION("""COMPUTED_VALUE"""),"Alcohol/Weed")</f>
        <v>Alcohol/Weed</v>
      </c>
      <c r="E494" s="108" t="str">
        <f t="shared" si="1"/>
        <v>Jun</v>
      </c>
      <c r="F494" s="79" t="str">
        <f>IFERROR(__xludf.DUMMYFUNCTION("""COMPUTED_VALUE"""),"Shaeffer")</f>
        <v>Shaeffer</v>
      </c>
    </row>
    <row r="495">
      <c r="A495" s="85">
        <f>IFERROR(__xludf.DUMMYFUNCTION("""COMPUTED_VALUE"""),45468.0)</f>
        <v>45468</v>
      </c>
      <c r="B495" s="111">
        <f>IFERROR(__xludf.DUMMYFUNCTION("""COMPUTED_VALUE"""),4.63)</f>
        <v>4.63</v>
      </c>
      <c r="C495" s="79" t="str">
        <f>IFERROR(__xludf.DUMMYFUNCTION("""COMPUTED_VALUE"""),"Bites and Sips")</f>
        <v>Bites and Sips</v>
      </c>
      <c r="D495" s="79" t="str">
        <f>IFERROR(__xludf.DUMMYFUNCTION("""COMPUTED_VALUE"""),"Meals")</f>
        <v>Meals</v>
      </c>
      <c r="E495" s="108" t="str">
        <f t="shared" si="1"/>
        <v>Jun</v>
      </c>
      <c r="F495" s="79" t="str">
        <f>IFERROR(__xludf.DUMMYFUNCTION("""COMPUTED_VALUE"""),"Shaeffer")</f>
        <v>Shaeffer</v>
      </c>
    </row>
    <row r="496">
      <c r="A496" s="85">
        <f>IFERROR(__xludf.DUMMYFUNCTION("""COMPUTED_VALUE"""),45468.0)</f>
        <v>45468</v>
      </c>
      <c r="B496" s="111">
        <f>IFERROR(__xludf.DUMMYFUNCTION("""COMPUTED_VALUE"""),25.03)</f>
        <v>25.03</v>
      </c>
      <c r="C496" s="79" t="str">
        <f>IFERROR(__xludf.DUMMYFUNCTION("""COMPUTED_VALUE"""),"Irving Bottle")</f>
        <v>Irving Bottle</v>
      </c>
      <c r="D496" s="79" t="str">
        <f>IFERROR(__xludf.DUMMYFUNCTION("""COMPUTED_VALUE"""),"Alcohol/Weed")</f>
        <v>Alcohol/Weed</v>
      </c>
      <c r="E496" s="108" t="str">
        <f t="shared" si="1"/>
        <v>Jun</v>
      </c>
      <c r="F496" s="79" t="str">
        <f>IFERROR(__xludf.DUMMYFUNCTION("""COMPUTED_VALUE"""),"Shaeffer")</f>
        <v>Shaeffer</v>
      </c>
    </row>
    <row r="497">
      <c r="A497" s="85">
        <f>IFERROR(__xludf.DUMMYFUNCTION("""COMPUTED_VALUE"""),45471.0)</f>
        <v>45471</v>
      </c>
      <c r="B497" s="111">
        <f>IFERROR(__xludf.DUMMYFUNCTION("""COMPUTED_VALUE"""),30.9)</f>
        <v>30.9</v>
      </c>
      <c r="C497" s="79" t="str">
        <f>IFERROR(__xludf.DUMMYFUNCTION("""COMPUTED_VALUE"""),"HawkHouse")</f>
        <v>HawkHouse</v>
      </c>
      <c r="D497" s="79" t="str">
        <f>IFERROR(__xludf.DUMMYFUNCTION("""COMPUTED_VALUE"""),"Personal")</f>
        <v>Personal</v>
      </c>
      <c r="E497" s="108" t="str">
        <f t="shared" si="1"/>
        <v>Jun</v>
      </c>
      <c r="F497" s="79" t="str">
        <f>IFERROR(__xludf.DUMMYFUNCTION("""COMPUTED_VALUE"""),"Shaeffer")</f>
        <v>Shaeffer</v>
      </c>
    </row>
    <row r="498">
      <c r="A498" s="85">
        <f>IFERROR(__xludf.DUMMYFUNCTION("""COMPUTED_VALUE"""),45472.0)</f>
        <v>45472</v>
      </c>
      <c r="B498" s="111">
        <f>IFERROR(__xludf.DUMMYFUNCTION("""COMPUTED_VALUE"""),82.0)</f>
        <v>82</v>
      </c>
      <c r="C498" s="79" t="str">
        <f>IFERROR(__xludf.DUMMYFUNCTION("""COMPUTED_VALUE"""),"Risk Boutique - Pink Balloon")</f>
        <v>Risk Boutique - Pink Balloon</v>
      </c>
      <c r="D498" s="79" t="str">
        <f>IFERROR(__xludf.DUMMYFUNCTION("""COMPUTED_VALUE"""),"Studio")</f>
        <v>Studio</v>
      </c>
      <c r="E498" s="108" t="str">
        <f t="shared" si="1"/>
        <v>Jun</v>
      </c>
      <c r="F498" s="79" t="str">
        <f>IFERROR(__xludf.DUMMYFUNCTION("""COMPUTED_VALUE"""),"Shaeffer")</f>
        <v>Shaeffer</v>
      </c>
    </row>
    <row r="499">
      <c r="A499" s="85">
        <f>IFERROR(__xludf.DUMMYFUNCTION("""COMPUTED_VALUE"""),45473.0)</f>
        <v>45473</v>
      </c>
      <c r="B499" s="111">
        <f>IFERROR(__xludf.DUMMYFUNCTION("""COMPUTED_VALUE"""),37.5)</f>
        <v>37.5</v>
      </c>
      <c r="C499" s="79" t="str">
        <f>IFERROR(__xludf.DUMMYFUNCTION("""COMPUTED_VALUE"""),"Zatar Cafe")</f>
        <v>Zatar Cafe</v>
      </c>
      <c r="D499" s="79" t="str">
        <f>IFERROR(__xludf.DUMMYFUNCTION("""COMPUTED_VALUE"""),"Meals")</f>
        <v>Meals</v>
      </c>
      <c r="E499" s="108" t="str">
        <f t="shared" si="1"/>
        <v>Jun</v>
      </c>
      <c r="F499" s="79" t="str">
        <f>IFERROR(__xludf.DUMMYFUNCTION("""COMPUTED_VALUE"""),"Shaeffer")</f>
        <v>Shaeffer</v>
      </c>
    </row>
    <row r="500">
      <c r="A500" s="85">
        <f>IFERROR(__xludf.DUMMYFUNCTION("""COMPUTED_VALUE"""),45474.0)</f>
        <v>45474</v>
      </c>
      <c r="B500" s="111">
        <f>IFERROR(__xludf.DUMMYFUNCTION("""COMPUTED_VALUE"""),71.85)</f>
        <v>71.85</v>
      </c>
      <c r="C500" s="79" t="str">
        <f>IFERROR(__xludf.DUMMYFUNCTION("""COMPUTED_VALUE"""),"Korres")</f>
        <v>Korres</v>
      </c>
      <c r="D500" s="79" t="str">
        <f>IFERROR(__xludf.DUMMYFUNCTION("""COMPUTED_VALUE"""),"Personal")</f>
        <v>Personal</v>
      </c>
      <c r="E500" s="108" t="str">
        <f t="shared" si="1"/>
        <v>Jul</v>
      </c>
      <c r="F500" s="79" t="str">
        <f>IFERROR(__xludf.DUMMYFUNCTION("""COMPUTED_VALUE"""),"Shaeffer")</f>
        <v>Shaeffer</v>
      </c>
    </row>
    <row r="501">
      <c r="A501" s="85">
        <f>IFERROR(__xludf.DUMMYFUNCTION("""COMPUTED_VALUE"""),45478.0)</f>
        <v>45478</v>
      </c>
      <c r="B501" s="111">
        <f>IFERROR(__xludf.DUMMYFUNCTION("""COMPUTED_VALUE"""),31.5)</f>
        <v>31.5</v>
      </c>
      <c r="C501" s="79" t="str">
        <f>IFERROR(__xludf.DUMMYFUNCTION("""COMPUTED_VALUE"""),"Promised Land")</f>
        <v>Promised Land</v>
      </c>
      <c r="D501" s="79" t="str">
        <f>IFERROR(__xludf.DUMMYFUNCTION("""COMPUTED_VALUE"""),"Clothing")</f>
        <v>Clothing</v>
      </c>
      <c r="E501" s="108" t="str">
        <f t="shared" si="1"/>
        <v>Jul</v>
      </c>
      <c r="F501" s="79" t="str">
        <f>IFERROR(__xludf.DUMMYFUNCTION("""COMPUTED_VALUE"""),"Shaeffer")</f>
        <v>Shaeffer</v>
      </c>
    </row>
    <row r="502">
      <c r="A502" s="85">
        <f>IFERROR(__xludf.DUMMYFUNCTION("""COMPUTED_VALUE"""),45475.0)</f>
        <v>45475</v>
      </c>
      <c r="B502" s="111">
        <f>IFERROR(__xludf.DUMMYFUNCTION("""COMPUTED_VALUE"""),40.0)</f>
        <v>40</v>
      </c>
      <c r="C502" s="79" t="str">
        <f>IFERROR(__xludf.DUMMYFUNCTION("""COMPUTED_VALUE"""),"Tini Tuesday cash Tip")</f>
        <v>Tini Tuesday cash Tip</v>
      </c>
      <c r="D502" s="79" t="str">
        <f>IFERROR(__xludf.DUMMYFUNCTION("""COMPUTED_VALUE"""),"Entertainment")</f>
        <v>Entertainment</v>
      </c>
      <c r="E502" s="108" t="str">
        <f t="shared" si="1"/>
        <v>Jul</v>
      </c>
      <c r="F502" s="79" t="str">
        <f>IFERROR(__xludf.DUMMYFUNCTION("""COMPUTED_VALUE"""),"Shaeffer")</f>
        <v>Shaeffer</v>
      </c>
    </row>
    <row r="503">
      <c r="A503" s="85">
        <f>IFERROR(__xludf.DUMMYFUNCTION("""COMPUTED_VALUE"""),45446.0)</f>
        <v>45446</v>
      </c>
      <c r="B503" s="111">
        <f>IFERROR(__xludf.DUMMYFUNCTION("""COMPUTED_VALUE"""),66.48)</f>
        <v>66.48</v>
      </c>
      <c r="C503" s="79" t="str">
        <f>IFERROR(__xludf.DUMMYFUNCTION("""COMPUTED_VALUE"""),"323 - May &amp; June Mailroom, April Electric")</f>
        <v>323 - May &amp; June Mailroom, April Electric</v>
      </c>
      <c r="D503" s="79" t="str">
        <f>IFERROR(__xludf.DUMMYFUNCTION("""COMPUTED_VALUE"""),"Studio")</f>
        <v>Studio</v>
      </c>
      <c r="E503" s="108" t="str">
        <f t="shared" si="1"/>
        <v>Jun</v>
      </c>
      <c r="F503" s="79" t="str">
        <f>IFERROR(__xludf.DUMMYFUNCTION("""COMPUTED_VALUE"""),"Shaeffer")</f>
        <v>Shaeffer</v>
      </c>
    </row>
    <row r="504">
      <c r="A504" s="85">
        <f>IFERROR(__xludf.DUMMYFUNCTION("""COMPUTED_VALUE"""),45457.0)</f>
        <v>45457</v>
      </c>
      <c r="B504" s="111">
        <f>IFERROR(__xludf.DUMMYFUNCTION("""COMPUTED_VALUE"""),40.33)</f>
        <v>40.33</v>
      </c>
      <c r="C504" s="79" t="str">
        <f>IFERROR(__xludf.DUMMYFUNCTION("""COMPUTED_VALUE"""),"323 - May electric")</f>
        <v>323 - May electric</v>
      </c>
      <c r="D504" s="79" t="str">
        <f>IFERROR(__xludf.DUMMYFUNCTION("""COMPUTED_VALUE"""),"Studio")</f>
        <v>Studio</v>
      </c>
      <c r="E504" s="108" t="str">
        <f t="shared" si="1"/>
        <v>Jun</v>
      </c>
      <c r="F504" s="79" t="str">
        <f>IFERROR(__xludf.DUMMYFUNCTION("""COMPUTED_VALUE"""),"Shaeffer")</f>
        <v>Shaeffer</v>
      </c>
    </row>
    <row r="505">
      <c r="A505" s="85">
        <f>IFERROR(__xludf.DUMMYFUNCTION("""COMPUTED_VALUE"""),45457.0)</f>
        <v>45457</v>
      </c>
      <c r="B505" s="111">
        <f>IFERROR(__xludf.DUMMYFUNCTION("""COMPUTED_VALUE"""),226.11)</f>
        <v>226.11</v>
      </c>
      <c r="C505" s="79" t="str">
        <f>IFERROR(__xludf.DUMMYFUNCTION("""COMPUTED_VALUE"""),"323 - annual insurance")</f>
        <v>323 - annual insurance</v>
      </c>
      <c r="D505" s="79" t="str">
        <f>IFERROR(__xludf.DUMMYFUNCTION("""COMPUTED_VALUE"""),"Studio")</f>
        <v>Studio</v>
      </c>
      <c r="E505" s="108" t="str">
        <f t="shared" si="1"/>
        <v>Jun</v>
      </c>
      <c r="F505" s="79" t="str">
        <f>IFERROR(__xludf.DUMMYFUNCTION("""COMPUTED_VALUE"""),"Shaeffer")</f>
        <v>Shaeffer</v>
      </c>
    </row>
    <row r="506">
      <c r="A506" s="85">
        <f>IFERROR(__xludf.DUMMYFUNCTION("""COMPUTED_VALUE"""),45463.0)</f>
        <v>45463</v>
      </c>
      <c r="B506" s="111">
        <f>IFERROR(__xludf.DUMMYFUNCTION("""COMPUTED_VALUE"""),38.0)</f>
        <v>38</v>
      </c>
      <c r="C506" s="79" t="str">
        <f>IFERROR(__xludf.DUMMYFUNCTION("""COMPUTED_VALUE"""),"Cookies ")</f>
        <v>Cookies </v>
      </c>
      <c r="D506" s="79" t="str">
        <f>IFERROR(__xludf.DUMMYFUNCTION("""COMPUTED_VALUE"""),"Alcohol/Weed")</f>
        <v>Alcohol/Weed</v>
      </c>
      <c r="E506" s="108" t="str">
        <f t="shared" si="1"/>
        <v>Jun</v>
      </c>
      <c r="F506" s="79" t="str">
        <f>IFERROR(__xludf.DUMMYFUNCTION("""COMPUTED_VALUE"""),"Shaeffer")</f>
        <v>Shaeffer</v>
      </c>
    </row>
    <row r="507">
      <c r="A507" s="85">
        <f>IFERROR(__xludf.DUMMYFUNCTION("""COMPUTED_VALUE"""),45464.0)</f>
        <v>45464</v>
      </c>
      <c r="B507" s="111">
        <f>IFERROR(__xludf.DUMMYFUNCTION("""COMPUTED_VALUE"""),6.0)</f>
        <v>6</v>
      </c>
      <c r="C507" s="79" t="str">
        <f>IFERROR(__xludf.DUMMYFUNCTION("""COMPUTED_VALUE"""),"non chase atm fee")</f>
        <v>non chase atm fee</v>
      </c>
      <c r="D507" s="79" t="str">
        <f>IFERROR(__xludf.DUMMYFUNCTION("""COMPUTED_VALUE"""),"Personal")</f>
        <v>Personal</v>
      </c>
      <c r="E507" s="108" t="str">
        <f t="shared" si="1"/>
        <v>Jun</v>
      </c>
      <c r="F507" s="79" t="str">
        <f>IFERROR(__xludf.DUMMYFUNCTION("""COMPUTED_VALUE"""),"Shaeffer")</f>
        <v>Shaeffer</v>
      </c>
    </row>
    <row r="508">
      <c r="A508" s="85">
        <f>IFERROR(__xludf.DUMMYFUNCTION("""COMPUTED_VALUE"""),45450.0)</f>
        <v>45450</v>
      </c>
      <c r="B508" s="111">
        <f>IFERROR(__xludf.DUMMYFUNCTION("""COMPUTED_VALUE"""),375.0)</f>
        <v>375</v>
      </c>
      <c r="C508" s="79" t="str">
        <f>IFERROR(__xludf.DUMMYFUNCTION("""COMPUTED_VALUE"""),"323 July Rent")</f>
        <v>323 July Rent</v>
      </c>
      <c r="D508" s="79" t="str">
        <f>IFERROR(__xludf.DUMMYFUNCTION("""COMPUTED_VALUE"""),"Studio")</f>
        <v>Studio</v>
      </c>
      <c r="E508" s="108" t="str">
        <f t="shared" si="1"/>
        <v>Jun</v>
      </c>
      <c r="F508" s="79" t="str">
        <f>IFERROR(__xludf.DUMMYFUNCTION("""COMPUTED_VALUE"""),"Shaeffer")</f>
        <v>Shaeffer</v>
      </c>
    </row>
    <row r="509">
      <c r="A509" s="85">
        <f>IFERROR(__xludf.DUMMYFUNCTION("""COMPUTED_VALUE"""),45444.0)</f>
        <v>45444</v>
      </c>
      <c r="B509" s="111">
        <f>IFERROR(__xludf.DUMMYFUNCTION("""COMPUTED_VALUE"""),28.75)</f>
        <v>28.75</v>
      </c>
      <c r="C509" s="79" t="str">
        <f>IFERROR(__xludf.DUMMYFUNCTION("""COMPUTED_VALUE"""),"Harumatsu")</f>
        <v>Harumatsu</v>
      </c>
      <c r="D509" s="79" t="str">
        <f>IFERROR(__xludf.DUMMYFUNCTION("""COMPUTED_VALUE"""),"Work Meals")</f>
        <v>Work Meals</v>
      </c>
      <c r="E509" s="108" t="str">
        <f t="shared" si="1"/>
        <v>Jun</v>
      </c>
      <c r="F509" s="79" t="str">
        <f>IFERROR(__xludf.DUMMYFUNCTION("""COMPUTED_VALUE"""),"Shaeffer")</f>
        <v>Shaeffer</v>
      </c>
    </row>
    <row r="510">
      <c r="A510" s="85">
        <f>IFERROR(__xludf.DUMMYFUNCTION("""COMPUTED_VALUE"""),45445.0)</f>
        <v>45445</v>
      </c>
      <c r="B510" s="111">
        <f>IFERROR(__xludf.DUMMYFUNCTION("""COMPUTED_VALUE"""),21.81)</f>
        <v>21.81</v>
      </c>
      <c r="C510" s="79" t="str">
        <f>IFERROR(__xludf.DUMMYFUNCTION("""COMPUTED_VALUE"""),"Irving Bottle")</f>
        <v>Irving Bottle</v>
      </c>
      <c r="D510" s="79" t="str">
        <f>IFERROR(__xludf.DUMMYFUNCTION("""COMPUTED_VALUE"""),"Alcohol/Weed")</f>
        <v>Alcohol/Weed</v>
      </c>
      <c r="E510" s="108" t="str">
        <f t="shared" si="1"/>
        <v>Jun</v>
      </c>
      <c r="F510" s="79" t="str">
        <f>IFERROR(__xludf.DUMMYFUNCTION("""COMPUTED_VALUE"""),"Shaeffer")</f>
        <v>Shaeffer</v>
      </c>
    </row>
    <row r="511">
      <c r="A511" s="85">
        <f>IFERROR(__xludf.DUMMYFUNCTION("""COMPUTED_VALUE"""),45451.0)</f>
        <v>45451</v>
      </c>
      <c r="B511" s="111">
        <f>IFERROR(__xludf.DUMMYFUNCTION("""COMPUTED_VALUE"""),14.68)</f>
        <v>14.68</v>
      </c>
      <c r="C511" s="79" t="str">
        <f>IFERROR(__xludf.DUMMYFUNCTION("""COMPUTED_VALUE"""),"Food Story")</f>
        <v>Food Story</v>
      </c>
      <c r="D511" s="79" t="str">
        <f>IFERROR(__xludf.DUMMYFUNCTION("""COMPUTED_VALUE"""),"Work Meals")</f>
        <v>Work Meals</v>
      </c>
      <c r="E511" s="108" t="str">
        <f t="shared" si="1"/>
        <v>Jun</v>
      </c>
      <c r="F511" s="79" t="str">
        <f>IFERROR(__xludf.DUMMYFUNCTION("""COMPUTED_VALUE"""),"Shaeffer")</f>
        <v>Shaeffer</v>
      </c>
    </row>
    <row r="512">
      <c r="A512" s="85">
        <f>IFERROR(__xludf.DUMMYFUNCTION("""COMPUTED_VALUE"""),45457.0)</f>
        <v>45457</v>
      </c>
      <c r="B512" s="111">
        <f>IFERROR(__xludf.DUMMYFUNCTION("""COMPUTED_VALUE"""),17.6)</f>
        <v>17.6</v>
      </c>
      <c r="C512" s="79" t="str">
        <f>IFERROR(__xludf.DUMMYFUNCTION("""COMPUTED_VALUE"""),"wig stuff")</f>
        <v>wig stuff</v>
      </c>
      <c r="D512" s="79" t="str">
        <f>IFERROR(__xludf.DUMMYFUNCTION("""COMPUTED_VALUE"""),"Studio")</f>
        <v>Studio</v>
      </c>
      <c r="E512" s="108" t="str">
        <f t="shared" si="1"/>
        <v>Jun</v>
      </c>
      <c r="F512" s="79" t="str">
        <f>IFERROR(__xludf.DUMMYFUNCTION("""COMPUTED_VALUE"""),"Shaeffer")</f>
        <v>Shaeffer</v>
      </c>
    </row>
    <row r="513">
      <c r="A513" s="85">
        <f>IFERROR(__xludf.DUMMYFUNCTION("""COMPUTED_VALUE"""),45458.0)</f>
        <v>45458</v>
      </c>
      <c r="B513" s="111">
        <f>IFERROR(__xludf.DUMMYFUNCTION("""COMPUTED_VALUE"""),119.0)</f>
        <v>119</v>
      </c>
      <c r="C513" s="79" t="str">
        <f>IFERROR(__xludf.DUMMYFUNCTION("""COMPUTED_VALUE"""),"YMCA")</f>
        <v>YMCA</v>
      </c>
      <c r="D513" s="79" t="str">
        <f>IFERROR(__xludf.DUMMYFUNCTION("""COMPUTED_VALUE"""),"Gym")</f>
        <v>Gym</v>
      </c>
      <c r="E513" s="108" t="str">
        <f t="shared" si="1"/>
        <v>Jun</v>
      </c>
      <c r="F513" s="79" t="str">
        <f>IFERROR(__xludf.DUMMYFUNCTION("""COMPUTED_VALUE"""),"Shaeffer")</f>
        <v>Shaeffer</v>
      </c>
    </row>
    <row r="514">
      <c r="A514" s="85">
        <f>IFERROR(__xludf.DUMMYFUNCTION("""COMPUTED_VALUE"""),45458.0)</f>
        <v>45458</v>
      </c>
      <c r="B514" s="111">
        <f>IFERROR(__xludf.DUMMYFUNCTION("""COMPUTED_VALUE"""),8.53)</f>
        <v>8.53</v>
      </c>
      <c r="C514" s="79" t="str">
        <f>IFERROR(__xludf.DUMMYFUNCTION("""COMPUTED_VALUE"""),"Harumatsu")</f>
        <v>Harumatsu</v>
      </c>
      <c r="D514" s="79" t="str">
        <f>IFERROR(__xludf.DUMMYFUNCTION("""COMPUTED_VALUE"""),"Work Meals")</f>
        <v>Work Meals</v>
      </c>
      <c r="E514" s="108" t="str">
        <f t="shared" si="1"/>
        <v>Jun</v>
      </c>
      <c r="F514" s="79" t="str">
        <f>IFERROR(__xludf.DUMMYFUNCTION("""COMPUTED_VALUE"""),"Shaeffer")</f>
        <v>Shaeffer</v>
      </c>
    </row>
    <row r="515">
      <c r="A515" s="85">
        <f>IFERROR(__xludf.DUMMYFUNCTION("""COMPUTED_VALUE"""),45458.0)</f>
        <v>45458</v>
      </c>
      <c r="B515" s="111">
        <f>IFERROR(__xludf.DUMMYFUNCTION("""COMPUTED_VALUE"""),9.99)</f>
        <v>9.99</v>
      </c>
      <c r="C515" s="79" t="str">
        <f>IFERROR(__xludf.DUMMYFUNCTION("""COMPUTED_VALUE"""),"Mr Lemon")</f>
        <v>Mr Lemon</v>
      </c>
      <c r="D515" s="79" t="str">
        <f>IFERROR(__xludf.DUMMYFUNCTION("""COMPUTED_VALUE"""),"Groceries")</f>
        <v>Groceries</v>
      </c>
      <c r="E515" s="108" t="str">
        <f t="shared" si="1"/>
        <v>Jun</v>
      </c>
      <c r="F515" s="79" t="str">
        <f>IFERROR(__xludf.DUMMYFUNCTION("""COMPUTED_VALUE"""),"Shaeffer")</f>
        <v>Shaeffer</v>
      </c>
    </row>
    <row r="516">
      <c r="A516" s="85">
        <f>IFERROR(__xludf.DUMMYFUNCTION("""COMPUTED_VALUE"""),45462.0)</f>
        <v>45462</v>
      </c>
      <c r="B516" s="111">
        <f>IFERROR(__xludf.DUMMYFUNCTION("""COMPUTED_VALUE"""),18.01)</f>
        <v>18.01</v>
      </c>
      <c r="C516" s="79" t="str">
        <f>IFERROR(__xludf.DUMMYFUNCTION("""COMPUTED_VALUE"""),"inovative eats")</f>
        <v>inovative eats</v>
      </c>
      <c r="D516" s="79" t="str">
        <f>IFERROR(__xludf.DUMMYFUNCTION("""COMPUTED_VALUE"""),"Work Meals")</f>
        <v>Work Meals</v>
      </c>
      <c r="E516" s="108" t="str">
        <f t="shared" si="1"/>
        <v>Jun</v>
      </c>
      <c r="F516" s="79" t="str">
        <f>IFERROR(__xludf.DUMMYFUNCTION("""COMPUTED_VALUE"""),"Shaeffer")</f>
        <v>Shaeffer</v>
      </c>
    </row>
    <row r="517">
      <c r="A517" s="85">
        <f>IFERROR(__xludf.DUMMYFUNCTION("""COMPUTED_VALUE"""),45464.0)</f>
        <v>45464</v>
      </c>
      <c r="B517" s="111">
        <f>IFERROR(__xludf.DUMMYFUNCTION("""COMPUTED_VALUE"""),19.55)</f>
        <v>19.55</v>
      </c>
      <c r="C517" s="79" t="str">
        <f>IFERROR(__xludf.DUMMYFUNCTION("""COMPUTED_VALUE"""),"ABC Beers")</f>
        <v>ABC Beers</v>
      </c>
      <c r="D517" s="79" t="str">
        <f>IFERROR(__xludf.DUMMYFUNCTION("""COMPUTED_VALUE"""),"Alcohol/Weed")</f>
        <v>Alcohol/Weed</v>
      </c>
      <c r="E517" s="108" t="str">
        <f t="shared" si="1"/>
        <v>Jun</v>
      </c>
      <c r="F517" s="79" t="str">
        <f>IFERROR(__xludf.DUMMYFUNCTION("""COMPUTED_VALUE"""),"Shaeffer")</f>
        <v>Shaeffer</v>
      </c>
    </row>
    <row r="518">
      <c r="A518" s="85">
        <f>IFERROR(__xludf.DUMMYFUNCTION("""COMPUTED_VALUE"""),45467.0)</f>
        <v>45467</v>
      </c>
      <c r="B518" s="111">
        <f>IFERROR(__xludf.DUMMYFUNCTION("""COMPUTED_VALUE"""),105.0)</f>
        <v>105</v>
      </c>
      <c r="C518" s="79" t="str">
        <f>IFERROR(__xludf.DUMMYFUNCTION("""COMPUTED_VALUE"""),"Porter Air")</f>
        <v>Porter Air</v>
      </c>
      <c r="D518" s="79" t="str">
        <f>IFERROR(__xludf.DUMMYFUNCTION("""COMPUTED_VALUE"""),"Travel")</f>
        <v>Travel</v>
      </c>
      <c r="E518" s="108" t="str">
        <f t="shared" si="1"/>
        <v>Jun</v>
      </c>
      <c r="F518" s="79" t="str">
        <f>IFERROR(__xludf.DUMMYFUNCTION("""COMPUTED_VALUE"""),"Shaeffer")</f>
        <v>Shaeffer</v>
      </c>
    </row>
    <row r="519">
      <c r="A519" s="85">
        <f>IFERROR(__xludf.DUMMYFUNCTION("""COMPUTED_VALUE"""),45468.0)</f>
        <v>45468</v>
      </c>
      <c r="B519" s="111">
        <f>IFERROR(__xludf.DUMMYFUNCTION("""COMPUTED_VALUE"""),5.9)</f>
        <v>5.9</v>
      </c>
      <c r="C519" s="79" t="str">
        <f>IFERROR(__xludf.DUMMYFUNCTION("""COMPUTED_VALUE"""),"Variety")</f>
        <v>Variety</v>
      </c>
      <c r="D519" s="79" t="str">
        <f>IFERROR(__xludf.DUMMYFUNCTION("""COMPUTED_VALUE"""),"Work Meals")</f>
        <v>Work Meals</v>
      </c>
      <c r="E519" s="108" t="str">
        <f t="shared" si="1"/>
        <v>Jun</v>
      </c>
      <c r="F519" s="79" t="str">
        <f>IFERROR(__xludf.DUMMYFUNCTION("""COMPUTED_VALUE"""),"Shaeffer")</f>
        <v>Shaeffer</v>
      </c>
    </row>
    <row r="520">
      <c r="A520" s="85">
        <f>IFERROR(__xludf.DUMMYFUNCTION("""COMPUTED_VALUE"""),45469.0)</f>
        <v>45469</v>
      </c>
      <c r="B520" s="111">
        <f>IFERROR(__xludf.DUMMYFUNCTION("""COMPUTED_VALUE"""),111.06)</f>
        <v>111.06</v>
      </c>
      <c r="C520" s="79" t="str">
        <f>IFERROR(__xludf.DUMMYFUNCTION("""COMPUTED_VALUE"""),"Sephora")</f>
        <v>Sephora</v>
      </c>
      <c r="D520" s="79" t="str">
        <f>IFERROR(__xludf.DUMMYFUNCTION("""COMPUTED_VALUE"""),"Personal")</f>
        <v>Personal</v>
      </c>
      <c r="E520" s="108" t="str">
        <f t="shared" si="1"/>
        <v>Jun</v>
      </c>
      <c r="F520" s="79" t="str">
        <f>IFERROR(__xludf.DUMMYFUNCTION("""COMPUTED_VALUE"""),"Shaeffer")</f>
        <v>Shaeffer</v>
      </c>
    </row>
    <row r="521">
      <c r="A521" s="85">
        <f>IFERROR(__xludf.DUMMYFUNCTION("""COMPUTED_VALUE"""),45469.0)</f>
        <v>45469</v>
      </c>
      <c r="B521" s="111">
        <f>IFERROR(__xludf.DUMMYFUNCTION("""COMPUTED_VALUE"""),13.07)</f>
        <v>13.07</v>
      </c>
      <c r="C521" s="79" t="str">
        <f>IFERROR(__xludf.DUMMYFUNCTION("""COMPUTED_VALUE"""),"Gotham Coffee")</f>
        <v>Gotham Coffee</v>
      </c>
      <c r="D521" s="79" t="str">
        <f>IFERROR(__xludf.DUMMYFUNCTION("""COMPUTED_VALUE"""),"Work Meals")</f>
        <v>Work Meals</v>
      </c>
      <c r="E521" s="108" t="str">
        <f t="shared" si="1"/>
        <v>Jun</v>
      </c>
      <c r="F521" s="79" t="str">
        <f>IFERROR(__xludf.DUMMYFUNCTION("""COMPUTED_VALUE"""),"Shaeffer")</f>
        <v>Shaeffer</v>
      </c>
    </row>
    <row r="522">
      <c r="A522" s="85">
        <f>IFERROR(__xludf.DUMMYFUNCTION("""COMPUTED_VALUE"""),45471.0)</f>
        <v>45471</v>
      </c>
      <c r="B522" s="111">
        <f>IFERROR(__xludf.DUMMYFUNCTION("""COMPUTED_VALUE"""),5.9)</f>
        <v>5.9</v>
      </c>
      <c r="C522" s="79" t="str">
        <f>IFERROR(__xludf.DUMMYFUNCTION("""COMPUTED_VALUE"""),"Variety")</f>
        <v>Variety</v>
      </c>
      <c r="D522" s="79" t="str">
        <f>IFERROR(__xludf.DUMMYFUNCTION("""COMPUTED_VALUE"""),"Work Meals")</f>
        <v>Work Meals</v>
      </c>
      <c r="E522" s="108" t="str">
        <f t="shared" si="1"/>
        <v>Jun</v>
      </c>
      <c r="F522" s="79" t="str">
        <f>IFERROR(__xludf.DUMMYFUNCTION("""COMPUTED_VALUE"""),"Shaeffer")</f>
        <v>Shaeffer</v>
      </c>
    </row>
    <row r="523">
      <c r="A523" s="85">
        <f>IFERROR(__xludf.DUMMYFUNCTION("""COMPUTED_VALUE"""),45471.0)</f>
        <v>45471</v>
      </c>
      <c r="B523" s="111">
        <f>IFERROR(__xludf.DUMMYFUNCTION("""COMPUTED_VALUE"""),50.75)</f>
        <v>50.75</v>
      </c>
      <c r="C523" s="79" t="str">
        <f>IFERROR(__xludf.DUMMYFUNCTION("""COMPUTED_VALUE"""),"Alcohol for Drag March")</f>
        <v>Alcohol for Drag March</v>
      </c>
      <c r="D523" s="79" t="str">
        <f>IFERROR(__xludf.DUMMYFUNCTION("""COMPUTED_VALUE"""),"Alcohol/Weed")</f>
        <v>Alcohol/Weed</v>
      </c>
      <c r="E523" s="108" t="str">
        <f t="shared" si="1"/>
        <v>Jun</v>
      </c>
      <c r="F523" s="79" t="str">
        <f>IFERROR(__xludf.DUMMYFUNCTION("""COMPUTED_VALUE"""),"Shaeffer")</f>
        <v>Shaeffer</v>
      </c>
    </row>
    <row r="524">
      <c r="A524" s="85">
        <f>IFERROR(__xludf.DUMMYFUNCTION("""COMPUTED_VALUE"""),45472.0)</f>
        <v>45472</v>
      </c>
      <c r="B524" s="111">
        <f>IFERROR(__xludf.DUMMYFUNCTION("""COMPUTED_VALUE"""),6.44)</f>
        <v>6.44</v>
      </c>
      <c r="C524" s="79" t="str">
        <f>IFERROR(__xludf.DUMMYFUNCTION("""COMPUTED_VALUE"""),"Crossroads Cafe")</f>
        <v>Crossroads Cafe</v>
      </c>
      <c r="D524" s="79" t="str">
        <f>IFERROR(__xludf.DUMMYFUNCTION("""COMPUTED_VALUE"""),"Meals")</f>
        <v>Meals</v>
      </c>
      <c r="E524" s="108" t="str">
        <f t="shared" si="1"/>
        <v>Jun</v>
      </c>
      <c r="F524" s="79" t="str">
        <f>IFERROR(__xludf.DUMMYFUNCTION("""COMPUTED_VALUE"""),"Shaeffer")</f>
        <v>Shaeffer</v>
      </c>
    </row>
    <row r="525">
      <c r="A525" s="85">
        <f>IFERROR(__xludf.DUMMYFUNCTION("""COMPUTED_VALUE"""),45472.0)</f>
        <v>45472</v>
      </c>
      <c r="B525" s="111">
        <f>IFERROR(__xludf.DUMMYFUNCTION("""COMPUTED_VALUE"""),30.17)</f>
        <v>30.17</v>
      </c>
      <c r="C525" s="79" t="str">
        <f>IFERROR(__xludf.DUMMYFUNCTION("""COMPUTED_VALUE"""),"Seamless - Newtown")</f>
        <v>Seamless - Newtown</v>
      </c>
      <c r="D525" s="79" t="str">
        <f>IFERROR(__xludf.DUMMYFUNCTION("""COMPUTED_VALUE"""),"Meals")</f>
        <v>Meals</v>
      </c>
      <c r="E525" s="108" t="str">
        <f t="shared" si="1"/>
        <v>Jun</v>
      </c>
      <c r="F525" s="79" t="str">
        <f>IFERROR(__xludf.DUMMYFUNCTION("""COMPUTED_VALUE"""),"Shaeffer")</f>
        <v>Shaeffer</v>
      </c>
    </row>
    <row r="526">
      <c r="A526" s="85">
        <f>IFERROR(__xludf.DUMMYFUNCTION("""COMPUTED_VALUE"""),45472.0)</f>
        <v>45472</v>
      </c>
      <c r="B526" s="111">
        <f>IFERROR(__xludf.DUMMYFUNCTION("""COMPUTED_VALUE"""),25.0)</f>
        <v>25</v>
      </c>
      <c r="C526" s="79" t="str">
        <f>IFERROR(__xludf.DUMMYFUNCTION("""COMPUTED_VALUE"""),"El Santo")</f>
        <v>El Santo</v>
      </c>
      <c r="D526" s="79" t="str">
        <f>IFERROR(__xludf.DUMMYFUNCTION("""COMPUTED_VALUE"""),"Meals")</f>
        <v>Meals</v>
      </c>
      <c r="E526" s="108" t="str">
        <f t="shared" si="1"/>
        <v>Jun</v>
      </c>
      <c r="F526" s="79" t="str">
        <f>IFERROR(__xludf.DUMMYFUNCTION("""COMPUTED_VALUE"""),"Shaeffer")</f>
        <v>Shaeffer</v>
      </c>
    </row>
    <row r="527">
      <c r="A527" s="85">
        <f>IFERROR(__xludf.DUMMYFUNCTION("""COMPUTED_VALUE"""),45458.0)</f>
        <v>45458</v>
      </c>
      <c r="B527" s="111">
        <f>IFERROR(__xludf.DUMMYFUNCTION("""COMPUTED_VALUE"""),50.0)</f>
        <v>50</v>
      </c>
      <c r="C527" s="79" t="str">
        <f>IFERROR(__xludf.DUMMYFUNCTION("""COMPUTED_VALUE"""),"El Santo")</f>
        <v>El Santo</v>
      </c>
      <c r="D527" s="79" t="str">
        <f>IFERROR(__xludf.DUMMYFUNCTION("""COMPUTED_VALUE"""),"Work Meals")</f>
        <v>Work Meals</v>
      </c>
      <c r="E527" s="108" t="str">
        <f t="shared" si="1"/>
        <v>Jun</v>
      </c>
      <c r="F527" s="79" t="str">
        <f>IFERROR(__xludf.DUMMYFUNCTION("""COMPUTED_VALUE"""),"Shaeffer")</f>
        <v>Shaeffer</v>
      </c>
    </row>
    <row r="528">
      <c r="A528" s="85">
        <f>IFERROR(__xludf.DUMMYFUNCTION("""COMPUTED_VALUE"""),45473.0)</f>
        <v>45473</v>
      </c>
      <c r="B528" s="111">
        <f>IFERROR(__xludf.DUMMYFUNCTION("""COMPUTED_VALUE"""),5.5)</f>
        <v>5.5</v>
      </c>
      <c r="C528" s="79" t="str">
        <f>IFERROR(__xludf.DUMMYFUNCTION("""COMPUTED_VALUE"""),"Love Story Convenience")</f>
        <v>Love Story Convenience</v>
      </c>
      <c r="D528" s="79" t="str">
        <f>IFERROR(__xludf.DUMMYFUNCTION("""COMPUTED_VALUE"""),"Work Meals")</f>
        <v>Work Meals</v>
      </c>
      <c r="E528" s="108" t="str">
        <f t="shared" si="1"/>
        <v>Jun</v>
      </c>
      <c r="F528" s="79" t="str">
        <f>IFERROR(__xludf.DUMMYFUNCTION("""COMPUTED_VALUE"""),"Shaeffer")</f>
        <v>Shaeffer</v>
      </c>
    </row>
    <row r="529">
      <c r="A529" s="85">
        <f>IFERROR(__xludf.DUMMYFUNCTION("""COMPUTED_VALUE"""),45477.0)</f>
        <v>45477</v>
      </c>
      <c r="B529" s="111">
        <f>IFERROR(__xludf.DUMMYFUNCTION("""COMPUTED_VALUE"""),27.72)</f>
        <v>27.72</v>
      </c>
      <c r="C529" s="79" t="str">
        <f>IFERROR(__xludf.DUMMYFUNCTION("""COMPUTED_VALUE"""),"Bodega")</f>
        <v>Bodega</v>
      </c>
      <c r="D529" s="79" t="str">
        <f>IFERROR(__xludf.DUMMYFUNCTION("""COMPUTED_VALUE"""),"Alcohol/Weed")</f>
        <v>Alcohol/Weed</v>
      </c>
      <c r="E529" s="108" t="str">
        <f t="shared" si="1"/>
        <v>Jul</v>
      </c>
      <c r="F529" s="79" t="str">
        <f>IFERROR(__xludf.DUMMYFUNCTION("""COMPUTED_VALUE"""),"Shaeffer")</f>
        <v>Shaeffer</v>
      </c>
    </row>
    <row r="530">
      <c r="A530" s="85">
        <f>IFERROR(__xludf.DUMMYFUNCTION("""COMPUTED_VALUE"""),45479.0)</f>
        <v>45479</v>
      </c>
      <c r="B530" s="111">
        <f>IFERROR(__xludf.DUMMYFUNCTION("""COMPUTED_VALUE"""),6.72)</f>
        <v>6.72</v>
      </c>
      <c r="C530" s="79" t="str">
        <f>IFERROR(__xludf.DUMMYFUNCTION("""COMPUTED_VALUE"""),"Honey Moon Coffee")</f>
        <v>Honey Moon Coffee</v>
      </c>
      <c r="D530" s="79" t="str">
        <f>IFERROR(__xludf.DUMMYFUNCTION("""COMPUTED_VALUE"""),"Meals")</f>
        <v>Meals</v>
      </c>
      <c r="E530" s="108" t="str">
        <f t="shared" si="1"/>
        <v>Jul</v>
      </c>
      <c r="F530" s="79" t="str">
        <f>IFERROR(__xludf.DUMMYFUNCTION("""COMPUTED_VALUE"""),"Shaeffer")</f>
        <v>Shaeffer</v>
      </c>
    </row>
    <row r="531">
      <c r="A531" s="85">
        <f>IFERROR(__xludf.DUMMYFUNCTION("""COMPUTED_VALUE"""),45479.0)</f>
        <v>45479</v>
      </c>
      <c r="B531" s="111">
        <f>IFERROR(__xludf.DUMMYFUNCTION("""COMPUTED_VALUE"""),108.8)</f>
        <v>108.8</v>
      </c>
      <c r="C531" s="79" t="str">
        <f>IFERROR(__xludf.DUMMYFUNCTION("""COMPUTED_VALUE"""),"Finn Vintage")</f>
        <v>Finn Vintage</v>
      </c>
      <c r="D531" s="79" t="str">
        <f>IFERROR(__xludf.DUMMYFUNCTION("""COMPUTED_VALUE"""),"Clothing")</f>
        <v>Clothing</v>
      </c>
      <c r="E531" s="108" t="str">
        <f t="shared" si="1"/>
        <v>Jul</v>
      </c>
      <c r="F531" s="79" t="str">
        <f>IFERROR(__xludf.DUMMYFUNCTION("""COMPUTED_VALUE"""),"Shaeffer")</f>
        <v>Shaeffer</v>
      </c>
    </row>
    <row r="532">
      <c r="A532" s="85">
        <f>IFERROR(__xludf.DUMMYFUNCTION("""COMPUTED_VALUE"""),45473.0)</f>
        <v>45473</v>
      </c>
      <c r="B532" s="111">
        <f>IFERROR(__xludf.DUMMYFUNCTION("""COMPUTED_VALUE"""),75.72)</f>
        <v>75.72</v>
      </c>
      <c r="C532" s="79" t="str">
        <f>IFERROR(__xludf.DUMMYFUNCTION("""COMPUTED_VALUE"""),"lyft")</f>
        <v>lyft</v>
      </c>
      <c r="D532" s="79" t="str">
        <f>IFERROR(__xludf.DUMMYFUNCTION("""COMPUTED_VALUE"""),"Transportation")</f>
        <v>Transportation</v>
      </c>
      <c r="E532" s="108" t="str">
        <f t="shared" si="1"/>
        <v>Jun</v>
      </c>
      <c r="F532" s="79" t="str">
        <f>IFERROR(__xludf.DUMMYFUNCTION("""COMPUTED_VALUE"""),"Shaeffer")</f>
        <v>Shaeffer</v>
      </c>
    </row>
    <row r="533">
      <c r="A533" s="85">
        <f>IFERROR(__xludf.DUMMYFUNCTION("""COMPUTED_VALUE"""),45479.0)</f>
        <v>45479</v>
      </c>
      <c r="B533" s="111">
        <f>IFERROR(__xludf.DUMMYFUNCTION("""COMPUTED_VALUE"""),360.0)</f>
        <v>360</v>
      </c>
      <c r="C533" s="79" t="str">
        <f>IFERROR(__xludf.DUMMYFUNCTION("""COMPUTED_VALUE"""),"Ohmni")</f>
        <v>Ohmni</v>
      </c>
      <c r="D533" s="79" t="str">
        <f>IFERROR(__xludf.DUMMYFUNCTION("""COMPUTED_VALUE"""),"Clothing")</f>
        <v>Clothing</v>
      </c>
      <c r="E533" s="108" t="str">
        <f t="shared" si="1"/>
        <v>Jul</v>
      </c>
      <c r="F533" s="79" t="str">
        <f>IFERROR(__xludf.DUMMYFUNCTION("""COMPUTED_VALUE"""),"Shaeffer")</f>
        <v>Shaeffer</v>
      </c>
    </row>
    <row r="534">
      <c r="A534" s="85">
        <f>IFERROR(__xludf.DUMMYFUNCTION("""COMPUTED_VALUE"""),45480.0)</f>
        <v>45480</v>
      </c>
      <c r="B534" s="109">
        <f>IFERROR(__xludf.DUMMYFUNCTION("""COMPUTED_VALUE"""),24.21)</f>
        <v>24.21</v>
      </c>
      <c r="C534" s="79" t="str">
        <f>IFERROR(__xludf.DUMMYFUNCTION("""COMPUTED_VALUE"""),"Citi Bike")</f>
        <v>Citi Bike</v>
      </c>
      <c r="D534" s="79" t="str">
        <f>IFERROR(__xludf.DUMMYFUNCTION("""COMPUTED_VALUE"""),"Transportation")</f>
        <v>Transportation</v>
      </c>
      <c r="E534" s="108" t="str">
        <f t="shared" si="1"/>
        <v>Jul</v>
      </c>
      <c r="F534" s="79" t="str">
        <f>IFERROR(__xludf.DUMMYFUNCTION("""COMPUTED_VALUE"""),"Gil")</f>
        <v>Gil</v>
      </c>
    </row>
    <row r="535">
      <c r="A535" s="85">
        <f>IFERROR(__xludf.DUMMYFUNCTION("""COMPUTED_VALUE"""),45481.0)</f>
        <v>45481</v>
      </c>
      <c r="B535" s="109">
        <f>IFERROR(__xludf.DUMMYFUNCTION("""COMPUTED_VALUE"""),6.17)</f>
        <v>6.17</v>
      </c>
      <c r="C535" s="79" t="str">
        <f>IFERROR(__xludf.DUMMYFUNCTION("""COMPUTED_VALUE"""),"Birch Coffee")</f>
        <v>Birch Coffee</v>
      </c>
      <c r="D535" s="79" t="str">
        <f>IFERROR(__xludf.DUMMYFUNCTION("""COMPUTED_VALUE"""),"Meals")</f>
        <v>Meals</v>
      </c>
      <c r="E535" s="108" t="str">
        <f t="shared" si="1"/>
        <v>Jul</v>
      </c>
      <c r="F535" s="79" t="str">
        <f>IFERROR(__xludf.DUMMYFUNCTION("""COMPUTED_VALUE"""),"Gil")</f>
        <v>Gil</v>
      </c>
    </row>
    <row r="536">
      <c r="A536" s="85">
        <f>IFERROR(__xludf.DUMMYFUNCTION("""COMPUTED_VALUE"""),45471.0)</f>
        <v>45471</v>
      </c>
      <c r="B536" s="111">
        <f>IFERROR(__xludf.DUMMYFUNCTION("""COMPUTED_VALUE"""),24.0)</f>
        <v>24</v>
      </c>
      <c r="C536" s="79" t="str">
        <f>IFERROR(__xludf.DUMMYFUNCTION("""COMPUTED_VALUE"""),"Patreon - Kelli Henderson")</f>
        <v>Patreon - Kelli Henderson</v>
      </c>
      <c r="D536" s="79" t="str">
        <f>IFERROR(__xludf.DUMMYFUNCTION("""COMPUTED_VALUE"""),"Subscriptions")</f>
        <v>Subscriptions</v>
      </c>
      <c r="E536" s="108" t="str">
        <f t="shared" si="1"/>
        <v>Jun</v>
      </c>
      <c r="F536" s="79" t="str">
        <f>IFERROR(__xludf.DUMMYFUNCTION("""COMPUTED_VALUE"""),"Gil")</f>
        <v>Gil</v>
      </c>
    </row>
    <row r="537">
      <c r="A537" s="85">
        <f>IFERROR(__xludf.DUMMYFUNCTION("""COMPUTED_VALUE"""),45467.0)</f>
        <v>45467</v>
      </c>
      <c r="B537" s="111">
        <f>IFERROR(__xludf.DUMMYFUNCTION("""COMPUTED_VALUE"""),100.0)</f>
        <v>100</v>
      </c>
      <c r="C537" s="79" t="str">
        <f>IFERROR(__xludf.DUMMYFUNCTION("""COMPUTED_VALUE"""),"USCUSTOMS TRUSTEDTRAINDIANAPOLIS IN - Global Entry")</f>
        <v>USCUSTOMS TRUSTEDTRAINDIANAPOLIS IN - Global Entry</v>
      </c>
      <c r="D537" s="79" t="str">
        <f>IFERROR(__xludf.DUMMYFUNCTION("""COMPUTED_VALUE"""),"Travel")</f>
        <v>Travel</v>
      </c>
      <c r="E537" s="108" t="str">
        <f t="shared" si="1"/>
        <v>Jun</v>
      </c>
      <c r="F537" s="79" t="str">
        <f>IFERROR(__xludf.DUMMYFUNCTION("""COMPUTED_VALUE"""),"Gil")</f>
        <v>Gil</v>
      </c>
    </row>
    <row r="538">
      <c r="A538" s="85">
        <f>IFERROR(__xludf.DUMMYFUNCTION("""COMPUTED_VALUE"""),45466.0)</f>
        <v>45466</v>
      </c>
      <c r="B538" s="111">
        <f>IFERROR(__xludf.DUMMYFUNCTION("""COMPUTED_VALUE"""),6.38)</f>
        <v>6.38</v>
      </c>
      <c r="C538" s="79" t="str">
        <f>IFERROR(__xludf.DUMMYFUNCTION("""COMPUTED_VALUE"""),"Ruby's Grill - Coney Island")</f>
        <v>Ruby's Grill - Coney Island</v>
      </c>
      <c r="D538" s="79" t="str">
        <f>IFERROR(__xludf.DUMMYFUNCTION("""COMPUTED_VALUE"""),"Meals")</f>
        <v>Meals</v>
      </c>
      <c r="E538" s="108" t="str">
        <f t="shared" si="1"/>
        <v>Jun</v>
      </c>
      <c r="F538" s="79" t="str">
        <f>IFERROR(__xludf.DUMMYFUNCTION("""COMPUTED_VALUE"""),"Gil")</f>
        <v>Gil</v>
      </c>
    </row>
    <row r="539">
      <c r="A539" s="85">
        <f>IFERROR(__xludf.DUMMYFUNCTION("""COMPUTED_VALUE"""),45453.0)</f>
        <v>45453</v>
      </c>
      <c r="B539" s="111">
        <f>IFERROR(__xludf.DUMMYFUNCTION("""COMPUTED_VALUE"""),6.99)</f>
        <v>6.99</v>
      </c>
      <c r="C539" s="79" t="str">
        <f>IFERROR(__xludf.DUMMYFUNCTION("""COMPUTED_VALUE"""),"Birch Coffee")</f>
        <v>Birch Coffee</v>
      </c>
      <c r="D539" s="79" t="str">
        <f>IFERROR(__xludf.DUMMYFUNCTION("""COMPUTED_VALUE"""),"Meals")</f>
        <v>Meals</v>
      </c>
      <c r="E539" s="108" t="str">
        <f t="shared" si="1"/>
        <v>Jun</v>
      </c>
      <c r="F539" s="79" t="str">
        <f>IFERROR(__xludf.DUMMYFUNCTION("""COMPUTED_VALUE"""),"Gil")</f>
        <v>Gil</v>
      </c>
    </row>
    <row r="540">
      <c r="A540" s="85">
        <f>IFERROR(__xludf.DUMMYFUNCTION("""COMPUTED_VALUE"""),45456.0)</f>
        <v>45456</v>
      </c>
      <c r="B540" s="111">
        <f>IFERROR(__xludf.DUMMYFUNCTION("""COMPUTED_VALUE"""),18.12)</f>
        <v>18.12</v>
      </c>
      <c r="C540" s="79" t="str">
        <f>IFERROR(__xludf.DUMMYFUNCTION("""COMPUTED_VALUE"""),"Dos Toros")</f>
        <v>Dos Toros</v>
      </c>
      <c r="D540" s="79" t="str">
        <f>IFERROR(__xludf.DUMMYFUNCTION("""COMPUTED_VALUE"""),"Work Meals")</f>
        <v>Work Meals</v>
      </c>
      <c r="E540" s="108" t="str">
        <f t="shared" si="1"/>
        <v>Jun</v>
      </c>
      <c r="F540" s="79" t="str">
        <f>IFERROR(__xludf.DUMMYFUNCTION("""COMPUTED_VALUE"""),"Gil")</f>
        <v>Gil</v>
      </c>
    </row>
    <row r="541">
      <c r="A541" s="85">
        <f>IFERROR(__xludf.DUMMYFUNCTION("""COMPUTED_VALUE"""),45473.0)</f>
        <v>45473</v>
      </c>
      <c r="B541" s="111">
        <f>IFERROR(__xludf.DUMMYFUNCTION("""COMPUTED_VALUE"""),138.9)</f>
        <v>138.9</v>
      </c>
      <c r="C541" s="79" t="str">
        <f>IFERROR(__xludf.DUMMYFUNCTION("""COMPUTED_VALUE"""),"MTA - Discover")</f>
        <v>MTA - Discover</v>
      </c>
      <c r="D541" s="79" t="str">
        <f>IFERROR(__xludf.DUMMYFUNCTION("""COMPUTED_VALUE"""),"Transportation")</f>
        <v>Transportation</v>
      </c>
      <c r="E541" s="108" t="str">
        <f t="shared" si="1"/>
        <v>Jun</v>
      </c>
      <c r="F541" s="79" t="str">
        <f>IFERROR(__xludf.DUMMYFUNCTION("""COMPUTED_VALUE"""),"Gil")</f>
        <v>Gil</v>
      </c>
    </row>
    <row r="542">
      <c r="A542" s="85">
        <f>IFERROR(__xludf.DUMMYFUNCTION("""COMPUTED_VALUE"""),45444.0)</f>
        <v>45444</v>
      </c>
      <c r="B542" s="111">
        <f>IFERROR(__xludf.DUMMYFUNCTION("""COMPUTED_VALUE"""),3.82)</f>
        <v>3.82</v>
      </c>
      <c r="C542" s="79" t="str">
        <f>IFERROR(__xludf.DUMMYFUNCTION("""COMPUTED_VALUE"""),"Uber Eats - DIG")</f>
        <v>Uber Eats - DIG</v>
      </c>
      <c r="D542" s="79" t="str">
        <f>IFERROR(__xludf.DUMMYFUNCTION("""COMPUTED_VALUE"""),"Work Meals")</f>
        <v>Work Meals</v>
      </c>
      <c r="E542" s="108" t="str">
        <f t="shared" si="1"/>
        <v>Jun</v>
      </c>
      <c r="F542" s="79" t="str">
        <f>IFERROR(__xludf.DUMMYFUNCTION("""COMPUTED_VALUE"""),"Gil")</f>
        <v>Gil</v>
      </c>
    </row>
    <row r="543">
      <c r="A543" s="85">
        <f>IFERROR(__xludf.DUMMYFUNCTION("""COMPUTED_VALUE"""),45446.0)</f>
        <v>45446</v>
      </c>
      <c r="B543" s="111">
        <f>IFERROR(__xludf.DUMMYFUNCTION("""COMPUTED_VALUE"""),19.6)</f>
        <v>19.6</v>
      </c>
      <c r="C543" s="79" t="str">
        <f>IFERROR(__xludf.DUMMYFUNCTION("""COMPUTED_VALUE"""),"Printed Matter")</f>
        <v>Printed Matter</v>
      </c>
      <c r="D543" s="79" t="str">
        <f>IFERROR(__xludf.DUMMYFUNCTION("""COMPUTED_VALUE"""),"Personal")</f>
        <v>Personal</v>
      </c>
      <c r="E543" s="108" t="str">
        <f t="shared" si="1"/>
        <v>Jun</v>
      </c>
      <c r="F543" s="79" t="str">
        <f>IFERROR(__xludf.DUMMYFUNCTION("""COMPUTED_VALUE"""),"Gil")</f>
        <v>Gil</v>
      </c>
    </row>
    <row r="544">
      <c r="A544" s="85">
        <f>IFERROR(__xludf.DUMMYFUNCTION("""COMPUTED_VALUE"""),45446.0)</f>
        <v>45446</v>
      </c>
      <c r="B544" s="111">
        <f>IFERROR(__xludf.DUMMYFUNCTION("""COMPUTED_VALUE"""),108.22)</f>
        <v>108.22</v>
      </c>
      <c r="C544" s="79" t="str">
        <f>IFERROR(__xludf.DUMMYFUNCTION("""COMPUTED_VALUE""")," Amazon - Handkerchiefs, Mouse, Mouse Case")</f>
        <v> Amazon - Handkerchiefs, Mouse, Mouse Case</v>
      </c>
      <c r="D544" s="79" t="str">
        <f>IFERROR(__xludf.DUMMYFUNCTION("""COMPUTED_VALUE"""),"Personal")</f>
        <v>Personal</v>
      </c>
      <c r="E544" s="108" t="str">
        <f t="shared" si="1"/>
        <v>Jun</v>
      </c>
      <c r="F544" s="79" t="str">
        <f>IFERROR(__xludf.DUMMYFUNCTION("""COMPUTED_VALUE"""),"Gil")</f>
        <v>Gil</v>
      </c>
    </row>
    <row r="545">
      <c r="A545" s="85">
        <f>IFERROR(__xludf.DUMMYFUNCTION("""COMPUTED_VALUE"""),45450.0)</f>
        <v>45450</v>
      </c>
      <c r="B545" s="111">
        <f>IFERROR(__xludf.DUMMYFUNCTION("""COMPUTED_VALUE"""),18.05)</f>
        <v>18.05</v>
      </c>
      <c r="C545" s="79" t="str">
        <f>IFERROR(__xludf.DUMMYFUNCTION("""COMPUTED_VALUE"""),"Amazon - Wahl Shaver Foil")</f>
        <v>Amazon - Wahl Shaver Foil</v>
      </c>
      <c r="D545" s="79" t="str">
        <f>IFERROR(__xludf.DUMMYFUNCTION("""COMPUTED_VALUE"""),"Personal")</f>
        <v>Personal</v>
      </c>
      <c r="E545" s="108" t="str">
        <f t="shared" si="1"/>
        <v>Jun</v>
      </c>
      <c r="F545" s="79" t="str">
        <f>IFERROR(__xludf.DUMMYFUNCTION("""COMPUTED_VALUE"""),"Gil")</f>
        <v>Gil</v>
      </c>
    </row>
    <row r="546">
      <c r="A546" s="85">
        <f>IFERROR(__xludf.DUMMYFUNCTION("""COMPUTED_VALUE"""),45451.0)</f>
        <v>45451</v>
      </c>
      <c r="B546" s="111">
        <f>IFERROR(__xludf.DUMMYFUNCTION("""COMPUTED_VALUE"""),14.99)</f>
        <v>14.99</v>
      </c>
      <c r="C546" s="79" t="str">
        <f>IFERROR(__xludf.DUMMYFUNCTION("""COMPUTED_VALUE"""),"Amazon - Sumolux Hat")</f>
        <v>Amazon - Sumolux Hat</v>
      </c>
      <c r="D546" s="79" t="str">
        <f>IFERROR(__xludf.DUMMYFUNCTION("""COMPUTED_VALUE"""),"Personal")</f>
        <v>Personal</v>
      </c>
      <c r="E546" s="108" t="str">
        <f t="shared" si="1"/>
        <v>Jun</v>
      </c>
      <c r="F546" s="79" t="str">
        <f>IFERROR(__xludf.DUMMYFUNCTION("""COMPUTED_VALUE"""),"Gil")</f>
        <v>Gil</v>
      </c>
    </row>
    <row r="547">
      <c r="A547" s="85">
        <f>IFERROR(__xludf.DUMMYFUNCTION("""COMPUTED_VALUE"""),45460.0)</f>
        <v>45460</v>
      </c>
      <c r="B547" s="111">
        <f>IFERROR(__xludf.DUMMYFUNCTION("""COMPUTED_VALUE"""),8.97)</f>
        <v>8.97</v>
      </c>
      <c r="C547" s="79" t="str">
        <f>IFERROR(__xludf.DUMMYFUNCTION("""COMPUTED_VALUE"""),"Amazon - Curtain Call Book")</f>
        <v>Amazon - Curtain Call Book</v>
      </c>
      <c r="D547" s="79" t="str">
        <f>IFERROR(__xludf.DUMMYFUNCTION("""COMPUTED_VALUE"""),"Personal")</f>
        <v>Personal</v>
      </c>
      <c r="E547" s="108" t="str">
        <f t="shared" si="1"/>
        <v>Jun</v>
      </c>
      <c r="F547" s="79" t="str">
        <f>IFERROR(__xludf.DUMMYFUNCTION("""COMPUTED_VALUE"""),"Gil")</f>
        <v>Gil</v>
      </c>
    </row>
    <row r="548">
      <c r="A548" s="85">
        <f>IFERROR(__xludf.DUMMYFUNCTION("""COMPUTED_VALUE"""),45461.0)</f>
        <v>45461</v>
      </c>
      <c r="B548" s="111">
        <f>IFERROR(__xludf.DUMMYFUNCTION("""COMPUTED_VALUE"""),7.61)</f>
        <v>7.61</v>
      </c>
      <c r="C548" s="79" t="str">
        <f>IFERROR(__xludf.DUMMYFUNCTION("""COMPUTED_VALUE"""),"Amazon - Mouse Pad")</f>
        <v>Amazon - Mouse Pad</v>
      </c>
      <c r="D548" s="79" t="str">
        <f>IFERROR(__xludf.DUMMYFUNCTION("""COMPUTED_VALUE"""),"Personal")</f>
        <v>Personal</v>
      </c>
      <c r="E548" s="108" t="str">
        <f t="shared" si="1"/>
        <v>Jun</v>
      </c>
      <c r="F548" s="79" t="str">
        <f>IFERROR(__xludf.DUMMYFUNCTION("""COMPUTED_VALUE"""),"Gil")</f>
        <v>Gil</v>
      </c>
    </row>
    <row r="549">
      <c r="A549" s="85">
        <f>IFERROR(__xludf.DUMMYFUNCTION("""COMPUTED_VALUE"""),45462.0)</f>
        <v>45462</v>
      </c>
      <c r="B549" s="111">
        <f>IFERROR(__xludf.DUMMYFUNCTION("""COMPUTED_VALUE"""),8.24)</f>
        <v>8.24</v>
      </c>
      <c r="C549" s="79" t="str">
        <f>IFERROR(__xludf.DUMMYFUNCTION("""COMPUTED_VALUE"""),"OGX Tea Tree Oil Shampoo")</f>
        <v>OGX Tea Tree Oil Shampoo</v>
      </c>
      <c r="D549" s="79" t="str">
        <f>IFERROR(__xludf.DUMMYFUNCTION("""COMPUTED_VALUE"""),"Personal")</f>
        <v>Personal</v>
      </c>
      <c r="E549" s="108" t="str">
        <f t="shared" si="1"/>
        <v>Jun</v>
      </c>
      <c r="F549" s="79" t="str">
        <f>IFERROR(__xludf.DUMMYFUNCTION("""COMPUTED_VALUE"""),"Gil")</f>
        <v>Gil</v>
      </c>
    </row>
    <row r="550">
      <c r="A550" s="85">
        <f>IFERROR(__xludf.DUMMYFUNCTION("""COMPUTED_VALUE"""),45463.0)</f>
        <v>45463</v>
      </c>
      <c r="B550" s="111">
        <f>IFERROR(__xludf.DUMMYFUNCTION("""COMPUTED_VALUE"""),17.25)</f>
        <v>17.25</v>
      </c>
      <c r="C550" s="79" t="str">
        <f>IFERROR(__xludf.DUMMYFUNCTION("""COMPUTED_VALUE"""),"Amazon - Squid Legs")</f>
        <v>Amazon - Squid Legs</v>
      </c>
      <c r="D550" s="79" t="str">
        <f>IFERROR(__xludf.DUMMYFUNCTION("""COMPUTED_VALUE"""),"Personal")</f>
        <v>Personal</v>
      </c>
      <c r="E550" s="108" t="str">
        <f t="shared" si="1"/>
        <v>Jun</v>
      </c>
      <c r="F550" s="79" t="str">
        <f>IFERROR(__xludf.DUMMYFUNCTION("""COMPUTED_VALUE"""),"Gil")</f>
        <v>Gil</v>
      </c>
    </row>
    <row r="551">
      <c r="A551" s="85">
        <f>IFERROR(__xludf.DUMMYFUNCTION("""COMPUTED_VALUE"""),45468.0)</f>
        <v>45468</v>
      </c>
      <c r="B551" s="111">
        <f>IFERROR(__xludf.DUMMYFUNCTION("""COMPUTED_VALUE"""),6.52)</f>
        <v>6.52</v>
      </c>
      <c r="C551" s="79" t="str">
        <f>IFERROR(__xludf.DUMMYFUNCTION("""COMPUTED_VALUE"""),"Amazon - Boot Hangers Clips")</f>
        <v>Amazon - Boot Hangers Clips</v>
      </c>
      <c r="D551" s="79" t="str">
        <f>IFERROR(__xludf.DUMMYFUNCTION("""COMPUTED_VALUE"""),"Household")</f>
        <v>Household</v>
      </c>
      <c r="E551" s="108" t="str">
        <f t="shared" si="1"/>
        <v>Jun</v>
      </c>
      <c r="F551" s="79" t="str">
        <f>IFERROR(__xludf.DUMMYFUNCTION("""COMPUTED_VALUE"""),"Gil")</f>
        <v>Gil</v>
      </c>
    </row>
    <row r="552">
      <c r="A552" s="85">
        <f>IFERROR(__xludf.DUMMYFUNCTION("""COMPUTED_VALUE"""),45470.0)</f>
        <v>45470</v>
      </c>
      <c r="B552" s="111">
        <f>IFERROR(__xludf.DUMMYFUNCTION("""COMPUTED_VALUE"""),38.41)</f>
        <v>38.41</v>
      </c>
      <c r="C552" s="79" t="str">
        <f>IFERROR(__xludf.DUMMYFUNCTION("""COMPUTED_VALUE"""),"Amazon - Drag March Supplies")</f>
        <v>Amazon - Drag March Supplies</v>
      </c>
      <c r="D552" s="79" t="str">
        <f>IFERROR(__xludf.DUMMYFUNCTION("""COMPUTED_VALUE"""),"Personal")</f>
        <v>Personal</v>
      </c>
      <c r="E552" s="108" t="str">
        <f t="shared" si="1"/>
        <v>Jun</v>
      </c>
      <c r="F552" s="79" t="str">
        <f>IFERROR(__xludf.DUMMYFUNCTION("""COMPUTED_VALUE"""),"Gil")</f>
        <v>Gil</v>
      </c>
    </row>
    <row r="553">
      <c r="A553" s="85">
        <f>IFERROR(__xludf.DUMMYFUNCTION("""COMPUTED_VALUE"""),45469.0)</f>
        <v>45469</v>
      </c>
      <c r="B553" s="111">
        <f>IFERROR(__xludf.DUMMYFUNCTION("""COMPUTED_VALUE"""),150.0)</f>
        <v>150</v>
      </c>
      <c r="C553" s="79" t="str">
        <f>IFERROR(__xludf.DUMMYFUNCTION("""COMPUTED_VALUE"""),"Amex Green Renewal Membership")</f>
        <v>Amex Green Renewal Membership</v>
      </c>
      <c r="D553" s="79" t="str">
        <f>IFERROR(__xludf.DUMMYFUNCTION("""COMPUTED_VALUE"""),"Subscriptions")</f>
        <v>Subscriptions</v>
      </c>
      <c r="E553" s="108" t="str">
        <f t="shared" si="1"/>
        <v>Jun</v>
      </c>
      <c r="F553" s="79" t="str">
        <f>IFERROR(__xludf.DUMMYFUNCTION("""COMPUTED_VALUE"""),"Gil")</f>
        <v>Gil</v>
      </c>
    </row>
    <row r="554">
      <c r="A554" s="85">
        <f>IFERROR(__xludf.DUMMYFUNCTION("""COMPUTED_VALUE"""),45480.0)</f>
        <v>45480</v>
      </c>
      <c r="B554" s="109">
        <f>IFERROR(__xludf.DUMMYFUNCTION("""COMPUTED_VALUE"""),89.28)</f>
        <v>89.28</v>
      </c>
      <c r="C554" s="79" t="str">
        <f>IFERROR(__xludf.DUMMYFUNCTION("""COMPUTED_VALUE"""),"Ulta Beauty")</f>
        <v>Ulta Beauty</v>
      </c>
      <c r="D554" s="79" t="str">
        <f>IFERROR(__xludf.DUMMYFUNCTION("""COMPUTED_VALUE"""),"Personal")</f>
        <v>Personal</v>
      </c>
      <c r="E554" s="108" t="str">
        <f t="shared" si="1"/>
        <v>Jul</v>
      </c>
      <c r="F554" s="79" t="str">
        <f>IFERROR(__xludf.DUMMYFUNCTION("""COMPUTED_VALUE"""),"Gil")</f>
        <v>Gil</v>
      </c>
    </row>
    <row r="555">
      <c r="A555" s="85">
        <f>IFERROR(__xludf.DUMMYFUNCTION("""COMPUTED_VALUE"""),45483.0)</f>
        <v>45483</v>
      </c>
      <c r="B555" s="111">
        <f>IFERROR(__xludf.DUMMYFUNCTION("""COMPUTED_VALUE"""),23.0)</f>
        <v>23</v>
      </c>
      <c r="C555" s="79" t="str">
        <f>IFERROR(__xludf.DUMMYFUNCTION("""COMPUTED_VALUE"""),"Morton Williams")</f>
        <v>Morton Williams</v>
      </c>
      <c r="D555" s="79" t="str">
        <f>IFERROR(__xludf.DUMMYFUNCTION("""COMPUTED_VALUE"""),"Work Meals")</f>
        <v>Work Meals</v>
      </c>
      <c r="E555" s="108" t="str">
        <f t="shared" si="1"/>
        <v>Jul</v>
      </c>
      <c r="F555" s="79" t="str">
        <f>IFERROR(__xludf.DUMMYFUNCTION("""COMPUTED_VALUE"""),"Shaeffer")</f>
        <v>Shaeffer</v>
      </c>
    </row>
    <row r="556">
      <c r="A556" s="85">
        <f>IFERROR(__xludf.DUMMYFUNCTION("""COMPUTED_VALUE"""),45483.0)</f>
        <v>45483</v>
      </c>
      <c r="B556" s="111">
        <f>IFERROR(__xludf.DUMMYFUNCTION("""COMPUTED_VALUE"""),16.0)</f>
        <v>16</v>
      </c>
      <c r="C556" s="79" t="str">
        <f>IFERROR(__xludf.DUMMYFUNCTION("""COMPUTED_VALUE"""),"Wine")</f>
        <v>Wine</v>
      </c>
      <c r="D556" s="79" t="str">
        <f>IFERROR(__xludf.DUMMYFUNCTION("""COMPUTED_VALUE"""),"Alcohol/Weed")</f>
        <v>Alcohol/Weed</v>
      </c>
      <c r="E556" s="108" t="str">
        <f t="shared" si="1"/>
        <v>Jul</v>
      </c>
      <c r="F556" s="79" t="str">
        <f>IFERROR(__xludf.DUMMYFUNCTION("""COMPUTED_VALUE"""),"Shaeffer")</f>
        <v>Shaeffer</v>
      </c>
    </row>
    <row r="557">
      <c r="A557" s="85">
        <f>IFERROR(__xludf.DUMMYFUNCTION("""COMPUTED_VALUE"""),45483.0)</f>
        <v>45483</v>
      </c>
      <c r="B557" s="111">
        <f>IFERROR(__xludf.DUMMYFUNCTION("""COMPUTED_VALUE"""),25.0)</f>
        <v>25</v>
      </c>
      <c r="C557" s="79" t="str">
        <f>IFERROR(__xludf.DUMMYFUNCTION("""COMPUTED_VALUE"""),"Row boats")</f>
        <v>Row boats</v>
      </c>
      <c r="D557" s="79" t="str">
        <f>IFERROR(__xludf.DUMMYFUNCTION("""COMPUTED_VALUE"""),"Entertainment")</f>
        <v>Entertainment</v>
      </c>
      <c r="E557" s="108" t="str">
        <f t="shared" si="1"/>
        <v>Jul</v>
      </c>
      <c r="F557" s="79" t="str">
        <f>IFERROR(__xludf.DUMMYFUNCTION("""COMPUTED_VALUE"""),"Shaeffer")</f>
        <v>Shaeffer</v>
      </c>
    </row>
    <row r="558">
      <c r="A558" s="85">
        <f>IFERROR(__xludf.DUMMYFUNCTION("""COMPUTED_VALUE"""),45483.0)</f>
        <v>45483</v>
      </c>
      <c r="B558" s="111">
        <f>IFERROR(__xludf.DUMMYFUNCTION("""COMPUTED_VALUE"""),12.68)</f>
        <v>12.68</v>
      </c>
      <c r="C558" s="79" t="str">
        <f>IFERROR(__xludf.DUMMYFUNCTION("""COMPUTED_VALUE"""),"Dead lady tix")</f>
        <v>Dead lady tix</v>
      </c>
      <c r="D558" s="79" t="str">
        <f>IFERROR(__xludf.DUMMYFUNCTION("""COMPUTED_VALUE"""),"Entertainment")</f>
        <v>Entertainment</v>
      </c>
      <c r="E558" s="108" t="str">
        <f t="shared" si="1"/>
        <v>Jul</v>
      </c>
      <c r="F558" s="79" t="str">
        <f>IFERROR(__xludf.DUMMYFUNCTION("""COMPUTED_VALUE"""),"Shaeffer")</f>
        <v>Shaeffer</v>
      </c>
    </row>
    <row r="559">
      <c r="A559" s="85">
        <f>IFERROR(__xludf.DUMMYFUNCTION("""COMPUTED_VALUE"""),45483.0)</f>
        <v>45483</v>
      </c>
      <c r="B559" s="111">
        <f>IFERROR(__xludf.DUMMYFUNCTION("""COMPUTED_VALUE"""),48.99)</f>
        <v>48.99</v>
      </c>
      <c r="C559" s="79" t="str">
        <f>IFERROR(__xludf.DUMMYFUNCTION("""COMPUTED_VALUE"""),"Guggenheim")</f>
        <v>Guggenheim</v>
      </c>
      <c r="D559" s="79" t="str">
        <f>IFERROR(__xludf.DUMMYFUNCTION("""COMPUTED_VALUE"""),"Household")</f>
        <v>Household</v>
      </c>
      <c r="E559" s="108" t="str">
        <f t="shared" si="1"/>
        <v>Jul</v>
      </c>
      <c r="F559" s="79" t="str">
        <f>IFERROR(__xludf.DUMMYFUNCTION("""COMPUTED_VALUE"""),"Shaeffer")</f>
        <v>Shaeffer</v>
      </c>
    </row>
    <row r="560">
      <c r="A560" s="85">
        <f>IFERROR(__xludf.DUMMYFUNCTION("""COMPUTED_VALUE"""),45483.0)</f>
        <v>45483</v>
      </c>
      <c r="B560" s="111">
        <f>IFERROR(__xludf.DUMMYFUNCTION("""COMPUTED_VALUE"""),71.74)</f>
        <v>71.74</v>
      </c>
      <c r="C560" s="79" t="str">
        <f>IFERROR(__xludf.DUMMYFUNCTION("""COMPUTED_VALUE"""),"Crest")</f>
        <v>Crest</v>
      </c>
      <c r="D560" s="79" t="str">
        <f>IFERROR(__xludf.DUMMYFUNCTION("""COMPUTED_VALUE"""),"Studio")</f>
        <v>Studio</v>
      </c>
      <c r="E560" s="108" t="str">
        <f t="shared" si="1"/>
        <v>Jul</v>
      </c>
      <c r="F560" s="79" t="str">
        <f>IFERROR(__xludf.DUMMYFUNCTION("""COMPUTED_VALUE"""),"Shaeffer")</f>
        <v>Shaeffer</v>
      </c>
    </row>
    <row r="561">
      <c r="A561" s="85">
        <f>IFERROR(__xludf.DUMMYFUNCTION("""COMPUTED_VALUE"""),45483.0)</f>
        <v>45483</v>
      </c>
      <c r="B561" s="111">
        <f>IFERROR(__xludf.DUMMYFUNCTION("""COMPUTED_VALUE"""),14.14)</f>
        <v>14.14</v>
      </c>
      <c r="C561" s="79" t="str">
        <f>IFERROR(__xludf.DUMMYFUNCTION("""COMPUTED_VALUE"""),"Irving")</f>
        <v>Irving</v>
      </c>
      <c r="D561" s="79" t="str">
        <f>IFERROR(__xludf.DUMMYFUNCTION("""COMPUTED_VALUE"""),"Alcohol/Weed")</f>
        <v>Alcohol/Weed</v>
      </c>
      <c r="E561" s="108" t="str">
        <f t="shared" si="1"/>
        <v>Jul</v>
      </c>
      <c r="F561" s="79" t="str">
        <f>IFERROR(__xludf.DUMMYFUNCTION("""COMPUTED_VALUE"""),"Shaeffer")</f>
        <v>Shaeffer</v>
      </c>
    </row>
    <row r="562">
      <c r="A562" s="85">
        <f>IFERROR(__xludf.DUMMYFUNCTION("""COMPUTED_VALUE"""),45483.0)</f>
        <v>45483</v>
      </c>
      <c r="B562" s="111">
        <f>IFERROR(__xludf.DUMMYFUNCTION("""COMPUTED_VALUE"""),9.25)</f>
        <v>9.25</v>
      </c>
      <c r="C562" s="79" t="str">
        <f>IFERROR(__xludf.DUMMYFUNCTION("""COMPUTED_VALUE"""),"Gelati")</f>
        <v>Gelati</v>
      </c>
      <c r="D562" s="79" t="str">
        <f>IFERROR(__xludf.DUMMYFUNCTION("""COMPUTED_VALUE"""),"Meals")</f>
        <v>Meals</v>
      </c>
      <c r="E562" s="108" t="str">
        <f t="shared" si="1"/>
        <v>Jul</v>
      </c>
      <c r="F562" s="79" t="str">
        <f>IFERROR(__xludf.DUMMYFUNCTION("""COMPUTED_VALUE"""),"Shaeffer")</f>
        <v>Shaeffer</v>
      </c>
    </row>
    <row r="563">
      <c r="A563" s="85">
        <f>IFERROR(__xludf.DUMMYFUNCTION("""COMPUTED_VALUE"""),45483.0)</f>
        <v>45483</v>
      </c>
      <c r="B563" s="111">
        <f>IFERROR(__xludf.DUMMYFUNCTION("""COMPUTED_VALUE"""),45.84)</f>
        <v>45.84</v>
      </c>
      <c r="C563" s="79" t="str">
        <f>IFERROR(__xludf.DUMMYFUNCTION("""COMPUTED_VALUE"""),"Muji")</f>
        <v>Muji</v>
      </c>
      <c r="D563" s="79" t="str">
        <f>IFERROR(__xludf.DUMMYFUNCTION("""COMPUTED_VALUE"""),"Studio")</f>
        <v>Studio</v>
      </c>
      <c r="E563" s="108" t="str">
        <f t="shared" si="1"/>
        <v>Jul</v>
      </c>
      <c r="F563" s="79" t="str">
        <f>IFERROR(__xludf.DUMMYFUNCTION("""COMPUTED_VALUE"""),"Shaeffer")</f>
        <v>Shaeffer</v>
      </c>
    </row>
    <row r="564">
      <c r="A564" s="85">
        <f>IFERROR(__xludf.DUMMYFUNCTION("""COMPUTED_VALUE"""),45483.0)</f>
        <v>45483</v>
      </c>
      <c r="B564" s="111">
        <f>IFERROR(__xludf.DUMMYFUNCTION("""COMPUTED_VALUE"""),7.0)</f>
        <v>7</v>
      </c>
      <c r="C564" s="79" t="str">
        <f>IFERROR(__xludf.DUMMYFUNCTION("""COMPUTED_VALUE"""),"Blue Collar")</f>
        <v>Blue Collar</v>
      </c>
      <c r="D564" s="79" t="str">
        <f>IFERROR(__xludf.DUMMYFUNCTION("""COMPUTED_VALUE"""),"Meals")</f>
        <v>Meals</v>
      </c>
      <c r="E564" s="108" t="str">
        <f t="shared" si="1"/>
        <v>Jul</v>
      </c>
      <c r="F564" s="79" t="str">
        <f>IFERROR(__xludf.DUMMYFUNCTION("""COMPUTED_VALUE"""),"Shaeffer")</f>
        <v>Shaeffer</v>
      </c>
    </row>
    <row r="565">
      <c r="A565" s="85">
        <f>IFERROR(__xludf.DUMMYFUNCTION("""COMPUTED_VALUE"""),45483.0)</f>
        <v>45483</v>
      </c>
      <c r="B565" s="111">
        <f>IFERROR(__xludf.DUMMYFUNCTION("""COMPUTED_VALUE"""),408.24)</f>
        <v>408.24</v>
      </c>
      <c r="C565" s="79" t="str">
        <f>IFERROR(__xludf.DUMMYFUNCTION("""COMPUTED_VALUE"""),"Kid Super")</f>
        <v>Kid Super</v>
      </c>
      <c r="D565" s="79" t="str">
        <f>IFERROR(__xludf.DUMMYFUNCTION("""COMPUTED_VALUE"""),"Clothing")</f>
        <v>Clothing</v>
      </c>
      <c r="E565" s="108" t="str">
        <f t="shared" si="1"/>
        <v>Jul</v>
      </c>
      <c r="F565" s="79" t="str">
        <f>IFERROR(__xludf.DUMMYFUNCTION("""COMPUTED_VALUE"""),"Shaeffer")</f>
        <v>Shaeffer</v>
      </c>
    </row>
    <row r="566">
      <c r="A566" s="85">
        <f>IFERROR(__xludf.DUMMYFUNCTION("""COMPUTED_VALUE"""),45486.0)</f>
        <v>45486</v>
      </c>
      <c r="B566" s="109">
        <f>IFERROR(__xludf.DUMMYFUNCTION("""COMPUTED_VALUE"""),9.0)</f>
        <v>9</v>
      </c>
      <c r="C566" s="79" t="str">
        <f>IFERROR(__xludf.DUMMYFUNCTION("""COMPUTED_VALUE"""),"Bright Ideas Brewing")</f>
        <v>Bright Ideas Brewing</v>
      </c>
      <c r="D566" s="79" t="str">
        <f>IFERROR(__xludf.DUMMYFUNCTION("""COMPUTED_VALUE"""),"Travel")</f>
        <v>Travel</v>
      </c>
      <c r="E566" s="108" t="str">
        <f t="shared" si="1"/>
        <v>Jul</v>
      </c>
      <c r="F566" s="79" t="str">
        <f>IFERROR(__xludf.DUMMYFUNCTION("""COMPUTED_VALUE"""),"Gil")</f>
        <v>Gil</v>
      </c>
    </row>
    <row r="567">
      <c r="A567" s="85">
        <f>IFERROR(__xludf.DUMMYFUNCTION("""COMPUTED_VALUE"""),45486.0)</f>
        <v>45486</v>
      </c>
      <c r="B567" s="109">
        <f>IFERROR(__xludf.DUMMYFUNCTION("""COMPUTED_VALUE"""),28.0)</f>
        <v>28</v>
      </c>
      <c r="C567" s="79" t="str">
        <f>IFERROR(__xludf.DUMMYFUNCTION("""COMPUTED_VALUE"""),"Mass MOCA Gift Shop - Apron")</f>
        <v>Mass MOCA Gift Shop - Apron</v>
      </c>
      <c r="D567" s="79" t="str">
        <f>IFERROR(__xludf.DUMMYFUNCTION("""COMPUTED_VALUE"""),"Clothing")</f>
        <v>Clothing</v>
      </c>
      <c r="E567" s="108" t="str">
        <f t="shared" si="1"/>
        <v>Jul</v>
      </c>
      <c r="F567" s="79" t="str">
        <f>IFERROR(__xludf.DUMMYFUNCTION("""COMPUTED_VALUE"""),"Gil")</f>
        <v>Gil</v>
      </c>
    </row>
    <row r="568">
      <c r="A568" s="85">
        <f>IFERROR(__xludf.DUMMYFUNCTION("""COMPUTED_VALUE"""),45488.0)</f>
        <v>45488</v>
      </c>
      <c r="B568" s="109">
        <f>IFERROR(__xludf.DUMMYFUNCTION("""COMPUTED_VALUE"""),5.44)</f>
        <v>5.44</v>
      </c>
      <c r="C568" s="79" t="str">
        <f>IFERROR(__xludf.DUMMYFUNCTION("""COMPUTED_VALUE"""),"Marinara Pizza")</f>
        <v>Marinara Pizza</v>
      </c>
      <c r="D568" s="79" t="str">
        <f>IFERROR(__xludf.DUMMYFUNCTION("""COMPUTED_VALUE"""),"Work Meals")</f>
        <v>Work Meals</v>
      </c>
      <c r="E568" s="108" t="str">
        <f t="shared" si="1"/>
        <v>Jul</v>
      </c>
      <c r="F568" s="79" t="str">
        <f>IFERROR(__xludf.DUMMYFUNCTION("""COMPUTED_VALUE"""),"Gil")</f>
        <v>Gil</v>
      </c>
    </row>
    <row r="569">
      <c r="A569" s="85">
        <f>IFERROR(__xludf.DUMMYFUNCTION("""COMPUTED_VALUE"""),45490.0)</f>
        <v>45490</v>
      </c>
      <c r="B569" s="109">
        <f>IFERROR(__xludf.DUMMYFUNCTION("""COMPUTED_VALUE"""),15.46)</f>
        <v>15.46</v>
      </c>
      <c r="C569" s="79" t="str">
        <f>IFERROR(__xludf.DUMMYFUNCTION("""COMPUTED_VALUE"""),"Glâce - Rockefeller Center")</f>
        <v>Glâce - Rockefeller Center</v>
      </c>
      <c r="D569" s="79" t="str">
        <f>IFERROR(__xludf.DUMMYFUNCTION("""COMPUTED_VALUE"""),"Meals")</f>
        <v>Meals</v>
      </c>
      <c r="E569" s="108" t="str">
        <f t="shared" si="1"/>
        <v>Jul</v>
      </c>
      <c r="F569" s="79" t="str">
        <f>IFERROR(__xludf.DUMMYFUNCTION("""COMPUTED_VALUE"""),"Gil")</f>
        <v>Gil</v>
      </c>
    </row>
    <row r="570">
      <c r="A570" s="85">
        <f>IFERROR(__xludf.DUMMYFUNCTION("""COMPUTED_VALUE"""),45492.0)</f>
        <v>45492</v>
      </c>
      <c r="B570" s="109">
        <f>IFERROR(__xludf.DUMMYFUNCTION("""COMPUTED_VALUE"""),18.57)</f>
        <v>18.57</v>
      </c>
      <c r="C570" s="79" t="str">
        <f>IFERROR(__xludf.DUMMYFUNCTION("""COMPUTED_VALUE"""),"La Bicyclette")</f>
        <v>La Bicyclette</v>
      </c>
      <c r="D570" s="79" t="str">
        <f>IFERROR(__xludf.DUMMYFUNCTION("""COMPUTED_VALUE"""),"Meals")</f>
        <v>Meals</v>
      </c>
      <c r="E570" s="108" t="str">
        <f t="shared" si="1"/>
        <v>Jul</v>
      </c>
      <c r="F570" s="79" t="str">
        <f>IFERROR(__xludf.DUMMYFUNCTION("""COMPUTED_VALUE"""),"Gil")</f>
        <v>Gil</v>
      </c>
    </row>
    <row r="571">
      <c r="A571" s="85">
        <f>IFERROR(__xludf.DUMMYFUNCTION("""COMPUTED_VALUE"""),45493.0)</f>
        <v>45493</v>
      </c>
      <c r="B571" s="109">
        <f>IFERROR(__xludf.DUMMYFUNCTION("""COMPUTED_VALUE"""),16.3)</f>
        <v>16.3</v>
      </c>
      <c r="C571" s="79" t="str">
        <f>IFERROR(__xludf.DUMMYFUNCTION("""COMPUTED_VALUE"""),"Pupusas Ridgewood - uberEats")</f>
        <v>Pupusas Ridgewood - uberEats</v>
      </c>
      <c r="D571" s="79" t="str">
        <f>IFERROR(__xludf.DUMMYFUNCTION("""COMPUTED_VALUE"""),"Meals")</f>
        <v>Meals</v>
      </c>
      <c r="E571" s="108" t="str">
        <f t="shared" si="1"/>
        <v>Jul</v>
      </c>
      <c r="F571" s="79" t="str">
        <f>IFERROR(__xludf.DUMMYFUNCTION("""COMPUTED_VALUE"""),"Gil")</f>
        <v>Gil</v>
      </c>
    </row>
    <row r="572">
      <c r="A572" s="85">
        <f>IFERROR(__xludf.DUMMYFUNCTION("""COMPUTED_VALUE"""),45492.0)</f>
        <v>45492</v>
      </c>
      <c r="B572" s="109">
        <f>IFERROR(__xludf.DUMMYFUNCTION("""COMPUTED_VALUE"""),7.5)</f>
        <v>7.5</v>
      </c>
      <c r="C572" s="79" t="str">
        <f>IFERROR(__xludf.DUMMYFUNCTION("""COMPUTED_VALUE"""),"% Arabica")</f>
        <v>% Arabica</v>
      </c>
      <c r="D572" s="79" t="str">
        <f>IFERROR(__xludf.DUMMYFUNCTION("""COMPUTED_VALUE"""),"Meals")</f>
        <v>Meals</v>
      </c>
      <c r="E572" s="108" t="str">
        <f t="shared" si="1"/>
        <v>Jul</v>
      </c>
      <c r="F572" s="79" t="str">
        <f>IFERROR(__xludf.DUMMYFUNCTION("""COMPUTED_VALUE"""),"Gil")</f>
        <v>Gil</v>
      </c>
    </row>
    <row r="573">
      <c r="A573" s="85">
        <f>IFERROR(__xludf.DUMMYFUNCTION("""COMPUTED_VALUE"""),45492.0)</f>
        <v>45492</v>
      </c>
      <c r="B573" s="109">
        <f>IFERROR(__xludf.DUMMYFUNCTION("""COMPUTED_VALUE"""),9.82)</f>
        <v>9.82</v>
      </c>
      <c r="C573" s="79" t="str">
        <f>IFERROR(__xludf.DUMMYFUNCTION("""COMPUTED_VALUE"""),"Glâce - Rockefeller Center")</f>
        <v>Glâce - Rockefeller Center</v>
      </c>
      <c r="D573" s="79" t="str">
        <f>IFERROR(__xludf.DUMMYFUNCTION("""COMPUTED_VALUE"""),"Meals")</f>
        <v>Meals</v>
      </c>
      <c r="E573" s="108" t="str">
        <f t="shared" si="1"/>
        <v>Jul</v>
      </c>
      <c r="F573" s="79" t="str">
        <f>IFERROR(__xludf.DUMMYFUNCTION("""COMPUTED_VALUE"""),"Gil")</f>
        <v>Gil</v>
      </c>
    </row>
    <row r="574">
      <c r="A574" s="85">
        <f>IFERROR(__xludf.DUMMYFUNCTION("""COMPUTED_VALUE"""),45494.0)</f>
        <v>45494</v>
      </c>
      <c r="B574" s="109">
        <f>IFERROR(__xludf.DUMMYFUNCTION("""COMPUTED_VALUE"""),13.06)</f>
        <v>13.06</v>
      </c>
      <c r="C574" s="79" t="str">
        <f>IFERROR(__xludf.DUMMYFUNCTION("""COMPUTED_VALUE"""),"Joe's Steam Rice Roll")</f>
        <v>Joe's Steam Rice Roll</v>
      </c>
      <c r="D574" s="79" t="str">
        <f>IFERROR(__xludf.DUMMYFUNCTION("""COMPUTED_VALUE"""),"Meals")</f>
        <v>Meals</v>
      </c>
      <c r="E574" s="108" t="str">
        <f t="shared" si="1"/>
        <v>Jul</v>
      </c>
      <c r="F574" s="79" t="str">
        <f>IFERROR(__xludf.DUMMYFUNCTION("""COMPUTED_VALUE"""),"Gil")</f>
        <v>Gil</v>
      </c>
    </row>
    <row r="575">
      <c r="A575" s="85">
        <f>IFERROR(__xludf.DUMMYFUNCTION("""COMPUTED_VALUE"""),45494.0)</f>
        <v>45494</v>
      </c>
      <c r="B575" s="109">
        <f>IFERROR(__xludf.DUMMYFUNCTION("""COMPUTED_VALUE"""),7.48)</f>
        <v>7.48</v>
      </c>
      <c r="C575" s="79" t="str">
        <f>IFERROR(__xludf.DUMMYFUNCTION("""COMPUTED_VALUE"""),"Soft Swerve")</f>
        <v>Soft Swerve</v>
      </c>
      <c r="D575" s="79" t="str">
        <f>IFERROR(__xludf.DUMMYFUNCTION("""COMPUTED_VALUE"""),"Meals")</f>
        <v>Meals</v>
      </c>
      <c r="E575" s="108" t="str">
        <f t="shared" si="1"/>
        <v>Jul</v>
      </c>
      <c r="F575" s="79" t="str">
        <f>IFERROR(__xludf.DUMMYFUNCTION("""COMPUTED_VALUE"""),"Gil")</f>
        <v>Gil</v>
      </c>
    </row>
    <row r="576">
      <c r="A576" s="85">
        <f>IFERROR(__xludf.DUMMYFUNCTION("""COMPUTED_VALUE"""),45495.0)</f>
        <v>45495</v>
      </c>
      <c r="B576" s="109">
        <f>IFERROR(__xludf.DUMMYFUNCTION("""COMPUTED_VALUE"""),5.63)</f>
        <v>5.63</v>
      </c>
      <c r="C576" s="79" t="str">
        <f>IFERROR(__xludf.DUMMYFUNCTION("""COMPUTED_VALUE"""),"Birch Coffee")</f>
        <v>Birch Coffee</v>
      </c>
      <c r="D576" s="79" t="str">
        <f>IFERROR(__xludf.DUMMYFUNCTION("""COMPUTED_VALUE"""),"Meals")</f>
        <v>Meals</v>
      </c>
      <c r="E576" s="108" t="str">
        <f t="shared" si="1"/>
        <v>Jul</v>
      </c>
      <c r="F576" s="79" t="str">
        <f>IFERROR(__xludf.DUMMYFUNCTION("""COMPUTED_VALUE"""),"Gil")</f>
        <v>Gil</v>
      </c>
    </row>
    <row r="577">
      <c r="A577" s="85">
        <f>IFERROR(__xludf.DUMMYFUNCTION("""COMPUTED_VALUE"""),45495.0)</f>
        <v>45495</v>
      </c>
      <c r="B577" s="109">
        <f>IFERROR(__xludf.DUMMYFUNCTION("""COMPUTED_VALUE"""),5.63)</f>
        <v>5.63</v>
      </c>
      <c r="C577" s="79" t="str">
        <f>IFERROR(__xludf.DUMMYFUNCTION("""COMPUTED_VALUE"""),"Birch Coffee")</f>
        <v>Birch Coffee</v>
      </c>
      <c r="D577" s="79" t="str">
        <f>IFERROR(__xludf.DUMMYFUNCTION("""COMPUTED_VALUE"""),"Meals")</f>
        <v>Meals</v>
      </c>
      <c r="E577" s="108" t="str">
        <f t="shared" si="1"/>
        <v>Jul</v>
      </c>
      <c r="F577" s="79" t="str">
        <f>IFERROR(__xludf.DUMMYFUNCTION("""COMPUTED_VALUE"""),"Gil")</f>
        <v>Gil</v>
      </c>
    </row>
    <row r="578">
      <c r="A578" s="85">
        <f>IFERROR(__xludf.DUMMYFUNCTION("""COMPUTED_VALUE"""),45497.0)</f>
        <v>45497</v>
      </c>
      <c r="B578" s="109">
        <f>IFERROR(__xludf.DUMMYFUNCTION("""COMPUTED_VALUE"""),4.89)</f>
        <v>4.89</v>
      </c>
      <c r="C578" s="79" t="str">
        <f>IFERROR(__xludf.DUMMYFUNCTION("""COMPUTED_VALUE"""),"Taïm")</f>
        <v>Taïm</v>
      </c>
      <c r="D578" s="79" t="str">
        <f>IFERROR(__xludf.DUMMYFUNCTION("""COMPUTED_VALUE"""),"Work Meals")</f>
        <v>Work Meals</v>
      </c>
      <c r="E578" s="108" t="str">
        <f t="shared" si="1"/>
        <v>Jul</v>
      </c>
      <c r="F578" s="79" t="str">
        <f>IFERROR(__xludf.DUMMYFUNCTION("""COMPUTED_VALUE"""),"Gil")</f>
        <v>Gil</v>
      </c>
    </row>
    <row r="579">
      <c r="A579" s="85">
        <f>IFERROR(__xludf.DUMMYFUNCTION("""COMPUTED_VALUE"""),45497.0)</f>
        <v>45497</v>
      </c>
      <c r="B579" s="109">
        <f>IFERROR(__xludf.DUMMYFUNCTION("""COMPUTED_VALUE"""),15.49)</f>
        <v>15.49</v>
      </c>
      <c r="C579" s="79" t="str">
        <f>IFERROR(__xludf.DUMMYFUNCTION("""COMPUTED_VALUE"""),"MakiMaki")</f>
        <v>MakiMaki</v>
      </c>
      <c r="D579" s="79" t="str">
        <f>IFERROR(__xludf.DUMMYFUNCTION("""COMPUTED_VALUE"""),"Work Meals")</f>
        <v>Work Meals</v>
      </c>
      <c r="E579" s="108" t="str">
        <f t="shared" si="1"/>
        <v>Jul</v>
      </c>
      <c r="F579" s="79" t="str">
        <f>IFERROR(__xludf.DUMMYFUNCTION("""COMPUTED_VALUE"""),"Gil")</f>
        <v>Gil</v>
      </c>
    </row>
    <row r="580">
      <c r="A580" s="85">
        <f>IFERROR(__xludf.DUMMYFUNCTION("""COMPUTED_VALUE"""),45499.0)</f>
        <v>45499</v>
      </c>
      <c r="B580" s="109">
        <f>IFERROR(__xludf.DUMMYFUNCTION("""COMPUTED_VALUE"""),19.54)</f>
        <v>19.54</v>
      </c>
      <c r="C580" s="79" t="str">
        <f>IFERROR(__xludf.DUMMYFUNCTION("""COMPUTED_VALUE"""),"Lucia of Soho")</f>
        <v>Lucia of Soho</v>
      </c>
      <c r="D580" s="79" t="str">
        <f>IFERROR(__xludf.DUMMYFUNCTION("""COMPUTED_VALUE"""),"Meals")</f>
        <v>Meals</v>
      </c>
      <c r="E580" s="108" t="str">
        <f t="shared" si="1"/>
        <v>Jul</v>
      </c>
      <c r="F580" s="79" t="str">
        <f>IFERROR(__xludf.DUMMYFUNCTION("""COMPUTED_VALUE"""),"Gil")</f>
        <v>Gil</v>
      </c>
    </row>
    <row r="581">
      <c r="A581" s="85">
        <f>IFERROR(__xludf.DUMMYFUNCTION("""COMPUTED_VALUE"""),45499.0)</f>
        <v>45499</v>
      </c>
      <c r="B581" s="109">
        <f>IFERROR(__xludf.DUMMYFUNCTION("""COMPUTED_VALUE"""),6.25)</f>
        <v>6.25</v>
      </c>
      <c r="C581" s="79" t="str">
        <f>IFERROR(__xludf.DUMMYFUNCTION("""COMPUTED_VALUE"""),"Black Fox Coffee")</f>
        <v>Black Fox Coffee</v>
      </c>
      <c r="D581" s="79" t="str">
        <f>IFERROR(__xludf.DUMMYFUNCTION("""COMPUTED_VALUE"""),"Meals")</f>
        <v>Meals</v>
      </c>
      <c r="E581" s="108" t="str">
        <f t="shared" si="1"/>
        <v>Jul</v>
      </c>
      <c r="F581" s="79" t="str">
        <f>IFERROR(__xludf.DUMMYFUNCTION("""COMPUTED_VALUE"""),"Gil")</f>
        <v>Gil</v>
      </c>
    </row>
    <row r="582">
      <c r="A582" s="85">
        <f>IFERROR(__xludf.DUMMYFUNCTION("""COMPUTED_VALUE"""),45499.0)</f>
        <v>45499</v>
      </c>
      <c r="B582" s="109">
        <f>IFERROR(__xludf.DUMMYFUNCTION("""COMPUTED_VALUE"""),5.14)</f>
        <v>5.14</v>
      </c>
      <c r="C582" s="79" t="str">
        <f>IFERROR(__xludf.DUMMYFUNCTION("""COMPUTED_VALUE"""),"Cello's")</f>
        <v>Cello's</v>
      </c>
      <c r="D582" s="79" t="str">
        <f>IFERROR(__xludf.DUMMYFUNCTION("""COMPUTED_VALUE"""),"Meals")</f>
        <v>Meals</v>
      </c>
      <c r="E582" s="108" t="str">
        <f t="shared" si="1"/>
        <v>Jul</v>
      </c>
      <c r="F582" s="79" t="str">
        <f>IFERROR(__xludf.DUMMYFUNCTION("""COMPUTED_VALUE"""),"Gil")</f>
        <v>Gil</v>
      </c>
    </row>
    <row r="583">
      <c r="A583" s="85">
        <f>IFERROR(__xludf.DUMMYFUNCTION("""COMPUTED_VALUE"""),45500.0)</f>
        <v>45500</v>
      </c>
      <c r="B583" s="109">
        <f>IFERROR(__xludf.DUMMYFUNCTION("""COMPUTED_VALUE"""),9.98)</f>
        <v>9.98</v>
      </c>
      <c r="C583" s="79" t="str">
        <f>IFERROR(__xludf.DUMMYFUNCTION("""COMPUTED_VALUE"""),"Food for Health")</f>
        <v>Food for Health</v>
      </c>
      <c r="D583" s="79" t="str">
        <f>IFERROR(__xludf.DUMMYFUNCTION("""COMPUTED_VALUE"""),"Groceries")</f>
        <v>Groceries</v>
      </c>
      <c r="E583" s="108" t="str">
        <f t="shared" si="1"/>
        <v>Jul</v>
      </c>
      <c r="F583" s="79" t="str">
        <f>IFERROR(__xludf.DUMMYFUNCTION("""COMPUTED_VALUE"""),"Gil")</f>
        <v>Gil</v>
      </c>
    </row>
    <row r="584">
      <c r="A584" s="85">
        <f>IFERROR(__xludf.DUMMYFUNCTION("""COMPUTED_VALUE"""),45500.0)</f>
        <v>45500</v>
      </c>
      <c r="B584" s="109">
        <f>IFERROR(__xludf.DUMMYFUNCTION("""COMPUTED_VALUE"""),6.53)</f>
        <v>6.53</v>
      </c>
      <c r="C584" s="79" t="str">
        <f>IFERROR(__xludf.DUMMYFUNCTION("""COMPUTED_VALUE"""),"Westside Market")</f>
        <v>Westside Market</v>
      </c>
      <c r="D584" s="79" t="str">
        <f>IFERROR(__xludf.DUMMYFUNCTION("""COMPUTED_VALUE"""),"Work Meals")</f>
        <v>Work Meals</v>
      </c>
      <c r="E584" s="108" t="str">
        <f t="shared" si="1"/>
        <v>Jul</v>
      </c>
      <c r="F584" s="79" t="str">
        <f>IFERROR(__xludf.DUMMYFUNCTION("""COMPUTED_VALUE"""),"Gil")</f>
        <v>Gil</v>
      </c>
    </row>
    <row r="585">
      <c r="A585" s="85">
        <f>IFERROR(__xludf.DUMMYFUNCTION("""COMPUTED_VALUE"""),45501.0)</f>
        <v>45501</v>
      </c>
      <c r="B585" s="109">
        <f>IFERROR(__xludf.DUMMYFUNCTION("""COMPUTED_VALUE"""),7.97)</f>
        <v>7.97</v>
      </c>
      <c r="C585" s="79" t="str">
        <f>IFERROR(__xludf.DUMMYFUNCTION("""COMPUTED_VALUE"""),"Uber eats ")</f>
        <v>Uber eats </v>
      </c>
      <c r="D585" s="79" t="str">
        <f>IFERROR(__xludf.DUMMYFUNCTION("""COMPUTED_VALUE"""),"Meals")</f>
        <v>Meals</v>
      </c>
      <c r="E585" s="108" t="str">
        <f t="shared" si="1"/>
        <v>Jul</v>
      </c>
      <c r="F585" s="79" t="str">
        <f>IFERROR(__xludf.DUMMYFUNCTION("""COMPUTED_VALUE"""),"Gil")</f>
        <v>Gil</v>
      </c>
    </row>
    <row r="586">
      <c r="A586" s="85">
        <f>IFERROR(__xludf.DUMMYFUNCTION("""COMPUTED_VALUE"""),45503.0)</f>
        <v>45503</v>
      </c>
      <c r="B586" s="109">
        <f>IFERROR(__xludf.DUMMYFUNCTION("""COMPUTED_VALUE"""),12.51)</f>
        <v>12.51</v>
      </c>
      <c r="C586" s="79" t="str">
        <f>IFERROR(__xludf.DUMMYFUNCTION("""COMPUTED_VALUE"""),"Bobwhite")</f>
        <v>Bobwhite</v>
      </c>
      <c r="D586" s="79" t="str">
        <f>IFERROR(__xludf.DUMMYFUNCTION("""COMPUTED_VALUE"""),"Meals")</f>
        <v>Meals</v>
      </c>
      <c r="E586" s="108" t="str">
        <f t="shared" si="1"/>
        <v>Jul</v>
      </c>
      <c r="F586" s="79" t="str">
        <f>IFERROR(__xludf.DUMMYFUNCTION("""COMPUTED_VALUE"""),"Gil")</f>
        <v>Gil</v>
      </c>
    </row>
    <row r="587">
      <c r="A587" s="85">
        <f>IFERROR(__xludf.DUMMYFUNCTION("""COMPUTED_VALUE"""),45504.0)</f>
        <v>45504</v>
      </c>
      <c r="B587" s="109">
        <f>IFERROR(__xludf.DUMMYFUNCTION("""COMPUTED_VALUE"""),11.84)</f>
        <v>11.84</v>
      </c>
      <c r="C587" s="79" t="str">
        <f>IFERROR(__xludf.DUMMYFUNCTION("""COMPUTED_VALUE"""),"L'industrie")</f>
        <v>L'industrie</v>
      </c>
      <c r="D587" s="79" t="str">
        <f>IFERROR(__xludf.DUMMYFUNCTION("""COMPUTED_VALUE"""),"Meals")</f>
        <v>Meals</v>
      </c>
      <c r="E587" s="108" t="str">
        <f t="shared" si="1"/>
        <v>Jul</v>
      </c>
      <c r="F587" s="79" t="str">
        <f>IFERROR(__xludf.DUMMYFUNCTION("""COMPUTED_VALUE"""),"Gil")</f>
        <v>Gil</v>
      </c>
    </row>
    <row r="588">
      <c r="A588" s="85">
        <f>IFERROR(__xludf.DUMMYFUNCTION("""COMPUTED_VALUE"""),45505.0)</f>
        <v>45505</v>
      </c>
      <c r="B588" s="109">
        <f>IFERROR(__xludf.DUMMYFUNCTION("""COMPUTED_VALUE"""),26.95)</f>
        <v>26.95</v>
      </c>
      <c r="C588" s="79" t="str">
        <f>IFERROR(__xludf.DUMMYFUNCTION("""COMPUTED_VALUE"""),"Chiangmai - Uber eats")</f>
        <v>Chiangmai - Uber eats</v>
      </c>
      <c r="D588" s="79" t="str">
        <f>IFERROR(__xludf.DUMMYFUNCTION("""COMPUTED_VALUE"""),"Meals")</f>
        <v>Meals</v>
      </c>
      <c r="E588" s="108" t="str">
        <f t="shared" si="1"/>
        <v>Aug</v>
      </c>
      <c r="F588" s="79" t="str">
        <f>IFERROR(__xludf.DUMMYFUNCTION("""COMPUTED_VALUE"""),"Gil")</f>
        <v>Gil</v>
      </c>
    </row>
    <row r="589">
      <c r="A589" s="85">
        <f>IFERROR(__xludf.DUMMYFUNCTION("""COMPUTED_VALUE"""),45506.0)</f>
        <v>45506</v>
      </c>
      <c r="B589" s="109">
        <f>IFERROR(__xludf.DUMMYFUNCTION("""COMPUTED_VALUE"""),250.0)</f>
        <v>250</v>
      </c>
      <c r="C589" s="79" t="str">
        <f>IFERROR(__xludf.DUMMYFUNCTION("""COMPUTED_VALUE"""),"Storage Unit")</f>
        <v>Storage Unit</v>
      </c>
      <c r="D589" s="79" t="str">
        <f>IFERROR(__xludf.DUMMYFUNCTION("""COMPUTED_VALUE"""),"Storage")</f>
        <v>Storage</v>
      </c>
      <c r="E589" s="108" t="str">
        <f t="shared" si="1"/>
        <v>Aug</v>
      </c>
      <c r="F589" s="79" t="str">
        <f>IFERROR(__xludf.DUMMYFUNCTION("""COMPUTED_VALUE"""),"Gil")</f>
        <v>Gil</v>
      </c>
    </row>
    <row r="590">
      <c r="A590" s="85">
        <f>IFERROR(__xludf.DUMMYFUNCTION("""COMPUTED_VALUE"""),45502.0)</f>
        <v>45502</v>
      </c>
      <c r="B590" s="111">
        <f>IFERROR(__xludf.DUMMYFUNCTION("""COMPUTED_VALUE"""),87.09)</f>
        <v>87.09</v>
      </c>
      <c r="C590" s="79" t="str">
        <f>IFERROR(__xludf.DUMMYFUNCTION("""COMPUTED_VALUE"""),"Photoshop Subscription")</f>
        <v>Photoshop Subscription</v>
      </c>
      <c r="D590" s="79" t="str">
        <f>IFERROR(__xludf.DUMMYFUNCTION("""COMPUTED_VALUE"""),"Studio")</f>
        <v>Studio</v>
      </c>
      <c r="E590" s="108" t="str">
        <f t="shared" si="1"/>
        <v>Jul</v>
      </c>
      <c r="F590" s="79" t="str">
        <f>IFERROR(__xludf.DUMMYFUNCTION("""COMPUTED_VALUE"""),"Shaeffer")</f>
        <v>Shaeffer</v>
      </c>
    </row>
    <row r="591">
      <c r="A591" s="85">
        <f>IFERROR(__xludf.DUMMYFUNCTION("""COMPUTED_VALUE"""),45505.0)</f>
        <v>45505</v>
      </c>
      <c r="B591" s="109">
        <f>IFERROR(__xludf.DUMMYFUNCTION("""COMPUTED_VALUE"""),4.0)</f>
        <v>4</v>
      </c>
      <c r="C591" s="79" t="str">
        <f>IFERROR(__xludf.DUMMYFUNCTION("""COMPUTED_VALUE"""),"ferry")</f>
        <v>ferry</v>
      </c>
      <c r="D591" s="79" t="str">
        <f>IFERROR(__xludf.DUMMYFUNCTION("""COMPUTED_VALUE"""),"Transportation")</f>
        <v>Transportation</v>
      </c>
      <c r="E591" s="108" t="str">
        <f t="shared" si="1"/>
        <v>Aug</v>
      </c>
      <c r="F591" s="79" t="str">
        <f>IFERROR(__xludf.DUMMYFUNCTION("""COMPUTED_VALUE"""),"Shaeffer")</f>
        <v>Shaeffer</v>
      </c>
    </row>
    <row r="592">
      <c r="A592" s="85">
        <f>IFERROR(__xludf.DUMMYFUNCTION("""COMPUTED_VALUE"""),45505.0)</f>
        <v>45505</v>
      </c>
      <c r="B592" s="109">
        <f>IFERROR(__xludf.DUMMYFUNCTION("""COMPUTED_VALUE"""),9.99)</f>
        <v>9.99</v>
      </c>
      <c r="C592" s="79" t="str">
        <f>IFERROR(__xludf.DUMMYFUNCTION("""COMPUTED_VALUE"""),"icloud storage")</f>
        <v>icloud storage</v>
      </c>
      <c r="D592" s="79" t="str">
        <f>IFERROR(__xludf.DUMMYFUNCTION("""COMPUTED_VALUE"""),"Studio")</f>
        <v>Studio</v>
      </c>
      <c r="E592" s="108" t="str">
        <f t="shared" si="1"/>
        <v>Aug</v>
      </c>
      <c r="F592" s="79" t="str">
        <f>IFERROR(__xludf.DUMMYFUNCTION("""COMPUTED_VALUE"""),"Shaeffer")</f>
        <v>Shaeffer</v>
      </c>
    </row>
    <row r="593">
      <c r="A593" s="85">
        <f>IFERROR(__xludf.DUMMYFUNCTION("""COMPUTED_VALUE"""),45506.0)</f>
        <v>45506</v>
      </c>
      <c r="B593" s="109">
        <f>IFERROR(__xludf.DUMMYFUNCTION("""COMPUTED_VALUE"""),7.0)</f>
        <v>7</v>
      </c>
      <c r="C593" s="79" t="str">
        <f>IFERROR(__xludf.DUMMYFUNCTION("""COMPUTED_VALUE"""),"forest hills petition")</f>
        <v>forest hills petition</v>
      </c>
      <c r="D593" s="79" t="str">
        <f>IFERROR(__xludf.DUMMYFUNCTION("""COMPUTED_VALUE"""),"Gifts/Donations")</f>
        <v>Gifts/Donations</v>
      </c>
      <c r="E593" s="108" t="str">
        <f t="shared" si="1"/>
        <v>Aug</v>
      </c>
      <c r="F593" s="79" t="str">
        <f>IFERROR(__xludf.DUMMYFUNCTION("""COMPUTED_VALUE"""),"Shaeffer")</f>
        <v>Shaeffer</v>
      </c>
    </row>
    <row r="594">
      <c r="A594" s="85">
        <f>IFERROR(__xludf.DUMMYFUNCTION("""COMPUTED_VALUE"""),45505.0)</f>
        <v>45505</v>
      </c>
      <c r="B594" s="109">
        <f>IFERROR(__xludf.DUMMYFUNCTION("""COMPUTED_VALUE"""),12.5)</f>
        <v>12.5</v>
      </c>
      <c r="C594" s="79" t="str">
        <f>IFERROR(__xludf.DUMMYFUNCTION("""COMPUTED_VALUE"""),"tap that ")</f>
        <v>tap that </v>
      </c>
      <c r="D594" s="79" t="str">
        <f>IFERROR(__xludf.DUMMYFUNCTION("""COMPUTED_VALUE"""),"Meals")</f>
        <v>Meals</v>
      </c>
      <c r="E594" s="108" t="str">
        <f t="shared" si="1"/>
        <v>Aug</v>
      </c>
      <c r="F594" s="79" t="str">
        <f>IFERROR(__xludf.DUMMYFUNCTION("""COMPUTED_VALUE"""),"Shaeffer")</f>
        <v>Shaeffer</v>
      </c>
    </row>
    <row r="595">
      <c r="A595" s="85">
        <f>IFERROR(__xludf.DUMMYFUNCTION("""COMPUTED_VALUE"""),45505.0)</f>
        <v>45505</v>
      </c>
      <c r="B595" s="109">
        <f>IFERROR(__xludf.DUMMYFUNCTION("""COMPUTED_VALUE"""),32.0)</f>
        <v>32</v>
      </c>
      <c r="C595" s="79" t="str">
        <f>IFERROR(__xludf.DUMMYFUNCTION("""COMPUTED_VALUE"""),"323 internet")</f>
        <v>323 internet</v>
      </c>
      <c r="D595" s="79" t="str">
        <f>IFERROR(__xludf.DUMMYFUNCTION("""COMPUTED_VALUE"""),"Studio")</f>
        <v>Studio</v>
      </c>
      <c r="E595" s="108" t="str">
        <f t="shared" si="1"/>
        <v>Aug</v>
      </c>
      <c r="F595" s="79" t="str">
        <f>IFERROR(__xludf.DUMMYFUNCTION("""COMPUTED_VALUE"""),"Shaeffer")</f>
        <v>Shaeffer</v>
      </c>
    </row>
    <row r="596">
      <c r="A596" s="85">
        <f>IFERROR(__xludf.DUMMYFUNCTION("""COMPUTED_VALUE"""),45483.0)</f>
        <v>45483</v>
      </c>
      <c r="B596" s="111">
        <f>IFERROR(__xludf.DUMMYFUNCTION("""COMPUTED_VALUE"""),50.81)</f>
        <v>50.81</v>
      </c>
      <c r="C596" s="79" t="str">
        <f>IFERROR(__xludf.DUMMYFUNCTION("""COMPUTED_VALUE"""),"TRR")</f>
        <v>TRR</v>
      </c>
      <c r="D596" s="79" t="str">
        <f>IFERROR(__xludf.DUMMYFUNCTION("""COMPUTED_VALUE"""),"Clothing")</f>
        <v>Clothing</v>
      </c>
      <c r="E596" s="108" t="str">
        <f t="shared" si="1"/>
        <v>Jul</v>
      </c>
      <c r="F596" s="79" t="str">
        <f>IFERROR(__xludf.DUMMYFUNCTION("""COMPUTED_VALUE"""),"Shaeffer")</f>
        <v>Shaeffer</v>
      </c>
    </row>
    <row r="597">
      <c r="A597" s="85">
        <f>IFERROR(__xludf.DUMMYFUNCTION("""COMPUTED_VALUE"""),45483.0)</f>
        <v>45483</v>
      </c>
      <c r="B597" s="111">
        <f>IFERROR(__xludf.DUMMYFUNCTION("""COMPUTED_VALUE"""),254.0)</f>
        <v>254</v>
      </c>
      <c r="C597" s="79" t="str">
        <f>IFERROR(__xludf.DUMMYFUNCTION("""COMPUTED_VALUE"""),"TRR")</f>
        <v>TRR</v>
      </c>
      <c r="D597" s="79" t="str">
        <f>IFERROR(__xludf.DUMMYFUNCTION("""COMPUTED_VALUE"""),"Clothing")</f>
        <v>Clothing</v>
      </c>
      <c r="E597" s="108" t="str">
        <f t="shared" si="1"/>
        <v>Jul</v>
      </c>
      <c r="F597" s="79" t="str">
        <f>IFERROR(__xludf.DUMMYFUNCTION("""COMPUTED_VALUE"""),"Shaeffer")</f>
        <v>Shaeffer</v>
      </c>
    </row>
    <row r="598">
      <c r="A598" s="85">
        <f>IFERROR(__xludf.DUMMYFUNCTION("""COMPUTED_VALUE"""),45477.0)</f>
        <v>45477</v>
      </c>
      <c r="B598" s="111">
        <f>IFERROR(__xludf.DUMMYFUNCTION("""COMPUTED_VALUE"""),240.0)</f>
        <v>240</v>
      </c>
      <c r="C598" s="79" t="str">
        <f>IFERROR(__xludf.DUMMYFUNCTION("""COMPUTED_VALUE"""),"SKIMS")</f>
        <v>SKIMS</v>
      </c>
      <c r="D598" s="79" t="str">
        <f>IFERROR(__xludf.DUMMYFUNCTION("""COMPUTED_VALUE"""),"Clothing")</f>
        <v>Clothing</v>
      </c>
      <c r="E598" s="108" t="str">
        <f t="shared" si="1"/>
        <v>Jul</v>
      </c>
      <c r="F598" s="79" t="str">
        <f>IFERROR(__xludf.DUMMYFUNCTION("""COMPUTED_VALUE"""),"Shaeffer")</f>
        <v>Shaeffer</v>
      </c>
    </row>
    <row r="599">
      <c r="A599" s="85">
        <f>IFERROR(__xludf.DUMMYFUNCTION("""COMPUTED_VALUE"""),45501.0)</f>
        <v>45501</v>
      </c>
      <c r="B599" s="111">
        <f>IFERROR(__xludf.DUMMYFUNCTION("""COMPUTED_VALUE"""),30.9)</f>
        <v>30.9</v>
      </c>
      <c r="C599" s="79" t="str">
        <f>IFERROR(__xludf.DUMMYFUNCTION("""COMPUTED_VALUE"""),"hawkhouse")</f>
        <v>hawkhouse</v>
      </c>
      <c r="D599" s="79" t="str">
        <f>IFERROR(__xludf.DUMMYFUNCTION("""COMPUTED_VALUE"""),"Personal")</f>
        <v>Personal</v>
      </c>
      <c r="E599" s="108" t="str">
        <f t="shared" si="1"/>
        <v>Jul</v>
      </c>
      <c r="F599" s="79" t="str">
        <f>IFERROR(__xludf.DUMMYFUNCTION("""COMPUTED_VALUE"""),"Shaeffer")</f>
        <v>Shaeffer</v>
      </c>
    </row>
    <row r="600">
      <c r="A600" s="85">
        <f>IFERROR(__xludf.DUMMYFUNCTION("""COMPUTED_VALUE"""),45481.0)</f>
        <v>45481</v>
      </c>
      <c r="B600" s="111">
        <f>IFERROR(__xludf.DUMMYFUNCTION("""COMPUTED_VALUE"""),375.0)</f>
        <v>375</v>
      </c>
      <c r="C600" s="79" t="str">
        <f>IFERROR(__xludf.DUMMYFUNCTION("""COMPUTED_VALUE"""),"323 July rent")</f>
        <v>323 July rent</v>
      </c>
      <c r="D600" s="79" t="str">
        <f>IFERROR(__xludf.DUMMYFUNCTION("""COMPUTED_VALUE"""),"Studio")</f>
        <v>Studio</v>
      </c>
      <c r="E600" s="108" t="str">
        <f t="shared" si="1"/>
        <v>Jul</v>
      </c>
      <c r="F600" s="79" t="str">
        <f>IFERROR(__xludf.DUMMYFUNCTION("""COMPUTED_VALUE"""),"Shaeffer")</f>
        <v>Shaeffer</v>
      </c>
    </row>
    <row r="601">
      <c r="A601" s="85">
        <f>IFERROR(__xludf.DUMMYFUNCTION("""COMPUTED_VALUE"""),45504.0)</f>
        <v>45504</v>
      </c>
      <c r="B601" s="111">
        <f>IFERROR(__xludf.DUMMYFUNCTION("""COMPUTED_VALUE"""),102.04)</f>
        <v>102.04</v>
      </c>
      <c r="C601" s="79" t="str">
        <f>IFERROR(__xludf.DUMMYFUNCTION("""COMPUTED_VALUE"""),"323 June electric July mailroom")</f>
        <v>323 June electric July mailroom</v>
      </c>
      <c r="D601" s="79" t="str">
        <f>IFERROR(__xludf.DUMMYFUNCTION("""COMPUTED_VALUE"""),"Studio")</f>
        <v>Studio</v>
      </c>
      <c r="E601" s="108" t="str">
        <f t="shared" si="1"/>
        <v>Jul</v>
      </c>
      <c r="F601" s="79" t="str">
        <f>IFERROR(__xludf.DUMMYFUNCTION("""COMPUTED_VALUE"""),"Shaeffer")</f>
        <v>Shaeffer</v>
      </c>
    </row>
    <row r="602">
      <c r="A602" s="85">
        <f>IFERROR(__xludf.DUMMYFUNCTION("""COMPUTED_VALUE"""),45519.0)</f>
        <v>45519</v>
      </c>
      <c r="B602" s="109">
        <f>IFERROR(__xludf.DUMMYFUNCTION("""COMPUTED_VALUE"""),108.0)</f>
        <v>108</v>
      </c>
      <c r="C602" s="79" t="str">
        <f>IFERROR(__xludf.DUMMYFUNCTION("""COMPUTED_VALUE"""),"Dispensery")</f>
        <v>Dispensery</v>
      </c>
      <c r="D602" s="79" t="str">
        <f>IFERROR(__xludf.DUMMYFUNCTION("""COMPUTED_VALUE"""),"Alcohol/Weed")</f>
        <v>Alcohol/Weed</v>
      </c>
      <c r="E602" s="108" t="str">
        <f t="shared" si="1"/>
        <v>Aug</v>
      </c>
      <c r="F602" s="79" t="str">
        <f>IFERROR(__xludf.DUMMYFUNCTION("""COMPUTED_VALUE"""),"Shaeffer")</f>
        <v>Shaeffer</v>
      </c>
    </row>
    <row r="603">
      <c r="A603" s="85">
        <f>IFERROR(__xludf.DUMMYFUNCTION("""COMPUTED_VALUE"""),45486.0)</f>
        <v>45486</v>
      </c>
      <c r="B603" s="111">
        <f>IFERROR(__xludf.DUMMYFUNCTION("""COMPUTED_VALUE"""),19.7)</f>
        <v>19.7</v>
      </c>
      <c r="C603" s="79" t="str">
        <f>IFERROR(__xludf.DUMMYFUNCTION("""COMPUTED_VALUE"""),"YeJan LTD")</f>
        <v>YeJan LTD</v>
      </c>
      <c r="D603" s="79" t="str">
        <f>IFERROR(__xludf.DUMMYFUNCTION("""COMPUTED_VALUE"""),"Personal")</f>
        <v>Personal</v>
      </c>
      <c r="E603" s="108" t="str">
        <f t="shared" si="1"/>
        <v>Jul</v>
      </c>
      <c r="F603" s="79" t="str">
        <f>IFERROR(__xludf.DUMMYFUNCTION("""COMPUTED_VALUE"""),"Shaeffer")</f>
        <v>Shaeffer</v>
      </c>
    </row>
    <row r="604">
      <c r="A604" s="85">
        <f>IFERROR(__xludf.DUMMYFUNCTION("""COMPUTED_VALUE"""),45486.0)</f>
        <v>45486</v>
      </c>
      <c r="B604" s="111">
        <f>IFERROR(__xludf.DUMMYFUNCTION("""COMPUTED_VALUE"""),25.0)</f>
        <v>25</v>
      </c>
      <c r="C604" s="79" t="str">
        <f>IFERROR(__xludf.DUMMYFUNCTION("""COMPUTED_VALUE"""),"The Plastic Store ticket")</f>
        <v>The Plastic Store ticket</v>
      </c>
      <c r="D604" s="79" t="str">
        <f>IFERROR(__xludf.DUMMYFUNCTION("""COMPUTED_VALUE"""),"Travel")</f>
        <v>Travel</v>
      </c>
      <c r="E604" s="108" t="str">
        <f t="shared" si="1"/>
        <v>Jul</v>
      </c>
      <c r="F604" s="79" t="str">
        <f>IFERROR(__xludf.DUMMYFUNCTION("""COMPUTED_VALUE"""),"Shaeffer")</f>
        <v>Shaeffer</v>
      </c>
    </row>
    <row r="605">
      <c r="A605" s="85">
        <f>IFERROR(__xludf.DUMMYFUNCTION("""COMPUTED_VALUE"""),45488.0)</f>
        <v>45488</v>
      </c>
      <c r="B605" s="111">
        <f>IFERROR(__xludf.DUMMYFUNCTION("""COMPUTED_VALUE"""),119.0)</f>
        <v>119</v>
      </c>
      <c r="C605" s="79" t="str">
        <f>IFERROR(__xludf.DUMMYFUNCTION("""COMPUTED_VALUE"""),"ymca")</f>
        <v>ymca</v>
      </c>
      <c r="D605" s="79" t="str">
        <f>IFERROR(__xludf.DUMMYFUNCTION("""COMPUTED_VALUE"""),"Gym")</f>
        <v>Gym</v>
      </c>
      <c r="E605" s="108" t="str">
        <f t="shared" si="1"/>
        <v>Jul</v>
      </c>
      <c r="F605" s="79" t="str">
        <f>IFERROR(__xludf.DUMMYFUNCTION("""COMPUTED_VALUE"""),"Shaeffer")</f>
        <v>Shaeffer</v>
      </c>
    </row>
    <row r="606">
      <c r="A606" s="85">
        <f>IFERROR(__xludf.DUMMYFUNCTION("""COMPUTED_VALUE"""),45503.0)</f>
        <v>45503</v>
      </c>
      <c r="B606" s="111">
        <f>IFERROR(__xludf.DUMMYFUNCTION("""COMPUTED_VALUE"""),60.35)</f>
        <v>60.35</v>
      </c>
      <c r="C606" s="79" t="str">
        <f>IFERROR(__xludf.DUMMYFUNCTION("""COMPUTED_VALUE"""),"Adorama")</f>
        <v>Adorama</v>
      </c>
      <c r="D606" s="79" t="str">
        <f>IFERROR(__xludf.DUMMYFUNCTION("""COMPUTED_VALUE"""),"Personal")</f>
        <v>Personal</v>
      </c>
      <c r="E606" s="108" t="str">
        <f t="shared" si="1"/>
        <v>Jul</v>
      </c>
      <c r="F606" s="79" t="str">
        <f>IFERROR(__xludf.DUMMYFUNCTION("""COMPUTED_VALUE"""),"Shaeffer")</f>
        <v>Shaeffer</v>
      </c>
    </row>
    <row r="607">
      <c r="A607" s="85">
        <f>IFERROR(__xludf.DUMMYFUNCTION("""COMPUTED_VALUE"""),45491.0)</f>
        <v>45491</v>
      </c>
      <c r="B607" s="111">
        <f>IFERROR(__xludf.DUMMYFUNCTION("""COMPUTED_VALUE"""),4.04)</f>
        <v>4.04</v>
      </c>
      <c r="C607" s="79" t="str">
        <f>IFERROR(__xludf.DUMMYFUNCTION("""COMPUTED_VALUE"""),"Paragon sports")</f>
        <v>Paragon sports</v>
      </c>
      <c r="D607" s="79" t="str">
        <f>IFERROR(__xludf.DUMMYFUNCTION("""COMPUTED_VALUE"""),"Personal")</f>
        <v>Personal</v>
      </c>
      <c r="E607" s="108" t="str">
        <f t="shared" si="1"/>
        <v>Jul</v>
      </c>
      <c r="F607" s="79" t="str">
        <f>IFERROR(__xludf.DUMMYFUNCTION("""COMPUTED_VALUE"""),"Shaeffer")</f>
        <v>Shaeffer</v>
      </c>
    </row>
    <row r="608">
      <c r="A608" s="85">
        <f>IFERROR(__xludf.DUMMYFUNCTION("""COMPUTED_VALUE"""),45491.0)</f>
        <v>45491</v>
      </c>
      <c r="B608" s="111">
        <f>IFERROR(__xludf.DUMMYFUNCTION("""COMPUTED_VALUE"""),27.95)</f>
        <v>27.95</v>
      </c>
      <c r="C608" s="79" t="str">
        <f>IFERROR(__xludf.DUMMYFUNCTION("""COMPUTED_VALUE"""),"Grey Mare")</f>
        <v>Grey Mare</v>
      </c>
      <c r="D608" s="79" t="str">
        <f>IFERROR(__xludf.DUMMYFUNCTION("""COMPUTED_VALUE"""),"Meals")</f>
        <v>Meals</v>
      </c>
      <c r="E608" s="108" t="str">
        <f t="shared" si="1"/>
        <v>Jul</v>
      </c>
      <c r="F608" s="79" t="str">
        <f>IFERROR(__xludf.DUMMYFUNCTION("""COMPUTED_VALUE"""),"Shaeffer")</f>
        <v>Shaeffer</v>
      </c>
    </row>
    <row r="609">
      <c r="A609" s="85">
        <f>IFERROR(__xludf.DUMMYFUNCTION("""COMPUTED_VALUE"""),45490.0)</f>
        <v>45490</v>
      </c>
      <c r="B609" s="111">
        <f>IFERROR(__xludf.DUMMYFUNCTION("""COMPUTED_VALUE"""),60.0)</f>
        <v>60</v>
      </c>
      <c r="C609" s="79" t="str">
        <f>IFERROR(__xludf.DUMMYFUNCTION("""COMPUTED_VALUE"""),"chocolates")</f>
        <v>chocolates</v>
      </c>
      <c r="D609" s="79" t="str">
        <f>IFERROR(__xludf.DUMMYFUNCTION("""COMPUTED_VALUE"""),"Alcohol/Weed")</f>
        <v>Alcohol/Weed</v>
      </c>
      <c r="E609" s="108" t="str">
        <f t="shared" si="1"/>
        <v>Jul</v>
      </c>
      <c r="F609" s="79" t="str">
        <f>IFERROR(__xludf.DUMMYFUNCTION("""COMPUTED_VALUE"""),"Shaeffer")</f>
        <v>Shaeffer</v>
      </c>
    </row>
    <row r="610">
      <c r="A610" s="85">
        <f>IFERROR(__xludf.DUMMYFUNCTION("""COMPUTED_VALUE"""),45490.0)</f>
        <v>45490</v>
      </c>
      <c r="B610" s="111">
        <f>IFERROR(__xludf.DUMMYFUNCTION("""COMPUTED_VALUE"""),22.0)</f>
        <v>22</v>
      </c>
      <c r="C610" s="79" t="str">
        <f>IFERROR(__xludf.DUMMYFUNCTION("""COMPUTED_VALUE"""),"Canoe supplies")</f>
        <v>Canoe supplies</v>
      </c>
      <c r="D610" s="79" t="str">
        <f>IFERROR(__xludf.DUMMYFUNCTION("""COMPUTED_VALUE"""),"Entertainment")</f>
        <v>Entertainment</v>
      </c>
      <c r="E610" s="108" t="str">
        <f t="shared" si="1"/>
        <v>Jul</v>
      </c>
      <c r="F610" s="79" t="str">
        <f>IFERROR(__xludf.DUMMYFUNCTION("""COMPUTED_VALUE"""),"Shaeffer")</f>
        <v>Shaeffer</v>
      </c>
    </row>
    <row r="611">
      <c r="A611" s="85">
        <f>IFERROR(__xludf.DUMMYFUNCTION("""COMPUTED_VALUE"""),45493.0)</f>
        <v>45493</v>
      </c>
      <c r="B611" s="111">
        <f>IFERROR(__xludf.DUMMYFUNCTION("""COMPUTED_VALUE"""),31.25)</f>
        <v>31.25</v>
      </c>
      <c r="C611" s="79" t="str">
        <f>IFERROR(__xludf.DUMMYFUNCTION("""COMPUTED_VALUE"""),"Diner - home from canoeing")</f>
        <v>Diner - home from canoeing</v>
      </c>
      <c r="D611" s="79" t="str">
        <f>IFERROR(__xludf.DUMMYFUNCTION("""COMPUTED_VALUE"""),"Entertainment")</f>
        <v>Entertainment</v>
      </c>
      <c r="E611" s="108" t="str">
        <f t="shared" si="1"/>
        <v>Jul</v>
      </c>
      <c r="F611" s="79" t="str">
        <f>IFERROR(__xludf.DUMMYFUNCTION("""COMPUTED_VALUE"""),"Shaeffer")</f>
        <v>Shaeffer</v>
      </c>
    </row>
    <row r="612">
      <c r="A612" s="85">
        <f>IFERROR(__xludf.DUMMYFUNCTION("""COMPUTED_VALUE"""),45494.0)</f>
        <v>45494</v>
      </c>
      <c r="B612" s="111">
        <f>IFERROR(__xludf.DUMMYFUNCTION("""COMPUTED_VALUE"""),33.0)</f>
        <v>33</v>
      </c>
      <c r="C612" s="79" t="str">
        <f>IFERROR(__xludf.DUMMYFUNCTION("""COMPUTED_VALUE"""),"Canoe grocery - meg venmo")</f>
        <v>Canoe grocery - meg venmo</v>
      </c>
      <c r="D612" s="79" t="str">
        <f>IFERROR(__xludf.DUMMYFUNCTION("""COMPUTED_VALUE"""),"Entertainment")</f>
        <v>Entertainment</v>
      </c>
      <c r="E612" s="108" t="str">
        <f t="shared" si="1"/>
        <v>Jul</v>
      </c>
      <c r="F612" s="79" t="str">
        <f>IFERROR(__xludf.DUMMYFUNCTION("""COMPUTED_VALUE"""),"Shaeffer")</f>
        <v>Shaeffer</v>
      </c>
    </row>
    <row r="613">
      <c r="A613" s="85">
        <f>IFERROR(__xludf.DUMMYFUNCTION("""COMPUTED_VALUE"""),45496.0)</f>
        <v>45496</v>
      </c>
      <c r="B613" s="111">
        <f>IFERROR(__xludf.DUMMYFUNCTION("""COMPUTED_VALUE"""),75.37)</f>
        <v>75.37</v>
      </c>
      <c r="C613" s="79" t="str">
        <f>IFERROR(__xludf.DUMMYFUNCTION("""COMPUTED_VALUE"""),"Tortoria")</f>
        <v>Tortoria</v>
      </c>
      <c r="D613" s="79" t="str">
        <f>IFERROR(__xludf.DUMMYFUNCTION("""COMPUTED_VALUE"""),"Work Meals")</f>
        <v>Work Meals</v>
      </c>
      <c r="E613" s="108" t="str">
        <f t="shared" si="1"/>
        <v>Jul</v>
      </c>
      <c r="F613" s="79" t="str">
        <f>IFERROR(__xludf.DUMMYFUNCTION("""COMPUTED_VALUE"""),"Shaeffer")</f>
        <v>Shaeffer</v>
      </c>
    </row>
    <row r="614">
      <c r="A614" s="85">
        <f>IFERROR(__xludf.DUMMYFUNCTION("""COMPUTED_VALUE"""),45497.0)</f>
        <v>45497</v>
      </c>
      <c r="B614" s="111">
        <f>IFERROR(__xludf.DUMMYFUNCTION("""COMPUTED_VALUE"""),15.37)</f>
        <v>15.37</v>
      </c>
      <c r="C614" s="79" t="str">
        <f>IFERROR(__xludf.DUMMYFUNCTION("""COMPUTED_VALUE"""),"Gas &amp; tolls - canoe")</f>
        <v>Gas &amp; tolls - canoe</v>
      </c>
      <c r="D614" s="79" t="str">
        <f>IFERROR(__xludf.DUMMYFUNCTION("""COMPUTED_VALUE"""),"Entertainment")</f>
        <v>Entertainment</v>
      </c>
      <c r="E614" s="108" t="str">
        <f t="shared" si="1"/>
        <v>Jul</v>
      </c>
      <c r="F614" s="79" t="str">
        <f>IFERROR(__xludf.DUMMYFUNCTION("""COMPUTED_VALUE"""),"Shaeffer")</f>
        <v>Shaeffer</v>
      </c>
    </row>
    <row r="615">
      <c r="A615" s="85">
        <f>IFERROR(__xludf.DUMMYFUNCTION("""COMPUTED_VALUE"""),45863.0)</f>
        <v>45863</v>
      </c>
      <c r="B615" s="111">
        <f>IFERROR(__xludf.DUMMYFUNCTION("""COMPUTED_VALUE"""),45.0)</f>
        <v>45</v>
      </c>
      <c r="C615" s="79" t="str">
        <f>IFERROR(__xludf.DUMMYFUNCTION("""COMPUTED_VALUE"""),"Jimmys")</f>
        <v>Jimmys</v>
      </c>
      <c r="D615" s="79" t="str">
        <f>IFERROR(__xludf.DUMMYFUNCTION("""COMPUTED_VALUE"""),"Entertainment")</f>
        <v>Entertainment</v>
      </c>
      <c r="E615" s="108" t="str">
        <f t="shared" si="1"/>
        <v>Jul</v>
      </c>
      <c r="F615" s="79" t="str">
        <f>IFERROR(__xludf.DUMMYFUNCTION("""COMPUTED_VALUE"""),"Shaeffer")</f>
        <v>Shaeffer</v>
      </c>
    </row>
    <row r="616">
      <c r="A616" s="85">
        <f>IFERROR(__xludf.DUMMYFUNCTION("""COMPUTED_VALUE"""),45500.0)</f>
        <v>45500</v>
      </c>
      <c r="B616" s="111">
        <f>IFERROR(__xludf.DUMMYFUNCTION("""COMPUTED_VALUE"""),70.77)</f>
        <v>70.77</v>
      </c>
      <c r="C616" s="79" t="str">
        <f>IFERROR(__xludf.DUMMYFUNCTION("""COMPUTED_VALUE"""),"Boogie Board")</f>
        <v>Boogie Board</v>
      </c>
      <c r="D616" s="79" t="str">
        <f>IFERROR(__xludf.DUMMYFUNCTION("""COMPUTED_VALUE"""),"Personal")</f>
        <v>Personal</v>
      </c>
      <c r="E616" s="108" t="str">
        <f t="shared" si="1"/>
        <v>Jul</v>
      </c>
      <c r="F616" s="79" t="str">
        <f>IFERROR(__xludf.DUMMYFUNCTION("""COMPUTED_VALUE"""),"Shaeffer")</f>
        <v>Shaeffer</v>
      </c>
    </row>
    <row r="617">
      <c r="A617" s="85">
        <f>IFERROR(__xludf.DUMMYFUNCTION("""COMPUTED_VALUE"""),45501.0)</f>
        <v>45501</v>
      </c>
      <c r="B617" s="111">
        <f>IFERROR(__xludf.DUMMYFUNCTION("""COMPUTED_VALUE"""),28.29)</f>
        <v>28.29</v>
      </c>
      <c r="C617" s="79" t="str">
        <f>IFERROR(__xludf.DUMMYFUNCTION("""COMPUTED_VALUE"""),"Food Story")</f>
        <v>Food Story</v>
      </c>
      <c r="D617" s="79" t="str">
        <f>IFERROR(__xludf.DUMMYFUNCTION("""COMPUTED_VALUE"""),"Work Meals")</f>
        <v>Work Meals</v>
      </c>
      <c r="E617" s="108" t="str">
        <f t="shared" si="1"/>
        <v>Jul</v>
      </c>
      <c r="F617" s="79" t="str">
        <f>IFERROR(__xludf.DUMMYFUNCTION("""COMPUTED_VALUE"""),"Shaeffer")</f>
        <v>Shaeffer</v>
      </c>
    </row>
    <row r="618">
      <c r="A618" s="85">
        <f>IFERROR(__xludf.DUMMYFUNCTION("""COMPUTED_VALUE"""),45502.0)</f>
        <v>45502</v>
      </c>
      <c r="B618" s="111">
        <f>IFERROR(__xludf.DUMMYFUNCTION("""COMPUTED_VALUE"""),30.99)</f>
        <v>30.99</v>
      </c>
      <c r="C618" s="79" t="str">
        <f>IFERROR(__xludf.DUMMYFUNCTION("""COMPUTED_VALUE"""),"ROTTEN")</f>
        <v>ROTTEN</v>
      </c>
      <c r="D618" s="79" t="str">
        <f>IFERROR(__xludf.DUMMYFUNCTION("""COMPUTED_VALUE"""),"Work Meals")</f>
        <v>Work Meals</v>
      </c>
      <c r="E618" s="108" t="str">
        <f t="shared" si="1"/>
        <v>Jul</v>
      </c>
      <c r="F618" s="79" t="str">
        <f>IFERROR(__xludf.DUMMYFUNCTION("""COMPUTED_VALUE"""),"Shaeffer")</f>
        <v>Shaeffer</v>
      </c>
    </row>
    <row r="619">
      <c r="A619" s="85">
        <f>IFERROR(__xludf.DUMMYFUNCTION("""COMPUTED_VALUE"""),45504.0)</f>
        <v>45504</v>
      </c>
      <c r="B619" s="111">
        <f>IFERROR(__xludf.DUMMYFUNCTION("""COMPUTED_VALUE"""),45.39)</f>
        <v>45.39</v>
      </c>
      <c r="C619" s="79" t="str">
        <f>IFERROR(__xludf.DUMMYFUNCTION("""COMPUTED_VALUE"""),"MD SOLARSCIENCE")</f>
        <v>MD SOLARSCIENCE</v>
      </c>
      <c r="D619" s="79" t="str">
        <f>IFERROR(__xludf.DUMMYFUNCTION("""COMPUTED_VALUE"""),"Personal")</f>
        <v>Personal</v>
      </c>
      <c r="E619" s="108" t="str">
        <f t="shared" si="1"/>
        <v>Jul</v>
      </c>
      <c r="F619" s="79" t="str">
        <f>IFERROR(__xludf.DUMMYFUNCTION("""COMPUTED_VALUE"""),"Shaeffer")</f>
        <v>Shaeffer</v>
      </c>
    </row>
    <row r="620">
      <c r="A620" s="85">
        <f>IFERROR(__xludf.DUMMYFUNCTION("""COMPUTED_VALUE"""),45504.0)</f>
        <v>45504</v>
      </c>
      <c r="B620" s="111">
        <f>IFERROR(__xludf.DUMMYFUNCTION("""COMPUTED_VALUE"""),17.0)</f>
        <v>17</v>
      </c>
      <c r="C620" s="79" t="str">
        <f>IFERROR(__xludf.DUMMYFUNCTION("""COMPUTED_VALUE"""),"Sundown")</f>
        <v>Sundown</v>
      </c>
      <c r="D620" s="79" t="str">
        <f>IFERROR(__xludf.DUMMYFUNCTION("""COMPUTED_VALUE"""),"Alcohol/Weed")</f>
        <v>Alcohol/Weed</v>
      </c>
      <c r="E620" s="108" t="str">
        <f t="shared" si="1"/>
        <v>Jul</v>
      </c>
      <c r="F620" s="79" t="str">
        <f>IFERROR(__xludf.DUMMYFUNCTION("""COMPUTED_VALUE"""),"Shaeffer")</f>
        <v>Shaeffer</v>
      </c>
    </row>
    <row r="621">
      <c r="A621" s="85">
        <f>IFERROR(__xludf.DUMMYFUNCTION("""COMPUTED_VALUE"""),45505.0)</f>
        <v>45505</v>
      </c>
      <c r="B621" s="109">
        <f>IFERROR(__xludf.DUMMYFUNCTION("""COMPUTED_VALUE"""),2.59)</f>
        <v>2.59</v>
      </c>
      <c r="C621" s="79" t="str">
        <f>IFERROR(__xludf.DUMMYFUNCTION("""COMPUTED_VALUE"""),"bodega")</f>
        <v>bodega</v>
      </c>
      <c r="D621" s="79" t="str">
        <f>IFERROR(__xludf.DUMMYFUNCTION("""COMPUTED_VALUE"""),"Work Meals")</f>
        <v>Work Meals</v>
      </c>
      <c r="E621" s="108" t="str">
        <f t="shared" si="1"/>
        <v>Aug</v>
      </c>
      <c r="F621" s="79" t="str">
        <f>IFERROR(__xludf.DUMMYFUNCTION("""COMPUTED_VALUE"""),"Shaeffer")</f>
        <v>Shaeffer</v>
      </c>
    </row>
    <row r="622">
      <c r="A622" s="85">
        <f>IFERROR(__xludf.DUMMYFUNCTION("""COMPUTED_VALUE"""),45506.0)</f>
        <v>45506</v>
      </c>
      <c r="B622" s="109">
        <f>IFERROR(__xludf.DUMMYFUNCTION("""COMPUTED_VALUE"""),45.8)</f>
        <v>45.8</v>
      </c>
      <c r="C622" s="79" t="str">
        <f>IFERROR(__xludf.DUMMYFUNCTION("""COMPUTED_VALUE"""),"Keystone ")</f>
        <v>Keystone </v>
      </c>
      <c r="D622" s="79" t="str">
        <f>IFERROR(__xludf.DUMMYFUNCTION("""COMPUTED_VALUE"""),"Studio")</f>
        <v>Studio</v>
      </c>
      <c r="E622" s="108" t="str">
        <f t="shared" si="1"/>
        <v>Aug</v>
      </c>
      <c r="F622" s="79" t="str">
        <f>IFERROR(__xludf.DUMMYFUNCTION("""COMPUTED_VALUE"""),"Shaeffer")</f>
        <v>Shaeffer</v>
      </c>
    </row>
    <row r="623">
      <c r="A623" s="85">
        <f>IFERROR(__xludf.DUMMYFUNCTION("""COMPUTED_VALUE"""),45505.0)</f>
        <v>45505</v>
      </c>
      <c r="B623" s="109">
        <f>IFERROR(__xludf.DUMMYFUNCTION("""COMPUTED_VALUE"""),20.0)</f>
        <v>20</v>
      </c>
      <c r="C623" s="79" t="str">
        <f>IFERROR(__xludf.DUMMYFUNCTION("""COMPUTED_VALUE"""),"TAP THAT")</f>
        <v>TAP THAT</v>
      </c>
      <c r="D623" s="79" t="str">
        <f>IFERROR(__xludf.DUMMYFUNCTION("""COMPUTED_VALUE"""),"Meals")</f>
        <v>Meals</v>
      </c>
      <c r="E623" s="108" t="str">
        <f t="shared" si="1"/>
        <v>Aug</v>
      </c>
      <c r="F623" s="79" t="str">
        <f>IFERROR(__xludf.DUMMYFUNCTION("""COMPUTED_VALUE"""),"Shaeffer")</f>
        <v>Shaeffer</v>
      </c>
    </row>
    <row r="624">
      <c r="A624" s="85">
        <f>IFERROR(__xludf.DUMMYFUNCTION("""COMPUTED_VALUE"""),45506.0)</f>
        <v>45506</v>
      </c>
      <c r="B624" s="109">
        <f>IFERROR(__xludf.DUMMYFUNCTION("""COMPUTED_VALUE"""),87.0)</f>
        <v>87</v>
      </c>
      <c r="C624" s="79" t="str">
        <f>IFERROR(__xludf.DUMMYFUNCTION("""COMPUTED_VALUE"""),"Harvest Cycle")</f>
        <v>Harvest Cycle</v>
      </c>
      <c r="D624" s="79" t="str">
        <f>IFERROR(__xludf.DUMMYFUNCTION("""COMPUTED_VALUE"""),"Transportation")</f>
        <v>Transportation</v>
      </c>
      <c r="E624" s="108" t="str">
        <f t="shared" si="1"/>
        <v>Aug</v>
      </c>
      <c r="F624" s="79" t="str">
        <f>IFERROR(__xludf.DUMMYFUNCTION("""COMPUTED_VALUE"""),"Shaeffer")</f>
        <v>Shaeffer</v>
      </c>
    </row>
    <row r="625">
      <c r="A625" s="85">
        <f>IFERROR(__xludf.DUMMYFUNCTION("""COMPUTED_VALUE"""),45506.0)</f>
        <v>45506</v>
      </c>
      <c r="B625" s="109">
        <f>IFERROR(__xludf.DUMMYFUNCTION("""COMPUTED_VALUE"""),49.99)</f>
        <v>49.99</v>
      </c>
      <c r="C625" s="79" t="str">
        <f>IFERROR(__xludf.DUMMYFUNCTION("""COMPUTED_VALUE"""),"Lightroom Subscription ")</f>
        <v>Lightroom Subscription </v>
      </c>
      <c r="D625" s="79" t="str">
        <f>IFERROR(__xludf.DUMMYFUNCTION("""COMPUTED_VALUE"""),"Studio")</f>
        <v>Studio</v>
      </c>
      <c r="E625" s="108" t="str">
        <f t="shared" si="1"/>
        <v>Aug</v>
      </c>
      <c r="F625" s="79" t="str">
        <f>IFERROR(__xludf.DUMMYFUNCTION("""COMPUTED_VALUE"""),"Shaeffer")</f>
        <v>Shaeffer</v>
      </c>
    </row>
    <row r="626">
      <c r="A626" s="85">
        <f>IFERROR(__xludf.DUMMYFUNCTION("""COMPUTED_VALUE"""),45507.0)</f>
        <v>45507</v>
      </c>
      <c r="B626" s="109">
        <f>IFERROR(__xludf.DUMMYFUNCTION("""COMPUTED_VALUE"""),10.33)</f>
        <v>10.33</v>
      </c>
      <c r="C626" s="79" t="str">
        <f>IFERROR(__xludf.DUMMYFUNCTION("""COMPUTED_VALUE"""),"Hummus &amp; Pita Co. - Grubhub")</f>
        <v>Hummus &amp; Pita Co. - Grubhub</v>
      </c>
      <c r="D626" s="79" t="str">
        <f>IFERROR(__xludf.DUMMYFUNCTION("""COMPUTED_VALUE"""),"Work Meals")</f>
        <v>Work Meals</v>
      </c>
      <c r="E626" s="108" t="str">
        <f t="shared" si="1"/>
        <v>Aug</v>
      </c>
      <c r="F626" s="79" t="str">
        <f>IFERROR(__xludf.DUMMYFUNCTION("""COMPUTED_VALUE"""),"Gil")</f>
        <v>Gil</v>
      </c>
    </row>
    <row r="627">
      <c r="A627" s="85">
        <f>IFERROR(__xludf.DUMMYFUNCTION("""COMPUTED_VALUE"""),45506.0)</f>
        <v>45506</v>
      </c>
      <c r="B627" s="109">
        <f>IFERROR(__xludf.DUMMYFUNCTION("""COMPUTED_VALUE"""),15.63)</f>
        <v>15.63</v>
      </c>
      <c r="C627" s="79" t="str">
        <f>IFERROR(__xludf.DUMMYFUNCTION("""COMPUTED_VALUE"""),"Woorijip")</f>
        <v>Woorijip</v>
      </c>
      <c r="D627" s="79" t="str">
        <f>IFERROR(__xludf.DUMMYFUNCTION("""COMPUTED_VALUE"""),"Meals")</f>
        <v>Meals</v>
      </c>
      <c r="E627" s="108" t="str">
        <f t="shared" si="1"/>
        <v>Aug</v>
      </c>
      <c r="F627" s="79" t="str">
        <f>IFERROR(__xludf.DUMMYFUNCTION("""COMPUTED_VALUE"""),"Gil")</f>
        <v>Gil</v>
      </c>
    </row>
    <row r="628">
      <c r="A628" s="85">
        <f>IFERROR(__xludf.DUMMYFUNCTION("""COMPUTED_VALUE"""),45506.0)</f>
        <v>45506</v>
      </c>
      <c r="B628" s="109">
        <f>IFERROR(__xludf.DUMMYFUNCTION("""COMPUTED_VALUE"""),16.2)</f>
        <v>16.2</v>
      </c>
      <c r="C628" s="79" t="str">
        <f>IFERROR(__xludf.DUMMYFUNCTION("""COMPUTED_VALUE"""),"DIG")</f>
        <v>DIG</v>
      </c>
      <c r="D628" s="79" t="str">
        <f>IFERROR(__xludf.DUMMYFUNCTION("""COMPUTED_VALUE"""),"Work Meals")</f>
        <v>Work Meals</v>
      </c>
      <c r="E628" s="108" t="str">
        <f t="shared" si="1"/>
        <v>Aug</v>
      </c>
      <c r="F628" s="79" t="str">
        <f>IFERROR(__xludf.DUMMYFUNCTION("""COMPUTED_VALUE"""),"Gil")</f>
        <v>Gil</v>
      </c>
    </row>
    <row r="629">
      <c r="A629" s="85">
        <f>IFERROR(__xludf.DUMMYFUNCTION("""COMPUTED_VALUE"""),45507.0)</f>
        <v>45507</v>
      </c>
      <c r="B629" s="109">
        <f>IFERROR(__xludf.DUMMYFUNCTION("""COMPUTED_VALUE"""),84.0)</f>
        <v>84</v>
      </c>
      <c r="C629" s="79" t="str">
        <f>IFERROR(__xludf.DUMMYFUNCTION("""COMPUTED_VALUE"""),"Film development ")</f>
        <v>Film development </v>
      </c>
      <c r="D629" s="79" t="str">
        <f>IFERROR(__xludf.DUMMYFUNCTION("""COMPUTED_VALUE"""),"Studio")</f>
        <v>Studio</v>
      </c>
      <c r="E629" s="108" t="str">
        <f t="shared" si="1"/>
        <v>Aug</v>
      </c>
      <c r="F629" s="79" t="str">
        <f>IFERROR(__xludf.DUMMYFUNCTION("""COMPUTED_VALUE"""),"Shaeffer")</f>
        <v>Shaeffer</v>
      </c>
    </row>
    <row r="630">
      <c r="A630" s="85">
        <f>IFERROR(__xludf.DUMMYFUNCTION("""COMPUTED_VALUE"""),45507.0)</f>
        <v>45507</v>
      </c>
      <c r="B630" s="109">
        <f>IFERROR(__xludf.DUMMYFUNCTION("""COMPUTED_VALUE"""),245.0)</f>
        <v>245</v>
      </c>
      <c r="C630" s="79" t="str">
        <f>IFERROR(__xludf.DUMMYFUNCTION("""COMPUTED_VALUE"""),"Nobl - suitcase")</f>
        <v>Nobl - suitcase</v>
      </c>
      <c r="D630" s="79" t="str">
        <f>IFERROR(__xludf.DUMMYFUNCTION("""COMPUTED_VALUE"""),"Studio")</f>
        <v>Studio</v>
      </c>
      <c r="E630" s="108" t="str">
        <f t="shared" si="1"/>
        <v>Aug</v>
      </c>
      <c r="F630" s="79" t="str">
        <f>IFERROR(__xludf.DUMMYFUNCTION("""COMPUTED_VALUE"""),"Shaeffer")</f>
        <v>Shaeffer</v>
      </c>
    </row>
    <row r="631">
      <c r="A631" s="85">
        <f>IFERROR(__xludf.DUMMYFUNCTION("""COMPUTED_VALUE"""),45507.0)</f>
        <v>45507</v>
      </c>
      <c r="B631" s="109">
        <f>IFERROR(__xludf.DUMMYFUNCTION("""COMPUTED_VALUE"""),15.36)</f>
        <v>15.36</v>
      </c>
      <c r="C631" s="79" t="str">
        <f>IFERROR(__xludf.DUMMYFUNCTION("""COMPUTED_VALUE"""),"Tv eye")</f>
        <v>Tv eye</v>
      </c>
      <c r="D631" s="79" t="str">
        <f>IFERROR(__xludf.DUMMYFUNCTION("""COMPUTED_VALUE"""),"Alcohol/Weed")</f>
        <v>Alcohol/Weed</v>
      </c>
      <c r="E631" s="108" t="str">
        <f t="shared" si="1"/>
        <v>Aug</v>
      </c>
      <c r="F631" s="79" t="str">
        <f>IFERROR(__xludf.DUMMYFUNCTION("""COMPUTED_VALUE"""),"Shaeffer")</f>
        <v>Shaeffer</v>
      </c>
    </row>
    <row r="632">
      <c r="A632" s="85">
        <f>IFERROR(__xludf.DUMMYFUNCTION("""COMPUTED_VALUE"""),45509.0)</f>
        <v>45509</v>
      </c>
      <c r="B632" s="109">
        <f>IFERROR(__xludf.DUMMYFUNCTION("""COMPUTED_VALUE"""),55.0)</f>
        <v>55</v>
      </c>
      <c r="C632" s="79" t="str">
        <f>IFERROR(__xludf.DUMMYFUNCTION("""COMPUTED_VALUE"""),"Micro doses")</f>
        <v>Micro doses</v>
      </c>
      <c r="D632" s="79" t="str">
        <f>IFERROR(__xludf.DUMMYFUNCTION("""COMPUTED_VALUE"""),"Alcohol/Weed")</f>
        <v>Alcohol/Weed</v>
      </c>
      <c r="E632" s="108" t="str">
        <f t="shared" si="1"/>
        <v>Aug</v>
      </c>
      <c r="F632" s="79" t="str">
        <f>IFERROR(__xludf.DUMMYFUNCTION("""COMPUTED_VALUE"""),"Shaeffer")</f>
        <v>Shaeffer</v>
      </c>
    </row>
    <row r="633">
      <c r="A633" s="85">
        <f>IFERROR(__xludf.DUMMYFUNCTION("""COMPUTED_VALUE"""),45510.0)</f>
        <v>45510</v>
      </c>
      <c r="B633" s="109">
        <f>IFERROR(__xludf.DUMMYFUNCTION("""COMPUTED_VALUE"""),10.25)</f>
        <v>10.25</v>
      </c>
      <c r="C633" s="79" t="str">
        <f>IFERROR(__xludf.DUMMYFUNCTION("""COMPUTED_VALUE"""),"Pommes Frites")</f>
        <v>Pommes Frites</v>
      </c>
      <c r="D633" s="79" t="str">
        <f>IFERROR(__xludf.DUMMYFUNCTION("""COMPUTED_VALUE"""),"Work Meals")</f>
        <v>Work Meals</v>
      </c>
      <c r="E633" s="108" t="str">
        <f t="shared" si="1"/>
        <v>Aug</v>
      </c>
      <c r="F633" s="79" t="str">
        <f>IFERROR(__xludf.DUMMYFUNCTION("""COMPUTED_VALUE"""),"Gil")</f>
        <v>Gil</v>
      </c>
    </row>
    <row r="634">
      <c r="A634" s="85">
        <f>IFERROR(__xludf.DUMMYFUNCTION("""COMPUTED_VALUE"""),45510.0)</f>
        <v>45510</v>
      </c>
      <c r="B634" s="109">
        <f>IFERROR(__xludf.DUMMYFUNCTION("""COMPUTED_VALUE"""),87.06)</f>
        <v>87.06</v>
      </c>
      <c r="C634" s="79" t="str">
        <f>IFERROR(__xludf.DUMMYFUNCTION("""COMPUTED_VALUE"""),"Luggage ")</f>
        <v>Luggage </v>
      </c>
      <c r="D634" s="79" t="str">
        <f>IFERROR(__xludf.DUMMYFUNCTION("""COMPUTED_VALUE"""),"Travel")</f>
        <v>Travel</v>
      </c>
      <c r="E634" s="108" t="str">
        <f t="shared" si="1"/>
        <v>Aug</v>
      </c>
      <c r="F634" s="79" t="str">
        <f>IFERROR(__xludf.DUMMYFUNCTION("""COMPUTED_VALUE"""),"Shaeffer")</f>
        <v>Shaeffer</v>
      </c>
    </row>
    <row r="635">
      <c r="A635" s="85">
        <f>IFERROR(__xludf.DUMMYFUNCTION("""COMPUTED_VALUE"""),45511.0)</f>
        <v>45511</v>
      </c>
      <c r="B635" s="109">
        <f>IFERROR(__xludf.DUMMYFUNCTION("""COMPUTED_VALUE"""),25.71)</f>
        <v>25.71</v>
      </c>
      <c r="C635" s="79" t="str">
        <f>IFERROR(__xludf.DUMMYFUNCTION("""COMPUTED_VALUE"""),"Saigon Shack")</f>
        <v>Saigon Shack</v>
      </c>
      <c r="D635" s="79" t="str">
        <f>IFERROR(__xludf.DUMMYFUNCTION("""COMPUTED_VALUE"""),"Work Meals")</f>
        <v>Work Meals</v>
      </c>
      <c r="E635" s="108" t="str">
        <f t="shared" si="1"/>
        <v>Aug</v>
      </c>
      <c r="F635" s="79" t="str">
        <f>IFERROR(__xludf.DUMMYFUNCTION("""COMPUTED_VALUE"""),"Gil")</f>
        <v>Gil</v>
      </c>
    </row>
    <row r="636">
      <c r="A636" s="85">
        <f>IFERROR(__xludf.DUMMYFUNCTION("""COMPUTED_VALUE"""),45512.0)</f>
        <v>45512</v>
      </c>
      <c r="B636" s="109">
        <f>IFERROR(__xludf.DUMMYFUNCTION("""COMPUTED_VALUE"""),5.63)</f>
        <v>5.63</v>
      </c>
      <c r="C636" s="79" t="str">
        <f>IFERROR(__xludf.DUMMYFUNCTION("""COMPUTED_VALUE"""),"Birch")</f>
        <v>Birch</v>
      </c>
      <c r="D636" s="79" t="str">
        <f>IFERROR(__xludf.DUMMYFUNCTION("""COMPUTED_VALUE"""),"Work Meals")</f>
        <v>Work Meals</v>
      </c>
      <c r="E636" s="108" t="str">
        <f t="shared" si="1"/>
        <v>Aug</v>
      </c>
      <c r="F636" s="79" t="str">
        <f>IFERROR(__xludf.DUMMYFUNCTION("""COMPUTED_VALUE"""),"Shaeffer")</f>
        <v>Shaeffer</v>
      </c>
    </row>
    <row r="637">
      <c r="A637" s="85">
        <f>IFERROR(__xludf.DUMMYFUNCTION("""COMPUTED_VALUE"""),45513.0)</f>
        <v>45513</v>
      </c>
      <c r="B637" s="109">
        <f>IFERROR(__xludf.DUMMYFUNCTION("""COMPUTED_VALUE"""),50.0)</f>
        <v>50</v>
      </c>
      <c r="C637" s="79" t="str">
        <f>IFERROR(__xludf.DUMMYFUNCTION("""COMPUTED_VALUE"""),"Car to JFK")</f>
        <v>Car to JFK</v>
      </c>
      <c r="D637" s="79" t="str">
        <f>IFERROR(__xludf.DUMMYFUNCTION("""COMPUTED_VALUE"""),"Travel")</f>
        <v>Travel</v>
      </c>
      <c r="E637" s="108" t="str">
        <f t="shared" si="1"/>
        <v>Aug</v>
      </c>
      <c r="F637" s="79" t="str">
        <f>IFERROR(__xludf.DUMMYFUNCTION("""COMPUTED_VALUE"""),"Shaeffer")</f>
        <v>Shaeffer</v>
      </c>
    </row>
    <row r="638">
      <c r="A638" s="85">
        <f>IFERROR(__xludf.DUMMYFUNCTION("""COMPUTED_VALUE"""),45514.0)</f>
        <v>45514</v>
      </c>
      <c r="B638" s="109">
        <f>IFERROR(__xludf.DUMMYFUNCTION("""COMPUTED_VALUE"""),6.44)</f>
        <v>6.44</v>
      </c>
      <c r="C638" s="79" t="str">
        <f>IFERROR(__xludf.DUMMYFUNCTION("""COMPUTED_VALUE"""),"Marathon Coffee")</f>
        <v>Marathon Coffee</v>
      </c>
      <c r="D638" s="79" t="str">
        <f>IFERROR(__xludf.DUMMYFUNCTION("""COMPUTED_VALUE"""),"Meals")</f>
        <v>Meals</v>
      </c>
      <c r="E638" s="108" t="str">
        <f t="shared" si="1"/>
        <v>Aug</v>
      </c>
      <c r="F638" s="79" t="str">
        <f>IFERROR(__xludf.DUMMYFUNCTION("""COMPUTED_VALUE"""),"Gil")</f>
        <v>Gil</v>
      </c>
    </row>
    <row r="639">
      <c r="A639" s="85">
        <f>IFERROR(__xludf.DUMMYFUNCTION("""COMPUTED_VALUE"""),45513.0)</f>
        <v>45513</v>
      </c>
      <c r="B639" s="109">
        <f>IFERROR(__xludf.DUMMYFUNCTION("""COMPUTED_VALUE"""),23.58)</f>
        <v>23.58</v>
      </c>
      <c r="C639" s="79" t="str">
        <f>IFERROR(__xludf.DUMMYFUNCTION("""COMPUTED_VALUE"""),"A Pou's Taste - Uber eats")</f>
        <v>A Pou's Taste - Uber eats</v>
      </c>
      <c r="D639" s="79" t="str">
        <f>IFERROR(__xludf.DUMMYFUNCTION("""COMPUTED_VALUE"""),"Meals")</f>
        <v>Meals</v>
      </c>
      <c r="E639" s="108" t="str">
        <f t="shared" si="1"/>
        <v>Aug</v>
      </c>
      <c r="F639" s="79" t="str">
        <f>IFERROR(__xludf.DUMMYFUNCTION("""COMPUTED_VALUE"""),"Gil")</f>
        <v>Gil</v>
      </c>
    </row>
    <row r="640">
      <c r="A640" s="85">
        <f>IFERROR(__xludf.DUMMYFUNCTION("""COMPUTED_VALUE"""),45514.0)</f>
        <v>45514</v>
      </c>
      <c r="B640" s="109">
        <f>IFERROR(__xludf.DUMMYFUNCTION("""COMPUTED_VALUE"""),32.66)</f>
        <v>32.66</v>
      </c>
      <c r="C640" s="79" t="str">
        <f>IFERROR(__xludf.DUMMYFUNCTION("""COMPUTED_VALUE"""),"Ulta Beauty")</f>
        <v>Ulta Beauty</v>
      </c>
      <c r="D640" s="79" t="str">
        <f>IFERROR(__xludf.DUMMYFUNCTION("""COMPUTED_VALUE"""),"Personal")</f>
        <v>Personal</v>
      </c>
      <c r="E640" s="108" t="str">
        <f t="shared" si="1"/>
        <v>Aug</v>
      </c>
      <c r="F640" s="79" t="str">
        <f>IFERROR(__xludf.DUMMYFUNCTION("""COMPUTED_VALUE"""),"Gil")</f>
        <v>Gil</v>
      </c>
    </row>
    <row r="641">
      <c r="A641" s="85">
        <f>IFERROR(__xludf.DUMMYFUNCTION("""COMPUTED_VALUE"""),45512.0)</f>
        <v>45512</v>
      </c>
      <c r="B641" s="109">
        <f>IFERROR(__xludf.DUMMYFUNCTION("""COMPUTED_VALUE"""),90.2)</f>
        <v>90.2</v>
      </c>
      <c r="C641" s="79" t="str">
        <f>IFERROR(__xludf.DUMMYFUNCTION("""COMPUTED_VALUE"""),"Uniqlo")</f>
        <v>Uniqlo</v>
      </c>
      <c r="D641" s="79" t="str">
        <f>IFERROR(__xludf.DUMMYFUNCTION("""COMPUTED_VALUE"""),"Clothing")</f>
        <v>Clothing</v>
      </c>
      <c r="E641" s="108" t="str">
        <f t="shared" si="1"/>
        <v>Aug</v>
      </c>
      <c r="F641" s="79" t="str">
        <f>IFERROR(__xludf.DUMMYFUNCTION("""COMPUTED_VALUE"""),"Gil")</f>
        <v>Gil</v>
      </c>
    </row>
    <row r="642">
      <c r="A642" s="85">
        <f>IFERROR(__xludf.DUMMYFUNCTION("""COMPUTED_VALUE"""),45514.0)</f>
        <v>45514</v>
      </c>
      <c r="B642" s="109">
        <f>IFERROR(__xludf.DUMMYFUNCTION("""COMPUTED_VALUE"""),8.25)</f>
        <v>8.25</v>
      </c>
      <c r="C642" s="79" t="str">
        <f>IFERROR(__xludf.DUMMYFUNCTION("""COMPUTED_VALUE"""),"Westside Market")</f>
        <v>Westside Market</v>
      </c>
      <c r="D642" s="79" t="str">
        <f>IFERROR(__xludf.DUMMYFUNCTION("""COMPUTED_VALUE"""),"Work Meals")</f>
        <v>Work Meals</v>
      </c>
      <c r="E642" s="108" t="str">
        <f t="shared" si="1"/>
        <v>Aug</v>
      </c>
      <c r="F642" s="79" t="str">
        <f>IFERROR(__xludf.DUMMYFUNCTION("""COMPUTED_VALUE"""),"Gil")</f>
        <v>Gil</v>
      </c>
    </row>
    <row r="643">
      <c r="A643" s="85">
        <f>IFERROR(__xludf.DUMMYFUNCTION("""COMPUTED_VALUE"""),45514.0)</f>
        <v>45514</v>
      </c>
      <c r="B643" s="109">
        <f>IFERROR(__xludf.DUMMYFUNCTION("""COMPUTED_VALUE"""),65.0)</f>
        <v>65</v>
      </c>
      <c r="C643" s="79" t="str">
        <f>IFERROR(__xludf.DUMMYFUNCTION("""COMPUTED_VALUE"""),"eCosmetics")</f>
        <v>eCosmetics</v>
      </c>
      <c r="D643" s="79" t="str">
        <f>IFERROR(__xludf.DUMMYFUNCTION("""COMPUTED_VALUE"""),"Personal")</f>
        <v>Personal</v>
      </c>
      <c r="E643" s="108" t="str">
        <f t="shared" si="1"/>
        <v>Aug</v>
      </c>
      <c r="F643" s="79" t="str">
        <f>IFERROR(__xludf.DUMMYFUNCTION("""COMPUTED_VALUE"""),"Gil")</f>
        <v>Gil</v>
      </c>
    </row>
    <row r="644">
      <c r="A644" s="85">
        <f>IFERROR(__xludf.DUMMYFUNCTION("""COMPUTED_VALUE"""),45515.0)</f>
        <v>45515</v>
      </c>
      <c r="B644" s="109">
        <f>IFERROR(__xludf.DUMMYFUNCTION("""COMPUTED_VALUE"""),47.14)</f>
        <v>47.14</v>
      </c>
      <c r="C644" s="79" t="str">
        <f>IFERROR(__xludf.DUMMYFUNCTION("""COMPUTED_VALUE"""),"Uber to LGA")</f>
        <v>Uber to LGA</v>
      </c>
      <c r="D644" s="79" t="str">
        <f>IFERROR(__xludf.DUMMYFUNCTION("""COMPUTED_VALUE"""),"Travel")</f>
        <v>Travel</v>
      </c>
      <c r="E644" s="108" t="str">
        <f t="shared" si="1"/>
        <v>Aug</v>
      </c>
      <c r="F644" s="79" t="str">
        <f>IFERROR(__xludf.DUMMYFUNCTION("""COMPUTED_VALUE"""),"Gil")</f>
        <v>Gil</v>
      </c>
    </row>
    <row r="645">
      <c r="A645" s="85">
        <f>IFERROR(__xludf.DUMMYFUNCTION("""COMPUTED_VALUE"""),45515.0)</f>
        <v>45515</v>
      </c>
      <c r="B645" s="109">
        <f>IFERROR(__xludf.DUMMYFUNCTION("""COMPUTED_VALUE"""),18.4)</f>
        <v>18.4</v>
      </c>
      <c r="C645" s="79" t="str">
        <f>IFERROR(__xludf.DUMMYFUNCTION("""COMPUTED_VALUE"""),"YYZ - Mill St.")</f>
        <v>YYZ - Mill St.</v>
      </c>
      <c r="D645" s="79" t="str">
        <f>IFERROR(__xludf.DUMMYFUNCTION("""COMPUTED_VALUE"""),"Travel")</f>
        <v>Travel</v>
      </c>
      <c r="E645" s="108" t="str">
        <f t="shared" si="1"/>
        <v>Aug</v>
      </c>
      <c r="F645" s="79" t="str">
        <f>IFERROR(__xludf.DUMMYFUNCTION("""COMPUTED_VALUE"""),"Gil")</f>
        <v>Gil</v>
      </c>
    </row>
    <row r="646">
      <c r="A646" s="85">
        <f>IFERROR(__xludf.DUMMYFUNCTION("""COMPUTED_VALUE"""),45515.0)</f>
        <v>45515</v>
      </c>
      <c r="B646" s="109">
        <f>IFERROR(__xludf.DUMMYFUNCTION("""COMPUTED_VALUE"""),2.48)</f>
        <v>2.48</v>
      </c>
      <c r="C646" s="79" t="str">
        <f>IFERROR(__xludf.DUMMYFUNCTION("""COMPUTED_VALUE"""),"YYZ - Starbucks")</f>
        <v>YYZ - Starbucks</v>
      </c>
      <c r="D646" s="79" t="str">
        <f>IFERROR(__xludf.DUMMYFUNCTION("""COMPUTED_VALUE"""),"Travel")</f>
        <v>Travel</v>
      </c>
      <c r="E646" s="108" t="str">
        <f t="shared" si="1"/>
        <v>Aug</v>
      </c>
      <c r="F646" s="79" t="str">
        <f>IFERROR(__xludf.DUMMYFUNCTION("""COMPUTED_VALUE"""),"Gil")</f>
        <v>Gil</v>
      </c>
    </row>
    <row r="647">
      <c r="A647" s="85">
        <f>IFERROR(__xludf.DUMMYFUNCTION("""COMPUTED_VALUE"""),45876.0)</f>
        <v>45876</v>
      </c>
      <c r="B647" s="109">
        <f>IFERROR(__xludf.DUMMYFUNCTION("""COMPUTED_VALUE"""),25.0)</f>
        <v>25</v>
      </c>
      <c r="C647" s="79" t="str">
        <f>IFERROR(__xludf.DUMMYFUNCTION("""COMPUTED_VALUE"""),"Wyld - Farideh venmo")</f>
        <v>Wyld - Farideh venmo</v>
      </c>
      <c r="D647" s="79" t="str">
        <f>IFERROR(__xludf.DUMMYFUNCTION("""COMPUTED_VALUE"""),"Alcohol/Weed")</f>
        <v>Alcohol/Weed</v>
      </c>
      <c r="E647" s="108" t="str">
        <f t="shared" si="1"/>
        <v>Aug</v>
      </c>
      <c r="F647" s="79" t="str">
        <f>IFERROR(__xludf.DUMMYFUNCTION("""COMPUTED_VALUE"""),"Shaeffer")</f>
        <v>Shaeffer</v>
      </c>
    </row>
    <row r="648">
      <c r="A648" s="85">
        <f>IFERROR(__xludf.DUMMYFUNCTION("""COMPUTED_VALUE"""),45877.0)</f>
        <v>45877</v>
      </c>
      <c r="B648" s="109">
        <f>IFERROR(__xludf.DUMMYFUNCTION("""COMPUTED_VALUE"""),500.0)</f>
        <v>500</v>
      </c>
      <c r="C648" s="79" t="str">
        <f>IFERROR(__xludf.DUMMYFUNCTION("""COMPUTED_VALUE"""),"Studio rent")</f>
        <v>Studio rent</v>
      </c>
      <c r="D648" s="79" t="str">
        <f>IFERROR(__xludf.DUMMYFUNCTION("""COMPUTED_VALUE"""),"Studio")</f>
        <v>Studio</v>
      </c>
      <c r="E648" s="108" t="str">
        <f t="shared" si="1"/>
        <v>Aug</v>
      </c>
      <c r="F648" s="79" t="str">
        <f>IFERROR(__xludf.DUMMYFUNCTION("""COMPUTED_VALUE"""),"Shaeffer")</f>
        <v>Shaeffer</v>
      </c>
    </row>
    <row r="649">
      <c r="A649" s="85">
        <f>IFERROR(__xludf.DUMMYFUNCTION("""COMPUTED_VALUE"""),45878.0)</f>
        <v>45878</v>
      </c>
      <c r="B649" s="109">
        <f>IFERROR(__xludf.DUMMYFUNCTION("""COMPUTED_VALUE"""),157.82)</f>
        <v>157.82</v>
      </c>
      <c r="C649" s="79" t="str">
        <f>IFERROR(__xludf.DUMMYFUNCTION("""COMPUTED_VALUE"""),"Canada cash withdrawal ")</f>
        <v>Canada cash withdrawal </v>
      </c>
      <c r="D649" s="79" t="str">
        <f>IFERROR(__xludf.DUMMYFUNCTION("""COMPUTED_VALUE"""),"Travel")</f>
        <v>Travel</v>
      </c>
      <c r="E649" s="108" t="str">
        <f t="shared" si="1"/>
        <v>Aug</v>
      </c>
      <c r="F649" s="79" t="str">
        <f>IFERROR(__xludf.DUMMYFUNCTION("""COMPUTED_VALUE"""),"Shaeffer")</f>
        <v>Shaeffer</v>
      </c>
    </row>
    <row r="650">
      <c r="A650" s="85">
        <f>IFERROR(__xludf.DUMMYFUNCTION("""COMPUTED_VALUE"""),45890.0)</f>
        <v>45890</v>
      </c>
      <c r="B650" s="109">
        <f>IFERROR(__xludf.DUMMYFUNCTION("""COMPUTED_VALUE"""),14.87)</f>
        <v>14.87</v>
      </c>
      <c r="C650" s="79" t="str">
        <f>IFERROR(__xludf.DUMMYFUNCTION("""COMPUTED_VALUE"""),"Flowers for Smokey - Venmo kim")</f>
        <v>Flowers for Smokey - Venmo kim</v>
      </c>
      <c r="D650" s="79" t="str">
        <f>IFERROR(__xludf.DUMMYFUNCTION("""COMPUTED_VALUE"""),"Gifts/Donations")</f>
        <v>Gifts/Donations</v>
      </c>
      <c r="E650" s="108" t="str">
        <f t="shared" si="1"/>
        <v>Aug</v>
      </c>
      <c r="F650" s="79" t="str">
        <f>IFERROR(__xludf.DUMMYFUNCTION("""COMPUTED_VALUE"""),"Shaeffer")</f>
        <v>Shaeffer</v>
      </c>
    </row>
    <row r="651">
      <c r="A651" s="85">
        <f>IFERROR(__xludf.DUMMYFUNCTION("""COMPUTED_VALUE"""),45877.0)</f>
        <v>45877</v>
      </c>
      <c r="B651" s="109">
        <f>IFERROR(__xludf.DUMMYFUNCTION("""COMPUTED_VALUE"""),5.63)</f>
        <v>5.63</v>
      </c>
      <c r="C651" s="79" t="str">
        <f>IFERROR(__xludf.DUMMYFUNCTION("""COMPUTED_VALUE"""),"Birch")</f>
        <v>Birch</v>
      </c>
      <c r="D651" s="79" t="str">
        <f>IFERROR(__xludf.DUMMYFUNCTION("""COMPUTED_VALUE"""),"Work Meals")</f>
        <v>Work Meals</v>
      </c>
      <c r="E651" s="108" t="str">
        <f t="shared" si="1"/>
        <v>Aug</v>
      </c>
      <c r="F651" s="79" t="str">
        <f>IFERROR(__xludf.DUMMYFUNCTION("""COMPUTED_VALUE"""),"Shaeffer")</f>
        <v>Shaeffer</v>
      </c>
    </row>
    <row r="652">
      <c r="A652" s="85">
        <f>IFERROR(__xludf.DUMMYFUNCTION("""COMPUTED_VALUE"""),45878.0)</f>
        <v>45878</v>
      </c>
      <c r="B652" s="109">
        <f>IFERROR(__xludf.DUMMYFUNCTION("""COMPUTED_VALUE"""),21.86)</f>
        <v>21.86</v>
      </c>
      <c r="C652" s="79" t="str">
        <f>IFERROR(__xludf.DUMMYFUNCTION("""COMPUTED_VALUE"""),"Fruit Stand")</f>
        <v>Fruit Stand</v>
      </c>
      <c r="D652" s="79" t="str">
        <f>IFERROR(__xludf.DUMMYFUNCTION("""COMPUTED_VALUE"""),"Travel")</f>
        <v>Travel</v>
      </c>
      <c r="E652" s="108" t="str">
        <f t="shared" si="1"/>
        <v>Aug</v>
      </c>
      <c r="F652" s="79" t="str">
        <f>IFERROR(__xludf.DUMMYFUNCTION("""COMPUTED_VALUE"""),"Shaeffer")</f>
        <v>Shaeffer</v>
      </c>
    </row>
    <row r="653">
      <c r="A653" s="85">
        <f>IFERROR(__xludf.DUMMYFUNCTION("""COMPUTED_VALUE"""),45878.0)</f>
        <v>45878</v>
      </c>
      <c r="B653" s="109">
        <f>IFERROR(__xludf.DUMMYFUNCTION("""COMPUTED_VALUE"""),68.66)</f>
        <v>68.66</v>
      </c>
      <c r="C653" s="79" t="str">
        <f>IFERROR(__xludf.DUMMYFUNCTION("""COMPUTED_VALUE"""),"Sylvan Lake supplies")</f>
        <v>Sylvan Lake supplies</v>
      </c>
      <c r="D653" s="79" t="str">
        <f>IFERROR(__xludf.DUMMYFUNCTION("""COMPUTED_VALUE"""),"Travel")</f>
        <v>Travel</v>
      </c>
      <c r="E653" s="108" t="str">
        <f t="shared" si="1"/>
        <v>Aug</v>
      </c>
      <c r="F653" s="79" t="str">
        <f>IFERROR(__xludf.DUMMYFUNCTION("""COMPUTED_VALUE"""),"Shaeffer")</f>
        <v>Shaeffer</v>
      </c>
    </row>
    <row r="654">
      <c r="A654" s="85">
        <f>IFERROR(__xludf.DUMMYFUNCTION("""COMPUTED_VALUE"""),45527.0)</f>
        <v>45527</v>
      </c>
      <c r="B654" s="109">
        <f>IFERROR(__xludf.DUMMYFUNCTION("""COMPUTED_VALUE"""),22.93)</f>
        <v>22.93</v>
      </c>
      <c r="C654" s="79" t="str">
        <f>IFERROR(__xludf.DUMMYFUNCTION("""COMPUTED_VALUE"""),"Elsewhere")</f>
        <v>Elsewhere</v>
      </c>
      <c r="D654" s="79" t="str">
        <f>IFERROR(__xludf.DUMMYFUNCTION("""COMPUTED_VALUE"""),"Alcohol/Weed")</f>
        <v>Alcohol/Weed</v>
      </c>
      <c r="E654" s="108" t="str">
        <f t="shared" si="1"/>
        <v>Aug</v>
      </c>
      <c r="F654" s="79" t="str">
        <f>IFERROR(__xludf.DUMMYFUNCTION("""COMPUTED_VALUE"""),"Gil")</f>
        <v>Gil</v>
      </c>
    </row>
    <row r="655">
      <c r="A655" s="85">
        <f>IFERROR(__xludf.DUMMYFUNCTION("""COMPUTED_VALUE"""),45527.0)</f>
        <v>45527</v>
      </c>
      <c r="B655" s="109">
        <f>IFERROR(__xludf.DUMMYFUNCTION("""COMPUTED_VALUE"""),60.0)</f>
        <v>60</v>
      </c>
      <c r="C655" s="79" t="str">
        <f>IFERROR(__xludf.DUMMYFUNCTION("""COMPUTED_VALUE"""),"El Santo")</f>
        <v>El Santo</v>
      </c>
      <c r="D655" s="79" t="str">
        <f>IFERROR(__xludf.DUMMYFUNCTION("""COMPUTED_VALUE"""),"Meals")</f>
        <v>Meals</v>
      </c>
      <c r="E655" s="108" t="str">
        <f t="shared" si="1"/>
        <v>Aug</v>
      </c>
      <c r="F655" s="79" t="str">
        <f>IFERROR(__xludf.DUMMYFUNCTION("""COMPUTED_VALUE"""),"Shaeffer")</f>
        <v>Shaeffer</v>
      </c>
    </row>
    <row r="656">
      <c r="A656" s="85">
        <f>IFERROR(__xludf.DUMMYFUNCTION("""COMPUTED_VALUE"""),45527.0)</f>
        <v>45527</v>
      </c>
      <c r="B656" s="109">
        <f>IFERROR(__xludf.DUMMYFUNCTION("""COMPUTED_VALUE"""),60.0)</f>
        <v>60</v>
      </c>
      <c r="C656" s="79" t="str">
        <f>IFERROR(__xludf.DUMMYFUNCTION("""COMPUTED_VALUE"""),"El Santo")</f>
        <v>El Santo</v>
      </c>
      <c r="D656" s="79" t="str">
        <f>IFERROR(__xludf.DUMMYFUNCTION("""COMPUTED_VALUE"""),"Meals")</f>
        <v>Meals</v>
      </c>
      <c r="E656" s="108" t="str">
        <f t="shared" si="1"/>
        <v>Aug</v>
      </c>
      <c r="F656" s="79" t="str">
        <f>IFERROR(__xludf.DUMMYFUNCTION("""COMPUTED_VALUE"""),"Gil")</f>
        <v>Gil</v>
      </c>
    </row>
    <row r="657">
      <c r="A657" s="85">
        <f>IFERROR(__xludf.DUMMYFUNCTION("""COMPUTED_VALUE"""),45528.0)</f>
        <v>45528</v>
      </c>
      <c r="B657" s="109">
        <f>IFERROR(__xludf.DUMMYFUNCTION("""COMPUTED_VALUE"""),32.64)</f>
        <v>32.64</v>
      </c>
      <c r="C657" s="79" t="str">
        <f>IFERROR(__xludf.DUMMYFUNCTION("""COMPUTED_VALUE"""),"Adobe")</f>
        <v>Adobe</v>
      </c>
      <c r="D657" s="79" t="str">
        <f>IFERROR(__xludf.DUMMYFUNCTION("""COMPUTED_VALUE"""),"Subscriptions")</f>
        <v>Subscriptions</v>
      </c>
      <c r="E657" s="108" t="str">
        <f t="shared" si="1"/>
        <v>Aug</v>
      </c>
      <c r="F657" s="79" t="str">
        <f>IFERROR(__xludf.DUMMYFUNCTION("""COMPUTED_VALUE"""),"Gil")</f>
        <v>Gil</v>
      </c>
    </row>
    <row r="658">
      <c r="A658" s="85">
        <f>IFERROR(__xludf.DUMMYFUNCTION("""COMPUTED_VALUE"""),45528.0)</f>
        <v>45528</v>
      </c>
      <c r="B658" s="109">
        <f>IFERROR(__xludf.DUMMYFUNCTION("""COMPUTED_VALUE"""),16.38)</f>
        <v>16.38</v>
      </c>
      <c r="C658" s="79" t="str">
        <f>IFERROR(__xludf.DUMMYFUNCTION("""COMPUTED_VALUE"""),"Thai Hot Box")</f>
        <v>Thai Hot Box</v>
      </c>
      <c r="D658" s="79" t="str">
        <f>IFERROR(__xludf.DUMMYFUNCTION("""COMPUTED_VALUE"""),"Work Meals")</f>
        <v>Work Meals</v>
      </c>
      <c r="E658" s="108" t="str">
        <f t="shared" si="1"/>
        <v>Aug</v>
      </c>
      <c r="F658" s="79" t="str">
        <f>IFERROR(__xludf.DUMMYFUNCTION("""COMPUTED_VALUE"""),"Gil")</f>
        <v>Gil</v>
      </c>
    </row>
    <row r="659">
      <c r="A659" s="85">
        <f>IFERROR(__xludf.DUMMYFUNCTION("""COMPUTED_VALUE"""),45476.0)</f>
        <v>45476</v>
      </c>
      <c r="B659" s="109">
        <f>IFERROR(__xludf.DUMMYFUNCTION("""COMPUTED_VALUE"""),14.59)</f>
        <v>14.59</v>
      </c>
      <c r="C659" s="79" t="str">
        <f>IFERROR(__xludf.DUMMYFUNCTION("""COMPUTED_VALUE"""),"DIG")</f>
        <v>DIG</v>
      </c>
      <c r="D659" s="79" t="str">
        <f>IFERROR(__xludf.DUMMYFUNCTION("""COMPUTED_VALUE"""),"Work Meals")</f>
        <v>Work Meals</v>
      </c>
      <c r="E659" s="108" t="str">
        <f t="shared" si="1"/>
        <v>Jul</v>
      </c>
      <c r="F659" s="79" t="str">
        <f>IFERROR(__xludf.DUMMYFUNCTION("""COMPUTED_VALUE"""),"Gil")</f>
        <v>Gil</v>
      </c>
    </row>
    <row r="660">
      <c r="A660" s="85">
        <f>IFERROR(__xludf.DUMMYFUNCTION("""COMPUTED_VALUE"""),45496.0)</f>
        <v>45496</v>
      </c>
      <c r="B660" s="111">
        <f>IFERROR(__xludf.DUMMYFUNCTION("""COMPUTED_VALUE"""),9.1)</f>
        <v>9.1</v>
      </c>
      <c r="C660" s="79" t="str">
        <f>IFERROR(__xludf.DUMMYFUNCTION("""COMPUTED_VALUE"""),"Amazon - Curad Fingertip Bandages")</f>
        <v>Amazon - Curad Fingertip Bandages</v>
      </c>
      <c r="D660" s="79" t="str">
        <f>IFERROR(__xludf.DUMMYFUNCTION("""COMPUTED_VALUE"""),"Personal")</f>
        <v>Personal</v>
      </c>
      <c r="E660" s="108" t="str">
        <f t="shared" si="1"/>
        <v>Jul</v>
      </c>
      <c r="F660" s="79" t="str">
        <f>IFERROR(__xludf.DUMMYFUNCTION("""COMPUTED_VALUE"""),"Gil")</f>
        <v>Gil</v>
      </c>
    </row>
    <row r="661">
      <c r="A661" s="85">
        <f>IFERROR(__xludf.DUMMYFUNCTION("""COMPUTED_VALUE"""),45504.0)</f>
        <v>45504</v>
      </c>
      <c r="B661" s="111">
        <f>IFERROR(__xludf.DUMMYFUNCTION("""COMPUTED_VALUE"""),111.5)</f>
        <v>111.5</v>
      </c>
      <c r="C661" s="79" t="str">
        <f>IFERROR(__xludf.DUMMYFUNCTION("""COMPUTED_VALUE"""),"MTA")</f>
        <v>MTA</v>
      </c>
      <c r="D661" s="79" t="str">
        <f>IFERROR(__xludf.DUMMYFUNCTION("""COMPUTED_VALUE"""),"Transportation")</f>
        <v>Transportation</v>
      </c>
      <c r="E661" s="108" t="str">
        <f t="shared" si="1"/>
        <v>Jul</v>
      </c>
      <c r="F661" s="79" t="str">
        <f>IFERROR(__xludf.DUMMYFUNCTION("""COMPUTED_VALUE"""),"Gil")</f>
        <v>Gil</v>
      </c>
    </row>
    <row r="662">
      <c r="A662" s="85">
        <f>IFERROR(__xludf.DUMMYFUNCTION("""COMPUTED_VALUE"""),45497.0)</f>
        <v>45497</v>
      </c>
      <c r="B662" s="111">
        <f>IFERROR(__xludf.DUMMYFUNCTION("""COMPUTED_VALUE"""),299.92)</f>
        <v>299.92</v>
      </c>
      <c r="C662" s="79" t="str">
        <f>IFERROR(__xludf.DUMMYFUNCTION("""COMPUTED_VALUE"""),"Equinox")</f>
        <v>Equinox</v>
      </c>
      <c r="D662" s="79" t="str">
        <f>IFERROR(__xludf.DUMMYFUNCTION("""COMPUTED_VALUE"""),"Gym")</f>
        <v>Gym</v>
      </c>
      <c r="E662" s="108" t="str">
        <f t="shared" si="1"/>
        <v>Jul</v>
      </c>
      <c r="F662" s="79" t="str">
        <f>IFERROR(__xludf.DUMMYFUNCTION("""COMPUTED_VALUE"""),"Gil")</f>
        <v>Gil</v>
      </c>
    </row>
    <row r="663">
      <c r="A663" s="85">
        <f>IFERROR(__xludf.DUMMYFUNCTION("""COMPUTED_VALUE"""),45513.0)</f>
        <v>45513</v>
      </c>
      <c r="B663" s="111">
        <f>IFERROR(__xludf.DUMMYFUNCTION("""COMPUTED_VALUE"""),23.58)</f>
        <v>23.58</v>
      </c>
      <c r="C663" s="79" t="str">
        <f>IFERROR(__xludf.DUMMYFUNCTION("""COMPUTED_VALUE"""),"A-Pou's Taste")</f>
        <v>A-Pou's Taste</v>
      </c>
      <c r="D663" s="79" t="str">
        <f>IFERROR(__xludf.DUMMYFUNCTION("""COMPUTED_VALUE"""),"Meals")</f>
        <v>Meals</v>
      </c>
      <c r="E663" s="108" t="str">
        <f t="shared" si="1"/>
        <v>Aug</v>
      </c>
      <c r="F663" s="79" t="str">
        <f>IFERROR(__xludf.DUMMYFUNCTION("""COMPUTED_VALUE"""),"Gil")</f>
        <v>Gil</v>
      </c>
    </row>
    <row r="664">
      <c r="A664" s="85">
        <f>IFERROR(__xludf.DUMMYFUNCTION("""COMPUTED_VALUE"""),45519.0)</f>
        <v>45519</v>
      </c>
      <c r="B664" s="109">
        <f>IFERROR(__xludf.DUMMYFUNCTION("""COMPUTED_VALUE"""),63.43)</f>
        <v>63.43</v>
      </c>
      <c r="C664" s="79" t="str">
        <f>IFERROR(__xludf.DUMMYFUNCTION("""COMPUTED_VALUE"""),"Edge of the World - Fernie (BOA)")</f>
        <v>Edge of the World - Fernie (BOA)</v>
      </c>
      <c r="D664" s="79" t="str">
        <f>IFERROR(__xludf.DUMMYFUNCTION("""COMPUTED_VALUE"""),"Clothing")</f>
        <v>Clothing</v>
      </c>
      <c r="E664" s="108" t="str">
        <f t="shared" si="1"/>
        <v>Aug</v>
      </c>
      <c r="F664" s="79" t="str">
        <f>IFERROR(__xludf.DUMMYFUNCTION("""COMPUTED_VALUE"""),"Gil")</f>
        <v>Gil</v>
      </c>
    </row>
    <row r="665">
      <c r="A665" s="85">
        <f>IFERROR(__xludf.DUMMYFUNCTION("""COMPUTED_VALUE"""),45514.0)</f>
        <v>45514</v>
      </c>
      <c r="B665" s="109">
        <f>IFERROR(__xludf.DUMMYFUNCTION("""COMPUTED_VALUE"""),75.73)</f>
        <v>75.73</v>
      </c>
      <c r="C665" s="79" t="str">
        <f>IFERROR(__xludf.DUMMYFUNCTION("""COMPUTED_VALUE"""),"Muji")</f>
        <v>Muji</v>
      </c>
      <c r="D665" s="79" t="str">
        <f>IFERROR(__xludf.DUMMYFUNCTION("""COMPUTED_VALUE"""),"Clothing")</f>
        <v>Clothing</v>
      </c>
      <c r="E665" s="108" t="str">
        <f t="shared" si="1"/>
        <v>Aug</v>
      </c>
      <c r="F665" s="79" t="str">
        <f>IFERROR(__xludf.DUMMYFUNCTION("""COMPUTED_VALUE"""),"Gil")</f>
        <v>Gil</v>
      </c>
    </row>
    <row r="666">
      <c r="A666" s="85">
        <f>IFERROR(__xludf.DUMMYFUNCTION("""COMPUTED_VALUE"""),45513.0)</f>
        <v>45513</v>
      </c>
      <c r="B666" s="109">
        <f>IFERROR(__xludf.DUMMYFUNCTION("""COMPUTED_VALUE"""),90.2)</f>
        <v>90.2</v>
      </c>
      <c r="C666" s="79" t="str">
        <f>IFERROR(__xludf.DUMMYFUNCTION("""COMPUTED_VALUE"""),"Uniqlo")</f>
        <v>Uniqlo</v>
      </c>
      <c r="D666" s="79" t="str">
        <f>IFERROR(__xludf.DUMMYFUNCTION("""COMPUTED_VALUE"""),"Clothing")</f>
        <v>Clothing</v>
      </c>
      <c r="E666" s="108" t="str">
        <f t="shared" si="1"/>
        <v>Aug</v>
      </c>
      <c r="F666" s="79" t="str">
        <f>IFERROR(__xludf.DUMMYFUNCTION("""COMPUTED_VALUE"""),"Gil")</f>
        <v>Gil</v>
      </c>
    </row>
    <row r="667">
      <c r="A667" s="85">
        <f>IFERROR(__xludf.DUMMYFUNCTION("""COMPUTED_VALUE"""),45512.0)</f>
        <v>45512</v>
      </c>
      <c r="B667" s="109">
        <f>IFERROR(__xludf.DUMMYFUNCTION("""COMPUTED_VALUE"""),16.99)</f>
        <v>16.99</v>
      </c>
      <c r="C667" s="79" t="str">
        <f>IFERROR(__xludf.DUMMYFUNCTION("""COMPUTED_VALUE"""),"TJ Maxx")</f>
        <v>TJ Maxx</v>
      </c>
      <c r="D667" s="79" t="str">
        <f>IFERROR(__xludf.DUMMYFUNCTION("""COMPUTED_VALUE"""),"Clothing")</f>
        <v>Clothing</v>
      </c>
      <c r="E667" s="108" t="str">
        <f t="shared" si="1"/>
        <v>Aug</v>
      </c>
      <c r="F667" s="79" t="str">
        <f>IFERROR(__xludf.DUMMYFUNCTION("""COMPUTED_VALUE"""),"Gil")</f>
        <v>Gil</v>
      </c>
    </row>
    <row r="668">
      <c r="A668" s="85">
        <f>IFERROR(__xludf.DUMMYFUNCTION("""COMPUTED_VALUE"""),45511.0)</f>
        <v>45511</v>
      </c>
      <c r="B668" s="109">
        <f>IFERROR(__xludf.DUMMYFUNCTION("""COMPUTED_VALUE"""),45.0)</f>
        <v>45</v>
      </c>
      <c r="C668" s="79" t="str">
        <f>IFERROR(__xludf.DUMMYFUNCTION("""COMPUTED_VALUE"""),"TJ Maxx")</f>
        <v>TJ Maxx</v>
      </c>
      <c r="D668" s="79" t="str">
        <f>IFERROR(__xludf.DUMMYFUNCTION("""COMPUTED_VALUE"""),"Clothing")</f>
        <v>Clothing</v>
      </c>
      <c r="E668" s="108" t="str">
        <f t="shared" si="1"/>
        <v>Aug</v>
      </c>
      <c r="F668" s="79" t="str">
        <f>IFERROR(__xludf.DUMMYFUNCTION("""COMPUTED_VALUE"""),"Gil")</f>
        <v>Gil</v>
      </c>
    </row>
    <row r="669">
      <c r="A669" s="85">
        <f>IFERROR(__xludf.DUMMYFUNCTION("""COMPUTED_VALUE"""),45497.0)</f>
        <v>45497</v>
      </c>
      <c r="B669" s="109">
        <f>IFERROR(__xludf.DUMMYFUNCTION("""COMPUTED_VALUE"""),29.9)</f>
        <v>29.9</v>
      </c>
      <c r="C669" s="79" t="str">
        <f>IFERROR(__xludf.DUMMYFUNCTION("""COMPUTED_VALUE"""),"Muji")</f>
        <v>Muji</v>
      </c>
      <c r="D669" s="79" t="str">
        <f>IFERROR(__xludf.DUMMYFUNCTION("""COMPUTED_VALUE"""),"Clothing")</f>
        <v>Clothing</v>
      </c>
      <c r="E669" s="108" t="str">
        <f t="shared" si="1"/>
        <v>Jul</v>
      </c>
      <c r="F669" s="79" t="str">
        <f>IFERROR(__xludf.DUMMYFUNCTION("""COMPUTED_VALUE"""),"Gil")</f>
        <v>Gil</v>
      </c>
    </row>
    <row r="670">
      <c r="A670" s="85">
        <f>IFERROR(__xludf.DUMMYFUNCTION("""COMPUTED_VALUE"""),45467.0)</f>
        <v>45467</v>
      </c>
      <c r="B670" s="111">
        <f>IFERROR(__xludf.DUMMYFUNCTION("""COMPUTED_VALUE"""),6.52)</f>
        <v>6.52</v>
      </c>
      <c r="C670" s="79" t="str">
        <f>IFERROR(__xludf.DUMMYFUNCTION("""COMPUTED_VALUE"""),"Boot Hangers - Amazon")</f>
        <v>Boot Hangers - Amazon</v>
      </c>
      <c r="D670" s="79" t="str">
        <f>IFERROR(__xludf.DUMMYFUNCTION("""COMPUTED_VALUE"""),"Household")</f>
        <v>Household</v>
      </c>
      <c r="E670" s="108" t="str">
        <f t="shared" si="1"/>
        <v>Jun</v>
      </c>
      <c r="F670" s="79" t="str">
        <f>IFERROR(__xludf.DUMMYFUNCTION("""COMPUTED_VALUE"""),"Gil")</f>
        <v>Gil</v>
      </c>
    </row>
    <row r="671">
      <c r="A671" s="85">
        <f>IFERROR(__xludf.DUMMYFUNCTION("""COMPUTED_VALUE"""),45487.0)</f>
        <v>45487</v>
      </c>
      <c r="B671" s="111">
        <f>IFERROR(__xludf.DUMMYFUNCTION("""COMPUTED_VALUE"""),33.0)</f>
        <v>33</v>
      </c>
      <c r="C671" s="79" t="str">
        <f>IFERROR(__xludf.DUMMYFUNCTION("""COMPUTED_VALUE"""),"Terramar Underwear - Amazon")</f>
        <v>Terramar Underwear - Amazon</v>
      </c>
      <c r="D671" s="79" t="str">
        <f>IFERROR(__xludf.DUMMYFUNCTION("""COMPUTED_VALUE"""),"Clothing")</f>
        <v>Clothing</v>
      </c>
      <c r="E671" s="108" t="str">
        <f t="shared" si="1"/>
        <v>Jul</v>
      </c>
      <c r="F671" s="79" t="str">
        <f>IFERROR(__xludf.DUMMYFUNCTION("""COMPUTED_VALUE"""),"Gil")</f>
        <v>Gil</v>
      </c>
    </row>
    <row r="672">
      <c r="A672" s="85">
        <f>IFERROR(__xludf.DUMMYFUNCTION("""COMPUTED_VALUE"""),45496.0)</f>
        <v>45496</v>
      </c>
      <c r="B672" s="111">
        <f>IFERROR(__xludf.DUMMYFUNCTION("""COMPUTED_VALUE"""),9.79)</f>
        <v>9.79</v>
      </c>
      <c r="C672" s="79" t="str">
        <f>IFERROR(__xludf.DUMMYFUNCTION("""COMPUTED_VALUE"""),"Carrotez Spoon - Amazon")</f>
        <v>Carrotez Spoon - Amazon</v>
      </c>
      <c r="D672" s="79" t="str">
        <f>IFERROR(__xludf.DUMMYFUNCTION("""COMPUTED_VALUE"""),"Household")</f>
        <v>Household</v>
      </c>
      <c r="E672" s="108" t="str">
        <f t="shared" si="1"/>
        <v>Jul</v>
      </c>
      <c r="F672" s="79" t="str">
        <f>IFERROR(__xludf.DUMMYFUNCTION("""COMPUTED_VALUE"""),"Gil")</f>
        <v>Gil</v>
      </c>
    </row>
    <row r="673">
      <c r="A673" s="85">
        <f>IFERROR(__xludf.DUMMYFUNCTION("""COMPUTED_VALUE"""),45506.0)</f>
        <v>45506</v>
      </c>
      <c r="B673" s="111">
        <f>IFERROR(__xludf.DUMMYFUNCTION("""COMPUTED_VALUE"""),7.35)</f>
        <v>7.35</v>
      </c>
      <c r="C673" s="79" t="str">
        <f>IFERROR(__xludf.DUMMYFUNCTION("""COMPUTED_VALUE"""),"Amazon S&amp;S - Doctor's Best Lutein with Gluten Free, Vision Support, 60 Softgels")</f>
        <v>Amazon S&amp;S - Doctor's Best Lutein with Gluten Free, Vision Support, 60 Softgels</v>
      </c>
      <c r="D673" s="79" t="str">
        <f>IFERROR(__xludf.DUMMYFUNCTION("""COMPUTED_VALUE"""),"Personal")</f>
        <v>Personal</v>
      </c>
      <c r="E673" s="108" t="str">
        <f t="shared" si="1"/>
        <v>Aug</v>
      </c>
      <c r="F673" s="79" t="str">
        <f>IFERROR(__xludf.DUMMYFUNCTION("""COMPUTED_VALUE"""),"Gil")</f>
        <v>Gil</v>
      </c>
    </row>
    <row r="674">
      <c r="A674" s="85">
        <f>IFERROR(__xludf.DUMMYFUNCTION("""COMPUTED_VALUE"""),45511.0)</f>
        <v>45511</v>
      </c>
      <c r="B674" s="109">
        <f>IFERROR(__xludf.DUMMYFUNCTION("""COMPUTED_VALUE"""),51.05)</f>
        <v>51.05</v>
      </c>
      <c r="C674" s="79" t="str">
        <f>IFERROR(__xludf.DUMMYFUNCTION("""COMPUTED_VALUE"""),"Hot Lips, Snow Peak Chopsticks")</f>
        <v>Hot Lips, Snow Peak Chopsticks</v>
      </c>
      <c r="D674" s="79" t="str">
        <f>IFERROR(__xludf.DUMMYFUNCTION("""COMPUTED_VALUE"""),"Gifts/Donations")</f>
        <v>Gifts/Donations</v>
      </c>
      <c r="E674" s="108" t="str">
        <f t="shared" si="1"/>
        <v>Aug</v>
      </c>
      <c r="F674" s="79" t="str">
        <f>IFERROR(__xludf.DUMMYFUNCTION("""COMPUTED_VALUE"""),"Gil")</f>
        <v>Gil</v>
      </c>
    </row>
    <row r="675">
      <c r="A675" s="85">
        <f>IFERROR(__xludf.DUMMYFUNCTION("""COMPUTED_VALUE"""),45510.0)</f>
        <v>45510</v>
      </c>
      <c r="B675" s="109">
        <f>IFERROR(__xludf.DUMMYFUNCTION("""COMPUTED_VALUE"""),37.52)</f>
        <v>37.52</v>
      </c>
      <c r="C675" s="79" t="str">
        <f>IFERROR(__xludf.DUMMYFUNCTION("""COMPUTED_VALUE"""),"Snow Peak Chopsticks - Amazon")</f>
        <v>Snow Peak Chopsticks - Amazon</v>
      </c>
      <c r="D675" s="79" t="str">
        <f>IFERROR(__xludf.DUMMYFUNCTION("""COMPUTED_VALUE"""),"Personal")</f>
        <v>Personal</v>
      </c>
      <c r="E675" s="108" t="str">
        <f t="shared" si="1"/>
        <v>Aug</v>
      </c>
      <c r="F675" s="79" t="str">
        <f>IFERROR(__xludf.DUMMYFUNCTION("""COMPUTED_VALUE"""),"Gil")</f>
        <v>Gil</v>
      </c>
    </row>
    <row r="676">
      <c r="A676" s="85">
        <f>IFERROR(__xludf.DUMMYFUNCTION("""COMPUTED_VALUE"""),45510.0)</f>
        <v>45510</v>
      </c>
      <c r="B676" s="109">
        <f>IFERROR(__xludf.DUMMYFUNCTION("""COMPUTED_VALUE"""),74.04)</f>
        <v>74.04</v>
      </c>
      <c r="C676" s="79" t="str">
        <f>IFERROR(__xludf.DUMMYFUNCTION("""COMPUTED_VALUE"""),"Snow Peak Titanium Mugs - Amazon")</f>
        <v>Snow Peak Titanium Mugs - Amazon</v>
      </c>
      <c r="D676" s="79" t="str">
        <f>IFERROR(__xludf.DUMMYFUNCTION("""COMPUTED_VALUE"""),"Gifts/Donations")</f>
        <v>Gifts/Donations</v>
      </c>
      <c r="E676" s="108" t="str">
        <f t="shared" si="1"/>
        <v>Aug</v>
      </c>
      <c r="F676" s="79" t="str">
        <f>IFERROR(__xludf.DUMMYFUNCTION("""COMPUTED_VALUE"""),"Gil")</f>
        <v>Gil</v>
      </c>
    </row>
    <row r="677">
      <c r="A677" s="85">
        <f>IFERROR(__xludf.DUMMYFUNCTION("""COMPUTED_VALUE"""),45530.0)</f>
        <v>45530</v>
      </c>
      <c r="B677" s="109">
        <f>IFERROR(__xludf.DUMMYFUNCTION("""COMPUTED_VALUE"""),15.58)</f>
        <v>15.58</v>
      </c>
      <c r="C677" s="79" t="str">
        <f>IFERROR(__xludf.DUMMYFUNCTION("""COMPUTED_VALUE"""),"Thai Hot Box - uberEats")</f>
        <v>Thai Hot Box - uberEats</v>
      </c>
      <c r="D677" s="79" t="str">
        <f>IFERROR(__xludf.DUMMYFUNCTION("""COMPUTED_VALUE"""),"Work Meals")</f>
        <v>Work Meals</v>
      </c>
      <c r="E677" s="108" t="str">
        <f t="shared" si="1"/>
        <v>Aug</v>
      </c>
      <c r="F677" s="79" t="str">
        <f>IFERROR(__xludf.DUMMYFUNCTION("""COMPUTED_VALUE"""),"Gil")</f>
        <v>Gil</v>
      </c>
    </row>
    <row r="678">
      <c r="A678" s="85">
        <f>IFERROR(__xludf.DUMMYFUNCTION("""COMPUTED_VALUE"""),45532.0)</f>
        <v>45532</v>
      </c>
      <c r="B678" s="109">
        <f>IFERROR(__xludf.DUMMYFUNCTION("""COMPUTED_VALUE"""),54.6)</f>
        <v>54.6</v>
      </c>
      <c r="C678" s="79" t="str">
        <f>IFERROR(__xludf.DUMMYFUNCTION("""COMPUTED_VALUE"""),"eCosmetics")</f>
        <v>eCosmetics</v>
      </c>
      <c r="D678" s="79" t="str">
        <f>IFERROR(__xludf.DUMMYFUNCTION("""COMPUTED_VALUE"""),"Personal")</f>
        <v>Personal</v>
      </c>
      <c r="E678" s="108" t="str">
        <f t="shared" si="1"/>
        <v>Aug</v>
      </c>
      <c r="F678" s="79" t="str">
        <f>IFERROR(__xludf.DUMMYFUNCTION("""COMPUTED_VALUE"""),"Gil")</f>
        <v>Gil</v>
      </c>
    </row>
    <row r="679">
      <c r="A679" s="85">
        <f>IFERROR(__xludf.DUMMYFUNCTION("""COMPUTED_VALUE"""),45532.0)</f>
        <v>45532</v>
      </c>
      <c r="B679" s="109">
        <f>IFERROR(__xludf.DUMMYFUNCTION("""COMPUTED_VALUE"""),12.74)</f>
        <v>12.74</v>
      </c>
      <c r="C679" s="79" t="str">
        <f>IFERROR(__xludf.DUMMYFUNCTION("""COMPUTED_VALUE"""),"Lucia Pizza of Soho")</f>
        <v>Lucia Pizza of Soho</v>
      </c>
      <c r="D679" s="79" t="str">
        <f>IFERROR(__xludf.DUMMYFUNCTION("""COMPUTED_VALUE"""),"Work Meals")</f>
        <v>Work Meals</v>
      </c>
      <c r="E679" s="108" t="str">
        <f t="shared" si="1"/>
        <v>Aug</v>
      </c>
      <c r="F679" s="79" t="str">
        <f>IFERROR(__xludf.DUMMYFUNCTION("""COMPUTED_VALUE"""),"Gil")</f>
        <v>Gil</v>
      </c>
    </row>
    <row r="680">
      <c r="A680" s="85">
        <f>IFERROR(__xludf.DUMMYFUNCTION("""COMPUTED_VALUE"""),45536.0)</f>
        <v>45536</v>
      </c>
      <c r="B680" s="109">
        <f>IFERROR(__xludf.DUMMYFUNCTION("""COMPUTED_VALUE"""),48.18)</f>
        <v>48.18</v>
      </c>
      <c r="C680" s="79" t="str">
        <f>IFERROR(__xludf.DUMMYFUNCTION("""COMPUTED_VALUE"""),"El Santo")</f>
        <v>El Santo</v>
      </c>
      <c r="D680" s="79" t="str">
        <f>IFERROR(__xludf.DUMMYFUNCTION("""COMPUTED_VALUE"""),"Work Meals")</f>
        <v>Work Meals</v>
      </c>
      <c r="E680" s="108" t="str">
        <f t="shared" si="1"/>
        <v>Sep</v>
      </c>
      <c r="F680" s="79" t="str">
        <f>IFERROR(__xludf.DUMMYFUNCTION("""COMPUTED_VALUE"""),"Shaeffer")</f>
        <v>Shaeffer</v>
      </c>
    </row>
    <row r="681">
      <c r="A681" s="85">
        <f>IFERROR(__xludf.DUMMYFUNCTION("""COMPUTED_VALUE"""),45538.0)</f>
        <v>45538</v>
      </c>
      <c r="B681" s="111">
        <f>IFERROR(__xludf.DUMMYFUNCTION("""COMPUTED_VALUE"""),110.0)</f>
        <v>110</v>
      </c>
      <c r="C681" s="79" t="str">
        <f>IFERROR(__xludf.DUMMYFUNCTION("""COMPUTED_VALUE"""),"236 Moore St.")</f>
        <v>236 Moore St.</v>
      </c>
      <c r="D681" s="79" t="str">
        <f>IFERROR(__xludf.DUMMYFUNCTION("""COMPUTED_VALUE"""),"Storage")</f>
        <v>Storage</v>
      </c>
      <c r="E681" s="108" t="str">
        <f t="shared" si="1"/>
        <v>Sep</v>
      </c>
      <c r="F681" s="79" t="str">
        <f>IFERROR(__xludf.DUMMYFUNCTION("""COMPUTED_VALUE"""),"Gil")</f>
        <v>Gil</v>
      </c>
    </row>
    <row r="682">
      <c r="A682" s="85">
        <f>IFERROR(__xludf.DUMMYFUNCTION("""COMPUTED_VALUE"""),45541.0)</f>
        <v>45541</v>
      </c>
      <c r="B682" s="111">
        <f>IFERROR(__xludf.DUMMYFUNCTION("""COMPUTED_VALUE"""),10.88)</f>
        <v>10.88</v>
      </c>
      <c r="C682" s="79" t="str">
        <f>IFERROR(__xludf.DUMMYFUNCTION("""COMPUTED_VALUE"""),"Dos Toros - Uber Eats")</f>
        <v>Dos Toros - Uber Eats</v>
      </c>
      <c r="D682" s="79" t="str">
        <f>IFERROR(__xludf.DUMMYFUNCTION("""COMPUTED_VALUE"""),"Work Meals")</f>
        <v>Work Meals</v>
      </c>
      <c r="E682" s="108" t="str">
        <f t="shared" si="1"/>
        <v>Sep</v>
      </c>
      <c r="F682" s="79" t="str">
        <f>IFERROR(__xludf.DUMMYFUNCTION("""COMPUTED_VALUE"""),"Gil")</f>
        <v>Gil</v>
      </c>
    </row>
    <row r="683">
      <c r="A683" s="85">
        <f>IFERROR(__xludf.DUMMYFUNCTION("""COMPUTED_VALUE"""),45542.0)</f>
        <v>45542</v>
      </c>
      <c r="B683" s="111">
        <f>IFERROR(__xludf.DUMMYFUNCTION("""COMPUTED_VALUE"""),19.58)</f>
        <v>19.58</v>
      </c>
      <c r="C683" s="79" t="str">
        <f>IFERROR(__xludf.DUMMYFUNCTION("""COMPUTED_VALUE"""),"Hummus &amp; Pita Co. - Uber Eats")</f>
        <v>Hummus &amp; Pita Co. - Uber Eats</v>
      </c>
      <c r="D683" s="79" t="str">
        <f>IFERROR(__xludf.DUMMYFUNCTION("""COMPUTED_VALUE"""),"Work Meals")</f>
        <v>Work Meals</v>
      </c>
      <c r="E683" s="108" t="str">
        <f t="shared" si="1"/>
        <v>Sep</v>
      </c>
      <c r="F683" s="79" t="str">
        <f>IFERROR(__xludf.DUMMYFUNCTION("""COMPUTED_VALUE"""),"Gil")</f>
        <v>Gil</v>
      </c>
    </row>
    <row r="684">
      <c r="A684" s="85">
        <f>IFERROR(__xludf.DUMMYFUNCTION("""COMPUTED_VALUE"""),45538.0)</f>
        <v>45538</v>
      </c>
      <c r="B684" s="111">
        <f>IFERROR(__xludf.DUMMYFUNCTION("""COMPUTED_VALUE"""),15.0)</f>
        <v>15</v>
      </c>
      <c r="C684" s="79" t="str">
        <f>IFERROR(__xludf.DUMMYFUNCTION("""COMPUTED_VALUE"""),"Forever Thai")</f>
        <v>Forever Thai</v>
      </c>
      <c r="D684" s="79" t="str">
        <f>IFERROR(__xludf.DUMMYFUNCTION("""COMPUTED_VALUE"""),"Meals")</f>
        <v>Meals</v>
      </c>
      <c r="E684" s="108" t="str">
        <f t="shared" si="1"/>
        <v>Sep</v>
      </c>
      <c r="F684" s="79" t="str">
        <f>IFERROR(__xludf.DUMMYFUNCTION("""COMPUTED_VALUE"""),"Gil")</f>
        <v>Gil</v>
      </c>
    </row>
    <row r="685">
      <c r="A685" s="85">
        <f>IFERROR(__xludf.DUMMYFUNCTION("""COMPUTED_VALUE"""),45474.0)</f>
        <v>45474</v>
      </c>
      <c r="B685" s="111">
        <f>IFERROR(__xludf.DUMMYFUNCTION("""COMPUTED_VALUE"""),26.13)</f>
        <v>26.13</v>
      </c>
      <c r="C685" s="79" t="str">
        <f>IFERROR(__xludf.DUMMYFUNCTION("""COMPUTED_VALUE"""),"Make Up Brush Cleaner - Amazon")</f>
        <v>Make Up Brush Cleaner - Amazon</v>
      </c>
      <c r="D685" s="79" t="str">
        <f>IFERROR(__xludf.DUMMYFUNCTION("""COMPUTED_VALUE"""),"Personal")</f>
        <v>Personal</v>
      </c>
      <c r="E685" s="108" t="str">
        <f t="shared" si="1"/>
        <v>Jul</v>
      </c>
      <c r="F685" s="79" t="str">
        <f>IFERROR(__xludf.DUMMYFUNCTION("""COMPUTED_VALUE"""),"Shaeffer")</f>
        <v>Shaeffer</v>
      </c>
    </row>
    <row r="686">
      <c r="A686" s="85">
        <f>IFERROR(__xludf.DUMMYFUNCTION("""COMPUTED_VALUE"""),45499.0)</f>
        <v>45499</v>
      </c>
      <c r="B686" s="111">
        <f>IFERROR(__xludf.DUMMYFUNCTION("""COMPUTED_VALUE"""),22.85)</f>
        <v>22.85</v>
      </c>
      <c r="C686" s="79" t="str">
        <f>IFERROR(__xludf.DUMMYFUNCTION("""COMPUTED_VALUE"""),"Little Prince Pop Up Book - JA baby gift - Amazon")</f>
        <v>Little Prince Pop Up Book - JA baby gift - Amazon</v>
      </c>
      <c r="D686" s="79" t="str">
        <f>IFERROR(__xludf.DUMMYFUNCTION("""COMPUTED_VALUE"""),"Gifts/Donations")</f>
        <v>Gifts/Donations</v>
      </c>
      <c r="E686" s="108" t="str">
        <f t="shared" si="1"/>
        <v>Jul</v>
      </c>
      <c r="F686" s="79" t="str">
        <f>IFERROR(__xludf.DUMMYFUNCTION("""COMPUTED_VALUE"""),"Shaeffer")</f>
        <v>Shaeffer</v>
      </c>
    </row>
    <row r="687">
      <c r="A687" s="85">
        <f>IFERROR(__xludf.DUMMYFUNCTION("""COMPUTED_VALUE"""),45506.0)</f>
        <v>45506</v>
      </c>
      <c r="B687" s="111">
        <f>IFERROR(__xludf.DUMMYFUNCTION("""COMPUTED_VALUE"""),44.08)</f>
        <v>44.08</v>
      </c>
      <c r="C687" s="79" t="str">
        <f>IFERROR(__xludf.DUMMYFUNCTION("""COMPUTED_VALUE"""),"Protein Powder - Amazon")</f>
        <v>Protein Powder - Amazon</v>
      </c>
      <c r="D687" s="79" t="str">
        <f>IFERROR(__xludf.DUMMYFUNCTION("""COMPUTED_VALUE"""),"Subscriptions")</f>
        <v>Subscriptions</v>
      </c>
      <c r="E687" s="108" t="str">
        <f t="shared" si="1"/>
        <v>Aug</v>
      </c>
      <c r="F687" s="79" t="str">
        <f>IFERROR(__xludf.DUMMYFUNCTION("""COMPUTED_VALUE"""),"Shaeffer")</f>
        <v>Shaeffer</v>
      </c>
    </row>
    <row r="688">
      <c r="A688" s="85">
        <f>IFERROR(__xludf.DUMMYFUNCTION("""COMPUTED_VALUE"""),45507.0)</f>
        <v>45507</v>
      </c>
      <c r="B688" s="109">
        <f>IFERROR(__xludf.DUMMYFUNCTION("""COMPUTED_VALUE"""),54.37)</f>
        <v>54.37</v>
      </c>
      <c r="C688" s="79" t="str">
        <f>IFERROR(__xludf.DUMMYFUNCTION("""COMPUTED_VALUE"""),"toothbrush - amazon")</f>
        <v>toothbrush - amazon</v>
      </c>
      <c r="D688" s="79" t="str">
        <f>IFERROR(__xludf.DUMMYFUNCTION("""COMPUTED_VALUE"""),"Personal")</f>
        <v>Personal</v>
      </c>
      <c r="E688" s="108" t="str">
        <f t="shared" si="1"/>
        <v>Aug</v>
      </c>
      <c r="F688" s="79" t="str">
        <f>IFERROR(__xludf.DUMMYFUNCTION("""COMPUTED_VALUE"""),"Shaeffer")</f>
        <v>Shaeffer</v>
      </c>
    </row>
    <row r="689">
      <c r="A689" s="85">
        <f>IFERROR(__xludf.DUMMYFUNCTION("""COMPUTED_VALUE"""),45509.0)</f>
        <v>45509</v>
      </c>
      <c r="B689" s="109">
        <f>IFERROR(__xludf.DUMMYFUNCTION("""COMPUTED_VALUE"""),143.66)</f>
        <v>143.66</v>
      </c>
      <c r="C689" s="79" t="str">
        <f>IFERROR(__xludf.DUMMYFUNCTION("""COMPUTED_VALUE"""),"disposable cameras for Canada")</f>
        <v>disposable cameras for Canada</v>
      </c>
      <c r="D689" s="79" t="str">
        <f>IFERROR(__xludf.DUMMYFUNCTION("""COMPUTED_VALUE"""),"Gifts/Donations")</f>
        <v>Gifts/Donations</v>
      </c>
      <c r="E689" s="108" t="str">
        <f t="shared" si="1"/>
        <v>Aug</v>
      </c>
      <c r="F689" s="79" t="str">
        <f>IFERROR(__xludf.DUMMYFUNCTION("""COMPUTED_VALUE"""),"Shaeffer")</f>
        <v>Shaeffer</v>
      </c>
    </row>
    <row r="690">
      <c r="A690" s="85">
        <f>IFERROR(__xludf.DUMMYFUNCTION("""COMPUTED_VALUE"""),45544.0)</f>
        <v>45544</v>
      </c>
      <c r="B690" s="109">
        <f>IFERROR(__xludf.DUMMYFUNCTION("""COMPUTED_VALUE"""),80.15)</f>
        <v>80.15</v>
      </c>
      <c r="C690" s="79" t="str">
        <f>IFERROR(__xludf.DUMMYFUNCTION("""COMPUTED_VALUE"""),"amazon - heat gun, thermos, thayers ")</f>
        <v>amazon - heat gun, thermos, thayers </v>
      </c>
      <c r="D690" s="79" t="str">
        <f>IFERROR(__xludf.DUMMYFUNCTION("""COMPUTED_VALUE"""),"Personal")</f>
        <v>Personal</v>
      </c>
      <c r="E690" s="108" t="str">
        <f t="shared" si="1"/>
        <v>Sep</v>
      </c>
      <c r="F690" s="79" t="str">
        <f>IFERROR(__xludf.DUMMYFUNCTION("""COMPUTED_VALUE"""),"Shaeffer")</f>
        <v>Shaeffer</v>
      </c>
    </row>
    <row r="691">
      <c r="A691" s="85">
        <f>IFERROR(__xludf.DUMMYFUNCTION("""COMPUTED_VALUE"""),45523.0)</f>
        <v>45523</v>
      </c>
      <c r="B691" s="109">
        <f>IFERROR(__xludf.DUMMYFUNCTION("""COMPUTED_VALUE"""),66.45)</f>
        <v>66.45</v>
      </c>
      <c r="C691" s="79" t="str">
        <f>IFERROR(__xludf.DUMMYFUNCTION("""COMPUTED_VALUE"""),"Giorgio Martino - watch for Gil")</f>
        <v>Giorgio Martino - watch for Gil</v>
      </c>
      <c r="D691" s="79" t="str">
        <f>IFERROR(__xludf.DUMMYFUNCTION("""COMPUTED_VALUE"""),"Gifts/Donations")</f>
        <v>Gifts/Donations</v>
      </c>
      <c r="E691" s="108" t="str">
        <f t="shared" si="1"/>
        <v>Aug</v>
      </c>
      <c r="F691" s="79" t="str">
        <f>IFERROR(__xludf.DUMMYFUNCTION("""COMPUTED_VALUE"""),"Shaeffer")</f>
        <v>Shaeffer</v>
      </c>
    </row>
    <row r="692">
      <c r="A692" s="85">
        <f>IFERROR(__xludf.DUMMYFUNCTION("""COMPUTED_VALUE"""),45520.0)</f>
        <v>45520</v>
      </c>
      <c r="B692" s="111">
        <f>IFERROR(__xludf.DUMMYFUNCTION("""COMPUTED_VALUE"""),75.2)</f>
        <v>75.2</v>
      </c>
      <c r="C692" s="79" t="str">
        <f>IFERROR(__xludf.DUMMYFUNCTION("""COMPUTED_VALUE"""),"DICE - Halloween party tix")</f>
        <v>DICE - Halloween party tix</v>
      </c>
      <c r="D692" s="79" t="str">
        <f>IFERROR(__xludf.DUMMYFUNCTION("""COMPUTED_VALUE"""),"Gifts/Donations")</f>
        <v>Gifts/Donations</v>
      </c>
      <c r="E692" s="108" t="str">
        <f t="shared" si="1"/>
        <v>Aug</v>
      </c>
      <c r="F692" s="79" t="str">
        <f>IFERROR(__xludf.DUMMYFUNCTION("""COMPUTED_VALUE"""),"Shaeffer")</f>
        <v>Shaeffer</v>
      </c>
    </row>
    <row r="693">
      <c r="A693" s="85">
        <f>IFERROR(__xludf.DUMMYFUNCTION("""COMPUTED_VALUE"""),45520.0)</f>
        <v>45520</v>
      </c>
      <c r="B693" s="109">
        <f>IFERROR(__xludf.DUMMYFUNCTION("""COMPUTED_VALUE"""),24.99)</f>
        <v>24.99</v>
      </c>
      <c r="C693" s="79" t="str">
        <f>IFERROR(__xludf.DUMMYFUNCTION("""COMPUTED_VALUE"""),"Vogue Subscription")</f>
        <v>Vogue Subscription</v>
      </c>
      <c r="D693" s="79" t="str">
        <f>IFERROR(__xludf.DUMMYFUNCTION("""COMPUTED_VALUE"""),"Subscriptions")</f>
        <v>Subscriptions</v>
      </c>
      <c r="E693" s="108" t="str">
        <f t="shared" si="1"/>
        <v>Aug</v>
      </c>
      <c r="F693" s="79" t="str">
        <f>IFERROR(__xludf.DUMMYFUNCTION("""COMPUTED_VALUE"""),"Shaeffer")</f>
        <v>Shaeffer</v>
      </c>
    </row>
    <row r="694">
      <c r="A694" s="85">
        <f>IFERROR(__xludf.DUMMYFUNCTION("""COMPUTED_VALUE"""),45506.0)</f>
        <v>45506</v>
      </c>
      <c r="B694" s="109">
        <f>IFERROR(__xludf.DUMMYFUNCTION("""COMPUTED_VALUE"""),14.0)</f>
        <v>14</v>
      </c>
      <c r="C694" s="79" t="str">
        <f>IFERROR(__xludf.DUMMYFUNCTION("""COMPUTED_VALUE"""),"Peacock TV")</f>
        <v>Peacock TV</v>
      </c>
      <c r="D694" s="79" t="str">
        <f>IFERROR(__xludf.DUMMYFUNCTION("""COMPUTED_VALUE"""),"Subscriptions")</f>
        <v>Subscriptions</v>
      </c>
      <c r="E694" s="108" t="str">
        <f t="shared" si="1"/>
        <v>Aug</v>
      </c>
      <c r="F694" s="79" t="str">
        <f>IFERROR(__xludf.DUMMYFUNCTION("""COMPUTED_VALUE"""),"Shaeffer")</f>
        <v>Shaeffer</v>
      </c>
    </row>
    <row r="695">
      <c r="A695" s="85">
        <f>IFERROR(__xludf.DUMMYFUNCTION("""COMPUTED_VALUE"""),45528.0)</f>
        <v>45528</v>
      </c>
      <c r="B695" s="109">
        <f>IFERROR(__xludf.DUMMYFUNCTION("""COMPUTED_VALUE"""),20.0)</f>
        <v>20</v>
      </c>
      <c r="C695" s="79" t="str">
        <f>IFERROR(__xludf.DUMMYFUNCTION("""COMPUTED_VALUE"""),"Venmo - Jacob - trade for cash for Crest")</f>
        <v>Venmo - Jacob - trade for cash for Crest</v>
      </c>
      <c r="D695" s="79" t="str">
        <f>IFERROR(__xludf.DUMMYFUNCTION("""COMPUTED_VALUE"""),"Alcohol/Weed")</f>
        <v>Alcohol/Weed</v>
      </c>
      <c r="E695" s="108" t="str">
        <f t="shared" si="1"/>
        <v>Aug</v>
      </c>
      <c r="F695" s="79" t="str">
        <f>IFERROR(__xludf.DUMMYFUNCTION("""COMPUTED_VALUE"""),"Shaeffer")</f>
        <v>Shaeffer</v>
      </c>
    </row>
    <row r="696">
      <c r="A696" s="85">
        <f>IFERROR(__xludf.DUMMYFUNCTION("""COMPUTED_VALUE"""),45535.0)</f>
        <v>45535</v>
      </c>
      <c r="B696" s="109">
        <f>IFERROR(__xludf.DUMMYFUNCTION("""COMPUTED_VALUE"""),20.0)</f>
        <v>20</v>
      </c>
      <c r="C696" s="79" t="str">
        <f>IFERROR(__xludf.DUMMYFUNCTION("""COMPUTED_VALUE"""),"turks inn - 'spresso martini")</f>
        <v>turks inn - 'spresso martini</v>
      </c>
      <c r="D696" s="79" t="str">
        <f>IFERROR(__xludf.DUMMYFUNCTION("""COMPUTED_VALUE"""),"Alcohol/Weed")</f>
        <v>Alcohol/Weed</v>
      </c>
      <c r="E696" s="108" t="str">
        <f t="shared" si="1"/>
        <v>Aug</v>
      </c>
      <c r="F696" s="79" t="str">
        <f>IFERROR(__xludf.DUMMYFUNCTION("""COMPUTED_VALUE"""),"Shaeffer")</f>
        <v>Shaeffer</v>
      </c>
    </row>
    <row r="697">
      <c r="A697" s="85">
        <f>IFERROR(__xludf.DUMMYFUNCTION("""COMPUTED_VALUE"""),45542.0)</f>
        <v>45542</v>
      </c>
      <c r="B697" s="109">
        <f>IFERROR(__xludf.DUMMYFUNCTION("""COMPUTED_VALUE"""),16.0)</f>
        <v>16</v>
      </c>
      <c r="C697" s="79" t="str">
        <f>IFERROR(__xludf.DUMMYFUNCTION("""COMPUTED_VALUE"""),"mack - venmo")</f>
        <v>mack - venmo</v>
      </c>
      <c r="D697" s="79" t="str">
        <f>IFERROR(__xludf.DUMMYFUNCTION("""COMPUTED_VALUE"""),"Alcohol/Weed")</f>
        <v>Alcohol/Weed</v>
      </c>
      <c r="E697" s="108" t="str">
        <f t="shared" si="1"/>
        <v>Sep</v>
      </c>
      <c r="F697" s="79" t="str">
        <f>IFERROR(__xludf.DUMMYFUNCTION("""COMPUTED_VALUE"""),"Shaeffer")</f>
        <v>Shaeffer</v>
      </c>
    </row>
    <row r="698">
      <c r="A698" s="85">
        <f>IFERROR(__xludf.DUMMYFUNCTION("""COMPUTED_VALUE"""),45543.0)</f>
        <v>45543</v>
      </c>
      <c r="B698" s="109">
        <f>IFERROR(__xludf.DUMMYFUNCTION("""COMPUTED_VALUE"""),15.0)</f>
        <v>15</v>
      </c>
      <c r="C698" s="79" t="str">
        <f>IFERROR(__xludf.DUMMYFUNCTION("""COMPUTED_VALUE"""),"thai take out - venmo D")</f>
        <v>thai take out - venmo D</v>
      </c>
      <c r="D698" s="79" t="str">
        <f>IFERROR(__xludf.DUMMYFUNCTION("""COMPUTED_VALUE"""),"Meals")</f>
        <v>Meals</v>
      </c>
      <c r="E698" s="108" t="str">
        <f t="shared" si="1"/>
        <v>Sep</v>
      </c>
      <c r="F698" s="79" t="str">
        <f>IFERROR(__xludf.DUMMYFUNCTION("""COMPUTED_VALUE"""),"Shaeffer")</f>
        <v>Shaeffer</v>
      </c>
    </row>
    <row r="699">
      <c r="A699" s="85">
        <f>IFERROR(__xludf.DUMMYFUNCTION("""COMPUTED_VALUE"""),45544.0)</f>
        <v>45544</v>
      </c>
      <c r="B699" s="111">
        <f>IFERROR(__xludf.DUMMYFUNCTION("""COMPUTED_VALUE"""),12.16)</f>
        <v>12.16</v>
      </c>
      <c r="C699" s="79" t="str">
        <f>IFERROR(__xludf.DUMMYFUNCTION("""COMPUTED_VALUE"""),"apple - storage &amp; gmail")</f>
        <v>apple - storage &amp; gmail</v>
      </c>
      <c r="D699" s="79" t="str">
        <f>IFERROR(__xludf.DUMMYFUNCTION("""COMPUTED_VALUE"""),"Studio")</f>
        <v>Studio</v>
      </c>
      <c r="E699" s="108" t="str">
        <f t="shared" si="1"/>
        <v>Sep</v>
      </c>
      <c r="F699" s="79" t="str">
        <f>IFERROR(__xludf.DUMMYFUNCTION("""COMPUTED_VALUE"""),"Shaeffer")</f>
        <v>Shaeffer</v>
      </c>
    </row>
    <row r="700">
      <c r="A700" s="85">
        <f>IFERROR(__xludf.DUMMYFUNCTION("""COMPUTED_VALUE"""),45532.0)</f>
        <v>45532</v>
      </c>
      <c r="B700" s="111">
        <f>IFERROR(__xludf.DUMMYFUNCTION("""COMPUTED_VALUE"""),482.32)</f>
        <v>482.32</v>
      </c>
      <c r="C700" s="79" t="str">
        <f>IFERROR(__xludf.DUMMYFUNCTION("""COMPUTED_VALUE"""),"ssense")</f>
        <v>ssense</v>
      </c>
      <c r="D700" s="79" t="str">
        <f>IFERROR(__xludf.DUMMYFUNCTION("""COMPUTED_VALUE"""),"Personal")</f>
        <v>Personal</v>
      </c>
      <c r="E700" s="108" t="str">
        <f t="shared" si="1"/>
        <v>Aug</v>
      </c>
      <c r="F700" s="79" t="str">
        <f>IFERROR(__xludf.DUMMYFUNCTION("""COMPUTED_VALUE"""),"Shaeffer")</f>
        <v>Shaeffer</v>
      </c>
    </row>
    <row r="701">
      <c r="A701" s="85">
        <f>IFERROR(__xludf.DUMMYFUNCTION("""COMPUTED_VALUE"""),45542.0)</f>
        <v>45542</v>
      </c>
      <c r="B701" s="111">
        <f>IFERROR(__xludf.DUMMYFUNCTION("""COMPUTED_VALUE"""),286.83)</f>
        <v>286.83</v>
      </c>
      <c r="C701" s="79" t="str">
        <f>IFERROR(__xludf.DUMMYFUNCTION("""COMPUTED_VALUE"""),"ssense")</f>
        <v>ssense</v>
      </c>
      <c r="D701" s="79" t="str">
        <f>IFERROR(__xludf.DUMMYFUNCTION("""COMPUTED_VALUE"""),"Clothing")</f>
        <v>Clothing</v>
      </c>
      <c r="E701" s="108" t="str">
        <f t="shared" si="1"/>
        <v>Sep</v>
      </c>
      <c r="F701" s="79" t="str">
        <f>IFERROR(__xludf.DUMMYFUNCTION("""COMPUTED_VALUE"""),"Shaeffer")</f>
        <v>Shaeffer</v>
      </c>
    </row>
    <row r="702">
      <c r="A702" s="85">
        <f>IFERROR(__xludf.DUMMYFUNCTION("""COMPUTED_VALUE"""),45531.0)</f>
        <v>45531</v>
      </c>
      <c r="B702" s="109">
        <f>IFERROR(__xludf.DUMMYFUNCTION("""COMPUTED_VALUE"""),93.0)</f>
        <v>93</v>
      </c>
      <c r="C702" s="79" t="str">
        <f>IFERROR(__xludf.DUMMYFUNCTION("""COMPUTED_VALUE"""),"Contact Photo - film development")</f>
        <v>Contact Photo - film development</v>
      </c>
      <c r="D702" s="79" t="str">
        <f>IFERROR(__xludf.DUMMYFUNCTION("""COMPUTED_VALUE"""),"Studio")</f>
        <v>Studio</v>
      </c>
      <c r="E702" s="108" t="str">
        <f t="shared" si="1"/>
        <v>Aug</v>
      </c>
      <c r="F702" s="79" t="str">
        <f>IFERROR(__xludf.DUMMYFUNCTION("""COMPUTED_VALUE"""),"Shaeffer")</f>
        <v>Shaeffer</v>
      </c>
    </row>
    <row r="703">
      <c r="A703" s="85">
        <f>IFERROR(__xludf.DUMMYFUNCTION("""COMPUTED_VALUE"""),45530.0)</f>
        <v>45530</v>
      </c>
      <c r="B703" s="111">
        <f>IFERROR(__xludf.DUMMYFUNCTION("""COMPUTED_VALUE"""),4.81)</f>
        <v>4.81</v>
      </c>
      <c r="C703" s="79" t="str">
        <f>IFERROR(__xludf.DUMMYFUNCTION("""COMPUTED_VALUE"""),"Birch")</f>
        <v>Birch</v>
      </c>
      <c r="D703" s="79" t="str">
        <f>IFERROR(__xludf.DUMMYFUNCTION("""COMPUTED_VALUE"""),"Work Meals")</f>
        <v>Work Meals</v>
      </c>
      <c r="E703" s="108" t="str">
        <f t="shared" si="1"/>
        <v>Aug</v>
      </c>
      <c r="F703" s="79" t="str">
        <f>IFERROR(__xludf.DUMMYFUNCTION("""COMPUTED_VALUE"""),"Shaeffer")</f>
        <v>Shaeffer</v>
      </c>
    </row>
    <row r="704">
      <c r="A704" s="85">
        <f>IFERROR(__xludf.DUMMYFUNCTION("""COMPUTED_VALUE"""),45536.0)</f>
        <v>45536</v>
      </c>
      <c r="B704" s="109">
        <f>IFERROR(__xludf.DUMMYFUNCTION("""COMPUTED_VALUE"""),38.08)</f>
        <v>38.08</v>
      </c>
      <c r="C704" s="79" t="str">
        <f>IFERROR(__xludf.DUMMYFUNCTION("""COMPUTED_VALUE"""),"Arts In Bus")</f>
        <v>Arts In Bus</v>
      </c>
      <c r="D704" s="79" t="str">
        <f>IFERROR(__xludf.DUMMYFUNCTION("""COMPUTED_VALUE"""),"Studio")</f>
        <v>Studio</v>
      </c>
      <c r="E704" s="108" t="str">
        <f t="shared" si="1"/>
        <v>Sep</v>
      </c>
      <c r="F704" s="79" t="str">
        <f>IFERROR(__xludf.DUMMYFUNCTION("""COMPUTED_VALUE"""),"Shaeffer")</f>
        <v>Shaeffer</v>
      </c>
    </row>
    <row r="705">
      <c r="A705" s="85">
        <f>IFERROR(__xludf.DUMMYFUNCTION("""COMPUTED_VALUE"""),45540.0)</f>
        <v>45540</v>
      </c>
      <c r="B705" s="109">
        <f>IFERROR(__xludf.DUMMYFUNCTION("""COMPUTED_VALUE"""),5.63)</f>
        <v>5.63</v>
      </c>
      <c r="C705" s="79" t="str">
        <f>IFERROR(__xludf.DUMMYFUNCTION("""COMPUTED_VALUE"""),"Birch")</f>
        <v>Birch</v>
      </c>
      <c r="D705" s="79" t="str">
        <f>IFERROR(__xludf.DUMMYFUNCTION("""COMPUTED_VALUE"""),"Work Meals")</f>
        <v>Work Meals</v>
      </c>
      <c r="E705" s="108" t="str">
        <f t="shared" si="1"/>
        <v>Sep</v>
      </c>
      <c r="F705" s="79" t="str">
        <f>IFERROR(__xludf.DUMMYFUNCTION("""COMPUTED_VALUE"""),"Shaeffer")</f>
        <v>Shaeffer</v>
      </c>
    </row>
    <row r="706">
      <c r="A706" s="85">
        <f>IFERROR(__xludf.DUMMYFUNCTION("""COMPUTED_VALUE"""),45541.0)</f>
        <v>45541</v>
      </c>
      <c r="B706" s="111">
        <f>IFERROR(__xludf.DUMMYFUNCTION("""COMPUTED_VALUE"""),20.0)</f>
        <v>20</v>
      </c>
      <c r="C706" s="79" t="str">
        <f>IFERROR(__xludf.DUMMYFUNCTION("""COMPUTED_VALUE"""),"tip for jaky - cash")</f>
        <v>tip for jaky - cash</v>
      </c>
      <c r="D706" s="79" t="str">
        <f>IFERROR(__xludf.DUMMYFUNCTION("""COMPUTED_VALUE"""),"Alcohol/Weed")</f>
        <v>Alcohol/Weed</v>
      </c>
      <c r="E706" s="108" t="str">
        <f t="shared" si="1"/>
        <v>Sep</v>
      </c>
      <c r="F706" s="79" t="str">
        <f>IFERROR(__xludf.DUMMYFUNCTION("""COMPUTED_VALUE"""),"Shaeffer")</f>
        <v>Shaeffer</v>
      </c>
    </row>
    <row r="707">
      <c r="A707" s="85">
        <f>IFERROR(__xludf.DUMMYFUNCTION("""COMPUTED_VALUE"""),45507.0)</f>
        <v>45507</v>
      </c>
      <c r="B707" s="111">
        <f>IFERROR(__xludf.DUMMYFUNCTION("""COMPUTED_VALUE"""),5.57)</f>
        <v>5.57</v>
      </c>
      <c r="C707" s="79" t="str">
        <f>IFERROR(__xludf.DUMMYFUNCTION("""COMPUTED_VALUE"""),"Cafe Vita")</f>
        <v>Cafe Vita</v>
      </c>
      <c r="D707" s="79" t="str">
        <f>IFERROR(__xludf.DUMMYFUNCTION("""COMPUTED_VALUE"""),"Work Meals")</f>
        <v>Work Meals</v>
      </c>
      <c r="E707" s="108" t="str">
        <f t="shared" si="1"/>
        <v>Aug</v>
      </c>
      <c r="F707" s="79" t="str">
        <f>IFERROR(__xludf.DUMMYFUNCTION("""COMPUTED_VALUE"""),"Shaeffer")</f>
        <v>Shaeffer</v>
      </c>
    </row>
    <row r="708">
      <c r="A708" s="85">
        <f>IFERROR(__xludf.DUMMYFUNCTION("""COMPUTED_VALUE"""),45507.0)</f>
        <v>45507</v>
      </c>
      <c r="B708" s="111">
        <f>IFERROR(__xludf.DUMMYFUNCTION("""COMPUTED_VALUE"""),5.4)</f>
        <v>5.4</v>
      </c>
      <c r="C708" s="79" t="str">
        <f>IFERROR(__xludf.DUMMYFUNCTION("""COMPUTED_VALUE"""),"mta")</f>
        <v>mta</v>
      </c>
      <c r="D708" s="79" t="str">
        <f>IFERROR(__xludf.DUMMYFUNCTION("""COMPUTED_VALUE"""),"Transportation")</f>
        <v>Transportation</v>
      </c>
      <c r="E708" s="108" t="str">
        <f t="shared" si="1"/>
        <v>Aug</v>
      </c>
      <c r="F708" s="79" t="str">
        <f>IFERROR(__xludf.DUMMYFUNCTION("""COMPUTED_VALUE"""),"Shaeffer")</f>
        <v>Shaeffer</v>
      </c>
    </row>
    <row r="709">
      <c r="A709" s="85">
        <f>IFERROR(__xludf.DUMMYFUNCTION("""COMPUTED_VALUE"""),45509.0)</f>
        <v>45509</v>
      </c>
      <c r="B709" s="109">
        <f>IFERROR(__xludf.DUMMYFUNCTION("""COMPUTED_VALUE"""),293.07)</f>
        <v>293.07</v>
      </c>
      <c r="C709" s="79" t="str">
        <f>IFERROR(__xludf.DUMMYFUNCTION("""COMPUTED_VALUE"""),"Chase Travel - flight?")</f>
        <v>Chase Travel - flight?</v>
      </c>
      <c r="D709" s="79" t="str">
        <f>IFERROR(__xludf.DUMMYFUNCTION("""COMPUTED_VALUE"""),"Travel")</f>
        <v>Travel</v>
      </c>
      <c r="E709" s="108" t="str">
        <f t="shared" si="1"/>
        <v>Aug</v>
      </c>
      <c r="F709" s="79" t="str">
        <f>IFERROR(__xludf.DUMMYFUNCTION("""COMPUTED_VALUE"""),"Shaeffer")</f>
        <v>Shaeffer</v>
      </c>
    </row>
    <row r="710">
      <c r="A710" s="85">
        <f>IFERROR(__xludf.DUMMYFUNCTION("""COMPUTED_VALUE"""),45518.0)</f>
        <v>45518</v>
      </c>
      <c r="B710" s="109">
        <f>IFERROR(__xludf.DUMMYFUNCTION("""COMPUTED_VALUE"""),54.52)</f>
        <v>54.52</v>
      </c>
      <c r="C710" s="79" t="str">
        <f>IFERROR(__xludf.DUMMYFUNCTION("""COMPUTED_VALUE"""),"Edge of the World - Fernie")</f>
        <v>Edge of the World - Fernie</v>
      </c>
      <c r="D710" s="79" t="str">
        <f>IFERROR(__xludf.DUMMYFUNCTION("""COMPUTED_VALUE"""),"Clothing")</f>
        <v>Clothing</v>
      </c>
      <c r="E710" s="108" t="str">
        <f t="shared" si="1"/>
        <v>Aug</v>
      </c>
      <c r="F710" s="79" t="str">
        <f>IFERROR(__xludf.DUMMYFUNCTION("""COMPUTED_VALUE"""),"Shaeffer")</f>
        <v>Shaeffer</v>
      </c>
    </row>
    <row r="711">
      <c r="A711" s="85">
        <f>IFERROR(__xludf.DUMMYFUNCTION("""COMPUTED_VALUE"""),45519.0)</f>
        <v>45519</v>
      </c>
      <c r="B711" s="109">
        <f>IFERROR(__xludf.DUMMYFUNCTION("""COMPUTED_VALUE"""),15.0)</f>
        <v>15</v>
      </c>
      <c r="C711" s="79" t="str">
        <f>IFERROR(__xludf.DUMMYFUNCTION("""COMPUTED_VALUE"""),"YMCA - membership on hold")</f>
        <v>YMCA - membership on hold</v>
      </c>
      <c r="D711" s="79" t="str">
        <f>IFERROR(__xludf.DUMMYFUNCTION("""COMPUTED_VALUE"""),"Gym")</f>
        <v>Gym</v>
      </c>
      <c r="E711" s="108" t="str">
        <f t="shared" si="1"/>
        <v>Aug</v>
      </c>
      <c r="F711" s="79" t="str">
        <f>IFERROR(__xludf.DUMMYFUNCTION("""COMPUTED_VALUE"""),"Shaeffer")</f>
        <v>Shaeffer</v>
      </c>
    </row>
    <row r="712">
      <c r="A712" s="85">
        <f>IFERROR(__xludf.DUMMYFUNCTION("""COMPUTED_VALUE"""),45519.0)</f>
        <v>45519</v>
      </c>
      <c r="B712" s="109">
        <f>IFERROR(__xludf.DUMMYFUNCTION("""COMPUTED_VALUE"""),15.54)</f>
        <v>15.54</v>
      </c>
      <c r="C712" s="79" t="str">
        <f>IFERROR(__xludf.DUMMYFUNCTION("""COMPUTED_VALUE"""),"Edge of the World")</f>
        <v>Edge of the World</v>
      </c>
      <c r="D712" s="79" t="str">
        <f>IFERROR(__xludf.DUMMYFUNCTION("""COMPUTED_VALUE"""),"Clothing")</f>
        <v>Clothing</v>
      </c>
      <c r="E712" s="108" t="str">
        <f t="shared" si="1"/>
        <v>Aug</v>
      </c>
      <c r="F712" s="79" t="str">
        <f>IFERROR(__xludf.DUMMYFUNCTION("""COMPUTED_VALUE"""),"Shaeffer")</f>
        <v>Shaeffer</v>
      </c>
    </row>
    <row r="713">
      <c r="A713" s="85">
        <f>IFERROR(__xludf.DUMMYFUNCTION("""COMPUTED_VALUE"""),45519.0)</f>
        <v>45519</v>
      </c>
      <c r="B713" s="109">
        <f>IFERROR(__xludf.DUMMYFUNCTION("""COMPUTED_VALUE"""),68.08)</f>
        <v>68.08</v>
      </c>
      <c r="C713" s="79" t="str">
        <f>IFERROR(__xludf.DUMMYFUNCTION("""COMPUTED_VALUE"""),"Earths Own Naturals - ring")</f>
        <v>Earths Own Naturals - ring</v>
      </c>
      <c r="D713" s="79" t="str">
        <f>IFERROR(__xludf.DUMMYFUNCTION("""COMPUTED_VALUE"""),"Clothing")</f>
        <v>Clothing</v>
      </c>
      <c r="E713" s="108" t="str">
        <f t="shared" si="1"/>
        <v>Aug</v>
      </c>
      <c r="F713" s="79" t="str">
        <f>IFERROR(__xludf.DUMMYFUNCTION("""COMPUTED_VALUE"""),"Shaeffer")</f>
        <v>Shaeffer</v>
      </c>
    </row>
    <row r="714">
      <c r="A714" s="85">
        <f>IFERROR(__xludf.DUMMYFUNCTION("""COMPUTED_VALUE"""),45529.0)</f>
        <v>45529</v>
      </c>
      <c r="B714" s="109">
        <f>IFERROR(__xludf.DUMMYFUNCTION("""COMPUTED_VALUE"""),22.55)</f>
        <v>22.55</v>
      </c>
      <c r="C714" s="79" t="str">
        <f>IFERROR(__xludf.DUMMYFUNCTION("""COMPUTED_VALUE"""),"Acqra Buluuo")</f>
        <v>Acqra Buluuo</v>
      </c>
      <c r="D714" s="79" t="str">
        <f>IFERROR(__xludf.DUMMYFUNCTION("""COMPUTED_VALUE"""),"Studio")</f>
        <v>Studio</v>
      </c>
      <c r="E714" s="108" t="str">
        <f t="shared" si="1"/>
        <v>Aug</v>
      </c>
      <c r="F714" s="79" t="str">
        <f>IFERROR(__xludf.DUMMYFUNCTION("""COMPUTED_VALUE"""),"Shaeffer")</f>
        <v>Shaeffer</v>
      </c>
    </row>
    <row r="715">
      <c r="A715" s="85">
        <f>IFERROR(__xludf.DUMMYFUNCTION("""COMPUTED_VALUE"""),45531.0)</f>
        <v>45531</v>
      </c>
      <c r="B715" s="109">
        <f>IFERROR(__xludf.DUMMYFUNCTION("""COMPUTED_VALUE"""),18.06)</f>
        <v>18.06</v>
      </c>
      <c r="C715" s="79" t="str">
        <f>IFERROR(__xludf.DUMMYFUNCTION("""COMPUTED_VALUE"""),"Pattern for Daph - Etsy")</f>
        <v>Pattern for Daph - Etsy</v>
      </c>
      <c r="D715" s="79" t="str">
        <f>IFERROR(__xludf.DUMMYFUNCTION("""COMPUTED_VALUE"""),"Studio")</f>
        <v>Studio</v>
      </c>
      <c r="E715" s="108" t="str">
        <f t="shared" si="1"/>
        <v>Aug</v>
      </c>
      <c r="F715" s="79" t="str">
        <f>IFERROR(__xludf.DUMMYFUNCTION("""COMPUTED_VALUE"""),"Shaeffer")</f>
        <v>Shaeffer</v>
      </c>
    </row>
    <row r="716">
      <c r="A716" s="85">
        <f>IFERROR(__xludf.DUMMYFUNCTION("""COMPUTED_VALUE"""),45533.0)</f>
        <v>45533</v>
      </c>
      <c r="B716" s="109">
        <f>IFERROR(__xludf.DUMMYFUNCTION("""COMPUTED_VALUE"""),56.82)</f>
        <v>56.82</v>
      </c>
      <c r="C716" s="79" t="str">
        <f>IFERROR(__xludf.DUMMYFUNCTION("""COMPUTED_VALUE"""),"Dellas")</f>
        <v>Dellas</v>
      </c>
      <c r="D716" s="79" t="str">
        <f>IFERROR(__xludf.DUMMYFUNCTION("""COMPUTED_VALUE"""),"Meals")</f>
        <v>Meals</v>
      </c>
      <c r="E716" s="108" t="str">
        <f t="shared" si="1"/>
        <v>Aug</v>
      </c>
      <c r="F716" s="79" t="str">
        <f>IFERROR(__xludf.DUMMYFUNCTION("""COMPUTED_VALUE"""),"Shaeffer")</f>
        <v>Shaeffer</v>
      </c>
    </row>
    <row r="717">
      <c r="A717" s="85">
        <f>IFERROR(__xludf.DUMMYFUNCTION("""COMPUTED_VALUE"""),45536.0)</f>
        <v>45536</v>
      </c>
      <c r="B717" s="109">
        <f>IFERROR(__xludf.DUMMYFUNCTION("""COMPUTED_VALUE"""),36.0)</f>
        <v>36</v>
      </c>
      <c r="C717" s="79" t="str">
        <f>IFERROR(__xludf.DUMMYFUNCTION("""COMPUTED_VALUE"""),"Lucky Dog - Tony BD")</f>
        <v>Lucky Dog - Tony BD</v>
      </c>
      <c r="D717" s="79" t="str">
        <f>IFERROR(__xludf.DUMMYFUNCTION("""COMPUTED_VALUE"""),"Alcohol/Weed")</f>
        <v>Alcohol/Weed</v>
      </c>
      <c r="E717" s="108" t="str">
        <f t="shared" si="1"/>
        <v>Sep</v>
      </c>
      <c r="F717" s="79" t="str">
        <f>IFERROR(__xludf.DUMMYFUNCTION("""COMPUTED_VALUE"""),"Shaeffer")</f>
        <v>Shaeffer</v>
      </c>
    </row>
    <row r="718">
      <c r="A718" s="85">
        <f>IFERROR(__xludf.DUMMYFUNCTION("""COMPUTED_VALUE"""),45542.0)</f>
        <v>45542</v>
      </c>
      <c r="B718" s="109">
        <f>IFERROR(__xludf.DUMMYFUNCTION("""COMPUTED_VALUE"""),35.28)</f>
        <v>35.28</v>
      </c>
      <c r="C718" s="79" t="str">
        <f>IFERROR(__xludf.DUMMYFUNCTION("""COMPUTED_VALUE"""),"Cena")</f>
        <v>Cena</v>
      </c>
      <c r="D718" s="79" t="str">
        <f>IFERROR(__xludf.DUMMYFUNCTION("""COMPUTED_VALUE"""),"Work Meals")</f>
        <v>Work Meals</v>
      </c>
      <c r="E718" s="108" t="str">
        <f t="shared" si="1"/>
        <v>Sep</v>
      </c>
      <c r="F718" s="79" t="str">
        <f>IFERROR(__xludf.DUMMYFUNCTION("""COMPUTED_VALUE"""),"Shaeffer")</f>
        <v>Shaeffer</v>
      </c>
    </row>
    <row r="719">
      <c r="A719" s="85">
        <f>IFERROR(__xludf.DUMMYFUNCTION("""COMPUTED_VALUE"""),45542.0)</f>
        <v>45542</v>
      </c>
      <c r="B719" s="111">
        <f>IFERROR(__xludf.DUMMYFUNCTION("""COMPUTED_VALUE"""),5.89)</f>
        <v>5.89</v>
      </c>
      <c r="C719" s="79" t="str">
        <f>IFERROR(__xludf.DUMMYFUNCTION("""COMPUTED_VALUE"""),"Coffee - Kaleta")</f>
        <v>Coffee - Kaleta</v>
      </c>
      <c r="D719" s="79" t="str">
        <f>IFERROR(__xludf.DUMMYFUNCTION("""COMPUTED_VALUE"""),"Work Meals")</f>
        <v>Work Meals</v>
      </c>
      <c r="E719" s="108" t="str">
        <f t="shared" si="1"/>
        <v>Sep</v>
      </c>
      <c r="F719" s="79" t="str">
        <f>IFERROR(__xludf.DUMMYFUNCTION("""COMPUTED_VALUE"""),"Shaeffer")</f>
        <v>Shaeffer</v>
      </c>
    </row>
    <row r="720">
      <c r="A720" s="85">
        <f>IFERROR(__xludf.DUMMYFUNCTION("""COMPUTED_VALUE"""),45542.0)</f>
        <v>45542</v>
      </c>
      <c r="B720" s="111">
        <f>IFERROR(__xludf.DUMMYFUNCTION("""COMPUTED_VALUE"""),18.45)</f>
        <v>18.45</v>
      </c>
      <c r="C720" s="79" t="str">
        <f>IFERROR(__xludf.DUMMYFUNCTION("""COMPUTED_VALUE"""),"Greenstreet ")</f>
        <v>Greenstreet </v>
      </c>
      <c r="D720" s="79" t="str">
        <f>IFERROR(__xludf.DUMMYFUNCTION("""COMPUTED_VALUE"""),"Work Meals")</f>
        <v>Work Meals</v>
      </c>
      <c r="E720" s="108" t="str">
        <f t="shared" si="1"/>
        <v>Sep</v>
      </c>
      <c r="F720" s="79" t="str">
        <f>IFERROR(__xludf.DUMMYFUNCTION("""COMPUTED_VALUE"""),"Shaeffer")</f>
        <v>Shaeffer</v>
      </c>
    </row>
    <row r="721">
      <c r="A721" s="85">
        <f>IFERROR(__xludf.DUMMYFUNCTION("""COMPUTED_VALUE"""),45544.0)</f>
        <v>45544</v>
      </c>
      <c r="B721" s="111">
        <f>IFERROR(__xludf.DUMMYFUNCTION("""COMPUTED_VALUE"""),20.03)</f>
        <v>20.03</v>
      </c>
      <c r="C721" s="79" t="str">
        <f>IFERROR(__xludf.DUMMYFUNCTION("""COMPUTED_VALUE"""),"PY Tin BUILDING")</f>
        <v>PY Tin BUILDING</v>
      </c>
      <c r="D721" s="79" t="str">
        <f>IFERROR(__xludf.DUMMYFUNCTION("""COMPUTED_VALUE"""),"Work Meals")</f>
        <v>Work Meals</v>
      </c>
      <c r="E721" s="108" t="str">
        <f t="shared" si="1"/>
        <v>Sep</v>
      </c>
      <c r="F721" s="79" t="str">
        <f>IFERROR(__xludf.DUMMYFUNCTION("""COMPUTED_VALUE"""),"Shaeffer")</f>
        <v>Shaeffer</v>
      </c>
    </row>
    <row r="722">
      <c r="A722" s="85">
        <f>IFERROR(__xludf.DUMMYFUNCTION("""COMPUTED_VALUE"""),45542.0)</f>
        <v>45542</v>
      </c>
      <c r="B722" s="111">
        <f>IFERROR(__xludf.DUMMYFUNCTION("""COMPUTED_VALUE"""),43.49)</f>
        <v>43.49</v>
      </c>
      <c r="C722" s="79" t="str">
        <f>IFERROR(__xludf.DUMMYFUNCTION("""COMPUTED_VALUE"""),"Branded Cattle Saloon")</f>
        <v>Branded Cattle Saloon</v>
      </c>
      <c r="D722" s="79" t="str">
        <f>IFERROR(__xludf.DUMMYFUNCTION("""COMPUTED_VALUE"""),"Work Meals")</f>
        <v>Work Meals</v>
      </c>
      <c r="E722" s="108" t="str">
        <f t="shared" si="1"/>
        <v>Sep</v>
      </c>
      <c r="F722" s="79" t="str">
        <f>IFERROR(__xludf.DUMMYFUNCTION("""COMPUTED_VALUE"""),"Shaeffer")</f>
        <v>Shaeffer</v>
      </c>
    </row>
    <row r="723">
      <c r="A723" s="85">
        <f>IFERROR(__xludf.DUMMYFUNCTION("""COMPUTED_VALUE"""),45535.0)</f>
        <v>45535</v>
      </c>
      <c r="B723" s="111">
        <f>IFERROR(__xludf.DUMMYFUNCTION("""COMPUTED_VALUE"""),37.12)</f>
        <v>37.12</v>
      </c>
      <c r="C723" s="79" t="str">
        <f>IFERROR(__xludf.DUMMYFUNCTION("""COMPUTED_VALUE"""),"LYFT")</f>
        <v>LYFT</v>
      </c>
      <c r="D723" s="79" t="str">
        <f>IFERROR(__xludf.DUMMYFUNCTION("""COMPUTED_VALUE"""),"Transportation")</f>
        <v>Transportation</v>
      </c>
      <c r="E723" s="108" t="str">
        <f t="shared" si="1"/>
        <v>Aug</v>
      </c>
      <c r="F723" s="79" t="str">
        <f>IFERROR(__xludf.DUMMYFUNCTION("""COMPUTED_VALUE"""),"Shaeffer")</f>
        <v>Shaeffer</v>
      </c>
    </row>
    <row r="724">
      <c r="A724" s="85">
        <f>IFERROR(__xludf.DUMMYFUNCTION("""COMPUTED_VALUE"""),45545.0)</f>
        <v>45545</v>
      </c>
      <c r="B724" s="111">
        <f>IFERROR(__xludf.DUMMYFUNCTION("""COMPUTED_VALUE"""),96.04)</f>
        <v>96.04</v>
      </c>
      <c r="C724" s="79" t="str">
        <f>IFERROR(__xludf.DUMMYFUNCTION("""COMPUTED_VALUE"""),"323 July electric &amp; Sept mailroom")</f>
        <v>323 July electric &amp; Sept mailroom</v>
      </c>
      <c r="D724" s="79" t="str">
        <f>IFERROR(__xludf.DUMMYFUNCTION("""COMPUTED_VALUE"""),"Studio")</f>
        <v>Studio</v>
      </c>
      <c r="E724" s="108" t="str">
        <f t="shared" si="1"/>
        <v>Sep</v>
      </c>
      <c r="F724" s="79" t="str">
        <f>IFERROR(__xludf.DUMMYFUNCTION("""COMPUTED_VALUE"""),"Shaeffer")</f>
        <v>Shaeffer</v>
      </c>
    </row>
    <row r="725">
      <c r="A725" s="85">
        <f>IFERROR(__xludf.DUMMYFUNCTION("""COMPUTED_VALUE"""),45543.0)</f>
        <v>45543</v>
      </c>
      <c r="B725" s="109">
        <f>IFERROR(__xludf.DUMMYFUNCTION("""COMPUTED_VALUE"""),375.0)</f>
        <v>375</v>
      </c>
      <c r="C725" s="79" t="str">
        <f>IFERROR(__xludf.DUMMYFUNCTION("""COMPUTED_VALUE"""),"Studio rent ")</f>
        <v>Studio rent </v>
      </c>
      <c r="D725" s="79" t="str">
        <f>IFERROR(__xludf.DUMMYFUNCTION("""COMPUTED_VALUE"""),"Studio")</f>
        <v>Studio</v>
      </c>
      <c r="E725" s="108" t="str">
        <f t="shared" si="1"/>
        <v>Sep</v>
      </c>
      <c r="F725" s="79" t="str">
        <f>IFERROR(__xludf.DUMMYFUNCTION("""COMPUTED_VALUE"""),"Shaeffer")</f>
        <v>Shaeffer</v>
      </c>
    </row>
    <row r="726">
      <c r="A726" s="85">
        <f>IFERROR(__xludf.DUMMYFUNCTION("""COMPUTED_VALUE"""),45545.0)</f>
        <v>45545</v>
      </c>
      <c r="B726" s="111">
        <f>IFERROR(__xludf.DUMMYFUNCTION("""COMPUTED_VALUE"""),5.68)</f>
        <v>5.68</v>
      </c>
      <c r="C726" s="79" t="str">
        <f>IFERROR(__xludf.DUMMYFUNCTION("""COMPUTED_VALUE"""),"Thai Hot Box - Uber Eats ")</f>
        <v>Thai Hot Box - Uber Eats </v>
      </c>
      <c r="D726" s="79" t="str">
        <f>IFERROR(__xludf.DUMMYFUNCTION("""COMPUTED_VALUE"""),"Work Meals")</f>
        <v>Work Meals</v>
      </c>
      <c r="E726" s="108" t="str">
        <f t="shared" si="1"/>
        <v>Sep</v>
      </c>
      <c r="F726" s="79" t="str">
        <f>IFERROR(__xludf.DUMMYFUNCTION("""COMPUTED_VALUE"""),"Gil")</f>
        <v>Gil</v>
      </c>
    </row>
    <row r="727">
      <c r="A727" s="85">
        <f>IFERROR(__xludf.DUMMYFUNCTION("""COMPUTED_VALUE"""),45547.0)</f>
        <v>45547</v>
      </c>
      <c r="B727" s="111">
        <f>IFERROR(__xludf.DUMMYFUNCTION("""COMPUTED_VALUE"""),22.0)</f>
        <v>22</v>
      </c>
      <c r="C727" s="79" t="str">
        <f>IFERROR(__xludf.DUMMYFUNCTION("""COMPUTED_VALUE"""),"Shawarma Bay")</f>
        <v>Shawarma Bay</v>
      </c>
      <c r="D727" s="79" t="str">
        <f>IFERROR(__xludf.DUMMYFUNCTION("""COMPUTED_VALUE"""),"Work Meals")</f>
        <v>Work Meals</v>
      </c>
      <c r="E727" s="108" t="str">
        <f t="shared" si="1"/>
        <v>Sep</v>
      </c>
      <c r="F727" s="79" t="str">
        <f>IFERROR(__xludf.DUMMYFUNCTION("""COMPUTED_VALUE"""),"Gil")</f>
        <v>Gil</v>
      </c>
    </row>
    <row r="728">
      <c r="A728" s="85">
        <f>IFERROR(__xludf.DUMMYFUNCTION("""COMPUTED_VALUE"""),45547.0)</f>
        <v>45547</v>
      </c>
      <c r="B728" s="111">
        <f>IFERROR(__xludf.DUMMYFUNCTION("""COMPUTED_VALUE"""),34.18)</f>
        <v>34.18</v>
      </c>
      <c r="C728" s="79" t="str">
        <f>IFERROR(__xludf.DUMMYFUNCTION("""COMPUTED_VALUE"""),"Time Out market - burgers w/ Mack")</f>
        <v>Time Out market - burgers w/ Mack</v>
      </c>
      <c r="D728" s="79" t="str">
        <f>IFERROR(__xludf.DUMMYFUNCTION("""COMPUTED_VALUE"""),"Meals")</f>
        <v>Meals</v>
      </c>
      <c r="E728" s="108" t="str">
        <f t="shared" si="1"/>
        <v>Sep</v>
      </c>
      <c r="F728" s="79" t="str">
        <f>IFERROR(__xludf.DUMMYFUNCTION("""COMPUTED_VALUE"""),"Shaeffer")</f>
        <v>Shaeffer</v>
      </c>
    </row>
    <row r="729">
      <c r="A729" s="85">
        <f>IFERROR(__xludf.DUMMYFUNCTION("""COMPUTED_VALUE"""),45547.0)</f>
        <v>45547</v>
      </c>
      <c r="B729" s="111">
        <f>IFERROR(__xludf.DUMMYFUNCTION("""COMPUTED_VALUE"""),14.0)</f>
        <v>14</v>
      </c>
      <c r="C729" s="79" t="str">
        <f>IFERROR(__xludf.DUMMYFUNCTION("""COMPUTED_VALUE"""),"Cookies - cash")</f>
        <v>Cookies - cash</v>
      </c>
      <c r="D729" s="79" t="str">
        <f>IFERROR(__xludf.DUMMYFUNCTION("""COMPUTED_VALUE"""),"Alcohol/Weed")</f>
        <v>Alcohol/Weed</v>
      </c>
      <c r="E729" s="108" t="str">
        <f t="shared" si="1"/>
        <v>Sep</v>
      </c>
      <c r="F729" s="79" t="str">
        <f>IFERROR(__xludf.DUMMYFUNCTION("""COMPUTED_VALUE"""),"Shaeffer")</f>
        <v>Shaeffer</v>
      </c>
    </row>
    <row r="730">
      <c r="A730" s="85">
        <f>IFERROR(__xludf.DUMMYFUNCTION("""COMPUTED_VALUE"""),45548.0)</f>
        <v>45548</v>
      </c>
      <c r="B730" s="111">
        <f>IFERROR(__xludf.DUMMYFUNCTION("""COMPUTED_VALUE"""),390.3)</f>
        <v>390.3</v>
      </c>
      <c r="C730" s="79" t="str">
        <f>IFERROR(__xludf.DUMMYFUNCTION("""COMPUTED_VALUE"""),"DU ")</f>
        <v>DU </v>
      </c>
      <c r="D730" s="79" t="str">
        <f>IFERROR(__xludf.DUMMYFUNCTION("""COMPUTED_VALUE"""),"Clothing")</f>
        <v>Clothing</v>
      </c>
      <c r="E730" s="108" t="str">
        <f t="shared" si="1"/>
        <v>Sep</v>
      </c>
      <c r="F730" s="79" t="str">
        <f>IFERROR(__xludf.DUMMYFUNCTION("""COMPUTED_VALUE"""),"Shaeffer")</f>
        <v>Shaeffer</v>
      </c>
    </row>
    <row r="731">
      <c r="A731" s="85">
        <f>IFERROR(__xludf.DUMMYFUNCTION("""COMPUTED_VALUE"""),45548.0)</f>
        <v>45548</v>
      </c>
      <c r="B731" s="111">
        <f>IFERROR(__xludf.DUMMYFUNCTION("""COMPUTED_VALUE"""),17.0)</f>
        <v>17</v>
      </c>
      <c r="C731" s="79" t="str">
        <f>IFERROR(__xludf.DUMMYFUNCTION("""COMPUTED_VALUE"""),"Yummy Stick")</f>
        <v>Yummy Stick</v>
      </c>
      <c r="D731" s="79" t="str">
        <f>IFERROR(__xludf.DUMMYFUNCTION("""COMPUTED_VALUE"""),"Meals")</f>
        <v>Meals</v>
      </c>
      <c r="E731" s="108" t="str">
        <f t="shared" si="1"/>
        <v>Sep</v>
      </c>
      <c r="F731" s="79" t="str">
        <f>IFERROR(__xludf.DUMMYFUNCTION("""COMPUTED_VALUE"""),"Gil")</f>
        <v>Gil</v>
      </c>
    </row>
    <row r="732">
      <c r="A732" s="85">
        <f>IFERROR(__xludf.DUMMYFUNCTION("""COMPUTED_VALUE"""),45551.0)</f>
        <v>45551</v>
      </c>
      <c r="B732" s="111">
        <f>IFERROR(__xludf.DUMMYFUNCTION("""COMPUTED_VALUE"""),70.0)</f>
        <v>70</v>
      </c>
      <c r="C732" s="79" t="str">
        <f>IFERROR(__xludf.DUMMYFUNCTION("""COMPUTED_VALUE"""),"Acupuncture ")</f>
        <v>Acupuncture </v>
      </c>
      <c r="D732" s="79" t="str">
        <f>IFERROR(__xludf.DUMMYFUNCTION("""COMPUTED_VALUE"""),"Personal")</f>
        <v>Personal</v>
      </c>
      <c r="E732" s="108" t="str">
        <f t="shared" si="1"/>
        <v>Sep</v>
      </c>
      <c r="F732" s="79" t="str">
        <f>IFERROR(__xludf.DUMMYFUNCTION("""COMPUTED_VALUE"""),"Shaeffer")</f>
        <v>Shaeffer</v>
      </c>
    </row>
    <row r="733">
      <c r="A733" s="85">
        <f>IFERROR(__xludf.DUMMYFUNCTION("""COMPUTED_VALUE"""),45551.0)</f>
        <v>45551</v>
      </c>
      <c r="B733" s="111">
        <f>IFERROR(__xludf.DUMMYFUNCTION("""COMPUTED_VALUE"""),7.54)</f>
        <v>7.54</v>
      </c>
      <c r="C733" s="79" t="str">
        <f>IFERROR(__xludf.DUMMYFUNCTION("""COMPUTED_VALUE"""),"Westside Market")</f>
        <v>Westside Market</v>
      </c>
      <c r="D733" s="79" t="str">
        <f>IFERROR(__xludf.DUMMYFUNCTION("""COMPUTED_VALUE"""),"Work Meals")</f>
        <v>Work Meals</v>
      </c>
      <c r="E733" s="108" t="str">
        <f t="shared" si="1"/>
        <v>Sep</v>
      </c>
      <c r="F733" s="79" t="str">
        <f>IFERROR(__xludf.DUMMYFUNCTION("""COMPUTED_VALUE"""),"Gil")</f>
        <v>Gil</v>
      </c>
    </row>
    <row r="734">
      <c r="A734" s="85">
        <f>IFERROR(__xludf.DUMMYFUNCTION("""COMPUTED_VALUE"""),45551.0)</f>
        <v>45551</v>
      </c>
      <c r="B734" s="111">
        <f>IFERROR(__xludf.DUMMYFUNCTION("""COMPUTED_VALUE"""),10.39)</f>
        <v>10.39</v>
      </c>
      <c r="C734" s="79" t="str">
        <f>IFERROR(__xludf.DUMMYFUNCTION("""COMPUTED_VALUE"""),"Whole Foods")</f>
        <v>Whole Foods</v>
      </c>
      <c r="D734" s="79" t="str">
        <f>IFERROR(__xludf.DUMMYFUNCTION("""COMPUTED_VALUE"""),"Groceries")</f>
        <v>Groceries</v>
      </c>
      <c r="E734" s="108" t="str">
        <f t="shared" si="1"/>
        <v>Sep</v>
      </c>
      <c r="F734" s="79" t="str">
        <f>IFERROR(__xludf.DUMMYFUNCTION("""COMPUTED_VALUE"""),"Gil")</f>
        <v>Gil</v>
      </c>
    </row>
    <row r="735">
      <c r="A735" s="85">
        <f>IFERROR(__xludf.DUMMYFUNCTION("""COMPUTED_VALUE"""),45552.0)</f>
        <v>45552</v>
      </c>
      <c r="B735" s="111">
        <f>IFERROR(__xludf.DUMMYFUNCTION("""COMPUTED_VALUE"""),21.05)</f>
        <v>21.05</v>
      </c>
      <c r="C735" s="79" t="str">
        <f>IFERROR(__xludf.DUMMYFUNCTION("""COMPUTED_VALUE"""),"Katagiri")</f>
        <v>Katagiri</v>
      </c>
      <c r="D735" s="79" t="str">
        <f>IFERROR(__xludf.DUMMYFUNCTION("""COMPUTED_VALUE"""),"Meals")</f>
        <v>Meals</v>
      </c>
      <c r="E735" s="108" t="str">
        <f t="shared" si="1"/>
        <v>Sep</v>
      </c>
      <c r="F735" s="79" t="str">
        <f>IFERROR(__xludf.DUMMYFUNCTION("""COMPUTED_VALUE"""),"Gil")</f>
        <v>Gil</v>
      </c>
    </row>
    <row r="736">
      <c r="A736" s="85">
        <f>IFERROR(__xludf.DUMMYFUNCTION("""COMPUTED_VALUE"""),45552.0)</f>
        <v>45552</v>
      </c>
      <c r="B736" s="111">
        <f>IFERROR(__xludf.DUMMYFUNCTION("""COMPUTED_VALUE"""),10.0)</f>
        <v>10</v>
      </c>
      <c r="C736" s="79" t="str">
        <f>IFERROR(__xludf.DUMMYFUNCTION("""COMPUTED_VALUE"""),"Ore Bar")</f>
        <v>Ore Bar</v>
      </c>
      <c r="D736" s="79" t="str">
        <f>IFERROR(__xludf.DUMMYFUNCTION("""COMPUTED_VALUE"""),"Alcohol/Weed")</f>
        <v>Alcohol/Weed</v>
      </c>
      <c r="E736" s="108" t="str">
        <f t="shared" si="1"/>
        <v>Sep</v>
      </c>
      <c r="F736" s="79" t="str">
        <f>IFERROR(__xludf.DUMMYFUNCTION("""COMPUTED_VALUE"""),"Gil")</f>
        <v>Gil</v>
      </c>
    </row>
    <row r="737">
      <c r="A737" s="85">
        <f>IFERROR(__xludf.DUMMYFUNCTION("""COMPUTED_VALUE"""),45553.0)</f>
        <v>45553</v>
      </c>
      <c r="B737" s="111">
        <f>IFERROR(__xludf.DUMMYFUNCTION("""COMPUTED_VALUE"""),11.87)</f>
        <v>11.87</v>
      </c>
      <c r="C737" s="79" t="str">
        <f>IFERROR(__xludf.DUMMYFUNCTION("""COMPUTED_VALUE"""),"Esse Taco")</f>
        <v>Esse Taco</v>
      </c>
      <c r="D737" s="79" t="str">
        <f>IFERROR(__xludf.DUMMYFUNCTION("""COMPUTED_VALUE"""),"Work Meals")</f>
        <v>Work Meals</v>
      </c>
      <c r="E737" s="108" t="str">
        <f t="shared" si="1"/>
        <v>Sep</v>
      </c>
      <c r="F737" s="79" t="str">
        <f>IFERROR(__xludf.DUMMYFUNCTION("""COMPUTED_VALUE"""),"Gil")</f>
        <v>Gil</v>
      </c>
    </row>
    <row r="738">
      <c r="A738" s="85">
        <f>IFERROR(__xludf.DUMMYFUNCTION("""COMPUTED_VALUE"""),45558.0)</f>
        <v>45558</v>
      </c>
      <c r="B738" s="111">
        <f>IFERROR(__xludf.DUMMYFUNCTION("""COMPUTED_VALUE"""),21.6)</f>
        <v>21.6</v>
      </c>
      <c r="C738" s="79" t="str">
        <f>IFERROR(__xludf.DUMMYFUNCTION("""COMPUTED_VALUE"""),"El Tepeyac")</f>
        <v>El Tepeyac</v>
      </c>
      <c r="D738" s="79" t="str">
        <f>IFERROR(__xludf.DUMMYFUNCTION("""COMPUTED_VALUE"""),"Work Meals")</f>
        <v>Work Meals</v>
      </c>
      <c r="E738" s="108" t="str">
        <f t="shared" si="1"/>
        <v>Sep</v>
      </c>
      <c r="F738" s="79" t="str">
        <f>IFERROR(__xludf.DUMMYFUNCTION("""COMPUTED_VALUE"""),"Gil")</f>
        <v>Gil</v>
      </c>
    </row>
    <row r="739">
      <c r="A739" s="85">
        <f>IFERROR(__xludf.DUMMYFUNCTION("""COMPUTED_VALUE"""),45501.0)</f>
        <v>45501</v>
      </c>
      <c r="B739" s="111">
        <f>IFERROR(__xludf.DUMMYFUNCTION("""COMPUTED_VALUE"""),24.0)</f>
        <v>24</v>
      </c>
      <c r="C739" s="79" t="str">
        <f>IFERROR(__xludf.DUMMYFUNCTION("""COMPUTED_VALUE"""),"Patreon - Kelli Henderson")</f>
        <v>Patreon - Kelli Henderson</v>
      </c>
      <c r="D739" s="79" t="str">
        <f>IFERROR(__xludf.DUMMYFUNCTION("""COMPUTED_VALUE"""),"Subscriptions")</f>
        <v>Subscriptions</v>
      </c>
      <c r="E739" s="108" t="str">
        <f t="shared" si="1"/>
        <v>Jul</v>
      </c>
      <c r="F739" s="79" t="str">
        <f>IFERROR(__xludf.DUMMYFUNCTION("""COMPUTED_VALUE"""),"Gil")</f>
        <v>Gil</v>
      </c>
    </row>
    <row r="740">
      <c r="A740" s="85">
        <f>IFERROR(__xludf.DUMMYFUNCTION("""COMPUTED_VALUE"""),45532.0)</f>
        <v>45532</v>
      </c>
      <c r="B740" s="111">
        <f>IFERROR(__xludf.DUMMYFUNCTION("""COMPUTED_VALUE"""),24.0)</f>
        <v>24</v>
      </c>
      <c r="C740" s="79" t="str">
        <f>IFERROR(__xludf.DUMMYFUNCTION("""COMPUTED_VALUE"""),"Patreon - Kelli Henderson")</f>
        <v>Patreon - Kelli Henderson</v>
      </c>
      <c r="D740" s="79" t="str">
        <f>IFERROR(__xludf.DUMMYFUNCTION("""COMPUTED_VALUE"""),"Subscriptions")</f>
        <v>Subscriptions</v>
      </c>
      <c r="E740" s="108" t="str">
        <f t="shared" si="1"/>
        <v>Aug</v>
      </c>
      <c r="F740" s="79" t="str">
        <f>IFERROR(__xludf.DUMMYFUNCTION("""COMPUTED_VALUE"""),"Gil")</f>
        <v>Gil</v>
      </c>
    </row>
    <row r="741">
      <c r="A741" s="85">
        <f>IFERROR(__xludf.DUMMYFUNCTION("""COMPUTED_VALUE"""),45515.0)</f>
        <v>45515</v>
      </c>
      <c r="B741" s="111">
        <f>IFERROR(__xludf.DUMMYFUNCTION("""COMPUTED_VALUE"""),2.49)</f>
        <v>2.49</v>
      </c>
      <c r="C741" s="79" t="str">
        <f>IFERROR(__xludf.DUMMYFUNCTION("""COMPUTED_VALUE"""),"Starbucks - YYZ")</f>
        <v>Starbucks - YYZ</v>
      </c>
      <c r="D741" s="79" t="str">
        <f>IFERROR(__xludf.DUMMYFUNCTION("""COMPUTED_VALUE"""),"Travel")</f>
        <v>Travel</v>
      </c>
      <c r="E741" s="108" t="str">
        <f t="shared" si="1"/>
        <v>Aug</v>
      </c>
      <c r="F741" s="79" t="str">
        <f>IFERROR(__xludf.DUMMYFUNCTION("""COMPUTED_VALUE"""),"Gil")</f>
        <v>Gil</v>
      </c>
    </row>
    <row r="742">
      <c r="A742" s="85">
        <f>IFERROR(__xludf.DUMMYFUNCTION("""COMPUTED_VALUE"""),45507.0)</f>
        <v>45507</v>
      </c>
      <c r="B742" s="109">
        <f>IFERROR(__xludf.DUMMYFUNCTION("""COMPUTED_VALUE"""),10.53)</f>
        <v>10.53</v>
      </c>
      <c r="C742" s="79" t="str">
        <f>IFERROR(__xludf.DUMMYFUNCTION("""COMPUTED_VALUE"""),"Westside Market")</f>
        <v>Westside Market</v>
      </c>
      <c r="D742" s="79" t="str">
        <f>IFERROR(__xludf.DUMMYFUNCTION("""COMPUTED_VALUE"""),"Work Meals")</f>
        <v>Work Meals</v>
      </c>
      <c r="E742" s="108" t="str">
        <f t="shared" si="1"/>
        <v>Aug</v>
      </c>
      <c r="F742" s="79" t="str">
        <f>IFERROR(__xludf.DUMMYFUNCTION("""COMPUTED_VALUE"""),"Gil")</f>
        <v>Gil</v>
      </c>
    </row>
    <row r="743">
      <c r="A743" s="85">
        <f>IFERROR(__xludf.DUMMYFUNCTION("""COMPUTED_VALUE"""),45535.0)</f>
        <v>45535</v>
      </c>
      <c r="B743" s="111">
        <f>IFERROR(__xludf.DUMMYFUNCTION("""COMPUTED_VALUE"""),107.8)</f>
        <v>107.8</v>
      </c>
      <c r="C743" s="79" t="str">
        <f>IFERROR(__xludf.DUMMYFUNCTION("""COMPUTED_VALUE"""),"MTA - August - Amex Blue")</f>
        <v>MTA - August - Amex Blue</v>
      </c>
      <c r="D743" s="79" t="str">
        <f>IFERROR(__xludf.DUMMYFUNCTION("""COMPUTED_VALUE"""),"Transportation")</f>
        <v>Transportation</v>
      </c>
      <c r="E743" s="108" t="str">
        <f t="shared" si="1"/>
        <v>Aug</v>
      </c>
      <c r="F743" s="79" t="str">
        <f>IFERROR(__xludf.DUMMYFUNCTION("""COMPUTED_VALUE"""),"Gil")</f>
        <v>Gil</v>
      </c>
    </row>
    <row r="744">
      <c r="A744" s="85">
        <f>IFERROR(__xludf.DUMMYFUNCTION("""COMPUTED_VALUE"""),45527.0)</f>
        <v>45527</v>
      </c>
      <c r="B744" s="111">
        <f>IFERROR(__xludf.DUMMYFUNCTION("""COMPUTED_VALUE"""),299.92)</f>
        <v>299.92</v>
      </c>
      <c r="C744" s="79" t="str">
        <f>IFERROR(__xludf.DUMMYFUNCTION("""COMPUTED_VALUE"""),"Equinox")</f>
        <v>Equinox</v>
      </c>
      <c r="D744" s="79" t="str">
        <f>IFERROR(__xludf.DUMMYFUNCTION("""COMPUTED_VALUE"""),"Gym")</f>
        <v>Gym</v>
      </c>
      <c r="E744" s="108" t="str">
        <f t="shared" si="1"/>
        <v>Aug</v>
      </c>
      <c r="F744" s="79" t="str">
        <f>IFERROR(__xludf.DUMMYFUNCTION("""COMPUTED_VALUE"""),"Gil")</f>
        <v>Gil</v>
      </c>
    </row>
    <row r="745">
      <c r="A745" s="85">
        <f>IFERROR(__xludf.DUMMYFUNCTION("""COMPUTED_VALUE"""),45533.0)</f>
        <v>45533</v>
      </c>
      <c r="B745" s="111">
        <f>IFERROR(__xludf.DUMMYFUNCTION("""COMPUTED_VALUE"""),4.34)</f>
        <v>4.34</v>
      </c>
      <c r="C745" s="79" t="str">
        <f>IFERROR(__xludf.DUMMYFUNCTION("""COMPUTED_VALUE"""),"Earbuds Case - Amazon")</f>
        <v>Earbuds Case - Amazon</v>
      </c>
      <c r="D745" s="79" t="str">
        <f>IFERROR(__xludf.DUMMYFUNCTION("""COMPUTED_VALUE"""),"Personal")</f>
        <v>Personal</v>
      </c>
      <c r="E745" s="108" t="str">
        <f t="shared" si="1"/>
        <v>Aug</v>
      </c>
      <c r="F745" s="79" t="str">
        <f>IFERROR(__xludf.DUMMYFUNCTION("""COMPUTED_VALUE"""),"Gil")</f>
        <v>Gil</v>
      </c>
    </row>
    <row r="746">
      <c r="A746" s="85">
        <f>IFERROR(__xludf.DUMMYFUNCTION("""COMPUTED_VALUE"""),45507.0)</f>
        <v>45507</v>
      </c>
      <c r="B746" s="111">
        <f>IFERROR(__xludf.DUMMYFUNCTION("""COMPUTED_VALUE"""),62.06)</f>
        <v>62.06</v>
      </c>
      <c r="C746" s="79" t="str">
        <f>IFERROR(__xludf.DUMMYFUNCTION("""COMPUTED_VALUE"""),"Subliminal Frother")</f>
        <v>Subliminal Frother</v>
      </c>
      <c r="D746" s="79" t="str">
        <f>IFERROR(__xludf.DUMMYFUNCTION("""COMPUTED_VALUE"""),"Personal")</f>
        <v>Personal</v>
      </c>
      <c r="E746" s="108" t="str">
        <f t="shared" si="1"/>
        <v>Aug</v>
      </c>
      <c r="F746" s="79" t="str">
        <f>IFERROR(__xludf.DUMMYFUNCTION("""COMPUTED_VALUE"""),"Gil")</f>
        <v>Gil</v>
      </c>
    </row>
    <row r="747">
      <c r="A747" s="85">
        <f>IFERROR(__xludf.DUMMYFUNCTION("""COMPUTED_VALUE"""),45551.0)</f>
        <v>45551</v>
      </c>
      <c r="B747" s="111">
        <f>IFERROR(__xludf.DUMMYFUNCTION("""COMPUTED_VALUE"""),99.7)</f>
        <v>99.7</v>
      </c>
      <c r="C747" s="79" t="str">
        <f>IFERROR(__xludf.DUMMYFUNCTION("""COMPUTED_VALUE"""),"Uniqlo - JOE work pants and shirt (reimbursement 9/27)")</f>
        <v>Uniqlo - JOE work pants and shirt (reimbursement 9/27)</v>
      </c>
      <c r="D747" s="79" t="str">
        <f>IFERROR(__xludf.DUMMYFUNCTION("""COMPUTED_VALUE"""),"Clothing")</f>
        <v>Clothing</v>
      </c>
      <c r="E747" s="108" t="str">
        <f t="shared" si="1"/>
        <v>Sep</v>
      </c>
      <c r="F747" s="79" t="str">
        <f>IFERROR(__xludf.DUMMYFUNCTION("""COMPUTED_VALUE"""),"Gil")</f>
        <v>Gil</v>
      </c>
    </row>
    <row r="748">
      <c r="A748" s="85">
        <f>IFERROR(__xludf.DUMMYFUNCTION("""COMPUTED_VALUE"""),45551.0)</f>
        <v>45551</v>
      </c>
      <c r="B748" s="111">
        <f>IFERROR(__xludf.DUMMYFUNCTION("""COMPUTED_VALUE"""),203.61)</f>
        <v>203.61</v>
      </c>
      <c r="C748" s="79" t="str">
        <f>IFERROR(__xludf.DUMMYFUNCTION("""COMPUTED_VALUE"""),"Tom Dixon - lamp")</f>
        <v>Tom Dixon - lamp</v>
      </c>
      <c r="D748" s="79" t="str">
        <f>IFERROR(__xludf.DUMMYFUNCTION("""COMPUTED_VALUE"""),"Household")</f>
        <v>Household</v>
      </c>
      <c r="E748" s="108" t="str">
        <f t="shared" si="1"/>
        <v>Sep</v>
      </c>
      <c r="F748" s="79" t="str">
        <f>IFERROR(__xludf.DUMMYFUNCTION("""COMPUTED_VALUE"""),"Gil")</f>
        <v>Gil</v>
      </c>
    </row>
    <row r="749">
      <c r="A749" s="85">
        <f>IFERROR(__xludf.DUMMYFUNCTION("""COMPUTED_VALUE"""),45534.0)</f>
        <v>45534</v>
      </c>
      <c r="B749" s="111">
        <f>IFERROR(__xludf.DUMMYFUNCTION("""COMPUTED_VALUE"""),21.78)</f>
        <v>21.78</v>
      </c>
      <c r="C749" s="79" t="str">
        <f>IFERROR(__xludf.DUMMYFUNCTION("""COMPUTED_VALUE"""),"OpenAI - chatGPT")</f>
        <v>OpenAI - chatGPT</v>
      </c>
      <c r="D749" s="79" t="str">
        <f>IFERROR(__xludf.DUMMYFUNCTION("""COMPUTED_VALUE"""),"Subscriptions")</f>
        <v>Subscriptions</v>
      </c>
      <c r="E749" s="108" t="str">
        <f t="shared" si="1"/>
        <v>Aug</v>
      </c>
      <c r="F749" s="79" t="str">
        <f>IFERROR(__xludf.DUMMYFUNCTION("""COMPUTED_VALUE"""),"Gil")</f>
        <v>Gil</v>
      </c>
    </row>
    <row r="750">
      <c r="A750" s="85">
        <f>IFERROR(__xludf.DUMMYFUNCTION("""COMPUTED_VALUE"""),45538.0)</f>
        <v>45538</v>
      </c>
      <c r="B750" s="111">
        <f>IFERROR(__xludf.DUMMYFUNCTION("""COMPUTED_VALUE"""),58.52)</f>
        <v>58.52</v>
      </c>
      <c r="C750" s="79" t="str">
        <f>IFERROR(__xludf.DUMMYFUNCTION("""COMPUTED_VALUE"""),"Hank's Belts")</f>
        <v>Hank's Belts</v>
      </c>
      <c r="D750" s="79" t="str">
        <f>IFERROR(__xludf.DUMMYFUNCTION("""COMPUTED_VALUE"""),"Clothing")</f>
        <v>Clothing</v>
      </c>
      <c r="E750" s="108" t="str">
        <f t="shared" si="1"/>
        <v>Sep</v>
      </c>
      <c r="F750" s="79" t="str">
        <f>IFERROR(__xludf.DUMMYFUNCTION("""COMPUTED_VALUE"""),"Gil")</f>
        <v>Gil</v>
      </c>
    </row>
    <row r="751">
      <c r="A751" s="85">
        <f>IFERROR(__xludf.DUMMYFUNCTION("""COMPUTED_VALUE"""),45492.0)</f>
        <v>45492</v>
      </c>
      <c r="B751" s="111">
        <f>IFERROR(__xludf.DUMMYFUNCTION("""COMPUTED_VALUE"""),33.13)</f>
        <v>33.13</v>
      </c>
      <c r="C751" s="79" t="str">
        <f>IFERROR(__xludf.DUMMYFUNCTION("""COMPUTED_VALUE"""),"David Zwirner - Books")</f>
        <v>David Zwirner - Books</v>
      </c>
      <c r="D751" s="79" t="str">
        <f>IFERROR(__xludf.DUMMYFUNCTION("""COMPUTED_VALUE"""),"Personal")</f>
        <v>Personal</v>
      </c>
      <c r="E751" s="108" t="str">
        <f t="shared" si="1"/>
        <v>Jul</v>
      </c>
      <c r="F751" s="79" t="str">
        <f>IFERROR(__xludf.DUMMYFUNCTION("""COMPUTED_VALUE"""),"Gil")</f>
        <v>Gil</v>
      </c>
    </row>
    <row r="752">
      <c r="A752" s="85">
        <f>IFERROR(__xludf.DUMMYFUNCTION("""COMPUTED_VALUE"""),45495.0)</f>
        <v>45495</v>
      </c>
      <c r="B752" s="111">
        <f>IFERROR(__xludf.DUMMYFUNCTION("""COMPUTED_VALUE"""),29.9)</f>
        <v>29.9</v>
      </c>
      <c r="C752" s="79" t="str">
        <f>IFERROR(__xludf.DUMMYFUNCTION("""COMPUTED_VALUE"""),"Muji")</f>
        <v>Muji</v>
      </c>
      <c r="D752" s="79" t="str">
        <f>IFERROR(__xludf.DUMMYFUNCTION("""COMPUTED_VALUE"""),"Clothing")</f>
        <v>Clothing</v>
      </c>
      <c r="E752" s="108" t="str">
        <f t="shared" si="1"/>
        <v>Jul</v>
      </c>
      <c r="F752" s="79" t="str">
        <f>IFERROR(__xludf.DUMMYFUNCTION("""COMPUTED_VALUE"""),"Gil")</f>
        <v>Gil</v>
      </c>
    </row>
    <row r="753">
      <c r="A753" s="85">
        <f>IFERROR(__xludf.DUMMYFUNCTION("""COMPUTED_VALUE"""),45535.0)</f>
        <v>45535</v>
      </c>
      <c r="B753" s="111">
        <f>IFERROR(__xludf.DUMMYFUNCTION("""COMPUTED_VALUE"""),-22.99)</f>
        <v>-22.99</v>
      </c>
      <c r="C753" s="79" t="str">
        <f>IFERROR(__xludf.DUMMYFUNCTION("""COMPUTED_VALUE"""),"TJ Maxx - refund")</f>
        <v>TJ Maxx - refund</v>
      </c>
      <c r="D753" s="79" t="str">
        <f>IFERROR(__xludf.DUMMYFUNCTION("""COMPUTED_VALUE"""),"Clothing")</f>
        <v>Clothing</v>
      </c>
      <c r="E753" s="108" t="str">
        <f t="shared" si="1"/>
        <v>Aug</v>
      </c>
      <c r="F753" s="79" t="str">
        <f>IFERROR(__xludf.DUMMYFUNCTION("""COMPUTED_VALUE"""),"Gil")</f>
        <v>Gil</v>
      </c>
    </row>
    <row r="754">
      <c r="A754" s="85">
        <f>IFERROR(__xludf.DUMMYFUNCTION("""COMPUTED_VALUE"""),45533.0)</f>
        <v>45533</v>
      </c>
      <c r="B754" s="111">
        <f>IFERROR(__xludf.DUMMYFUNCTION("""COMPUTED_VALUE"""),16.31)</f>
        <v>16.31</v>
      </c>
      <c r="C754" s="79" t="str">
        <f>IFERROR(__xludf.DUMMYFUNCTION("""COMPUTED_VALUE"""),"Kebab Express - Uber Eats")</f>
        <v>Kebab Express - Uber Eats</v>
      </c>
      <c r="D754" s="79" t="str">
        <f>IFERROR(__xludf.DUMMYFUNCTION("""COMPUTED_VALUE"""),"Work Meals")</f>
        <v>Work Meals</v>
      </c>
      <c r="E754" s="108" t="str">
        <f t="shared" si="1"/>
        <v>Aug</v>
      </c>
      <c r="F754" s="79" t="str">
        <f>IFERROR(__xludf.DUMMYFUNCTION("""COMPUTED_VALUE"""),"Gil")</f>
        <v>Gil</v>
      </c>
    </row>
    <row r="755">
      <c r="A755" s="85">
        <f>IFERROR(__xludf.DUMMYFUNCTION("""COMPUTED_VALUE"""),45559.0)</f>
        <v>45559</v>
      </c>
      <c r="B755" s="111">
        <f>IFERROR(__xludf.DUMMYFUNCTION("""COMPUTED_VALUE"""),20.03)</f>
        <v>20.03</v>
      </c>
      <c r="C755" s="79" t="str">
        <f>IFERROR(__xludf.DUMMYFUNCTION("""COMPUTED_VALUE"""),"Joju")</f>
        <v>Joju</v>
      </c>
      <c r="D755" s="79" t="str">
        <f>IFERROR(__xludf.DUMMYFUNCTION("""COMPUTED_VALUE"""),"Work Meals")</f>
        <v>Work Meals</v>
      </c>
      <c r="E755" s="108" t="str">
        <f t="shared" si="1"/>
        <v>Sep</v>
      </c>
      <c r="F755" s="79" t="str">
        <f>IFERROR(__xludf.DUMMYFUNCTION("""COMPUTED_VALUE"""),"Gil")</f>
        <v>Gil</v>
      </c>
    </row>
    <row r="756">
      <c r="A756" s="85">
        <f>IFERROR(__xludf.DUMMYFUNCTION("""COMPUTED_VALUE"""),45559.0)</f>
        <v>45559</v>
      </c>
      <c r="B756" s="111">
        <f>IFERROR(__xludf.DUMMYFUNCTION("""COMPUTED_VALUE"""),16.33)</f>
        <v>16.33</v>
      </c>
      <c r="C756" s="79" t="str">
        <f>IFERROR(__xludf.DUMMYFUNCTION("""COMPUTED_VALUE"""),"Inday Rockefeller Center")</f>
        <v>Inday Rockefeller Center</v>
      </c>
      <c r="D756" s="79" t="str">
        <f>IFERROR(__xludf.DUMMYFUNCTION("""COMPUTED_VALUE"""),"Work Meals")</f>
        <v>Work Meals</v>
      </c>
      <c r="E756" s="108" t="str">
        <f t="shared" si="1"/>
        <v>Sep</v>
      </c>
      <c r="F756" s="79" t="str">
        <f>IFERROR(__xludf.DUMMYFUNCTION("""COMPUTED_VALUE"""),"Gil")</f>
        <v>Gil</v>
      </c>
    </row>
    <row r="757">
      <c r="A757" s="85">
        <f>IFERROR(__xludf.DUMMYFUNCTION("""COMPUTED_VALUE"""),45560.0)</f>
        <v>45560</v>
      </c>
      <c r="B757" s="111">
        <f>IFERROR(__xludf.DUMMYFUNCTION("""COMPUTED_VALUE"""),11.69)</f>
        <v>11.69</v>
      </c>
      <c r="C757" s="79" t="str">
        <f>IFERROR(__xludf.DUMMYFUNCTION("""COMPUTED_VALUE"""),"Ole &amp; Steen")</f>
        <v>Ole &amp; Steen</v>
      </c>
      <c r="D757" s="79" t="str">
        <f>IFERROR(__xludf.DUMMYFUNCTION("""COMPUTED_VALUE"""),"Work Meals")</f>
        <v>Work Meals</v>
      </c>
      <c r="E757" s="108" t="str">
        <f t="shared" si="1"/>
        <v>Sep</v>
      </c>
      <c r="F757" s="79" t="str">
        <f>IFERROR(__xludf.DUMMYFUNCTION("""COMPUTED_VALUE"""),"Gil")</f>
        <v>Gil</v>
      </c>
    </row>
    <row r="758">
      <c r="A758" s="85">
        <f>IFERROR(__xludf.DUMMYFUNCTION("""COMPUTED_VALUE"""),45560.0)</f>
        <v>45560</v>
      </c>
      <c r="B758" s="111">
        <f>IFERROR(__xludf.DUMMYFUNCTION("""COMPUTED_VALUE"""),4.41)</f>
        <v>4.41</v>
      </c>
      <c r="C758" s="79" t="str">
        <f>IFERROR(__xludf.DUMMYFUNCTION("""COMPUTED_VALUE"""),"Westside Market")</f>
        <v>Westside Market</v>
      </c>
      <c r="D758" s="79" t="str">
        <f>IFERROR(__xludf.DUMMYFUNCTION("""COMPUTED_VALUE"""),"Groceries")</f>
        <v>Groceries</v>
      </c>
      <c r="E758" s="108" t="str">
        <f t="shared" si="1"/>
        <v>Sep</v>
      </c>
      <c r="F758" s="79" t="str">
        <f>IFERROR(__xludf.DUMMYFUNCTION("""COMPUTED_VALUE"""),"Gil")</f>
        <v>Gil</v>
      </c>
    </row>
    <row r="759">
      <c r="A759" s="85">
        <f>IFERROR(__xludf.DUMMYFUNCTION("""COMPUTED_VALUE"""),45560.0)</f>
        <v>45560</v>
      </c>
      <c r="B759" s="111">
        <f>IFERROR(__xludf.DUMMYFUNCTION("""COMPUTED_VALUE"""),49.9)</f>
        <v>49.9</v>
      </c>
      <c r="C759" s="79" t="str">
        <f>IFERROR(__xludf.DUMMYFUNCTION("""COMPUTED_VALUE"""),"Uniqlo")</f>
        <v>Uniqlo</v>
      </c>
      <c r="D759" s="79" t="str">
        <f>IFERROR(__xludf.DUMMYFUNCTION("""COMPUTED_VALUE"""),"Clothing")</f>
        <v>Clothing</v>
      </c>
      <c r="E759" s="108" t="str">
        <f t="shared" si="1"/>
        <v>Sep</v>
      </c>
      <c r="F759" s="79" t="str">
        <f>IFERROR(__xludf.DUMMYFUNCTION("""COMPUTED_VALUE"""),"Gil")</f>
        <v>Gil</v>
      </c>
    </row>
    <row r="760">
      <c r="A760" s="85">
        <f>IFERROR(__xludf.DUMMYFUNCTION("""COMPUTED_VALUE"""),45560.0)</f>
        <v>45560</v>
      </c>
      <c r="B760" s="111">
        <f>IFERROR(__xludf.DUMMYFUNCTION("""COMPUTED_VALUE"""),32.64)</f>
        <v>32.64</v>
      </c>
      <c r="C760" s="79" t="str">
        <f>IFERROR(__xludf.DUMMYFUNCTION("""COMPUTED_VALUE"""),"Adobe")</f>
        <v>Adobe</v>
      </c>
      <c r="D760" s="79" t="str">
        <f>IFERROR(__xludf.DUMMYFUNCTION("""COMPUTED_VALUE"""),"Subscriptions")</f>
        <v>Subscriptions</v>
      </c>
      <c r="E760" s="108" t="str">
        <f t="shared" si="1"/>
        <v>Sep</v>
      </c>
      <c r="F760" s="79" t="str">
        <f>IFERROR(__xludf.DUMMYFUNCTION("""COMPUTED_VALUE"""),"Gil")</f>
        <v>Gil</v>
      </c>
    </row>
    <row r="761">
      <c r="A761" s="85">
        <f>IFERROR(__xludf.DUMMYFUNCTION("""COMPUTED_VALUE"""),45558.0)</f>
        <v>45558</v>
      </c>
      <c r="B761" s="111">
        <f>IFERROR(__xludf.DUMMYFUNCTION("""COMPUTED_VALUE"""),299.92)</f>
        <v>299.92</v>
      </c>
      <c r="C761" s="79" t="str">
        <f>IFERROR(__xludf.DUMMYFUNCTION("""COMPUTED_VALUE"""),"Equinox")</f>
        <v>Equinox</v>
      </c>
      <c r="D761" s="79" t="str">
        <f>IFERROR(__xludf.DUMMYFUNCTION("""COMPUTED_VALUE"""),"Gym")</f>
        <v>Gym</v>
      </c>
      <c r="E761" s="108" t="str">
        <f t="shared" si="1"/>
        <v>Sep</v>
      </c>
      <c r="F761" s="79" t="str">
        <f>IFERROR(__xludf.DUMMYFUNCTION("""COMPUTED_VALUE"""),"Gil")</f>
        <v>Gil</v>
      </c>
    </row>
    <row r="762">
      <c r="A762" s="85">
        <f>IFERROR(__xludf.DUMMYFUNCTION("""COMPUTED_VALUE"""),45563.0)</f>
        <v>45563</v>
      </c>
      <c r="B762" s="111">
        <f>IFERROR(__xludf.DUMMYFUNCTION("""COMPUTED_VALUE"""),35.0)</f>
        <v>35</v>
      </c>
      <c r="C762" s="79" t="str">
        <f>IFERROR(__xludf.DUMMYFUNCTION("""COMPUTED_VALUE"""),"Fleurs")</f>
        <v>Fleurs</v>
      </c>
      <c r="D762" s="79" t="str">
        <f>IFERROR(__xludf.DUMMYFUNCTION("""COMPUTED_VALUE"""),"Gifts/Donations")</f>
        <v>Gifts/Donations</v>
      </c>
      <c r="E762" s="108" t="str">
        <f t="shared" si="1"/>
        <v>Sep</v>
      </c>
      <c r="F762" s="79" t="str">
        <f>IFERROR(__xludf.DUMMYFUNCTION("""COMPUTED_VALUE"""),"Gil")</f>
        <v>Gil</v>
      </c>
    </row>
    <row r="763">
      <c r="A763" s="85">
        <f>IFERROR(__xludf.DUMMYFUNCTION("""COMPUTED_VALUE"""),45509.0)</f>
        <v>45509</v>
      </c>
      <c r="B763" s="111">
        <f>IFERROR(__xludf.DUMMYFUNCTION("""COMPUTED_VALUE"""),143.66)</f>
        <v>143.66</v>
      </c>
      <c r="C763" s="79" t="str">
        <f>IFERROR(__xludf.DUMMYFUNCTION("""COMPUTED_VALUE"""),"cameras for canada")</f>
        <v>cameras for canada</v>
      </c>
      <c r="D763" s="79" t="str">
        <f>IFERROR(__xludf.DUMMYFUNCTION("""COMPUTED_VALUE"""),"Gifts/Donations")</f>
        <v>Gifts/Donations</v>
      </c>
      <c r="E763" s="108" t="str">
        <f t="shared" si="1"/>
        <v>Aug</v>
      </c>
      <c r="F763" s="79" t="str">
        <f>IFERROR(__xludf.DUMMYFUNCTION("""COMPUTED_VALUE"""),"Shaeffer")</f>
        <v>Shaeffer</v>
      </c>
    </row>
    <row r="764">
      <c r="A764" s="85">
        <f>IFERROR(__xludf.DUMMYFUNCTION("""COMPUTED_VALUE"""),45508.0)</f>
        <v>45508</v>
      </c>
      <c r="B764" s="111">
        <f>IFERROR(__xludf.DUMMYFUNCTION("""COMPUTED_VALUE"""),10.01)</f>
        <v>10.01</v>
      </c>
      <c r="C764" s="79" t="str">
        <f>IFERROR(__xludf.DUMMYFUNCTION("""COMPUTED_VALUE"""),"sticker for malic")</f>
        <v>sticker for malic</v>
      </c>
      <c r="D764" s="79" t="str">
        <f>IFERROR(__xludf.DUMMYFUNCTION("""COMPUTED_VALUE"""),"Gifts/Donations")</f>
        <v>Gifts/Donations</v>
      </c>
      <c r="E764" s="108" t="str">
        <f t="shared" si="1"/>
        <v>Aug</v>
      </c>
      <c r="F764" s="79" t="str">
        <f>IFERROR(__xludf.DUMMYFUNCTION("""COMPUTED_VALUE"""),"Shaeffer")</f>
        <v>Shaeffer</v>
      </c>
    </row>
    <row r="765">
      <c r="A765" s="85">
        <f>IFERROR(__xludf.DUMMYFUNCTION("""COMPUTED_VALUE"""),45545.0)</f>
        <v>45545</v>
      </c>
      <c r="B765" s="111">
        <f>IFERROR(__xludf.DUMMYFUNCTION("""COMPUTED_VALUE"""),24.99)</f>
        <v>24.99</v>
      </c>
      <c r="C765" s="79" t="str">
        <f>IFERROR(__xludf.DUMMYFUNCTION("""COMPUTED_VALUE"""),"manitoba mukluks")</f>
        <v>manitoba mukluks</v>
      </c>
      <c r="D765" s="79" t="str">
        <f>IFERROR(__xludf.DUMMYFUNCTION("""COMPUTED_VALUE"""),"Clothing")</f>
        <v>Clothing</v>
      </c>
      <c r="E765" s="108" t="str">
        <f t="shared" si="1"/>
        <v>Sep</v>
      </c>
      <c r="F765" s="79" t="str">
        <f>IFERROR(__xludf.DUMMYFUNCTION("""COMPUTED_VALUE"""),"Shaeffer")</f>
        <v>Shaeffer</v>
      </c>
    </row>
    <row r="766">
      <c r="A766" s="85">
        <f>IFERROR(__xludf.DUMMYFUNCTION("""COMPUTED_VALUE"""),45548.0)</f>
        <v>45548</v>
      </c>
      <c r="B766" s="111">
        <f>IFERROR(__xludf.DUMMYFUNCTION("""COMPUTED_VALUE"""),7.9)</f>
        <v>7.9</v>
      </c>
      <c r="C766" s="79" t="str">
        <f>IFERROR(__xludf.DUMMYFUNCTION("""COMPUTED_VALUE"""),"work snacks")</f>
        <v>work snacks</v>
      </c>
      <c r="D766" s="79" t="str">
        <f>IFERROR(__xludf.DUMMYFUNCTION("""COMPUTED_VALUE"""),"Work Meals")</f>
        <v>Work Meals</v>
      </c>
      <c r="E766" s="108" t="str">
        <f t="shared" si="1"/>
        <v>Sep</v>
      </c>
      <c r="F766" s="79" t="str">
        <f>IFERROR(__xludf.DUMMYFUNCTION("""COMPUTED_VALUE"""),"Shaeffer")</f>
        <v>Shaeffer</v>
      </c>
    </row>
    <row r="767">
      <c r="A767" s="85">
        <f>IFERROR(__xludf.DUMMYFUNCTION("""COMPUTED_VALUE"""),45550.0)</f>
        <v>45550</v>
      </c>
      <c r="B767" s="111">
        <f>IFERROR(__xludf.DUMMYFUNCTION("""COMPUTED_VALUE"""),2.9)</f>
        <v>2.9</v>
      </c>
      <c r="C767" s="79" t="str">
        <f>IFERROR(__xludf.DUMMYFUNCTION("""COMPUTED_VALUE"""),"metro")</f>
        <v>metro</v>
      </c>
      <c r="D767" s="79" t="str">
        <f>IFERROR(__xludf.DUMMYFUNCTION("""COMPUTED_VALUE"""),"Transportation")</f>
        <v>Transportation</v>
      </c>
      <c r="E767" s="108" t="str">
        <f t="shared" si="1"/>
        <v>Sep</v>
      </c>
      <c r="F767" s="79" t="str">
        <f>IFERROR(__xludf.DUMMYFUNCTION("""COMPUTED_VALUE"""),"Shaeffer")</f>
        <v>Shaeffer</v>
      </c>
    </row>
    <row r="768">
      <c r="A768" s="85">
        <f>IFERROR(__xludf.DUMMYFUNCTION("""COMPUTED_VALUE"""),45559.0)</f>
        <v>45559</v>
      </c>
      <c r="B768" s="111">
        <f>IFERROR(__xludf.DUMMYFUNCTION("""COMPUTED_VALUE"""),21.04)</f>
        <v>21.04</v>
      </c>
      <c r="C768" s="79" t="str">
        <f>IFERROR(__xludf.DUMMYFUNCTION("""COMPUTED_VALUE"""),"lenwhich")</f>
        <v>lenwhich</v>
      </c>
      <c r="D768" s="79" t="str">
        <f>IFERROR(__xludf.DUMMYFUNCTION("""COMPUTED_VALUE"""),"Work Meals")</f>
        <v>Work Meals</v>
      </c>
      <c r="E768" s="108" t="str">
        <f t="shared" si="1"/>
        <v>Sep</v>
      </c>
      <c r="F768" s="79" t="str">
        <f>IFERROR(__xludf.DUMMYFUNCTION("""COMPUTED_VALUE"""),"Shaeffer")</f>
        <v>Shaeffer</v>
      </c>
    </row>
    <row r="769">
      <c r="A769" s="85">
        <f>IFERROR(__xludf.DUMMYFUNCTION("""COMPUTED_VALUE"""),45559.0)</f>
        <v>45559</v>
      </c>
      <c r="B769" s="111">
        <f>IFERROR(__xludf.DUMMYFUNCTION("""COMPUTED_VALUE"""),11.41)</f>
        <v>11.41</v>
      </c>
      <c r="C769" s="79" t="str">
        <f>IFERROR(__xludf.DUMMYFUNCTION("""COMPUTED_VALUE"""),"Chambers st wine")</f>
        <v>Chambers st wine</v>
      </c>
      <c r="D769" s="79" t="str">
        <f>IFERROR(__xludf.DUMMYFUNCTION("""COMPUTED_VALUE"""),"Alcohol/Weed")</f>
        <v>Alcohol/Weed</v>
      </c>
      <c r="E769" s="108" t="str">
        <f t="shared" si="1"/>
        <v>Sep</v>
      </c>
      <c r="F769" s="79" t="str">
        <f>IFERROR(__xludf.DUMMYFUNCTION("""COMPUTED_VALUE"""),"Shaeffer")</f>
        <v>Shaeffer</v>
      </c>
    </row>
    <row r="770">
      <c r="A770" s="85">
        <f>IFERROR(__xludf.DUMMYFUNCTION("""COMPUTED_VALUE"""),45550.0)</f>
        <v>45550</v>
      </c>
      <c r="B770" s="111">
        <f>IFERROR(__xludf.DUMMYFUNCTION("""COMPUTED_VALUE"""),82.23)</f>
        <v>82.23</v>
      </c>
      <c r="C770" s="79" t="str">
        <f>IFERROR(__xludf.DUMMYFUNCTION("""COMPUTED_VALUE"""),"GANXXET")</f>
        <v>GANXXET</v>
      </c>
      <c r="D770" s="79" t="str">
        <f>IFERROR(__xludf.DUMMYFUNCTION("""COMPUTED_VALUE"""),"Studio")</f>
        <v>Studio</v>
      </c>
      <c r="E770" s="108" t="str">
        <f t="shared" si="1"/>
        <v>Sep</v>
      </c>
      <c r="F770" s="79" t="str">
        <f>IFERROR(__xludf.DUMMYFUNCTION("""COMPUTED_VALUE"""),"Shaeffer")</f>
        <v>Shaeffer</v>
      </c>
    </row>
    <row r="771">
      <c r="A771" s="85">
        <f>IFERROR(__xludf.DUMMYFUNCTION("""COMPUTED_VALUE"""),45563.0)</f>
        <v>45563</v>
      </c>
      <c r="B771" s="111">
        <f>IFERROR(__xludf.DUMMYFUNCTION("""COMPUTED_VALUE"""),42.81)</f>
        <v>42.81</v>
      </c>
      <c r="C771" s="79" t="str">
        <f>IFERROR(__xludf.DUMMYFUNCTION("""COMPUTED_VALUE"""),"flowers for BOS")</f>
        <v>flowers for BOS</v>
      </c>
      <c r="D771" s="79" t="str">
        <f>IFERROR(__xludf.DUMMYFUNCTION("""COMPUTED_VALUE"""),"Studio")</f>
        <v>Studio</v>
      </c>
      <c r="E771" s="108" t="str">
        <f t="shared" si="1"/>
        <v>Sep</v>
      </c>
      <c r="F771" s="79" t="str">
        <f>IFERROR(__xludf.DUMMYFUNCTION("""COMPUTED_VALUE"""),"Shaeffer")</f>
        <v>Shaeffer</v>
      </c>
    </row>
    <row r="772">
      <c r="A772" s="85">
        <f>IFERROR(__xludf.DUMMYFUNCTION("""COMPUTED_VALUE"""),45550.0)</f>
        <v>45550</v>
      </c>
      <c r="B772" s="111">
        <f>IFERROR(__xludf.DUMMYFUNCTION("""COMPUTED_VALUE"""),190.54)</f>
        <v>190.54</v>
      </c>
      <c r="C772" s="79" t="str">
        <f>IFERROR(__xludf.DUMMYFUNCTION("""COMPUTED_VALUE"""),"Maude")</f>
        <v>Maude</v>
      </c>
      <c r="D772" s="79" t="str">
        <f>IFERROR(__xludf.DUMMYFUNCTION("""COMPUTED_VALUE"""),"Personal")</f>
        <v>Personal</v>
      </c>
      <c r="E772" s="108" t="str">
        <f t="shared" si="1"/>
        <v>Sep</v>
      </c>
      <c r="F772" s="79" t="str">
        <f>IFERROR(__xludf.DUMMYFUNCTION("""COMPUTED_VALUE"""),"Shaeffer")</f>
        <v>Shaeffer</v>
      </c>
    </row>
    <row r="773">
      <c r="A773" s="85">
        <f>IFERROR(__xludf.DUMMYFUNCTION("""COMPUTED_VALUE"""),45191.0)</f>
        <v>45191</v>
      </c>
      <c r="B773" s="111">
        <f>IFERROR(__xludf.DUMMYFUNCTION("""COMPUTED_VALUE"""),40.52)</f>
        <v>40.52</v>
      </c>
      <c r="C773" s="79" t="str">
        <f>IFERROR(__xludf.DUMMYFUNCTION("""COMPUTED_VALUE"""),"Bunna Cafe")</f>
        <v>Bunna Cafe</v>
      </c>
      <c r="D773" s="79" t="str">
        <f>IFERROR(__xludf.DUMMYFUNCTION("""COMPUTED_VALUE"""),"Meals")</f>
        <v>Meals</v>
      </c>
      <c r="E773" s="108" t="str">
        <f t="shared" si="1"/>
        <v>Sep</v>
      </c>
      <c r="F773" s="79" t="str">
        <f>IFERROR(__xludf.DUMMYFUNCTION("""COMPUTED_VALUE"""),"Shaeffer")</f>
        <v>Shaeffer</v>
      </c>
    </row>
    <row r="774">
      <c r="A774" s="85">
        <f>IFERROR(__xludf.DUMMYFUNCTION("""COMPUTED_VALUE"""),45563.0)</f>
        <v>45563</v>
      </c>
      <c r="B774" s="111">
        <f>IFERROR(__xludf.DUMMYFUNCTION("""COMPUTED_VALUE"""),100.0)</f>
        <v>100</v>
      </c>
      <c r="C774" s="79" t="str">
        <f>IFERROR(__xludf.DUMMYFUNCTION("""COMPUTED_VALUE"""),"Cash for Zev - venmo Amelia")</f>
        <v>Cash for Zev - venmo Amelia</v>
      </c>
      <c r="D774" s="79" t="str">
        <f>IFERROR(__xludf.DUMMYFUNCTION("""COMPUTED_VALUE"""),"Alcohol/Weed")</f>
        <v>Alcohol/Weed</v>
      </c>
      <c r="E774" s="108" t="str">
        <f t="shared" si="1"/>
        <v>Sep</v>
      </c>
      <c r="F774" s="79" t="str">
        <f>IFERROR(__xludf.DUMMYFUNCTION("""COMPUTED_VALUE"""),"Shaeffer")</f>
        <v>Shaeffer</v>
      </c>
    </row>
    <row r="775">
      <c r="A775" s="85">
        <f>IFERROR(__xludf.DUMMYFUNCTION("""COMPUTED_VALUE"""),45549.0)</f>
        <v>45549</v>
      </c>
      <c r="B775" s="111">
        <f>IFERROR(__xludf.DUMMYFUNCTION("""COMPUTED_VALUE"""),45.07)</f>
        <v>45.07</v>
      </c>
      <c r="C775" s="79" t="str">
        <f>IFERROR(__xludf.DUMMYFUNCTION("""COMPUTED_VALUE"""),"Etsy - dugout")</f>
        <v>Etsy - dugout</v>
      </c>
      <c r="D775" s="79" t="str">
        <f>IFERROR(__xludf.DUMMYFUNCTION("""COMPUTED_VALUE"""),"Personal")</f>
        <v>Personal</v>
      </c>
      <c r="E775" s="108" t="str">
        <f t="shared" si="1"/>
        <v>Sep</v>
      </c>
      <c r="F775" s="79" t="str">
        <f>IFERROR(__xludf.DUMMYFUNCTION("""COMPUTED_VALUE"""),"Shaeffer")</f>
        <v>Shaeffer</v>
      </c>
    </row>
    <row r="776">
      <c r="A776" s="85">
        <f>IFERROR(__xludf.DUMMYFUNCTION("""COMPUTED_VALUE"""),45550.0)</f>
        <v>45550</v>
      </c>
      <c r="B776" s="111">
        <f>IFERROR(__xludf.DUMMYFUNCTION("""COMPUTED_VALUE"""),15.0)</f>
        <v>15</v>
      </c>
      <c r="C776" s="79" t="str">
        <f>IFERROR(__xludf.DUMMYFUNCTION("""COMPUTED_VALUE"""),"ymca")</f>
        <v>ymca</v>
      </c>
      <c r="D776" s="79" t="str">
        <f>IFERROR(__xludf.DUMMYFUNCTION("""COMPUTED_VALUE"""),"Gym")</f>
        <v>Gym</v>
      </c>
      <c r="E776" s="108" t="str">
        <f t="shared" si="1"/>
        <v>Sep</v>
      </c>
      <c r="F776" s="79" t="str">
        <f>IFERROR(__xludf.DUMMYFUNCTION("""COMPUTED_VALUE"""),"Shaeffer")</f>
        <v>Shaeffer</v>
      </c>
    </row>
    <row r="777">
      <c r="A777" s="85">
        <f>IFERROR(__xludf.DUMMYFUNCTION("""COMPUTED_VALUE"""),45550.0)</f>
        <v>45550</v>
      </c>
      <c r="B777" s="111">
        <f>IFERROR(__xludf.DUMMYFUNCTION("""COMPUTED_VALUE"""),83.9)</f>
        <v>83.9</v>
      </c>
      <c r="C777" s="79" t="str">
        <f>IFERROR(__xludf.DUMMYFUNCTION("""COMPUTED_VALUE"""),"mothers take out")</f>
        <v>mothers take out</v>
      </c>
      <c r="D777" s="79" t="str">
        <f>IFERROR(__xludf.DUMMYFUNCTION("""COMPUTED_VALUE"""),"Work Meals")</f>
        <v>Work Meals</v>
      </c>
      <c r="E777" s="108" t="str">
        <f t="shared" si="1"/>
        <v>Sep</v>
      </c>
      <c r="F777" s="79" t="str">
        <f>IFERROR(__xludf.DUMMYFUNCTION("""COMPUTED_VALUE"""),"Shaeffer")</f>
        <v>Shaeffer</v>
      </c>
    </row>
    <row r="778">
      <c r="A778" s="85">
        <f>IFERROR(__xludf.DUMMYFUNCTION("""COMPUTED_VALUE"""),45554.0)</f>
        <v>45554</v>
      </c>
      <c r="B778" s="111">
        <f>IFERROR(__xludf.DUMMYFUNCTION("""COMPUTED_VALUE"""),5.63)</f>
        <v>5.63</v>
      </c>
      <c r="C778" s="79" t="str">
        <f>IFERROR(__xludf.DUMMYFUNCTION("""COMPUTED_VALUE"""),"birch")</f>
        <v>birch</v>
      </c>
      <c r="D778" s="79" t="str">
        <f>IFERROR(__xludf.DUMMYFUNCTION("""COMPUTED_VALUE"""),"Groceries")</f>
        <v>Groceries</v>
      </c>
      <c r="E778" s="108" t="str">
        <f t="shared" si="1"/>
        <v>Sep</v>
      </c>
      <c r="F778" s="79" t="str">
        <f>IFERROR(__xludf.DUMMYFUNCTION("""COMPUTED_VALUE"""),"Shaeffer")</f>
        <v>Shaeffer</v>
      </c>
    </row>
    <row r="779">
      <c r="A779" s="85">
        <f>IFERROR(__xludf.DUMMYFUNCTION("""COMPUTED_VALUE"""),45554.0)</f>
        <v>45554</v>
      </c>
      <c r="B779" s="111">
        <f>IFERROR(__xludf.DUMMYFUNCTION("""COMPUTED_VALUE"""),157.65)</f>
        <v>157.65</v>
      </c>
      <c r="C779" s="79" t="str">
        <f>IFERROR(__xludf.DUMMYFUNCTION("""COMPUTED_VALUE"""),"korres")</f>
        <v>korres</v>
      </c>
      <c r="D779" s="79" t="str">
        <f>IFERROR(__xludf.DUMMYFUNCTION("""COMPUTED_VALUE"""),"Personal")</f>
        <v>Personal</v>
      </c>
      <c r="E779" s="108" t="str">
        <f t="shared" si="1"/>
        <v>Sep</v>
      </c>
      <c r="F779" s="79" t="str">
        <f>IFERROR(__xludf.DUMMYFUNCTION("""COMPUTED_VALUE"""),"Shaeffer")</f>
        <v>Shaeffer</v>
      </c>
    </row>
    <row r="780">
      <c r="A780" s="85">
        <f>IFERROR(__xludf.DUMMYFUNCTION("""COMPUTED_VALUE"""),45555.0)</f>
        <v>45555</v>
      </c>
      <c r="B780" s="111">
        <f>IFERROR(__xludf.DUMMYFUNCTION("""COMPUTED_VALUE"""),21.59)</f>
        <v>21.59</v>
      </c>
      <c r="C780" s="79" t="str">
        <f>IFERROR(__xludf.DUMMYFUNCTION("""COMPUTED_VALUE"""),"WF - GF beer")</f>
        <v>WF - GF beer</v>
      </c>
      <c r="D780" s="79" t="str">
        <f>IFERROR(__xludf.DUMMYFUNCTION("""COMPUTED_VALUE"""),"Groceries")</f>
        <v>Groceries</v>
      </c>
      <c r="E780" s="108" t="str">
        <f t="shared" si="1"/>
        <v>Sep</v>
      </c>
      <c r="F780" s="79" t="str">
        <f>IFERROR(__xludf.DUMMYFUNCTION("""COMPUTED_VALUE"""),"Shaeffer")</f>
        <v>Shaeffer</v>
      </c>
    </row>
    <row r="781">
      <c r="A781" s="85">
        <f>IFERROR(__xludf.DUMMYFUNCTION("""COMPUTED_VALUE"""),45555.0)</f>
        <v>45555</v>
      </c>
      <c r="B781" s="111">
        <f>IFERROR(__xludf.DUMMYFUNCTION("""COMPUTED_VALUE"""),83.65)</f>
        <v>83.65</v>
      </c>
      <c r="C781" s="79" t="str">
        <f>IFERROR(__xludf.DUMMYFUNCTION("""COMPUTED_VALUE"""),"Pure OVer")</f>
        <v>Pure OVer</v>
      </c>
      <c r="D781" s="79" t="str">
        <f>IFERROR(__xludf.DUMMYFUNCTION("""COMPUTED_VALUE"""),"Studio")</f>
        <v>Studio</v>
      </c>
      <c r="E781" s="108" t="str">
        <f t="shared" si="1"/>
        <v>Sep</v>
      </c>
      <c r="F781" s="79" t="str">
        <f>IFERROR(__xludf.DUMMYFUNCTION("""COMPUTED_VALUE"""),"Shaeffer")</f>
        <v>Shaeffer</v>
      </c>
    </row>
    <row r="782">
      <c r="A782" s="85">
        <f>IFERROR(__xludf.DUMMYFUNCTION("""COMPUTED_VALUE"""),45556.0)</f>
        <v>45556</v>
      </c>
      <c r="B782" s="111">
        <f>IFERROR(__xludf.DUMMYFUNCTION("""COMPUTED_VALUE"""),5.36)</f>
        <v>5.36</v>
      </c>
      <c r="C782" s="79" t="str">
        <f>IFERROR(__xludf.DUMMYFUNCTION("""COMPUTED_VALUE"""),"headrest coffee")</f>
        <v>headrest coffee</v>
      </c>
      <c r="D782" s="79" t="str">
        <f>IFERROR(__xludf.DUMMYFUNCTION("""COMPUTED_VALUE"""),"Meals")</f>
        <v>Meals</v>
      </c>
      <c r="E782" s="108" t="str">
        <f t="shared" si="1"/>
        <v>Sep</v>
      </c>
      <c r="F782" s="79" t="str">
        <f>IFERROR(__xludf.DUMMYFUNCTION("""COMPUTED_VALUE"""),"Shaeffer")</f>
        <v>Shaeffer</v>
      </c>
    </row>
    <row r="783">
      <c r="A783" s="85">
        <f>IFERROR(__xludf.DUMMYFUNCTION("""COMPUTED_VALUE"""),45565.0)</f>
        <v>45565</v>
      </c>
      <c r="B783" s="111">
        <f>IFERROR(__xludf.DUMMYFUNCTION("""COMPUTED_VALUE"""),77.52)</f>
        <v>77.52</v>
      </c>
      <c r="C783" s="79" t="str">
        <f>IFERROR(__xludf.DUMMYFUNCTION("""COMPUTED_VALUE"""),"lyft")</f>
        <v>lyft</v>
      </c>
      <c r="D783" s="79" t="str">
        <f>IFERROR(__xludf.DUMMYFUNCTION("""COMPUTED_VALUE"""),"Transportation")</f>
        <v>Transportation</v>
      </c>
      <c r="E783" s="108" t="str">
        <f t="shared" si="1"/>
        <v>Sep</v>
      </c>
      <c r="F783" s="79" t="str">
        <f>IFERROR(__xludf.DUMMYFUNCTION("""COMPUTED_VALUE"""),"Shaeffer")</f>
        <v>Shaeffer</v>
      </c>
    </row>
    <row r="784">
      <c r="A784" s="85">
        <f>IFERROR(__xludf.DUMMYFUNCTION("""COMPUTED_VALUE"""),45567.0)</f>
        <v>45567</v>
      </c>
      <c r="B784" s="111">
        <f>IFERROR(__xludf.DUMMYFUNCTION("""COMPUTED_VALUE"""),216.41)</f>
        <v>216.41</v>
      </c>
      <c r="C784" s="79" t="str">
        <f>IFERROR(__xludf.DUMMYFUNCTION("""COMPUTED_VALUE"""),"Lyft Pink ")</f>
        <v>Lyft Pink </v>
      </c>
      <c r="D784" s="79" t="str">
        <f>IFERROR(__xludf.DUMMYFUNCTION("""COMPUTED_VALUE"""),"Transportation")</f>
        <v>Transportation</v>
      </c>
      <c r="E784" s="108" t="str">
        <f t="shared" si="1"/>
        <v>Oct</v>
      </c>
      <c r="F784" s="79" t="str">
        <f>IFERROR(__xludf.DUMMYFUNCTION("""COMPUTED_VALUE"""),"Gil")</f>
        <v>Gil</v>
      </c>
    </row>
    <row r="785">
      <c r="A785" s="85">
        <f>IFERROR(__xludf.DUMMYFUNCTION("""COMPUTED_VALUE"""),45572.0)</f>
        <v>45572</v>
      </c>
      <c r="B785" s="111">
        <f>IFERROR(__xludf.DUMMYFUNCTION("""COMPUTED_VALUE"""),96.68)</f>
        <v>96.68</v>
      </c>
      <c r="C785" s="79" t="str">
        <f>IFERROR(__xludf.DUMMYFUNCTION("""COMPUTED_VALUE"""),"Ulta Beauty")</f>
        <v>Ulta Beauty</v>
      </c>
      <c r="D785" s="79" t="str">
        <f>IFERROR(__xludf.DUMMYFUNCTION("""COMPUTED_VALUE"""),"Personal")</f>
        <v>Personal</v>
      </c>
      <c r="E785" s="108" t="str">
        <f t="shared" si="1"/>
        <v>Oct</v>
      </c>
      <c r="F785" s="79" t="str">
        <f>IFERROR(__xludf.DUMMYFUNCTION("""COMPUTED_VALUE"""),"Gil")</f>
        <v>Gil</v>
      </c>
    </row>
    <row r="786">
      <c r="A786" s="85">
        <f>IFERROR(__xludf.DUMMYFUNCTION("""COMPUTED_VALUE"""),45572.0)</f>
        <v>45572</v>
      </c>
      <c r="B786" s="111">
        <f>IFERROR(__xludf.DUMMYFUNCTION("""COMPUTED_VALUE"""),11.39)</f>
        <v>11.39</v>
      </c>
      <c r="C786" s="79" t="str">
        <f>IFERROR(__xludf.DUMMYFUNCTION("""COMPUTED_VALUE"""),"DIG - Seamless")</f>
        <v>DIG - Seamless</v>
      </c>
      <c r="D786" s="79" t="str">
        <f>IFERROR(__xludf.DUMMYFUNCTION("""COMPUTED_VALUE"""),"Work Meals")</f>
        <v>Work Meals</v>
      </c>
      <c r="E786" s="108" t="str">
        <f t="shared" si="1"/>
        <v>Oct</v>
      </c>
      <c r="F786" s="79" t="str">
        <f>IFERROR(__xludf.DUMMYFUNCTION("""COMPUTED_VALUE"""),"Gil")</f>
        <v>Gil</v>
      </c>
    </row>
    <row r="787">
      <c r="A787" s="85">
        <f>IFERROR(__xludf.DUMMYFUNCTION("""COMPUTED_VALUE"""),45572.0)</f>
        <v>45572</v>
      </c>
      <c r="B787" s="111">
        <f>IFERROR(__xludf.DUMMYFUNCTION("""COMPUTED_VALUE"""),6.17)</f>
        <v>6.17</v>
      </c>
      <c r="C787" s="79" t="str">
        <f>IFERROR(__xludf.DUMMYFUNCTION("""COMPUTED_VALUE"""),"Birch Coffee")</f>
        <v>Birch Coffee</v>
      </c>
      <c r="D787" s="79" t="str">
        <f>IFERROR(__xludf.DUMMYFUNCTION("""COMPUTED_VALUE"""),"Work Meals")</f>
        <v>Work Meals</v>
      </c>
      <c r="E787" s="108" t="str">
        <f t="shared" si="1"/>
        <v>Oct</v>
      </c>
      <c r="F787" s="79" t="str">
        <f>IFERROR(__xludf.DUMMYFUNCTION("""COMPUTED_VALUE"""),"Gil")</f>
        <v>Gil</v>
      </c>
    </row>
    <row r="788">
      <c r="A788" s="85">
        <f>IFERROR(__xludf.DUMMYFUNCTION("""COMPUTED_VALUE"""),45573.0)</f>
        <v>45573</v>
      </c>
      <c r="B788" s="111">
        <f>IFERROR(__xludf.DUMMYFUNCTION("""COMPUTED_VALUE"""),30.0)</f>
        <v>30</v>
      </c>
      <c r="C788" s="79" t="str">
        <f>IFERROR(__xludf.DUMMYFUNCTION("""COMPUTED_VALUE"""),"Restring lapis bracelet")</f>
        <v>Restring lapis bracelet</v>
      </c>
      <c r="D788" s="79" t="str">
        <f>IFERROR(__xludf.DUMMYFUNCTION("""COMPUTED_VALUE"""),"Personal")</f>
        <v>Personal</v>
      </c>
      <c r="E788" s="108" t="str">
        <f t="shared" si="1"/>
        <v>Oct</v>
      </c>
      <c r="F788" s="79" t="str">
        <f>IFERROR(__xludf.DUMMYFUNCTION("""COMPUTED_VALUE"""),"Shaeffer")</f>
        <v>Shaeffer</v>
      </c>
    </row>
    <row r="789">
      <c r="A789" s="85">
        <f>IFERROR(__xludf.DUMMYFUNCTION("""COMPUTED_VALUE"""),45572.0)</f>
        <v>45572</v>
      </c>
      <c r="B789" s="111">
        <f>IFERROR(__xludf.DUMMYFUNCTION("""COMPUTED_VALUE"""),60.0)</f>
        <v>60</v>
      </c>
      <c r="C789" s="79" t="str">
        <f>IFERROR(__xludf.DUMMYFUNCTION("""COMPUTED_VALUE"""),"Ash bd")</f>
        <v>Ash bd</v>
      </c>
      <c r="D789" s="79" t="str">
        <f>IFERROR(__xludf.DUMMYFUNCTION("""COMPUTED_VALUE"""),"Meals")</f>
        <v>Meals</v>
      </c>
      <c r="E789" s="108" t="str">
        <f t="shared" si="1"/>
        <v>Oct</v>
      </c>
      <c r="F789" s="79" t="str">
        <f>IFERROR(__xludf.DUMMYFUNCTION("""COMPUTED_VALUE"""),"Shaeffer")</f>
        <v>Shaeffer</v>
      </c>
    </row>
    <row r="790">
      <c r="A790" s="85">
        <f>IFERROR(__xludf.DUMMYFUNCTION("""COMPUTED_VALUE"""),45574.0)</f>
        <v>45574</v>
      </c>
      <c r="B790" s="111">
        <f>IFERROR(__xludf.DUMMYFUNCTION("""COMPUTED_VALUE"""),5.0)</f>
        <v>5</v>
      </c>
      <c r="C790" s="79" t="str">
        <f>IFERROR(__xludf.DUMMYFUNCTION("""COMPUTED_VALUE"""),"King of Falafel")</f>
        <v>King of Falafel</v>
      </c>
      <c r="D790" s="79" t="str">
        <f>IFERROR(__xludf.DUMMYFUNCTION("""COMPUTED_VALUE"""),"Work Meals")</f>
        <v>Work Meals</v>
      </c>
      <c r="E790" s="108" t="str">
        <f t="shared" si="1"/>
        <v>Oct</v>
      </c>
      <c r="F790" s="79" t="str">
        <f>IFERROR(__xludf.DUMMYFUNCTION("""COMPUTED_VALUE"""),"Gil")</f>
        <v>Gil</v>
      </c>
    </row>
    <row r="791">
      <c r="A791" s="85">
        <f>IFERROR(__xludf.DUMMYFUNCTION("""COMPUTED_VALUE"""),45575.0)</f>
        <v>45575</v>
      </c>
      <c r="B791" s="111">
        <f>IFERROR(__xludf.DUMMYFUNCTION("""COMPUTED_VALUE"""),7.82)</f>
        <v>7.82</v>
      </c>
      <c r="C791" s="79" t="str">
        <f>IFERROR(__xludf.DUMMYFUNCTION("""COMPUTED_VALUE"""),"Taco Bell")</f>
        <v>Taco Bell</v>
      </c>
      <c r="D791" s="79" t="str">
        <f>IFERROR(__xludf.DUMMYFUNCTION("""COMPUTED_VALUE"""),"Work Meals")</f>
        <v>Work Meals</v>
      </c>
      <c r="E791" s="108" t="str">
        <f t="shared" si="1"/>
        <v>Oct</v>
      </c>
      <c r="F791" s="79" t="str">
        <f>IFERROR(__xludf.DUMMYFUNCTION("""COMPUTED_VALUE"""),"Gil")</f>
        <v>Gil</v>
      </c>
    </row>
    <row r="792">
      <c r="A792" s="85">
        <f>IFERROR(__xludf.DUMMYFUNCTION("""COMPUTED_VALUE"""),45576.0)</f>
        <v>45576</v>
      </c>
      <c r="B792" s="111">
        <f>IFERROR(__xludf.DUMMYFUNCTION("""COMPUTED_VALUE"""),16.53)</f>
        <v>16.53</v>
      </c>
      <c r="C792" s="79" t="str">
        <f>IFERROR(__xludf.DUMMYFUNCTION("""COMPUTED_VALUE"""),"Springbone")</f>
        <v>Springbone</v>
      </c>
      <c r="D792" s="79" t="str">
        <f>IFERROR(__xludf.DUMMYFUNCTION("""COMPUTED_VALUE"""),"Work Meals")</f>
        <v>Work Meals</v>
      </c>
      <c r="E792" s="108" t="str">
        <f t="shared" si="1"/>
        <v>Oct</v>
      </c>
      <c r="F792" s="79" t="str">
        <f>IFERROR(__xludf.DUMMYFUNCTION("""COMPUTED_VALUE"""),"Gil")</f>
        <v>Gil</v>
      </c>
    </row>
    <row r="793">
      <c r="A793" s="85">
        <f>IFERROR(__xludf.DUMMYFUNCTION("""COMPUTED_VALUE"""),45576.0)</f>
        <v>45576</v>
      </c>
      <c r="B793" s="111">
        <f>IFERROR(__xludf.DUMMYFUNCTION("""COMPUTED_VALUE"""),4.41)</f>
        <v>4.41</v>
      </c>
      <c r="C793" s="79" t="str">
        <f>IFERROR(__xludf.DUMMYFUNCTION("""COMPUTED_VALUE"""),"Westside Market")</f>
        <v>Westside Market</v>
      </c>
      <c r="D793" s="79" t="str">
        <f>IFERROR(__xludf.DUMMYFUNCTION("""COMPUTED_VALUE"""),"Work Meals")</f>
        <v>Work Meals</v>
      </c>
      <c r="E793" s="108" t="str">
        <f t="shared" si="1"/>
        <v>Oct</v>
      </c>
      <c r="F793" s="79" t="str">
        <f>IFERROR(__xludf.DUMMYFUNCTION("""COMPUTED_VALUE"""),"Gil")</f>
        <v>Gil</v>
      </c>
    </row>
    <row r="794">
      <c r="A794" s="85">
        <f>IFERROR(__xludf.DUMMYFUNCTION("""COMPUTED_VALUE"""),45576.0)</f>
        <v>45576</v>
      </c>
      <c r="B794" s="111">
        <f>IFERROR(__xludf.DUMMYFUNCTION("""COMPUTED_VALUE"""),35.93)</f>
        <v>35.93</v>
      </c>
      <c r="C794" s="79" t="str">
        <f>IFERROR(__xludf.DUMMYFUNCTION("""COMPUTED_VALUE"""),"Ulta Beauty")</f>
        <v>Ulta Beauty</v>
      </c>
      <c r="D794" s="79" t="str">
        <f>IFERROR(__xludf.DUMMYFUNCTION("""COMPUTED_VALUE"""),"Personal")</f>
        <v>Personal</v>
      </c>
      <c r="E794" s="108" t="str">
        <f t="shared" si="1"/>
        <v>Oct</v>
      </c>
      <c r="F794" s="79" t="str">
        <f>IFERROR(__xludf.DUMMYFUNCTION("""COMPUTED_VALUE"""),"Gil")</f>
        <v>Gil</v>
      </c>
    </row>
    <row r="795">
      <c r="A795" s="85">
        <f>IFERROR(__xludf.DUMMYFUNCTION("""COMPUTED_VALUE"""),45576.0)</f>
        <v>45576</v>
      </c>
      <c r="B795" s="111">
        <f>IFERROR(__xludf.DUMMYFUNCTION("""COMPUTED_VALUE"""),9.82)</f>
        <v>9.82</v>
      </c>
      <c r="C795" s="79" t="str">
        <f>IFERROR(__xludf.DUMMYFUNCTION("""COMPUTED_VALUE"""),"Glâce - Rockefeller Center")</f>
        <v>Glâce - Rockefeller Center</v>
      </c>
      <c r="D795" s="79" t="str">
        <f>IFERROR(__xludf.DUMMYFUNCTION("""COMPUTED_VALUE"""),"Meals")</f>
        <v>Meals</v>
      </c>
      <c r="E795" s="108" t="str">
        <f t="shared" si="1"/>
        <v>Oct</v>
      </c>
      <c r="F795" s="79" t="str">
        <f>IFERROR(__xludf.DUMMYFUNCTION("""COMPUTED_VALUE"""),"Gil")</f>
        <v>Gil</v>
      </c>
    </row>
    <row r="796">
      <c r="A796" s="85">
        <f>IFERROR(__xludf.DUMMYFUNCTION("""COMPUTED_VALUE"""),45576.0)</f>
        <v>45576</v>
      </c>
      <c r="B796" s="111">
        <f>IFERROR(__xludf.DUMMYFUNCTION("""COMPUTED_VALUE"""),15.92)</f>
        <v>15.92</v>
      </c>
      <c r="C796" s="79" t="str">
        <f>IFERROR(__xludf.DUMMYFUNCTION("""COMPUTED_VALUE"""),"Fieldtrip - Rockefeller Center")</f>
        <v>Fieldtrip - Rockefeller Center</v>
      </c>
      <c r="D796" s="79" t="str">
        <f>IFERROR(__xludf.DUMMYFUNCTION("""COMPUTED_VALUE"""),"Work Meals")</f>
        <v>Work Meals</v>
      </c>
      <c r="E796" s="108" t="str">
        <f t="shared" si="1"/>
        <v>Oct</v>
      </c>
      <c r="F796" s="79" t="str">
        <f>IFERROR(__xludf.DUMMYFUNCTION("""COMPUTED_VALUE"""),"Gil")</f>
        <v>Gil</v>
      </c>
    </row>
    <row r="797">
      <c r="A797" s="85">
        <f>IFERROR(__xludf.DUMMYFUNCTION("""COMPUTED_VALUE"""),45579.0)</f>
        <v>45579</v>
      </c>
      <c r="B797" s="111">
        <f>IFERROR(__xludf.DUMMYFUNCTION("""COMPUTED_VALUE"""),12.52)</f>
        <v>12.52</v>
      </c>
      <c r="C797" s="79" t="str">
        <f>IFERROR(__xludf.DUMMYFUNCTION("""COMPUTED_VALUE"""),"La Cabra")</f>
        <v>La Cabra</v>
      </c>
      <c r="D797" s="79" t="str">
        <f>IFERROR(__xludf.DUMMYFUNCTION("""COMPUTED_VALUE"""),"Meals")</f>
        <v>Meals</v>
      </c>
      <c r="E797" s="108" t="str">
        <f t="shared" si="1"/>
        <v>Oct</v>
      </c>
      <c r="F797" s="79" t="str">
        <f>IFERROR(__xludf.DUMMYFUNCTION("""COMPUTED_VALUE"""),"Gil")</f>
        <v>Gil</v>
      </c>
    </row>
    <row r="798">
      <c r="A798" s="85">
        <f>IFERROR(__xludf.DUMMYFUNCTION("""COMPUTED_VALUE"""),45579.0)</f>
        <v>45579</v>
      </c>
      <c r="B798" s="111">
        <f>IFERROR(__xludf.DUMMYFUNCTION("""COMPUTED_VALUE"""),32.64)</f>
        <v>32.64</v>
      </c>
      <c r="C798" s="79" t="str">
        <f>IFERROR(__xludf.DUMMYFUNCTION("""COMPUTED_VALUE"""),"Adobe")</f>
        <v>Adobe</v>
      </c>
      <c r="D798" s="79" t="str">
        <f>IFERROR(__xludf.DUMMYFUNCTION("""COMPUTED_VALUE"""),"Subscriptions")</f>
        <v>Subscriptions</v>
      </c>
      <c r="E798" s="108" t="str">
        <f t="shared" si="1"/>
        <v>Oct</v>
      </c>
      <c r="F798" s="79" t="str">
        <f>IFERROR(__xludf.DUMMYFUNCTION("""COMPUTED_VALUE"""),"Gil")</f>
        <v>Gil</v>
      </c>
    </row>
    <row r="799">
      <c r="A799" s="85">
        <f>IFERROR(__xludf.DUMMYFUNCTION("""COMPUTED_VALUE"""),45578.0)</f>
        <v>45578</v>
      </c>
      <c r="B799" s="111">
        <f>IFERROR(__xludf.DUMMYFUNCTION("""COMPUTED_VALUE"""),23.0)</f>
        <v>23</v>
      </c>
      <c r="C799" s="79" t="str">
        <f>IFERROR(__xludf.DUMMYFUNCTION("""COMPUTED_VALUE"""),"Flaming Saddles")</f>
        <v>Flaming Saddles</v>
      </c>
      <c r="D799" s="79" t="str">
        <f>IFERROR(__xludf.DUMMYFUNCTION("""COMPUTED_VALUE"""),"Alcohol/Weed")</f>
        <v>Alcohol/Weed</v>
      </c>
      <c r="E799" s="108" t="str">
        <f t="shared" si="1"/>
        <v>Oct</v>
      </c>
      <c r="F799" s="79" t="str">
        <f>IFERROR(__xludf.DUMMYFUNCTION("""COMPUTED_VALUE"""),"Gil")</f>
        <v>Gil</v>
      </c>
    </row>
    <row r="800">
      <c r="A800" s="85">
        <f>IFERROR(__xludf.DUMMYFUNCTION("""COMPUTED_VALUE"""),45578.0)</f>
        <v>45578</v>
      </c>
      <c r="B800" s="111">
        <f>IFERROR(__xludf.DUMMYFUNCTION("""COMPUTED_VALUE"""),61.0)</f>
        <v>61</v>
      </c>
      <c r="C800" s="79" t="str">
        <f>IFERROR(__xludf.DUMMYFUNCTION("""COMPUTED_VALUE"""),"Misha's")</f>
        <v>Misha's</v>
      </c>
      <c r="D800" s="79" t="str">
        <f>IFERROR(__xludf.DUMMYFUNCTION("""COMPUTED_VALUE"""),"Alcohol/Weed")</f>
        <v>Alcohol/Weed</v>
      </c>
      <c r="E800" s="108" t="str">
        <f t="shared" si="1"/>
        <v>Oct</v>
      </c>
      <c r="F800" s="79" t="str">
        <f>IFERROR(__xludf.DUMMYFUNCTION("""COMPUTED_VALUE"""),"Gil")</f>
        <v>Gil</v>
      </c>
    </row>
    <row r="801">
      <c r="A801" s="85">
        <f>IFERROR(__xludf.DUMMYFUNCTION("""COMPUTED_VALUE"""),45583.0)</f>
        <v>45583</v>
      </c>
      <c r="B801" s="111">
        <f>IFERROR(__xludf.DUMMYFUNCTION("""COMPUTED_VALUE"""),4.0)</f>
        <v>4</v>
      </c>
      <c r="C801" s="79" t="str">
        <f>IFERROR(__xludf.DUMMYFUNCTION("""COMPUTED_VALUE"""),"Lost Bread Co.")</f>
        <v>Lost Bread Co.</v>
      </c>
      <c r="D801" s="79" t="str">
        <f>IFERROR(__xludf.DUMMYFUNCTION("""COMPUTED_VALUE"""),"Meals")</f>
        <v>Meals</v>
      </c>
      <c r="E801" s="108" t="str">
        <f t="shared" si="1"/>
        <v>Oct</v>
      </c>
      <c r="F801" s="79" t="str">
        <f>IFERROR(__xludf.DUMMYFUNCTION("""COMPUTED_VALUE"""),"Gil")</f>
        <v>Gil</v>
      </c>
    </row>
    <row r="802">
      <c r="A802" s="85">
        <f>IFERROR(__xludf.DUMMYFUNCTION("""COMPUTED_VALUE"""),45584.0)</f>
        <v>45584</v>
      </c>
      <c r="B802" s="111">
        <f>IFERROR(__xludf.DUMMYFUNCTION("""COMPUTED_VALUE"""),5.63)</f>
        <v>5.63</v>
      </c>
      <c r="C802" s="79" t="str">
        <f>IFERROR(__xludf.DUMMYFUNCTION("""COMPUTED_VALUE"""),"Birch Coffee")</f>
        <v>Birch Coffee</v>
      </c>
      <c r="D802" s="79" t="str">
        <f>IFERROR(__xludf.DUMMYFUNCTION("""COMPUTED_VALUE"""),"Meals")</f>
        <v>Meals</v>
      </c>
      <c r="E802" s="108" t="str">
        <f t="shared" si="1"/>
        <v>Oct</v>
      </c>
      <c r="F802" s="79" t="str">
        <f>IFERROR(__xludf.DUMMYFUNCTION("""COMPUTED_VALUE"""),"Gil")</f>
        <v>Gil</v>
      </c>
    </row>
    <row r="803">
      <c r="A803" s="85">
        <f>IFERROR(__xludf.DUMMYFUNCTION("""COMPUTED_VALUE"""),45586.0)</f>
        <v>45586</v>
      </c>
      <c r="B803" s="111">
        <f>IFERROR(__xludf.DUMMYFUNCTION("""COMPUTED_VALUE"""),6.53)</f>
        <v>6.53</v>
      </c>
      <c r="C803" s="79" t="str">
        <f>IFERROR(__xludf.DUMMYFUNCTION("""COMPUTED_VALUE"""),"Birch Coffee")</f>
        <v>Birch Coffee</v>
      </c>
      <c r="D803" s="79" t="str">
        <f>IFERROR(__xludf.DUMMYFUNCTION("""COMPUTED_VALUE"""),"Work Meals")</f>
        <v>Work Meals</v>
      </c>
      <c r="E803" s="108" t="str">
        <f t="shared" si="1"/>
        <v>Oct</v>
      </c>
      <c r="F803" s="79" t="str">
        <f>IFERROR(__xludf.DUMMYFUNCTION("""COMPUTED_VALUE"""),"Gil")</f>
        <v>Gil</v>
      </c>
    </row>
    <row r="804">
      <c r="A804" s="85">
        <f>IFERROR(__xludf.DUMMYFUNCTION("""COMPUTED_VALUE"""),45587.0)</f>
        <v>45587</v>
      </c>
      <c r="B804" s="111">
        <f>IFERROR(__xludf.DUMMYFUNCTION("""COMPUTED_VALUE"""),5.63)</f>
        <v>5.63</v>
      </c>
      <c r="C804" s="79" t="str">
        <f>IFERROR(__xludf.DUMMYFUNCTION("""COMPUTED_VALUE"""),"Birch Coffee")</f>
        <v>Birch Coffee</v>
      </c>
      <c r="D804" s="79" t="str">
        <f>IFERROR(__xludf.DUMMYFUNCTION("""COMPUTED_VALUE"""),"Meals")</f>
        <v>Meals</v>
      </c>
      <c r="E804" s="108" t="str">
        <f t="shared" si="1"/>
        <v>Oct</v>
      </c>
      <c r="F804" s="79" t="str">
        <f>IFERROR(__xludf.DUMMYFUNCTION("""COMPUTED_VALUE"""),"Gil")</f>
        <v>Gil</v>
      </c>
    </row>
    <row r="805">
      <c r="A805" s="85">
        <f>IFERROR(__xludf.DUMMYFUNCTION("""COMPUTED_VALUE"""),45567.0)</f>
        <v>45567</v>
      </c>
      <c r="B805" s="111">
        <f>IFERROR(__xludf.DUMMYFUNCTION("""COMPUTED_VALUE"""),9.99)</f>
        <v>9.99</v>
      </c>
      <c r="C805" s="79" t="str">
        <f>IFERROR(__xludf.DUMMYFUNCTION("""COMPUTED_VALUE"""),"I cloud storage")</f>
        <v>I cloud storage</v>
      </c>
      <c r="D805" s="79" t="str">
        <f>IFERROR(__xludf.DUMMYFUNCTION("""COMPUTED_VALUE"""),"Subscriptions")</f>
        <v>Subscriptions</v>
      </c>
      <c r="E805" s="108" t="str">
        <f t="shared" si="1"/>
        <v>Oct</v>
      </c>
      <c r="F805" s="79" t="str">
        <f>IFERROR(__xludf.DUMMYFUNCTION("""COMPUTED_VALUE"""),"Shaeffer")</f>
        <v>Shaeffer</v>
      </c>
    </row>
    <row r="806">
      <c r="A806" s="85">
        <f>IFERROR(__xludf.DUMMYFUNCTION("""COMPUTED_VALUE"""),45567.0)</f>
        <v>45567</v>
      </c>
      <c r="B806" s="111">
        <f>IFERROR(__xludf.DUMMYFUNCTION("""COMPUTED_VALUE"""),21.76)</f>
        <v>21.76</v>
      </c>
      <c r="C806" s="79" t="str">
        <f>IFERROR(__xludf.DUMMYFUNCTION("""COMPUTED_VALUE"""),"Irving bottle shop")</f>
        <v>Irving bottle shop</v>
      </c>
      <c r="D806" s="79" t="str">
        <f>IFERROR(__xludf.DUMMYFUNCTION("""COMPUTED_VALUE"""),"Alcohol/Weed")</f>
        <v>Alcohol/Weed</v>
      </c>
      <c r="E806" s="108" t="str">
        <f t="shared" si="1"/>
        <v>Oct</v>
      </c>
      <c r="F806" s="79" t="str">
        <f>IFERROR(__xludf.DUMMYFUNCTION("""COMPUTED_VALUE"""),"Shaeffer")</f>
        <v>Shaeffer</v>
      </c>
    </row>
    <row r="807">
      <c r="A807" s="85">
        <f>IFERROR(__xludf.DUMMYFUNCTION("""COMPUTED_VALUE"""),45570.0)</f>
        <v>45570</v>
      </c>
      <c r="B807" s="111">
        <f>IFERROR(__xludf.DUMMYFUNCTION("""COMPUTED_VALUE"""),100.0)</f>
        <v>100</v>
      </c>
      <c r="C807" s="79" t="str">
        <f>IFERROR(__xludf.DUMMYFUNCTION("""COMPUTED_VALUE"""),"Donated to Tori &amp; Cheri Dog rescue")</f>
        <v>Donated to Tori &amp; Cheri Dog rescue</v>
      </c>
      <c r="D807" s="79" t="str">
        <f>IFERROR(__xludf.DUMMYFUNCTION("""COMPUTED_VALUE"""),"Gifts/Donations")</f>
        <v>Gifts/Donations</v>
      </c>
      <c r="E807" s="108" t="str">
        <f t="shared" si="1"/>
        <v>Oct</v>
      </c>
      <c r="F807" s="79" t="str">
        <f>IFERROR(__xludf.DUMMYFUNCTION("""COMPUTED_VALUE"""),"Shaeffer")</f>
        <v>Shaeffer</v>
      </c>
    </row>
    <row r="808">
      <c r="A808" s="85">
        <f>IFERROR(__xludf.DUMMYFUNCTION("""COMPUTED_VALUE"""),-619167.0)</f>
        <v>-619167</v>
      </c>
      <c r="B808" s="111">
        <f>IFERROR(__xludf.DUMMYFUNCTION("""COMPUTED_VALUE"""),2.17)</f>
        <v>2.17</v>
      </c>
      <c r="C808" s="79" t="str">
        <f>IFERROR(__xludf.DUMMYFUNCTION("""COMPUTED_VALUE"""),"gmail")</f>
        <v>gmail</v>
      </c>
      <c r="D808" s="79" t="str">
        <f>IFERROR(__xludf.DUMMYFUNCTION("""COMPUTED_VALUE"""),"Subscriptions")</f>
        <v>Subscriptions</v>
      </c>
      <c r="E808" s="108" t="str">
        <f t="shared" si="1"/>
        <v>Oct</v>
      </c>
      <c r="F808" s="79" t="str">
        <f>IFERROR(__xludf.DUMMYFUNCTION("""COMPUTED_VALUE"""),"Shaeffer")</f>
        <v>Shaeffer</v>
      </c>
    </row>
    <row r="809">
      <c r="A809" s="85">
        <f>IFERROR(__xludf.DUMMYFUNCTION("""COMPUTED_VALUE"""),45581.0)</f>
        <v>45581</v>
      </c>
      <c r="B809" s="111">
        <f>IFERROR(__xludf.DUMMYFUNCTION("""COMPUTED_VALUE"""),4.5)</f>
        <v>4.5</v>
      </c>
      <c r="C809" s="79" t="str">
        <f>IFERROR(__xludf.DUMMYFUNCTION("""COMPUTED_VALUE"""),"NYC Ferry")</f>
        <v>NYC Ferry</v>
      </c>
      <c r="D809" s="79" t="str">
        <f>IFERROR(__xludf.DUMMYFUNCTION("""COMPUTED_VALUE"""),"Transportation")</f>
        <v>Transportation</v>
      </c>
      <c r="E809" s="108" t="str">
        <f t="shared" si="1"/>
        <v>Oct</v>
      </c>
      <c r="F809" s="79" t="str">
        <f>IFERROR(__xludf.DUMMYFUNCTION("""COMPUTED_VALUE"""),"Shaeffer")</f>
        <v>Shaeffer</v>
      </c>
    </row>
    <row r="810">
      <c r="A810" s="85">
        <f>IFERROR(__xludf.DUMMYFUNCTION("""COMPUTED_VALUE"""),45585.0)</f>
        <v>45585</v>
      </c>
      <c r="B810" s="111">
        <f>IFERROR(__xludf.DUMMYFUNCTION("""COMPUTED_VALUE"""),5.72)</f>
        <v>5.72</v>
      </c>
      <c r="C810" s="79" t="str">
        <f>IFERROR(__xludf.DUMMYFUNCTION("""COMPUTED_VALUE"""),"Ugly DOnuts")</f>
        <v>Ugly DOnuts</v>
      </c>
      <c r="D810" s="79" t="str">
        <f>IFERROR(__xludf.DUMMYFUNCTION("""COMPUTED_VALUE"""),"Work Meals")</f>
        <v>Work Meals</v>
      </c>
      <c r="E810" s="108" t="str">
        <f t="shared" si="1"/>
        <v>Oct</v>
      </c>
      <c r="F810" s="79" t="str">
        <f>IFERROR(__xludf.DUMMYFUNCTION("""COMPUTED_VALUE"""),"Shaeffer")</f>
        <v>Shaeffer</v>
      </c>
    </row>
    <row r="811">
      <c r="A811" s="85">
        <f>IFERROR(__xludf.DUMMYFUNCTION("""COMPUTED_VALUE"""),45586.0)</f>
        <v>45586</v>
      </c>
      <c r="B811" s="111">
        <f>IFERROR(__xludf.DUMMYFUNCTION("""COMPUTED_VALUE"""),32.66)</f>
        <v>32.66</v>
      </c>
      <c r="C811" s="79" t="str">
        <f>IFERROR(__xludf.DUMMYFUNCTION("""COMPUTED_VALUE"""),"Sephora")</f>
        <v>Sephora</v>
      </c>
      <c r="D811" s="79" t="str">
        <f>IFERROR(__xludf.DUMMYFUNCTION("""COMPUTED_VALUE"""),"Personal")</f>
        <v>Personal</v>
      </c>
      <c r="E811" s="108" t="str">
        <f t="shared" si="1"/>
        <v>Oct</v>
      </c>
      <c r="F811" s="79" t="str">
        <f>IFERROR(__xludf.DUMMYFUNCTION("""COMPUTED_VALUE"""),"Shaeffer")</f>
        <v>Shaeffer</v>
      </c>
    </row>
    <row r="812">
      <c r="A812" s="85">
        <f>IFERROR(__xludf.DUMMYFUNCTION("""COMPUTED_VALUE"""),45585.0)</f>
        <v>45585</v>
      </c>
      <c r="B812" s="111">
        <f>IFERROR(__xludf.DUMMYFUNCTION("""COMPUTED_VALUE"""),165.66)</f>
        <v>165.66</v>
      </c>
      <c r="C812" s="79" t="str">
        <f>IFERROR(__xludf.DUMMYFUNCTION("""COMPUTED_VALUE"""),"Kim - Venmo - Compounce")</f>
        <v>Kim - Venmo - Compounce</v>
      </c>
      <c r="D812" s="79" t="str">
        <f>IFERROR(__xludf.DUMMYFUNCTION("""COMPUTED_VALUE"""),"Entertainment")</f>
        <v>Entertainment</v>
      </c>
      <c r="E812" s="108" t="str">
        <f t="shared" si="1"/>
        <v>Oct</v>
      </c>
      <c r="F812" s="79" t="str">
        <f>IFERROR(__xludf.DUMMYFUNCTION("""COMPUTED_VALUE"""),"Shaeffer")</f>
        <v>Shaeffer</v>
      </c>
    </row>
    <row r="813">
      <c r="A813" s="85">
        <f>IFERROR(__xludf.DUMMYFUNCTION("""COMPUTED_VALUE"""),45584.0)</f>
        <v>45584</v>
      </c>
      <c r="B813" s="111">
        <f>IFERROR(__xludf.DUMMYFUNCTION("""COMPUTED_VALUE"""),280.0)</f>
        <v>280</v>
      </c>
      <c r="C813" s="79" t="str">
        <f>IFERROR(__xludf.DUMMYFUNCTION("""COMPUTED_VALUE"""),"Ziran")</f>
        <v>Ziran</v>
      </c>
      <c r="D813" s="79" t="str">
        <f>IFERROR(__xludf.DUMMYFUNCTION("""COMPUTED_VALUE"""),"Clothing")</f>
        <v>Clothing</v>
      </c>
      <c r="E813" s="108" t="str">
        <f t="shared" si="1"/>
        <v>Oct</v>
      </c>
      <c r="F813" s="79" t="str">
        <f>IFERROR(__xludf.DUMMYFUNCTION("""COMPUTED_VALUE"""),"Shaeffer")</f>
        <v>Shaeffer</v>
      </c>
    </row>
    <row r="814">
      <c r="A814" s="85">
        <f>IFERROR(__xludf.DUMMYFUNCTION("""COMPUTED_VALUE"""),45583.0)</f>
        <v>45583</v>
      </c>
      <c r="B814" s="111">
        <f>IFERROR(__xludf.DUMMYFUNCTION("""COMPUTED_VALUE"""),30.0)</f>
        <v>30</v>
      </c>
      <c r="C814" s="79" t="str">
        <f>IFERROR(__xludf.DUMMYFUNCTION("""COMPUTED_VALUE"""),"El Santo")</f>
        <v>El Santo</v>
      </c>
      <c r="D814" s="79" t="str">
        <f>IFERROR(__xludf.DUMMYFUNCTION("""COMPUTED_VALUE"""),"Work Meals")</f>
        <v>Work Meals</v>
      </c>
      <c r="E814" s="108" t="str">
        <f t="shared" si="1"/>
        <v>Oct</v>
      </c>
      <c r="F814" s="79" t="str">
        <f>IFERROR(__xludf.DUMMYFUNCTION("""COMPUTED_VALUE"""),"Shaeffer")</f>
        <v>Shaeffer</v>
      </c>
    </row>
    <row r="815">
      <c r="A815" s="85">
        <f>IFERROR(__xludf.DUMMYFUNCTION("""COMPUTED_VALUE"""),45582.0)</f>
        <v>45582</v>
      </c>
      <c r="B815" s="111">
        <f>IFERROR(__xludf.DUMMYFUNCTION("""COMPUTED_VALUE"""),145.62)</f>
        <v>145.62</v>
      </c>
      <c r="C815" s="79" t="str">
        <f>IFERROR(__xludf.DUMMYFUNCTION("""COMPUTED_VALUE"""),"Venmo-Lili-Compounce")</f>
        <v>Venmo-Lili-Compounce</v>
      </c>
      <c r="D815" s="79" t="str">
        <f>IFERROR(__xludf.DUMMYFUNCTION("""COMPUTED_VALUE"""),"Entertainment")</f>
        <v>Entertainment</v>
      </c>
      <c r="E815" s="108" t="str">
        <f t="shared" si="1"/>
        <v>Oct</v>
      </c>
      <c r="F815" s="79" t="str">
        <f>IFERROR(__xludf.DUMMYFUNCTION("""COMPUTED_VALUE"""),"Shaeffer")</f>
        <v>Shaeffer</v>
      </c>
    </row>
    <row r="816">
      <c r="A816" s="85">
        <f>IFERROR(__xludf.DUMMYFUNCTION("""COMPUTED_VALUE"""),45574.0)</f>
        <v>45574</v>
      </c>
      <c r="B816" s="111">
        <f>IFERROR(__xludf.DUMMYFUNCTION("""COMPUTED_VALUE"""),71.5)</f>
        <v>71.5</v>
      </c>
      <c r="C816" s="79" t="str">
        <f>IFERROR(__xludf.DUMMYFUNCTION("""COMPUTED_VALUE"""),"Studio 323 Utilities")</f>
        <v>Studio 323 Utilities</v>
      </c>
      <c r="D816" s="79" t="str">
        <f>IFERROR(__xludf.DUMMYFUNCTION("""COMPUTED_VALUE"""),"Studio")</f>
        <v>Studio</v>
      </c>
      <c r="E816" s="108" t="str">
        <f t="shared" si="1"/>
        <v>Oct</v>
      </c>
      <c r="F816" s="79" t="str">
        <f>IFERROR(__xludf.DUMMYFUNCTION("""COMPUTED_VALUE"""),"Shaeffer")</f>
        <v>Shaeffer</v>
      </c>
    </row>
    <row r="817">
      <c r="A817" s="85">
        <f>IFERROR(__xludf.DUMMYFUNCTION("""COMPUTED_VALUE"""),45572.0)</f>
        <v>45572</v>
      </c>
      <c r="B817" s="111">
        <f>IFERROR(__xludf.DUMMYFUNCTION("""COMPUTED_VALUE"""),375.0)</f>
        <v>375</v>
      </c>
      <c r="C817" s="79" t="str">
        <f>IFERROR(__xludf.DUMMYFUNCTION("""COMPUTED_VALUE"""),"Studio 323 Rent")</f>
        <v>Studio 323 Rent</v>
      </c>
      <c r="D817" s="79" t="str">
        <f>IFERROR(__xludf.DUMMYFUNCTION("""COMPUTED_VALUE"""),"Studio")</f>
        <v>Studio</v>
      </c>
      <c r="E817" s="108" t="str">
        <f t="shared" si="1"/>
        <v>Oct</v>
      </c>
      <c r="F817" s="79" t="str">
        <f>IFERROR(__xludf.DUMMYFUNCTION("""COMPUTED_VALUE"""),"Shaeffer")</f>
        <v>Shaeffer</v>
      </c>
    </row>
    <row r="818">
      <c r="A818" s="85">
        <f>IFERROR(__xludf.DUMMYFUNCTION("""COMPUTED_VALUE"""),45570.0)</f>
        <v>45570</v>
      </c>
      <c r="B818" s="111">
        <f>IFERROR(__xludf.DUMMYFUNCTION("""COMPUTED_VALUE"""),32.0)</f>
        <v>32</v>
      </c>
      <c r="C818" s="79" t="str">
        <f>IFERROR(__xludf.DUMMYFUNCTION("""COMPUTED_VALUE"""),"CVB - venmo - ")</f>
        <v>CVB - venmo - </v>
      </c>
      <c r="D818" s="79" t="str">
        <f>IFERROR(__xludf.DUMMYFUNCTION("""COMPUTED_VALUE"""),"Work Meals")</f>
        <v>Work Meals</v>
      </c>
      <c r="E818" s="108" t="str">
        <f t="shared" si="1"/>
        <v>Oct</v>
      </c>
      <c r="F818" s="79" t="str">
        <f>IFERROR(__xludf.DUMMYFUNCTION("""COMPUTED_VALUE"""),"Shaeffer")</f>
        <v>Shaeffer</v>
      </c>
    </row>
    <row r="819">
      <c r="A819" s="85">
        <f>IFERROR(__xludf.DUMMYFUNCTION("""COMPUTED_VALUE"""),45569.0)</f>
        <v>45569</v>
      </c>
      <c r="B819" s="111">
        <f>IFERROR(__xludf.DUMMYFUNCTION("""COMPUTED_VALUE"""),25.0)</f>
        <v>25</v>
      </c>
      <c r="C819" s="79" t="str">
        <f>IFERROR(__xludf.DUMMYFUNCTION("""COMPUTED_VALUE"""),"Grand Pho - venmo Camie")</f>
        <v>Grand Pho - venmo Camie</v>
      </c>
      <c r="D819" s="79" t="str">
        <f>IFERROR(__xludf.DUMMYFUNCTION("""COMPUTED_VALUE"""),"Work Meals")</f>
        <v>Work Meals</v>
      </c>
      <c r="E819" s="108" t="str">
        <f t="shared" si="1"/>
        <v>Oct</v>
      </c>
      <c r="F819" s="79" t="str">
        <f>IFERROR(__xludf.DUMMYFUNCTION("""COMPUTED_VALUE"""),"Shaeffer")</f>
        <v>Shaeffer</v>
      </c>
    </row>
    <row r="820">
      <c r="A820" s="85">
        <f>IFERROR(__xludf.DUMMYFUNCTION("""COMPUTED_VALUE"""),45568.0)</f>
        <v>45568</v>
      </c>
      <c r="B820" s="111">
        <f>IFERROR(__xludf.DUMMYFUNCTION("""COMPUTED_VALUE"""),22.85)</f>
        <v>22.85</v>
      </c>
      <c r="C820" s="79" t="str">
        <f>IFERROR(__xludf.DUMMYFUNCTION("""COMPUTED_VALUE"""),"Irving Bottle")</f>
        <v>Irving Bottle</v>
      </c>
      <c r="D820" s="79" t="str">
        <f>IFERROR(__xludf.DUMMYFUNCTION("""COMPUTED_VALUE"""),"Alcohol/Weed")</f>
        <v>Alcohol/Weed</v>
      </c>
      <c r="E820" s="108" t="str">
        <f t="shared" si="1"/>
        <v>Oct</v>
      </c>
      <c r="F820" s="79" t="str">
        <f>IFERROR(__xludf.DUMMYFUNCTION("""COMPUTED_VALUE"""),"Shaeffer")</f>
        <v>Shaeffer</v>
      </c>
    </row>
    <row r="821">
      <c r="A821" s="85">
        <f>IFERROR(__xludf.DUMMYFUNCTION("""COMPUTED_VALUE"""),45568.0)</f>
        <v>45568</v>
      </c>
      <c r="B821" s="111">
        <f>IFERROR(__xludf.DUMMYFUNCTION("""COMPUTED_VALUE"""),157.12)</f>
        <v>157.12</v>
      </c>
      <c r="C821" s="79" t="str">
        <f>IFERROR(__xludf.DUMMYFUNCTION("""COMPUTED_VALUE"""),"Karaoke Boho")</f>
        <v>Karaoke Boho</v>
      </c>
      <c r="D821" s="79" t="str">
        <f>IFERROR(__xludf.DUMMYFUNCTION("""COMPUTED_VALUE"""),"Entertainment")</f>
        <v>Entertainment</v>
      </c>
      <c r="E821" s="108" t="str">
        <f t="shared" si="1"/>
        <v>Oct</v>
      </c>
      <c r="F821" s="79" t="str">
        <f>IFERROR(__xludf.DUMMYFUNCTION("""COMPUTED_VALUE"""),"Shaeffer")</f>
        <v>Shaeffer</v>
      </c>
    </row>
    <row r="822">
      <c r="A822" s="85">
        <f>IFERROR(__xludf.DUMMYFUNCTION("""COMPUTED_VALUE"""),45570.0)</f>
        <v>45570</v>
      </c>
      <c r="B822" s="111">
        <f>IFERROR(__xludf.DUMMYFUNCTION("""COMPUTED_VALUE"""),15.0)</f>
        <v>15</v>
      </c>
      <c r="C822" s="79" t="str">
        <f>IFERROR(__xludf.DUMMYFUNCTION("""COMPUTED_VALUE"""),"Casette")</f>
        <v>Casette</v>
      </c>
      <c r="D822" s="79" t="str">
        <f>IFERROR(__xludf.DUMMYFUNCTION("""COMPUTED_VALUE"""),"Alcohol/Weed")</f>
        <v>Alcohol/Weed</v>
      </c>
      <c r="E822" s="108" t="str">
        <f t="shared" si="1"/>
        <v>Oct</v>
      </c>
      <c r="F822" s="79" t="str">
        <f>IFERROR(__xludf.DUMMYFUNCTION("""COMPUTED_VALUE"""),"Shaeffer")</f>
        <v>Shaeffer</v>
      </c>
    </row>
    <row r="823">
      <c r="A823" s="85">
        <f>IFERROR(__xludf.DUMMYFUNCTION("""COMPUTED_VALUE"""),45576.0)</f>
        <v>45576</v>
      </c>
      <c r="B823" s="111">
        <f>IFERROR(__xludf.DUMMYFUNCTION("""COMPUTED_VALUE"""),73.81)</f>
        <v>73.81</v>
      </c>
      <c r="C823" s="79" t="str">
        <f>IFERROR(__xludf.DUMMYFUNCTION("""COMPUTED_VALUE"""),"Exquisite Liquor")</f>
        <v>Exquisite Liquor</v>
      </c>
      <c r="D823" s="79" t="str">
        <f>IFERROR(__xludf.DUMMYFUNCTION("""COMPUTED_VALUE"""),"Alcohol/Weed")</f>
        <v>Alcohol/Weed</v>
      </c>
      <c r="E823" s="108" t="str">
        <f t="shared" si="1"/>
        <v>Oct</v>
      </c>
      <c r="F823" s="79" t="str">
        <f>IFERROR(__xludf.DUMMYFUNCTION("""COMPUTED_VALUE"""),"Shaeffer")</f>
        <v>Shaeffer</v>
      </c>
    </row>
    <row r="824">
      <c r="A824" s="85">
        <f>IFERROR(__xludf.DUMMYFUNCTION("""COMPUTED_VALUE"""),45576.0)</f>
        <v>45576</v>
      </c>
      <c r="B824" s="111">
        <f>IFERROR(__xludf.DUMMYFUNCTION("""COMPUTED_VALUE"""),22.28)</f>
        <v>22.28</v>
      </c>
      <c r="C824" s="79" t="str">
        <f>IFERROR(__xludf.DUMMYFUNCTION("""COMPUTED_VALUE"""),"Outpost Pizza")</f>
        <v>Outpost Pizza</v>
      </c>
      <c r="D824" s="79" t="str">
        <f>IFERROR(__xludf.DUMMYFUNCTION("""COMPUTED_VALUE"""),"Work Meals")</f>
        <v>Work Meals</v>
      </c>
      <c r="E824" s="108" t="str">
        <f t="shared" si="1"/>
        <v>Oct</v>
      </c>
      <c r="F824" s="79" t="str">
        <f>IFERROR(__xludf.DUMMYFUNCTION("""COMPUTED_VALUE"""),"Shaeffer")</f>
        <v>Shaeffer</v>
      </c>
    </row>
    <row r="825">
      <c r="A825" s="85">
        <f>IFERROR(__xludf.DUMMYFUNCTION("""COMPUTED_VALUE"""),45577.0)</f>
        <v>45577</v>
      </c>
      <c r="B825" s="111">
        <f>IFERROR(__xludf.DUMMYFUNCTION("""COMPUTED_VALUE"""),25.0)</f>
        <v>25</v>
      </c>
      <c r="C825" s="79" t="str">
        <f>IFERROR(__xludf.DUMMYFUNCTION("""COMPUTED_VALUE"""),"Long View Ciderhouse")</f>
        <v>Long View Ciderhouse</v>
      </c>
      <c r="D825" s="79" t="str">
        <f>IFERROR(__xludf.DUMMYFUNCTION("""COMPUTED_VALUE"""),"Alcohol/Weed")</f>
        <v>Alcohol/Weed</v>
      </c>
      <c r="E825" s="108" t="str">
        <f t="shared" si="1"/>
        <v>Oct</v>
      </c>
      <c r="F825" s="79" t="str">
        <f>IFERROR(__xludf.DUMMYFUNCTION("""COMPUTED_VALUE"""),"Shaeffer")</f>
        <v>Shaeffer</v>
      </c>
    </row>
    <row r="826">
      <c r="A826" s="85">
        <f>IFERROR(__xludf.DUMMYFUNCTION("""COMPUTED_VALUE"""),45577.0)</f>
        <v>45577</v>
      </c>
      <c r="B826" s="111">
        <f>IFERROR(__xludf.DUMMYFUNCTION("""COMPUTED_VALUE"""),14.03)</f>
        <v>14.03</v>
      </c>
      <c r="C826" s="79" t="str">
        <f>IFERROR(__xludf.DUMMYFUNCTION("""COMPUTED_VALUE"""),"Lake Compounce")</f>
        <v>Lake Compounce</v>
      </c>
      <c r="D826" s="79" t="str">
        <f>IFERROR(__xludf.DUMMYFUNCTION("""COMPUTED_VALUE"""),"Entertainment")</f>
        <v>Entertainment</v>
      </c>
      <c r="E826" s="108" t="str">
        <f t="shared" si="1"/>
        <v>Oct</v>
      </c>
      <c r="F826" s="79" t="str">
        <f>IFERROR(__xludf.DUMMYFUNCTION("""COMPUTED_VALUE"""),"Shaeffer")</f>
        <v>Shaeffer</v>
      </c>
    </row>
    <row r="827">
      <c r="A827" s="85">
        <f>IFERROR(__xludf.DUMMYFUNCTION("""COMPUTED_VALUE"""),45580.0)</f>
        <v>45580</v>
      </c>
      <c r="B827" s="111">
        <f>IFERROR(__xludf.DUMMYFUNCTION("""COMPUTED_VALUE"""),15.0)</f>
        <v>15</v>
      </c>
      <c r="C827" s="79" t="str">
        <f>IFERROR(__xludf.DUMMYFUNCTION("""COMPUTED_VALUE"""),"YMCA")</f>
        <v>YMCA</v>
      </c>
      <c r="D827" s="79" t="str">
        <f>IFERROR(__xludf.DUMMYFUNCTION("""COMPUTED_VALUE"""),"Gym")</f>
        <v>Gym</v>
      </c>
      <c r="E827" s="108" t="str">
        <f t="shared" si="1"/>
        <v>Oct</v>
      </c>
      <c r="F827" s="79" t="str">
        <f>IFERROR(__xludf.DUMMYFUNCTION("""COMPUTED_VALUE"""),"Shaeffer")</f>
        <v>Shaeffer</v>
      </c>
    </row>
    <row r="828">
      <c r="A828" s="85">
        <f>IFERROR(__xludf.DUMMYFUNCTION("""COMPUTED_VALUE"""),45582.0)</f>
        <v>45582</v>
      </c>
      <c r="B828" s="111">
        <f>IFERROR(__xludf.DUMMYFUNCTION("""COMPUTED_VALUE"""),57.79)</f>
        <v>57.79</v>
      </c>
      <c r="C828" s="79" t="str">
        <f>IFERROR(__xludf.DUMMYFUNCTION("""COMPUTED_VALUE"""),"Chinese Tuxedo")</f>
        <v>Chinese Tuxedo</v>
      </c>
      <c r="D828" s="79" t="str">
        <f>IFERROR(__xludf.DUMMYFUNCTION("""COMPUTED_VALUE"""),"Work Meals")</f>
        <v>Work Meals</v>
      </c>
      <c r="E828" s="108" t="str">
        <f t="shared" si="1"/>
        <v>Oct</v>
      </c>
      <c r="F828" s="79" t="str">
        <f>IFERROR(__xludf.DUMMYFUNCTION("""COMPUTED_VALUE"""),"Shaeffer")</f>
        <v>Shaeffer</v>
      </c>
    </row>
    <row r="829">
      <c r="A829" s="85">
        <f>IFERROR(__xludf.DUMMYFUNCTION("""COMPUTED_VALUE"""),45583.0)</f>
        <v>45583</v>
      </c>
      <c r="B829" s="111">
        <f>IFERROR(__xludf.DUMMYFUNCTION("""COMPUTED_VALUE"""),16.0)</f>
        <v>16</v>
      </c>
      <c r="C829" s="79" t="str">
        <f>IFERROR(__xludf.DUMMYFUNCTION("""COMPUTED_VALUE"""),"Dingshang")</f>
        <v>Dingshang</v>
      </c>
      <c r="D829" s="79" t="str">
        <f>IFERROR(__xludf.DUMMYFUNCTION("""COMPUTED_VALUE"""),"Personal")</f>
        <v>Personal</v>
      </c>
      <c r="E829" s="108" t="str">
        <f t="shared" si="1"/>
        <v>Oct</v>
      </c>
      <c r="F829" s="79" t="str">
        <f>IFERROR(__xludf.DUMMYFUNCTION("""COMPUTED_VALUE"""),"Shaeffer")</f>
        <v>Shaeffer</v>
      </c>
    </row>
    <row r="830">
      <c r="A830" s="85">
        <f>IFERROR(__xludf.DUMMYFUNCTION("""COMPUTED_VALUE"""),45583.0)</f>
        <v>45583</v>
      </c>
      <c r="B830" s="111">
        <f>IFERROR(__xludf.DUMMYFUNCTION("""COMPUTED_VALUE"""),48.98)</f>
        <v>48.98</v>
      </c>
      <c r="C830" s="79" t="str">
        <f>IFERROR(__xludf.DUMMYFUNCTION("""COMPUTED_VALUE"""),"Peachys")</f>
        <v>Peachys</v>
      </c>
      <c r="D830" s="79" t="str">
        <f>IFERROR(__xludf.DUMMYFUNCTION("""COMPUTED_VALUE"""),"Alcohol/Weed")</f>
        <v>Alcohol/Weed</v>
      </c>
      <c r="E830" s="108" t="str">
        <f t="shared" si="1"/>
        <v>Oct</v>
      </c>
      <c r="F830" s="79" t="str">
        <f>IFERROR(__xludf.DUMMYFUNCTION("""COMPUTED_VALUE"""),"Shaeffer")</f>
        <v>Shaeffer</v>
      </c>
    </row>
    <row r="831">
      <c r="A831" s="85">
        <f>IFERROR(__xludf.DUMMYFUNCTION("""COMPUTED_VALUE"""),45584.0)</f>
        <v>45584</v>
      </c>
      <c r="B831" s="111">
        <f>IFERROR(__xludf.DUMMYFUNCTION("""COMPUTED_VALUE"""),5.9)</f>
        <v>5.9</v>
      </c>
      <c r="C831" s="79" t="str">
        <f>IFERROR(__xludf.DUMMYFUNCTION("""COMPUTED_VALUE"""),"Honey Moon Coffee")</f>
        <v>Honey Moon Coffee</v>
      </c>
      <c r="D831" s="79" t="str">
        <f>IFERROR(__xludf.DUMMYFUNCTION("""COMPUTED_VALUE"""),"Work Meals")</f>
        <v>Work Meals</v>
      </c>
      <c r="E831" s="108" t="str">
        <f t="shared" si="1"/>
        <v>Oct</v>
      </c>
      <c r="F831" s="79" t="str">
        <f>IFERROR(__xludf.DUMMYFUNCTION("""COMPUTED_VALUE"""),"Shaeffer")</f>
        <v>Shaeffer</v>
      </c>
    </row>
    <row r="832">
      <c r="A832" s="85">
        <f>IFERROR(__xludf.DUMMYFUNCTION("""COMPUTED_VALUE"""),45584.0)</f>
        <v>45584</v>
      </c>
      <c r="B832" s="111">
        <f>IFERROR(__xludf.DUMMYFUNCTION("""COMPUTED_VALUE"""),28.35)</f>
        <v>28.35</v>
      </c>
      <c r="C832" s="79" t="str">
        <f>IFERROR(__xludf.DUMMYFUNCTION("""COMPUTED_VALUE"""),"Bklyn Paramount")</f>
        <v>Bklyn Paramount</v>
      </c>
      <c r="D832" s="79" t="str">
        <f>IFERROR(__xludf.DUMMYFUNCTION("""COMPUTED_VALUE"""),"Alcohol/Weed")</f>
        <v>Alcohol/Weed</v>
      </c>
      <c r="E832" s="108" t="str">
        <f t="shared" si="1"/>
        <v>Oct</v>
      </c>
      <c r="F832" s="79" t="str">
        <f>IFERROR(__xludf.DUMMYFUNCTION("""COMPUTED_VALUE"""),"Shaeffer")</f>
        <v>Shaeffer</v>
      </c>
    </row>
    <row r="833">
      <c r="A833" s="85">
        <f>IFERROR(__xludf.DUMMYFUNCTION("""COMPUTED_VALUE"""),45585.0)</f>
        <v>45585</v>
      </c>
      <c r="B833" s="111">
        <f>IFERROR(__xludf.DUMMYFUNCTION("""COMPUTED_VALUE"""),38.02)</f>
        <v>38.02</v>
      </c>
      <c r="C833" s="79" t="str">
        <f>IFERROR(__xludf.DUMMYFUNCTION("""COMPUTED_VALUE"""),"Pitanga")</f>
        <v>Pitanga</v>
      </c>
      <c r="D833" s="79" t="str">
        <f>IFERROR(__xludf.DUMMYFUNCTION("""COMPUTED_VALUE"""),"Work Meals")</f>
        <v>Work Meals</v>
      </c>
      <c r="E833" s="108" t="str">
        <f t="shared" si="1"/>
        <v>Oct</v>
      </c>
      <c r="F833" s="79" t="str">
        <f>IFERROR(__xludf.DUMMYFUNCTION("""COMPUTED_VALUE"""),"Shaeffer")</f>
        <v>Shaeffer</v>
      </c>
    </row>
    <row r="834">
      <c r="A834" s="85">
        <f>IFERROR(__xludf.DUMMYFUNCTION("""COMPUTED_VALUE"""),45586.0)</f>
        <v>45586</v>
      </c>
      <c r="B834" s="111">
        <f>IFERROR(__xludf.DUMMYFUNCTION("""COMPUTED_VALUE"""),21.41)</f>
        <v>21.41</v>
      </c>
      <c r="C834" s="79" t="str">
        <f>IFERROR(__xludf.DUMMYFUNCTION("""COMPUTED_VALUE"""),"Bluecollar")</f>
        <v>Bluecollar</v>
      </c>
      <c r="D834" s="79" t="str">
        <f>IFERROR(__xludf.DUMMYFUNCTION("""COMPUTED_VALUE"""),"Work Meals")</f>
        <v>Work Meals</v>
      </c>
      <c r="E834" s="108" t="str">
        <f t="shared" si="1"/>
        <v>Oct</v>
      </c>
      <c r="F834" s="79" t="str">
        <f>IFERROR(__xludf.DUMMYFUNCTION("""COMPUTED_VALUE"""),"Shaeffer")</f>
        <v>Shaeffer</v>
      </c>
    </row>
    <row r="835">
      <c r="A835" s="85">
        <f>IFERROR(__xludf.DUMMYFUNCTION("""COMPUTED_VALUE"""),45587.0)</f>
        <v>45587</v>
      </c>
      <c r="B835" s="111">
        <f>IFERROR(__xludf.DUMMYFUNCTION("""COMPUTED_VALUE"""),868.28)</f>
        <v>868.28</v>
      </c>
      <c r="C835" s="79" t="str">
        <f>IFERROR(__xludf.DUMMYFUNCTION("""COMPUTED_VALUE"""),"Row Sample Sale")</f>
        <v>Row Sample Sale</v>
      </c>
      <c r="D835" s="79" t="str">
        <f>IFERROR(__xludf.DUMMYFUNCTION("""COMPUTED_VALUE"""),"Clothing")</f>
        <v>Clothing</v>
      </c>
      <c r="E835" s="108" t="str">
        <f t="shared" si="1"/>
        <v>Oct</v>
      </c>
      <c r="F835" s="79" t="str">
        <f>IFERROR(__xludf.DUMMYFUNCTION("""COMPUTED_VALUE"""),"Shaeffer")</f>
        <v>Shaeffer</v>
      </c>
    </row>
    <row r="836">
      <c r="A836" s="85">
        <f>IFERROR(__xludf.DUMMYFUNCTION("""COMPUTED_VALUE"""),45574.0)</f>
        <v>45574</v>
      </c>
      <c r="B836" s="111">
        <f>IFERROR(__xludf.DUMMYFUNCTION("""COMPUTED_VALUE"""),50.0)</f>
        <v>50</v>
      </c>
      <c r="C836" s="79" t="str">
        <f>IFERROR(__xludf.DUMMYFUNCTION("""COMPUTED_VALUE"""),"mischa flower shop")</f>
        <v>mischa flower shop</v>
      </c>
      <c r="D836" s="79" t="str">
        <f>IFERROR(__xludf.DUMMYFUNCTION("""COMPUTED_VALUE"""),"Alcohol/Weed")</f>
        <v>Alcohol/Weed</v>
      </c>
      <c r="E836" s="108" t="str">
        <f t="shared" si="1"/>
        <v>Oct</v>
      </c>
      <c r="F836" s="79" t="str">
        <f>IFERROR(__xludf.DUMMYFUNCTION("""COMPUTED_VALUE"""),"Shaeffer")</f>
        <v>Shaeffer</v>
      </c>
    </row>
    <row r="837">
      <c r="A837" s="85">
        <f>IFERROR(__xludf.DUMMYFUNCTION("""COMPUTED_VALUE"""),45589.0)</f>
        <v>45589</v>
      </c>
      <c r="B837" s="111">
        <f>IFERROR(__xludf.DUMMYFUNCTION("""COMPUTED_VALUE"""),12.0)</f>
        <v>12</v>
      </c>
      <c r="C837" s="79" t="str">
        <f>IFERROR(__xludf.DUMMYFUNCTION("""COMPUTED_VALUE"""),"Sam's Falafel ")</f>
        <v>Sam's Falafel </v>
      </c>
      <c r="D837" s="79" t="str">
        <f>IFERROR(__xludf.DUMMYFUNCTION("""COMPUTED_VALUE"""),"Work Meals")</f>
        <v>Work Meals</v>
      </c>
      <c r="E837" s="108" t="str">
        <f t="shared" si="1"/>
        <v>Oct</v>
      </c>
      <c r="F837" s="79" t="str">
        <f>IFERROR(__xludf.DUMMYFUNCTION("""COMPUTED_VALUE"""),"Gil")</f>
        <v>Gil</v>
      </c>
    </row>
    <row r="838">
      <c r="A838" s="85">
        <f>IFERROR(__xludf.DUMMYFUNCTION("""COMPUTED_VALUE"""),45590.0)</f>
        <v>45590</v>
      </c>
      <c r="B838" s="111">
        <f>IFERROR(__xludf.DUMMYFUNCTION("""COMPUTED_VALUE"""),16.31)</f>
        <v>16.31</v>
      </c>
      <c r="C838" s="79" t="str">
        <f>IFERROR(__xludf.DUMMYFUNCTION("""COMPUTED_VALUE"""),"Shake Shack ")</f>
        <v>Shake Shack </v>
      </c>
      <c r="D838" s="79" t="str">
        <f>IFERROR(__xludf.DUMMYFUNCTION("""COMPUTED_VALUE"""),"Work Meals")</f>
        <v>Work Meals</v>
      </c>
      <c r="E838" s="108" t="str">
        <f t="shared" si="1"/>
        <v>Oct</v>
      </c>
      <c r="F838" s="79" t="str">
        <f>IFERROR(__xludf.DUMMYFUNCTION("""COMPUTED_VALUE"""),"Gil")</f>
        <v>Gil</v>
      </c>
    </row>
    <row r="839">
      <c r="A839" s="85">
        <f>IFERROR(__xludf.DUMMYFUNCTION("""COMPUTED_VALUE"""),45586.0)</f>
        <v>45586</v>
      </c>
      <c r="B839" s="111">
        <f>IFERROR(__xludf.DUMMYFUNCTION("""COMPUTED_VALUE"""),15.0)</f>
        <v>15</v>
      </c>
      <c r="C839" s="79" t="str">
        <f>IFERROR(__xludf.DUMMYFUNCTION("""COMPUTED_VALUE"""),"Soho cannabis")</f>
        <v>Soho cannabis</v>
      </c>
      <c r="D839" s="79" t="str">
        <f>IFERROR(__xludf.DUMMYFUNCTION("""COMPUTED_VALUE"""),"Alcohol/Weed")</f>
        <v>Alcohol/Weed</v>
      </c>
      <c r="E839" s="108" t="str">
        <f t="shared" si="1"/>
        <v>Oct</v>
      </c>
      <c r="F839" s="79" t="str">
        <f>IFERROR(__xludf.DUMMYFUNCTION("""COMPUTED_VALUE"""),"Shaeffer")</f>
        <v>Shaeffer</v>
      </c>
    </row>
    <row r="840">
      <c r="A840" s="85">
        <f>IFERROR(__xludf.DUMMYFUNCTION("""COMPUTED_VALUE"""),45589.0)</f>
        <v>45589</v>
      </c>
      <c r="B840" s="111">
        <f>IFERROR(__xludf.DUMMYFUNCTION("""COMPUTED_VALUE"""),88.4)</f>
        <v>88.4</v>
      </c>
      <c r="C840" s="79" t="str">
        <f>IFERROR(__xludf.DUMMYFUNCTION("""COMPUTED_VALUE"""),"Korres")</f>
        <v>Korres</v>
      </c>
      <c r="D840" s="79" t="str">
        <f>IFERROR(__xludf.DUMMYFUNCTION("""COMPUTED_VALUE"""),"Personal")</f>
        <v>Personal</v>
      </c>
      <c r="E840" s="108" t="str">
        <f t="shared" si="1"/>
        <v>Oct</v>
      </c>
      <c r="F840" s="79" t="str">
        <f>IFERROR(__xludf.DUMMYFUNCTION("""COMPUTED_VALUE"""),"Shaeffer")</f>
        <v>Shaeffer</v>
      </c>
    </row>
    <row r="841">
      <c r="A841" s="85">
        <f>IFERROR(__xludf.DUMMYFUNCTION("""COMPUTED_VALUE"""),45584.0)</f>
        <v>45584</v>
      </c>
      <c r="B841" s="111">
        <f>IFERROR(__xludf.DUMMYFUNCTION("""COMPUTED_VALUE"""),5.0)</f>
        <v>5</v>
      </c>
      <c r="C841" s="79" t="str">
        <f>IFERROR(__xludf.DUMMYFUNCTION("""COMPUTED_VALUE"""),"Patreon")</f>
        <v>Patreon</v>
      </c>
      <c r="D841" s="79" t="str">
        <f>IFERROR(__xludf.DUMMYFUNCTION("""COMPUTED_VALUE"""),"Subscriptions")</f>
        <v>Subscriptions</v>
      </c>
      <c r="E841" s="108" t="str">
        <f t="shared" si="1"/>
        <v>Oct</v>
      </c>
      <c r="F841" s="79" t="str">
        <f>IFERROR(__xludf.DUMMYFUNCTION("""COMPUTED_VALUE"""),"Gil")</f>
        <v>Gil</v>
      </c>
    </row>
    <row r="842">
      <c r="A842" s="85">
        <f>IFERROR(__xludf.DUMMYFUNCTION("""COMPUTED_VALUE"""),45536.0)</f>
        <v>45536</v>
      </c>
      <c r="B842" s="111">
        <f>IFERROR(__xludf.DUMMYFUNCTION("""COMPUTED_VALUE"""),12.41)</f>
        <v>12.41</v>
      </c>
      <c r="C842" s="79" t="str">
        <f>IFERROR(__xludf.DUMMYFUNCTION("""COMPUTED_VALUE"""),"Hala Coffee")</f>
        <v>Hala Coffee</v>
      </c>
      <c r="D842" s="79" t="str">
        <f>IFERROR(__xludf.DUMMYFUNCTION("""COMPUTED_VALUE"""),"Work Meals")</f>
        <v>Work Meals</v>
      </c>
      <c r="E842" s="108" t="str">
        <f t="shared" si="1"/>
        <v>Sep</v>
      </c>
      <c r="F842" s="79" t="str">
        <f>IFERROR(__xludf.DUMMYFUNCTION("""COMPUTED_VALUE"""),"Gil")</f>
        <v>Gil</v>
      </c>
    </row>
    <row r="843">
      <c r="A843" s="85">
        <f>IFERROR(__xludf.DUMMYFUNCTION("""COMPUTED_VALUE"""),45546.0)</f>
        <v>45546</v>
      </c>
      <c r="B843" s="111">
        <f>IFERROR(__xludf.DUMMYFUNCTION("""COMPUTED_VALUE"""),5.89)</f>
        <v>5.89</v>
      </c>
      <c r="C843" s="79" t="str">
        <f>IFERROR(__xludf.DUMMYFUNCTION("""COMPUTED_VALUE"""),"Sullivan St. Baking Co.")</f>
        <v>Sullivan St. Baking Co.</v>
      </c>
      <c r="D843" s="79" t="str">
        <f>IFERROR(__xludf.DUMMYFUNCTION("""COMPUTED_VALUE"""),"Work Meals")</f>
        <v>Work Meals</v>
      </c>
      <c r="E843" s="108" t="str">
        <f t="shared" si="1"/>
        <v>Sep</v>
      </c>
      <c r="F843" s="79" t="str">
        <f>IFERROR(__xludf.DUMMYFUNCTION("""COMPUTED_VALUE"""),"Gil")</f>
        <v>Gil</v>
      </c>
    </row>
    <row r="844">
      <c r="A844" s="85">
        <f>IFERROR(__xludf.DUMMYFUNCTION("""COMPUTED_VALUE"""),45557.0)</f>
        <v>45557</v>
      </c>
      <c r="B844" s="111">
        <f>IFERROR(__xludf.DUMMYFUNCTION("""COMPUTED_VALUE"""),9.98)</f>
        <v>9.98</v>
      </c>
      <c r="C844" s="79" t="str">
        <f>IFERROR(__xludf.DUMMYFUNCTION("""COMPUTED_VALUE"""),"Mano's Pizzeria")</f>
        <v>Mano's Pizzeria</v>
      </c>
      <c r="D844" s="79" t="str">
        <f>IFERROR(__xludf.DUMMYFUNCTION("""COMPUTED_VALUE"""),"Meals")</f>
        <v>Meals</v>
      </c>
      <c r="E844" s="108" t="str">
        <f t="shared" si="1"/>
        <v>Sep</v>
      </c>
      <c r="F844" s="79" t="str">
        <f>IFERROR(__xludf.DUMMYFUNCTION("""COMPUTED_VALUE"""),"Gil")</f>
        <v>Gil</v>
      </c>
    </row>
    <row r="845">
      <c r="A845" s="85">
        <f>IFERROR(__xludf.DUMMYFUNCTION("""COMPUTED_VALUE"""),45557.0)</f>
        <v>45557</v>
      </c>
      <c r="B845" s="111">
        <f>IFERROR(__xludf.DUMMYFUNCTION("""COMPUTED_VALUE"""),19.35)</f>
        <v>19.35</v>
      </c>
      <c r="C845" s="79" t="str">
        <f>IFERROR(__xludf.DUMMYFUNCTION("""COMPUTED_VALUE"""),"La Cabra")</f>
        <v>La Cabra</v>
      </c>
      <c r="D845" s="79" t="str">
        <f>IFERROR(__xludf.DUMMYFUNCTION("""COMPUTED_VALUE"""),"Meals")</f>
        <v>Meals</v>
      </c>
      <c r="E845" s="108" t="str">
        <f t="shared" si="1"/>
        <v>Sep</v>
      </c>
      <c r="F845" s="79" t="str">
        <f>IFERROR(__xludf.DUMMYFUNCTION("""COMPUTED_VALUE"""),"Gil")</f>
        <v>Gil</v>
      </c>
    </row>
    <row r="846">
      <c r="A846" s="85">
        <f>IFERROR(__xludf.DUMMYFUNCTION("""COMPUTED_VALUE"""),45558.0)</f>
        <v>45558</v>
      </c>
      <c r="B846" s="111">
        <f>IFERROR(__xludf.DUMMYFUNCTION("""COMPUTED_VALUE"""),14.69)</f>
        <v>14.69</v>
      </c>
      <c r="C846" s="79" t="str">
        <f>IFERROR(__xludf.DUMMYFUNCTION("""COMPUTED_VALUE"""),"King of Falafel")</f>
        <v>King of Falafel</v>
      </c>
      <c r="D846" s="79" t="str">
        <f>IFERROR(__xludf.DUMMYFUNCTION("""COMPUTED_VALUE"""),"Work Meals")</f>
        <v>Work Meals</v>
      </c>
      <c r="E846" s="108" t="str">
        <f t="shared" si="1"/>
        <v>Sep</v>
      </c>
      <c r="F846" s="79" t="str">
        <f>IFERROR(__xludf.DUMMYFUNCTION("""COMPUTED_VALUE"""),"Gil")</f>
        <v>Gil</v>
      </c>
    </row>
    <row r="847">
      <c r="A847" s="85">
        <f>IFERROR(__xludf.DUMMYFUNCTION("""COMPUTED_VALUE"""),45559.0)</f>
        <v>45559</v>
      </c>
      <c r="B847" s="111">
        <f>IFERROR(__xludf.DUMMYFUNCTION("""COMPUTED_VALUE"""),37.37)</f>
        <v>37.37</v>
      </c>
      <c r="C847" s="79" t="str">
        <f>IFERROR(__xludf.DUMMYFUNCTION("""COMPUTED_VALUE"""),"Thai Hot Box")</f>
        <v>Thai Hot Box</v>
      </c>
      <c r="D847" s="79" t="str">
        <f>IFERROR(__xludf.DUMMYFUNCTION("""COMPUTED_VALUE"""),"Work Meals")</f>
        <v>Work Meals</v>
      </c>
      <c r="E847" s="108" t="str">
        <f t="shared" si="1"/>
        <v>Sep</v>
      </c>
      <c r="F847" s="79" t="str">
        <f>IFERROR(__xludf.DUMMYFUNCTION("""COMPUTED_VALUE"""),"Gil")</f>
        <v>Gil</v>
      </c>
    </row>
    <row r="848">
      <c r="A848" s="85">
        <f>IFERROR(__xludf.DUMMYFUNCTION("""COMPUTED_VALUE"""),45565.0)</f>
        <v>45565</v>
      </c>
      <c r="B848" s="111">
        <f>IFERROR(__xludf.DUMMYFUNCTION("""COMPUTED_VALUE"""),138.9)</f>
        <v>138.9</v>
      </c>
      <c r="C848" s="79" t="str">
        <f>IFERROR(__xludf.DUMMYFUNCTION("""COMPUTED_VALUE"""),"MTA")</f>
        <v>MTA</v>
      </c>
      <c r="D848" s="79" t="str">
        <f>IFERROR(__xludf.DUMMYFUNCTION("""COMPUTED_VALUE"""),"Transportation")</f>
        <v>Transportation</v>
      </c>
      <c r="E848" s="108" t="str">
        <f t="shared" si="1"/>
        <v>Sep</v>
      </c>
      <c r="F848" s="79" t="str">
        <f>IFERROR(__xludf.DUMMYFUNCTION("""COMPUTED_VALUE"""),"Gil")</f>
        <v>Gil</v>
      </c>
    </row>
    <row r="849">
      <c r="A849" s="85">
        <f>IFERROR(__xludf.DUMMYFUNCTION("""COMPUTED_VALUE"""),45565.0)</f>
        <v>45565</v>
      </c>
      <c r="B849" s="111">
        <f>IFERROR(__xludf.DUMMYFUNCTION("""COMPUTED_VALUE"""),2.5)</f>
        <v>2.5</v>
      </c>
      <c r="C849" s="79" t="str">
        <f>IFERROR(__xludf.DUMMYFUNCTION("""COMPUTED_VALUE"""),"Westside Market")</f>
        <v>Westside Market</v>
      </c>
      <c r="D849" s="79" t="str">
        <f>IFERROR(__xludf.DUMMYFUNCTION("""COMPUTED_VALUE"""),"Groceries")</f>
        <v>Groceries</v>
      </c>
      <c r="E849" s="108" t="str">
        <f t="shared" si="1"/>
        <v>Sep</v>
      </c>
      <c r="F849" s="79" t="str">
        <f>IFERROR(__xludf.DUMMYFUNCTION("""COMPUTED_VALUE"""),"Gil")</f>
        <v>Gil</v>
      </c>
    </row>
    <row r="850">
      <c r="A850" s="85">
        <f>IFERROR(__xludf.DUMMYFUNCTION("""COMPUTED_VALUE"""),45560.0)</f>
        <v>45560</v>
      </c>
      <c r="B850" s="111">
        <f>IFERROR(__xludf.DUMMYFUNCTION("""COMPUTED_VALUE"""),4.0)</f>
        <v>4</v>
      </c>
      <c r="C850" s="79" t="str">
        <f>IFERROR(__xludf.DUMMYFUNCTION("""COMPUTED_VALUE"""),"Lost Bread Co.")</f>
        <v>Lost Bread Co.</v>
      </c>
      <c r="D850" s="79" t="str">
        <f>IFERROR(__xludf.DUMMYFUNCTION("""COMPUTED_VALUE"""),"Meals")</f>
        <v>Meals</v>
      </c>
      <c r="E850" s="108" t="str">
        <f t="shared" si="1"/>
        <v>Sep</v>
      </c>
      <c r="F850" s="79" t="str">
        <f>IFERROR(__xludf.DUMMYFUNCTION("""COMPUTED_VALUE"""),"Gil")</f>
        <v>Gil</v>
      </c>
    </row>
    <row r="851">
      <c r="A851" s="85">
        <f>IFERROR(__xludf.DUMMYFUNCTION("""COMPUTED_VALUE"""),45560.0)</f>
        <v>45560</v>
      </c>
      <c r="B851" s="111">
        <f>IFERROR(__xludf.DUMMYFUNCTION("""COMPUTED_VALUE"""),4.41)</f>
        <v>4.41</v>
      </c>
      <c r="C851" s="79" t="str">
        <f>IFERROR(__xludf.DUMMYFUNCTION("""COMPUTED_VALUE"""),"Westside Market")</f>
        <v>Westside Market</v>
      </c>
      <c r="D851" s="79" t="str">
        <f>IFERROR(__xludf.DUMMYFUNCTION("""COMPUTED_VALUE"""),"Work Meals")</f>
        <v>Work Meals</v>
      </c>
      <c r="E851" s="108" t="str">
        <f t="shared" si="1"/>
        <v>Sep</v>
      </c>
      <c r="F851" s="79" t="str">
        <f>IFERROR(__xludf.DUMMYFUNCTION("""COMPUTED_VALUE"""),"Gil")</f>
        <v>Gil</v>
      </c>
    </row>
    <row r="852">
      <c r="A852" s="85">
        <f>IFERROR(__xludf.DUMMYFUNCTION("""COMPUTED_VALUE"""),45558.0)</f>
        <v>45558</v>
      </c>
      <c r="B852" s="111">
        <f>IFERROR(__xludf.DUMMYFUNCTION("""COMPUTED_VALUE"""),1.67)</f>
        <v>1.67</v>
      </c>
      <c r="C852" s="79" t="str">
        <f>IFERROR(__xludf.DUMMYFUNCTION("""COMPUTED_VALUE"""),"Westside Market")</f>
        <v>Westside Market</v>
      </c>
      <c r="D852" s="79" t="str">
        <f>IFERROR(__xludf.DUMMYFUNCTION("""COMPUTED_VALUE"""),"Work Meals")</f>
        <v>Work Meals</v>
      </c>
      <c r="E852" s="108" t="str">
        <f t="shared" si="1"/>
        <v>Sep</v>
      </c>
      <c r="F852" s="79" t="str">
        <f>IFERROR(__xludf.DUMMYFUNCTION("""COMPUTED_VALUE"""),"Gil")</f>
        <v>Gil</v>
      </c>
    </row>
    <row r="853">
      <c r="A853" s="85">
        <f>IFERROR(__xludf.DUMMYFUNCTION("""COMPUTED_VALUE"""),45552.0)</f>
        <v>45552</v>
      </c>
      <c r="B853" s="111">
        <f>IFERROR(__xludf.DUMMYFUNCTION("""COMPUTED_VALUE"""),21.05)</f>
        <v>21.05</v>
      </c>
      <c r="C853" s="79" t="str">
        <f>IFERROR(__xludf.DUMMYFUNCTION("""COMPUTED_VALUE"""),"Katagiri")</f>
        <v>Katagiri</v>
      </c>
      <c r="D853" s="79" t="str">
        <f>IFERROR(__xludf.DUMMYFUNCTION("""COMPUTED_VALUE"""),"Meals")</f>
        <v>Meals</v>
      </c>
      <c r="E853" s="108" t="str">
        <f t="shared" si="1"/>
        <v>Sep</v>
      </c>
      <c r="F853" s="79" t="str">
        <f>IFERROR(__xludf.DUMMYFUNCTION("""COMPUTED_VALUE"""),"Gil")</f>
        <v>Gil</v>
      </c>
    </row>
    <row r="854">
      <c r="A854" s="85">
        <f>IFERROR(__xludf.DUMMYFUNCTION("""COMPUTED_VALUE"""),45547.0)</f>
        <v>45547</v>
      </c>
      <c r="B854" s="111">
        <f>IFERROR(__xludf.DUMMYFUNCTION("""COMPUTED_VALUE"""),4.98)</f>
        <v>4.98</v>
      </c>
      <c r="C854" s="79" t="str">
        <f>IFERROR(__xludf.DUMMYFUNCTION("""COMPUTED_VALUE"""),"Amazon - Compression Sleeve")</f>
        <v>Amazon - Compression Sleeve</v>
      </c>
      <c r="D854" s="79" t="str">
        <f>IFERROR(__xludf.DUMMYFUNCTION("""COMPUTED_VALUE"""),"Personal")</f>
        <v>Personal</v>
      </c>
      <c r="E854" s="108" t="str">
        <f t="shared" si="1"/>
        <v>Sep</v>
      </c>
      <c r="F854" s="79" t="str">
        <f>IFERROR(__xludf.DUMMYFUNCTION("""COMPUTED_VALUE"""),"Gil")</f>
        <v>Gil</v>
      </c>
    </row>
    <row r="855">
      <c r="A855" s="85">
        <f>IFERROR(__xludf.DUMMYFUNCTION("""COMPUTED_VALUE"""),45545.0)</f>
        <v>45545</v>
      </c>
      <c r="B855" s="111">
        <f>IFERROR(__xludf.DUMMYFUNCTION("""COMPUTED_VALUE"""),20.04)</f>
        <v>20.04</v>
      </c>
      <c r="C855" s="79" t="str">
        <f>IFERROR(__xludf.DUMMYFUNCTION("""COMPUTED_VALUE"""),"Regal Essex Crossing - Concesssion")</f>
        <v>Regal Essex Crossing - Concesssion</v>
      </c>
      <c r="D855" s="79" t="str">
        <f>IFERROR(__xludf.DUMMYFUNCTION("""COMPUTED_VALUE"""),"Entertainment")</f>
        <v>Entertainment</v>
      </c>
      <c r="E855" s="108" t="str">
        <f t="shared" si="1"/>
        <v>Sep</v>
      </c>
      <c r="F855" s="79" t="str">
        <f>IFERROR(__xludf.DUMMYFUNCTION("""COMPUTED_VALUE"""),"Gil")</f>
        <v>Gil</v>
      </c>
    </row>
    <row r="856">
      <c r="A856" s="85">
        <f>IFERROR(__xludf.DUMMYFUNCTION("""COMPUTED_VALUE"""),45541.0)</f>
        <v>45541</v>
      </c>
      <c r="B856" s="111">
        <f>IFERROR(__xludf.DUMMYFUNCTION("""COMPUTED_VALUE"""),83.64)</f>
        <v>83.64</v>
      </c>
      <c r="C856" s="79" t="str">
        <f>IFERROR(__xludf.DUMMYFUNCTION("""COMPUTED_VALUE"""),"Etsy - Canopic Studio")</f>
        <v>Etsy - Canopic Studio</v>
      </c>
      <c r="D856" s="79" t="str">
        <f>IFERROR(__xludf.DUMMYFUNCTION("""COMPUTED_VALUE"""),"Personal")</f>
        <v>Personal</v>
      </c>
      <c r="E856" s="108" t="str">
        <f t="shared" si="1"/>
        <v>Sep</v>
      </c>
      <c r="F856" s="79" t="str">
        <f>IFERROR(__xludf.DUMMYFUNCTION("""COMPUTED_VALUE"""),"Gil")</f>
        <v>Gil</v>
      </c>
    </row>
    <row r="857">
      <c r="A857" s="85">
        <f>IFERROR(__xludf.DUMMYFUNCTION("""COMPUTED_VALUE"""),45588.0)</f>
        <v>45588</v>
      </c>
      <c r="B857" s="111">
        <f>IFERROR(__xludf.DUMMYFUNCTION("""COMPUTED_VALUE"""),299.92)</f>
        <v>299.92</v>
      </c>
      <c r="C857" s="79" t="str">
        <f>IFERROR(__xludf.DUMMYFUNCTION("""COMPUTED_VALUE"""),"Equinox")</f>
        <v>Equinox</v>
      </c>
      <c r="D857" s="79" t="str">
        <f>IFERROR(__xludf.DUMMYFUNCTION("""COMPUTED_VALUE"""),"Gym")</f>
        <v>Gym</v>
      </c>
      <c r="E857" s="108" t="str">
        <f t="shared" si="1"/>
        <v>Oct</v>
      </c>
      <c r="F857" s="79" t="str">
        <f>IFERROR(__xludf.DUMMYFUNCTION("""COMPUTED_VALUE"""),"Gil")</f>
        <v>Gil</v>
      </c>
    </row>
    <row r="858">
      <c r="A858" s="85">
        <f>IFERROR(__xludf.DUMMYFUNCTION("""COMPUTED_VALUE"""),45591.0)</f>
        <v>45591</v>
      </c>
      <c r="B858" s="111">
        <f>IFERROR(__xludf.DUMMYFUNCTION("""COMPUTED_VALUE"""),16.81)</f>
        <v>16.81</v>
      </c>
      <c r="C858" s="79" t="str">
        <f>IFERROR(__xludf.DUMMYFUNCTION("""COMPUTED_VALUE"""),"Seamless - Thai Hot Box")</f>
        <v>Seamless - Thai Hot Box</v>
      </c>
      <c r="D858" s="79" t="str">
        <f>IFERROR(__xludf.DUMMYFUNCTION("""COMPUTED_VALUE"""),"Work Meals")</f>
        <v>Work Meals</v>
      </c>
      <c r="E858" s="108" t="str">
        <f t="shared" si="1"/>
        <v>Oct</v>
      </c>
      <c r="F858" s="79" t="str">
        <f>IFERROR(__xludf.DUMMYFUNCTION("""COMPUTED_VALUE"""),"Gil")</f>
        <v>Gil</v>
      </c>
    </row>
    <row r="859">
      <c r="A859" s="85">
        <f>IFERROR(__xludf.DUMMYFUNCTION("""COMPUTED_VALUE"""),45591.0)</f>
        <v>45591</v>
      </c>
      <c r="B859" s="111">
        <f>IFERROR(__xludf.DUMMYFUNCTION("""COMPUTED_VALUE"""),5.63)</f>
        <v>5.63</v>
      </c>
      <c r="C859" s="79" t="str">
        <f>IFERROR(__xludf.DUMMYFUNCTION("""COMPUTED_VALUE"""),"Birch Coffee")</f>
        <v>Birch Coffee</v>
      </c>
      <c r="D859" s="79" t="str">
        <f>IFERROR(__xludf.DUMMYFUNCTION("""COMPUTED_VALUE"""),"Work Meals")</f>
        <v>Work Meals</v>
      </c>
      <c r="E859" s="108" t="str">
        <f t="shared" si="1"/>
        <v>Oct</v>
      </c>
      <c r="F859" s="79" t="str">
        <f>IFERROR(__xludf.DUMMYFUNCTION("""COMPUTED_VALUE"""),"Gil")</f>
        <v>Gil</v>
      </c>
    </row>
    <row r="860">
      <c r="A860" s="85">
        <f>IFERROR(__xludf.DUMMYFUNCTION("""COMPUTED_VALUE"""),45580.0)</f>
        <v>45580</v>
      </c>
      <c r="B860" s="111">
        <f>IFERROR(__xludf.DUMMYFUNCTION("""COMPUTED_VALUE"""),27.64)</f>
        <v>27.64</v>
      </c>
      <c r="C860" s="79" t="str">
        <f>IFERROR(__xludf.DUMMYFUNCTION("""COMPUTED_VALUE"""),"Uber to VS Fashion Show")</f>
        <v>Uber to VS Fashion Show</v>
      </c>
      <c r="D860" s="79" t="str">
        <f>IFERROR(__xludf.DUMMYFUNCTION("""COMPUTED_VALUE"""),"Other")</f>
        <v>Other</v>
      </c>
      <c r="E860" s="108" t="str">
        <f t="shared" si="1"/>
        <v>Oct</v>
      </c>
      <c r="F860" s="79" t="str">
        <f>IFERROR(__xludf.DUMMYFUNCTION("""COMPUTED_VALUE"""),"Gil")</f>
        <v>Gil</v>
      </c>
    </row>
    <row r="861">
      <c r="A861" s="85">
        <f>IFERROR(__xludf.DUMMYFUNCTION("""COMPUTED_VALUE"""),45579.0)</f>
        <v>45579</v>
      </c>
      <c r="B861" s="111">
        <f>IFERROR(__xludf.DUMMYFUNCTION("""COMPUTED_VALUE"""),22.94)</f>
        <v>22.94</v>
      </c>
      <c r="C861" s="79" t="str">
        <f>IFERROR(__xludf.DUMMYFUNCTION("""COMPUTED_VALUE"""),"Uber to VS Fashion Show")</f>
        <v>Uber to VS Fashion Show</v>
      </c>
      <c r="D861" s="79" t="str">
        <f>IFERROR(__xludf.DUMMYFUNCTION("""COMPUTED_VALUE"""),"Other")</f>
        <v>Other</v>
      </c>
      <c r="E861" s="108" t="str">
        <f t="shared" si="1"/>
        <v>Oct</v>
      </c>
      <c r="F861" s="79" t="str">
        <f>IFERROR(__xludf.DUMMYFUNCTION("""COMPUTED_VALUE"""),"Gil")</f>
        <v>Gil</v>
      </c>
    </row>
    <row r="862">
      <c r="A862" s="85">
        <f>IFERROR(__xludf.DUMMYFUNCTION("""COMPUTED_VALUE"""),45565.0)</f>
        <v>45565</v>
      </c>
      <c r="B862" s="111">
        <f>IFERROR(__xludf.DUMMYFUNCTION("""COMPUTED_VALUE"""),21.78)</f>
        <v>21.78</v>
      </c>
      <c r="C862" s="79" t="str">
        <f>IFERROR(__xludf.DUMMYFUNCTION("""COMPUTED_VALUE"""),"OpenAI ChatGPT")</f>
        <v>OpenAI ChatGPT</v>
      </c>
      <c r="D862" s="79" t="str">
        <f>IFERROR(__xludf.DUMMYFUNCTION("""COMPUTED_VALUE"""),"Subscriptions")</f>
        <v>Subscriptions</v>
      </c>
      <c r="E862" s="108" t="str">
        <f t="shared" si="1"/>
        <v>Sep</v>
      </c>
      <c r="F862" s="79" t="str">
        <f>IFERROR(__xludf.DUMMYFUNCTION("""COMPUTED_VALUE"""),"Gil")</f>
        <v>Gil</v>
      </c>
    </row>
    <row r="863">
      <c r="A863" s="85">
        <f>IFERROR(__xludf.DUMMYFUNCTION("""COMPUTED_VALUE"""),45576.0)</f>
        <v>45576</v>
      </c>
      <c r="B863" s="111">
        <f>IFERROR(__xludf.DUMMYFUNCTION("""COMPUTED_VALUE"""),64.77)</f>
        <v>64.77</v>
      </c>
      <c r="C863" s="79" t="str">
        <f>IFERROR(__xludf.DUMMYFUNCTION("""COMPUTED_VALUE"""),"Aer")</f>
        <v>Aer</v>
      </c>
      <c r="D863" s="79" t="str">
        <f>IFERROR(__xludf.DUMMYFUNCTION("""COMPUTED_VALUE"""),"Personal")</f>
        <v>Personal</v>
      </c>
      <c r="E863" s="108" t="str">
        <f t="shared" si="1"/>
        <v>Oct</v>
      </c>
      <c r="F863" s="79" t="str">
        <f>IFERROR(__xludf.DUMMYFUNCTION("""COMPUTED_VALUE"""),"Gil")</f>
        <v>Gil</v>
      </c>
    </row>
    <row r="864">
      <c r="A864" s="85">
        <f>IFERROR(__xludf.DUMMYFUNCTION("""COMPUTED_VALUE"""),45555.0)</f>
        <v>45555</v>
      </c>
      <c r="B864" s="111">
        <f>IFERROR(__xludf.DUMMYFUNCTION("""COMPUTED_VALUE"""),161.84)</f>
        <v>161.84</v>
      </c>
      <c r="C864" s="79" t="str">
        <f>IFERROR(__xludf.DUMMYFUNCTION("""COMPUTED_VALUE"""),"Amazon - Rug and Toothbrush Heads")</f>
        <v>Amazon - Rug and Toothbrush Heads</v>
      </c>
      <c r="D864" s="79" t="str">
        <f>IFERROR(__xludf.DUMMYFUNCTION("""COMPUTED_VALUE"""),"Household")</f>
        <v>Household</v>
      </c>
      <c r="E864" s="108" t="str">
        <f t="shared" si="1"/>
        <v>Sep</v>
      </c>
      <c r="F864" s="79" t="str">
        <f>IFERROR(__xludf.DUMMYFUNCTION("""COMPUTED_VALUE"""),"Gil")</f>
        <v>Gil</v>
      </c>
    </row>
    <row r="865">
      <c r="A865" s="85">
        <f>IFERROR(__xludf.DUMMYFUNCTION("""COMPUTED_VALUE"""),45562.0)</f>
        <v>45562</v>
      </c>
      <c r="B865" s="111">
        <f>IFERROR(__xludf.DUMMYFUNCTION("""COMPUTED_VALUE"""),109.95)</f>
        <v>109.95</v>
      </c>
      <c r="C865" s="79" t="str">
        <f>IFERROR(__xludf.DUMMYFUNCTION("""COMPUTED_VALUE"""),"Amazon - Asics Gel Kayano 30")</f>
        <v>Amazon - Asics Gel Kayano 30</v>
      </c>
      <c r="D865" s="79" t="str">
        <f>IFERROR(__xludf.DUMMYFUNCTION("""COMPUTED_VALUE"""),"Clothing")</f>
        <v>Clothing</v>
      </c>
      <c r="E865" s="108" t="str">
        <f t="shared" si="1"/>
        <v>Sep</v>
      </c>
      <c r="F865" s="79" t="str">
        <f>IFERROR(__xludf.DUMMYFUNCTION("""COMPUTED_VALUE"""),"Gil")</f>
        <v>Gil</v>
      </c>
    </row>
    <row r="866">
      <c r="A866" s="85">
        <f>IFERROR(__xludf.DUMMYFUNCTION("""COMPUTED_VALUE"""),45567.0)</f>
        <v>45567</v>
      </c>
      <c r="B866" s="111">
        <f>IFERROR(__xludf.DUMMYFUNCTION("""COMPUTED_VALUE"""),7.35)</f>
        <v>7.35</v>
      </c>
      <c r="C866" s="79" t="str">
        <f>IFERROR(__xludf.DUMMYFUNCTION("""COMPUTED_VALUE"""),"Amazon S&amp;S - Lutein")</f>
        <v>Amazon S&amp;S - Lutein</v>
      </c>
      <c r="D866" s="79" t="str">
        <f>IFERROR(__xludf.DUMMYFUNCTION("""COMPUTED_VALUE"""),"Personal")</f>
        <v>Personal</v>
      </c>
      <c r="E866" s="108" t="str">
        <f t="shared" si="1"/>
        <v>Oct</v>
      </c>
      <c r="F866" s="79" t="str">
        <f>IFERROR(__xludf.DUMMYFUNCTION("""COMPUTED_VALUE"""),"Gil")</f>
        <v>Gil</v>
      </c>
    </row>
    <row r="867">
      <c r="A867" s="85">
        <f>IFERROR(__xludf.DUMMYFUNCTION("""COMPUTED_VALUE"""),45563.0)</f>
        <v>45563</v>
      </c>
      <c r="B867" s="111">
        <f>IFERROR(__xludf.DUMMYFUNCTION("""COMPUTED_VALUE"""),6.98)</f>
        <v>6.98</v>
      </c>
      <c r="C867" s="79" t="str">
        <f>IFERROR(__xludf.DUMMYFUNCTION("""COMPUTED_VALUE"""),"Amazon - HD Case")</f>
        <v>Amazon - HD Case</v>
      </c>
      <c r="D867" s="79" t="str">
        <f>IFERROR(__xludf.DUMMYFUNCTION("""COMPUTED_VALUE"""),"Personal")</f>
        <v>Personal</v>
      </c>
      <c r="E867" s="108" t="str">
        <f t="shared" si="1"/>
        <v>Sep</v>
      </c>
      <c r="F867" s="79" t="str">
        <f>IFERROR(__xludf.DUMMYFUNCTION("""COMPUTED_VALUE"""),"Gil")</f>
        <v>Gil</v>
      </c>
    </row>
    <row r="868">
      <c r="A868" s="85">
        <f>IFERROR(__xludf.DUMMYFUNCTION("""COMPUTED_VALUE"""),45563.0)</f>
        <v>45563</v>
      </c>
      <c r="B868" s="111">
        <f>IFERROR(__xludf.DUMMYFUNCTION("""COMPUTED_VALUE"""),52.8)</f>
        <v>52.8</v>
      </c>
      <c r="C868" s="79" t="str">
        <f>IFERROR(__xludf.DUMMYFUNCTION("""COMPUTED_VALUE"""),"Amazon - WD 1TB My Passport")</f>
        <v>Amazon - WD 1TB My Passport</v>
      </c>
      <c r="D868" s="79" t="str">
        <f>IFERROR(__xludf.DUMMYFUNCTION("""COMPUTED_VALUE"""),"Personal")</f>
        <v>Personal</v>
      </c>
      <c r="E868" s="108" t="str">
        <f t="shared" si="1"/>
        <v>Sep</v>
      </c>
      <c r="F868" s="79" t="str">
        <f>IFERROR(__xludf.DUMMYFUNCTION("""COMPUTED_VALUE"""),"Gil")</f>
        <v>Gil</v>
      </c>
    </row>
    <row r="869">
      <c r="A869" s="85">
        <f>IFERROR(__xludf.DUMMYFUNCTION("""COMPUTED_VALUE"""),45565.0)</f>
        <v>45565</v>
      </c>
      <c r="B869" s="111">
        <f>IFERROR(__xludf.DUMMYFUNCTION("""COMPUTED_VALUE"""),14.28)</f>
        <v>14.28</v>
      </c>
      <c r="C869" s="79" t="str">
        <f>IFERROR(__xludf.DUMMYFUNCTION("""COMPUTED_VALUE"""),"Amazon - Compression Socks")</f>
        <v>Amazon - Compression Socks</v>
      </c>
      <c r="D869" s="79" t="str">
        <f>IFERROR(__xludf.DUMMYFUNCTION("""COMPUTED_VALUE"""),"Personal")</f>
        <v>Personal</v>
      </c>
      <c r="E869" s="108" t="str">
        <f t="shared" si="1"/>
        <v>Sep</v>
      </c>
      <c r="F869" s="79" t="str">
        <f>IFERROR(__xludf.DUMMYFUNCTION("""COMPUTED_VALUE"""),"Gil")</f>
        <v>Gil</v>
      </c>
    </row>
    <row r="870">
      <c r="A870" s="85">
        <f>IFERROR(__xludf.DUMMYFUNCTION("""COMPUTED_VALUE"""),45566.0)</f>
        <v>45566</v>
      </c>
      <c r="B870" s="111">
        <f>IFERROR(__xludf.DUMMYFUNCTION("""COMPUTED_VALUE"""),44.99)</f>
        <v>44.99</v>
      </c>
      <c r="C870" s="79" t="str">
        <f>IFERROR(__xludf.DUMMYFUNCTION("""COMPUTED_VALUE"""),"Amazon - Ankle Brace")</f>
        <v>Amazon - Ankle Brace</v>
      </c>
      <c r="D870" s="79" t="str">
        <f>IFERROR(__xludf.DUMMYFUNCTION("""COMPUTED_VALUE"""),"Personal")</f>
        <v>Personal</v>
      </c>
      <c r="E870" s="108" t="str">
        <f t="shared" si="1"/>
        <v>Oct</v>
      </c>
      <c r="F870" s="79" t="str">
        <f>IFERROR(__xludf.DUMMYFUNCTION("""COMPUTED_VALUE"""),"Gil")</f>
        <v>Gil</v>
      </c>
    </row>
    <row r="871">
      <c r="A871" s="85">
        <f>IFERROR(__xludf.DUMMYFUNCTION("""COMPUTED_VALUE"""),45591.0)</f>
        <v>45591</v>
      </c>
      <c r="B871" s="111">
        <f>IFERROR(__xludf.DUMMYFUNCTION("""COMPUTED_VALUE"""),50.0)</f>
        <v>50</v>
      </c>
      <c r="C871" s="79" t="str">
        <f>IFERROR(__xludf.DUMMYFUNCTION("""COMPUTED_VALUE"""),"Juniors- Edwin venmo")</f>
        <v>Juniors- Edwin venmo</v>
      </c>
      <c r="D871" s="79" t="str">
        <f>IFERROR(__xludf.DUMMYFUNCTION("""COMPUTED_VALUE"""),"Work Meals")</f>
        <v>Work Meals</v>
      </c>
      <c r="E871" s="108" t="str">
        <f t="shared" si="1"/>
        <v>Oct</v>
      </c>
      <c r="F871" s="79" t="str">
        <f>IFERROR(__xludf.DUMMYFUNCTION("""COMPUTED_VALUE"""),"Shaeffer")</f>
        <v>Shaeffer</v>
      </c>
    </row>
    <row r="872">
      <c r="A872" s="85">
        <f>IFERROR(__xludf.DUMMYFUNCTION("""COMPUTED_VALUE"""),45593.0)</f>
        <v>45593</v>
      </c>
      <c r="B872" s="111">
        <f>IFERROR(__xludf.DUMMYFUNCTION("""COMPUTED_VALUE"""),52.5)</f>
        <v>52.5</v>
      </c>
      <c r="C872" s="79" t="str">
        <f>IFERROR(__xludf.DUMMYFUNCTION("""COMPUTED_VALUE"""),"NYPL donation")</f>
        <v>NYPL donation</v>
      </c>
      <c r="D872" s="79" t="str">
        <f>IFERROR(__xludf.DUMMYFUNCTION("""COMPUTED_VALUE"""),"Gifts/Donations")</f>
        <v>Gifts/Donations</v>
      </c>
      <c r="E872" s="108" t="str">
        <f t="shared" si="1"/>
        <v>Oct</v>
      </c>
      <c r="F872" s="79" t="str">
        <f>IFERROR(__xludf.DUMMYFUNCTION("""COMPUTED_VALUE"""),"Shaeffer")</f>
        <v>Shaeffer</v>
      </c>
    </row>
    <row r="873">
      <c r="A873" s="85">
        <f>IFERROR(__xludf.DUMMYFUNCTION("""COMPUTED_VALUE"""),45593.0)</f>
        <v>45593</v>
      </c>
      <c r="B873" s="111">
        <f>IFERROR(__xludf.DUMMYFUNCTION("""COMPUTED_VALUE"""),7.25)</f>
        <v>7.25</v>
      </c>
      <c r="C873" s="79" t="str">
        <f>IFERROR(__xludf.DUMMYFUNCTION("""COMPUTED_VALUE"""),"Arabica - Rockefeller")</f>
        <v>Arabica - Rockefeller</v>
      </c>
      <c r="D873" s="79" t="str">
        <f>IFERROR(__xludf.DUMMYFUNCTION("""COMPUTED_VALUE"""),"Meals")</f>
        <v>Meals</v>
      </c>
      <c r="E873" s="108" t="str">
        <f t="shared" si="1"/>
        <v>Oct</v>
      </c>
      <c r="F873" s="79" t="str">
        <f>IFERROR(__xludf.DUMMYFUNCTION("""COMPUTED_VALUE"""),"Gil")</f>
        <v>Gil</v>
      </c>
    </row>
    <row r="874">
      <c r="A874" s="85">
        <f>IFERROR(__xludf.DUMMYFUNCTION("""COMPUTED_VALUE"""),45593.0)</f>
        <v>45593</v>
      </c>
      <c r="B874" s="111">
        <f>IFERROR(__xludf.DUMMYFUNCTION("""COMPUTED_VALUE"""),160.0)</f>
        <v>160</v>
      </c>
      <c r="C874" s="79" t="str">
        <f>IFERROR(__xludf.DUMMYFUNCTION("""COMPUTED_VALUE"""),"Dry cleaning")</f>
        <v>Dry cleaning</v>
      </c>
      <c r="D874" s="79" t="str">
        <f>IFERROR(__xludf.DUMMYFUNCTION("""COMPUTED_VALUE"""),"Clothing")</f>
        <v>Clothing</v>
      </c>
      <c r="E874" s="108" t="str">
        <f t="shared" si="1"/>
        <v>Oct</v>
      </c>
      <c r="F874" s="79" t="str">
        <f>IFERROR(__xludf.DUMMYFUNCTION("""COMPUTED_VALUE"""),"Shaeffer")</f>
        <v>Shaeffer</v>
      </c>
    </row>
    <row r="875">
      <c r="A875" s="85">
        <f>IFERROR(__xludf.DUMMYFUNCTION("""COMPUTED_VALUE"""),45594.0)</f>
        <v>45594</v>
      </c>
      <c r="B875" s="111">
        <f>IFERROR(__xludf.DUMMYFUNCTION("""COMPUTED_VALUE"""),6.17)</f>
        <v>6.17</v>
      </c>
      <c r="C875" s="79" t="str">
        <f>IFERROR(__xludf.DUMMYFUNCTION("""COMPUTED_VALUE"""),"Blank street coffee")</f>
        <v>Blank street coffee</v>
      </c>
      <c r="D875" s="79" t="str">
        <f>IFERROR(__xludf.DUMMYFUNCTION("""COMPUTED_VALUE"""),"Work Meals")</f>
        <v>Work Meals</v>
      </c>
      <c r="E875" s="108" t="str">
        <f t="shared" si="1"/>
        <v>Oct</v>
      </c>
      <c r="F875" s="79" t="str">
        <f>IFERROR(__xludf.DUMMYFUNCTION("""COMPUTED_VALUE"""),"Shaeffer")</f>
        <v>Shaeffer</v>
      </c>
    </row>
    <row r="876">
      <c r="A876" s="85">
        <f>IFERROR(__xludf.DUMMYFUNCTION("""COMPUTED_VALUE"""),45594.0)</f>
        <v>45594</v>
      </c>
      <c r="B876" s="111">
        <f>IFERROR(__xludf.DUMMYFUNCTION("""COMPUTED_VALUE"""),27.3)</f>
        <v>27.3</v>
      </c>
      <c r="C876" s="79" t="str">
        <f>IFERROR(__xludf.DUMMYFUNCTION("""COMPUTED_VALUE"""),"21 grains")</f>
        <v>21 grains</v>
      </c>
      <c r="D876" s="79" t="str">
        <f>IFERROR(__xludf.DUMMYFUNCTION("""COMPUTED_VALUE"""),"Work Meals")</f>
        <v>Work Meals</v>
      </c>
      <c r="E876" s="108" t="str">
        <f t="shared" si="1"/>
        <v>Oct</v>
      </c>
      <c r="F876" s="79" t="str">
        <f>IFERROR(__xludf.DUMMYFUNCTION("""COMPUTED_VALUE"""),"Shaeffer")</f>
        <v>Shaeffer</v>
      </c>
    </row>
    <row r="877">
      <c r="A877" s="85">
        <f>IFERROR(__xludf.DUMMYFUNCTION("""COMPUTED_VALUE"""),45569.0)</f>
        <v>45569</v>
      </c>
      <c r="B877" s="111">
        <f>IFERROR(__xludf.DUMMYFUNCTION("""COMPUTED_VALUE"""),32.96)</f>
        <v>32.96</v>
      </c>
      <c r="C877" s="79" t="str">
        <f>IFERROR(__xludf.DUMMYFUNCTION("""COMPUTED_VALUE"""),"Amazon - Creatine")</f>
        <v>Amazon - Creatine</v>
      </c>
      <c r="D877" s="79" t="str">
        <f>IFERROR(__xludf.DUMMYFUNCTION("""COMPUTED_VALUE"""),"Personal")</f>
        <v>Personal</v>
      </c>
      <c r="E877" s="108" t="str">
        <f t="shared" si="1"/>
        <v>Oct</v>
      </c>
      <c r="F877" s="79" t="str">
        <f>IFERROR(__xludf.DUMMYFUNCTION("""COMPUTED_VALUE"""),"Gil")</f>
        <v>Gil</v>
      </c>
    </row>
    <row r="878">
      <c r="A878" s="85">
        <f>IFERROR(__xludf.DUMMYFUNCTION("""COMPUTED_VALUE"""),45575.0)</f>
        <v>45575</v>
      </c>
      <c r="B878" s="111">
        <f>IFERROR(__xludf.DUMMYFUNCTION("""COMPUTED_VALUE"""),23.02)</f>
        <v>23.02</v>
      </c>
      <c r="C878" s="79" t="str">
        <f>IFERROR(__xludf.DUMMYFUNCTION("""COMPUTED_VALUE"""),"Tenga")</f>
        <v>Tenga</v>
      </c>
      <c r="D878" s="79" t="str">
        <f>IFERROR(__xludf.DUMMYFUNCTION("""COMPUTED_VALUE"""),"Personal")</f>
        <v>Personal</v>
      </c>
      <c r="E878" s="108" t="str">
        <f t="shared" si="1"/>
        <v>Oct</v>
      </c>
      <c r="F878" s="79" t="str">
        <f>IFERROR(__xludf.DUMMYFUNCTION("""COMPUTED_VALUE"""),"Gil")</f>
        <v>Gil</v>
      </c>
    </row>
    <row r="879">
      <c r="A879" s="85">
        <f>IFERROR(__xludf.DUMMYFUNCTION("""COMPUTED_VALUE"""),45594.0)</f>
        <v>45594</v>
      </c>
      <c r="B879" s="111">
        <f>IFERROR(__xludf.DUMMYFUNCTION("""COMPUTED_VALUE"""),10.55)</f>
        <v>10.55</v>
      </c>
      <c r="C879" s="79" t="str">
        <f>IFERROR(__xludf.DUMMYFUNCTION("""COMPUTED_VALUE"""),"Taco Bell")</f>
        <v>Taco Bell</v>
      </c>
      <c r="D879" s="79" t="str">
        <f>IFERROR(__xludf.DUMMYFUNCTION("""COMPUTED_VALUE"""),"Work Meals")</f>
        <v>Work Meals</v>
      </c>
      <c r="E879" s="108" t="str">
        <f t="shared" si="1"/>
        <v>Oct</v>
      </c>
      <c r="F879" s="79" t="str">
        <f>IFERROR(__xludf.DUMMYFUNCTION("""COMPUTED_VALUE"""),"Gil")</f>
        <v>Gil</v>
      </c>
    </row>
    <row r="880">
      <c r="A880" s="85">
        <f>IFERROR(__xludf.DUMMYFUNCTION("""COMPUTED_VALUE"""),45595.0)</f>
        <v>45595</v>
      </c>
      <c r="B880" s="111">
        <f>IFERROR(__xludf.DUMMYFUNCTION("""COMPUTED_VALUE"""),113.4)</f>
        <v>113.4</v>
      </c>
      <c r="C880" s="79" t="str">
        <f>IFERROR(__xludf.DUMMYFUNCTION("""COMPUTED_VALUE"""),"Grace bakery - g$ bd")</f>
        <v>Grace bakery - g$ bd</v>
      </c>
      <c r="D880" s="79" t="str">
        <f>IFERROR(__xludf.DUMMYFUNCTION("""COMPUTED_VALUE"""),"Gifts/Donations")</f>
        <v>Gifts/Donations</v>
      </c>
      <c r="E880" s="108" t="str">
        <f t="shared" si="1"/>
        <v>Oct</v>
      </c>
      <c r="F880" s="79" t="str">
        <f>IFERROR(__xludf.DUMMYFUNCTION("""COMPUTED_VALUE"""),"Shaeffer")</f>
        <v>Shaeffer</v>
      </c>
    </row>
    <row r="881">
      <c r="A881" s="85">
        <f>IFERROR(__xludf.DUMMYFUNCTION("""COMPUTED_VALUE"""),45596.0)</f>
        <v>45596</v>
      </c>
      <c r="B881" s="111">
        <f>IFERROR(__xludf.DUMMYFUNCTION("""COMPUTED_VALUE"""),44.0)</f>
        <v>44</v>
      </c>
      <c r="C881" s="79" t="str">
        <f>IFERROR(__xludf.DUMMYFUNCTION("""COMPUTED_VALUE"""),"Dry cleaners")</f>
        <v>Dry cleaners</v>
      </c>
      <c r="D881" s="79" t="str">
        <f>IFERROR(__xludf.DUMMYFUNCTION("""COMPUTED_VALUE"""),"Clothing")</f>
        <v>Clothing</v>
      </c>
      <c r="E881" s="108" t="str">
        <f t="shared" si="1"/>
        <v>Oct</v>
      </c>
      <c r="F881" s="79" t="str">
        <f>IFERROR(__xludf.DUMMYFUNCTION("""COMPUTED_VALUE"""),"Shaeffer")</f>
        <v>Shaeffer</v>
      </c>
    </row>
    <row r="882">
      <c r="A882" s="85">
        <f>IFERROR(__xludf.DUMMYFUNCTION("""COMPUTED_VALUE"""),45596.0)</f>
        <v>45596</v>
      </c>
      <c r="B882" s="111">
        <f>IFERROR(__xludf.DUMMYFUNCTION("""COMPUTED_VALUE"""),17.96)</f>
        <v>17.96</v>
      </c>
      <c r="C882" s="79" t="str">
        <f>IFERROR(__xludf.DUMMYFUNCTION("""COMPUTED_VALUE"""),"Jamrock Jerk")</f>
        <v>Jamrock Jerk</v>
      </c>
      <c r="D882" s="79" t="str">
        <f>IFERROR(__xludf.DUMMYFUNCTION("""COMPUTED_VALUE"""),"Work Meals")</f>
        <v>Work Meals</v>
      </c>
      <c r="E882" s="108" t="str">
        <f t="shared" si="1"/>
        <v>Oct</v>
      </c>
      <c r="F882" s="79" t="str">
        <f>IFERROR(__xludf.DUMMYFUNCTION("""COMPUTED_VALUE"""),"Gil")</f>
        <v>Gil</v>
      </c>
    </row>
    <row r="883">
      <c r="A883" s="85">
        <f>IFERROR(__xludf.DUMMYFUNCTION("""COMPUTED_VALUE"""),45596.0)</f>
        <v>45596</v>
      </c>
      <c r="B883" s="111">
        <f>IFERROR(__xludf.DUMMYFUNCTION("""COMPUTED_VALUE"""),21.76)</f>
        <v>21.76</v>
      </c>
      <c r="C883" s="79" t="str">
        <f>IFERROR(__xludf.DUMMYFUNCTION("""COMPUTED_VALUE"""),"Google ONE")</f>
        <v>Google ONE</v>
      </c>
      <c r="D883" s="79" t="str">
        <f>IFERROR(__xludf.DUMMYFUNCTION("""COMPUTED_VALUE"""),"Subscriptions")</f>
        <v>Subscriptions</v>
      </c>
      <c r="E883" s="108" t="str">
        <f t="shared" si="1"/>
        <v>Oct</v>
      </c>
      <c r="F883" s="79" t="str">
        <f>IFERROR(__xludf.DUMMYFUNCTION("""COMPUTED_VALUE"""),"Gil")</f>
        <v>Gil</v>
      </c>
    </row>
    <row r="884">
      <c r="A884" s="85">
        <f>IFERROR(__xludf.DUMMYFUNCTION("""COMPUTED_VALUE"""),45597.0)</f>
        <v>45597</v>
      </c>
      <c r="B884" s="111">
        <f>IFERROR(__xludf.DUMMYFUNCTION("""COMPUTED_VALUE"""),29.98)</f>
        <v>29.98</v>
      </c>
      <c r="C884" s="79" t="str">
        <f>IFERROR(__xludf.DUMMYFUNCTION("""COMPUTED_VALUE"""),"Amazon - Metatarsal Pads")</f>
        <v>Amazon - Metatarsal Pads</v>
      </c>
      <c r="D884" s="79" t="str">
        <f>IFERROR(__xludf.DUMMYFUNCTION("""COMPUTED_VALUE"""),"Personal")</f>
        <v>Personal</v>
      </c>
      <c r="E884" s="108" t="str">
        <f t="shared" si="1"/>
        <v>Nov</v>
      </c>
      <c r="F884" s="79" t="str">
        <f>IFERROR(__xludf.DUMMYFUNCTION("""COMPUTED_VALUE"""),"Gil")</f>
        <v>Gil</v>
      </c>
    </row>
    <row r="885">
      <c r="A885" s="85">
        <f>IFERROR(__xludf.DUMMYFUNCTION("""COMPUTED_VALUE"""),45598.0)</f>
        <v>45598</v>
      </c>
      <c r="B885" s="111">
        <f>IFERROR(__xludf.DUMMYFUNCTION("""COMPUTED_VALUE"""),75.77)</f>
        <v>75.77</v>
      </c>
      <c r="C885" s="79" t="str">
        <f>IFERROR(__xludf.DUMMYFUNCTION("""COMPUTED_VALUE"""),"Amazon S&amp;S - Whey Powder")</f>
        <v>Amazon S&amp;S - Whey Powder</v>
      </c>
      <c r="D885" s="79" t="str">
        <f>IFERROR(__xludf.DUMMYFUNCTION("""COMPUTED_VALUE"""),"Groceries")</f>
        <v>Groceries</v>
      </c>
      <c r="E885" s="108" t="str">
        <f t="shared" si="1"/>
        <v>Nov</v>
      </c>
      <c r="F885" s="79" t="str">
        <f>IFERROR(__xludf.DUMMYFUNCTION("""COMPUTED_VALUE"""),"Gil")</f>
        <v>Gil</v>
      </c>
    </row>
    <row r="886">
      <c r="A886" s="85">
        <f>IFERROR(__xludf.DUMMYFUNCTION("""COMPUTED_VALUE"""),45596.0)</f>
        <v>45596</v>
      </c>
      <c r="B886" s="111">
        <f>IFERROR(__xludf.DUMMYFUNCTION("""COMPUTED_VALUE"""),52.2)</f>
        <v>52.2</v>
      </c>
      <c r="C886" s="79" t="str">
        <f>IFERROR(__xludf.DUMMYFUNCTION("""COMPUTED_VALUE"""),"Amazon - Insoles")</f>
        <v>Amazon - Insoles</v>
      </c>
      <c r="D886" s="79" t="str">
        <f>IFERROR(__xludf.DUMMYFUNCTION("""COMPUTED_VALUE"""),"Personal")</f>
        <v>Personal</v>
      </c>
      <c r="E886" s="108" t="str">
        <f t="shared" si="1"/>
        <v>Oct</v>
      </c>
      <c r="F886" s="79" t="str">
        <f>IFERROR(__xludf.DUMMYFUNCTION("""COMPUTED_VALUE"""),"Gil")</f>
        <v>Gil</v>
      </c>
    </row>
    <row r="887">
      <c r="A887" s="85">
        <f>IFERROR(__xludf.DUMMYFUNCTION("""COMPUTED_VALUE"""),45594.0)</f>
        <v>45594</v>
      </c>
      <c r="B887" s="111">
        <f>IFERROR(__xludf.DUMMYFUNCTION("""COMPUTED_VALUE"""),125.91)</f>
        <v>125.91</v>
      </c>
      <c r="C887" s="79" t="str">
        <f>IFERROR(__xludf.DUMMYFUNCTION("""COMPUTED_VALUE"""),"Amazon - Halloween Makeup and Brushes")</f>
        <v>Amazon - Halloween Makeup and Brushes</v>
      </c>
      <c r="D887" s="79" t="str">
        <f>IFERROR(__xludf.DUMMYFUNCTION("""COMPUTED_VALUE"""),"Personal")</f>
        <v>Personal</v>
      </c>
      <c r="E887" s="108" t="str">
        <f t="shared" si="1"/>
        <v>Oct</v>
      </c>
      <c r="F887" s="79" t="str">
        <f>IFERROR(__xludf.DUMMYFUNCTION("""COMPUTED_VALUE"""),"Gil")</f>
        <v>Gil</v>
      </c>
    </row>
    <row r="888">
      <c r="A888" s="85">
        <f>IFERROR(__xludf.DUMMYFUNCTION("""COMPUTED_VALUE"""),45593.0)</f>
        <v>45593</v>
      </c>
      <c r="B888" s="111">
        <f>IFERROR(__xludf.DUMMYFUNCTION("""COMPUTED_VALUE"""),12.15)</f>
        <v>12.15</v>
      </c>
      <c r="C888" s="79" t="str">
        <f>IFERROR(__xludf.DUMMYFUNCTION("""COMPUTED_VALUE"""),"Amazon - Adellina Urea Cream 40 Percent for Feet")</f>
        <v>Amazon - Adellina Urea Cream 40 Percent for Feet</v>
      </c>
      <c r="D888" s="79" t="str">
        <f>IFERROR(__xludf.DUMMYFUNCTION("""COMPUTED_VALUE"""),"Personal")</f>
        <v>Personal</v>
      </c>
      <c r="E888" s="108" t="str">
        <f t="shared" si="1"/>
        <v>Oct</v>
      </c>
      <c r="F888" s="79" t="str">
        <f>IFERROR(__xludf.DUMMYFUNCTION("""COMPUTED_VALUE"""),"Gil")</f>
        <v>Gil</v>
      </c>
    </row>
    <row r="889">
      <c r="A889" s="85">
        <f>IFERROR(__xludf.DUMMYFUNCTION("""COMPUTED_VALUE"""),45588.0)</f>
        <v>45588</v>
      </c>
      <c r="B889" s="111">
        <f>IFERROR(__xludf.DUMMYFUNCTION("""COMPUTED_VALUE"""),76.15)</f>
        <v>76.15</v>
      </c>
      <c r="C889" s="79" t="str">
        <f>IFERROR(__xludf.DUMMYFUNCTION("""COMPUTED_VALUE"""),"Amazon - Lotus Atelier Bauhaus Lamp")</f>
        <v>Amazon - Lotus Atelier Bauhaus Lamp</v>
      </c>
      <c r="D889" s="79" t="str">
        <f>IFERROR(__xludf.DUMMYFUNCTION("""COMPUTED_VALUE"""),"Household")</f>
        <v>Household</v>
      </c>
      <c r="E889" s="108" t="str">
        <f t="shared" si="1"/>
        <v>Oct</v>
      </c>
      <c r="F889" s="79" t="str">
        <f>IFERROR(__xludf.DUMMYFUNCTION("""COMPUTED_VALUE"""),"Gil")</f>
        <v>Gil</v>
      </c>
    </row>
    <row r="890">
      <c r="A890" s="85">
        <f>IFERROR(__xludf.DUMMYFUNCTION("""COMPUTED_VALUE"""),45593.0)</f>
        <v>45593</v>
      </c>
      <c r="B890" s="111">
        <f>IFERROR(__xludf.DUMMYFUNCTION("""COMPUTED_VALUE"""),14.99)</f>
        <v>14.99</v>
      </c>
      <c r="C890" s="79" t="str">
        <f>IFERROR(__xludf.DUMMYFUNCTION("""COMPUTED_VALUE"""),"Amazon - Metatarsal Pads")</f>
        <v>Amazon - Metatarsal Pads</v>
      </c>
      <c r="D890" s="79" t="str">
        <f>IFERROR(__xludf.DUMMYFUNCTION("""COMPUTED_VALUE"""),"Personal")</f>
        <v>Personal</v>
      </c>
      <c r="E890" s="108" t="str">
        <f t="shared" si="1"/>
        <v>Oct</v>
      </c>
      <c r="F890" s="79" t="str">
        <f>IFERROR(__xludf.DUMMYFUNCTION("""COMPUTED_VALUE"""),"Gil")</f>
        <v>Gil</v>
      </c>
    </row>
    <row r="891">
      <c r="A891" s="85">
        <f>IFERROR(__xludf.DUMMYFUNCTION("""COMPUTED_VALUE"""),45600.0)</f>
        <v>45600</v>
      </c>
      <c r="B891" s="111">
        <f>IFERROR(__xludf.DUMMYFUNCTION("""COMPUTED_VALUE"""),6.53)</f>
        <v>6.53</v>
      </c>
      <c r="C891" s="79" t="str">
        <f>IFERROR(__xludf.DUMMYFUNCTION("""COMPUTED_VALUE"""),"Popeye's")</f>
        <v>Popeye's</v>
      </c>
      <c r="D891" s="79" t="str">
        <f>IFERROR(__xludf.DUMMYFUNCTION("""COMPUTED_VALUE"""),"Meals")</f>
        <v>Meals</v>
      </c>
      <c r="E891" s="108" t="str">
        <f t="shared" si="1"/>
        <v>Nov</v>
      </c>
      <c r="F891" s="79" t="str">
        <f>IFERROR(__xludf.DUMMYFUNCTION("""COMPUTED_VALUE"""),"Gil")</f>
        <v>Gil</v>
      </c>
    </row>
    <row r="892">
      <c r="A892" s="85">
        <f>IFERROR(__xludf.DUMMYFUNCTION("""COMPUTED_VALUE"""),45593.0)</f>
        <v>45593</v>
      </c>
      <c r="B892" s="111">
        <f>IFERROR(__xludf.DUMMYFUNCTION("""COMPUTED_VALUE"""),8.0)</f>
        <v>8</v>
      </c>
      <c r="C892" s="79" t="str">
        <f>IFERROR(__xludf.DUMMYFUNCTION("""COMPUTED_VALUE"""),"Patreon")</f>
        <v>Patreon</v>
      </c>
      <c r="D892" s="79" t="str">
        <f>IFERROR(__xludf.DUMMYFUNCTION("""COMPUTED_VALUE"""),"Subscriptions")</f>
        <v>Subscriptions</v>
      </c>
      <c r="E892" s="108" t="str">
        <f t="shared" si="1"/>
        <v>Oct</v>
      </c>
      <c r="F892" s="79" t="str">
        <f>IFERROR(__xludf.DUMMYFUNCTION("""COMPUTED_VALUE"""),"Gil")</f>
        <v>Gil</v>
      </c>
    </row>
    <row r="893">
      <c r="A893" s="85">
        <f>IFERROR(__xludf.DUMMYFUNCTION("""COMPUTED_VALUE"""),45596.0)</f>
        <v>45596</v>
      </c>
      <c r="B893" s="111">
        <f>IFERROR(__xludf.DUMMYFUNCTION("""COMPUTED_VALUE"""),148.4)</f>
        <v>148.4</v>
      </c>
      <c r="C893" s="79" t="str">
        <f>IFERROR(__xludf.DUMMYFUNCTION("""COMPUTED_VALUE"""),"MTA and Ferry")</f>
        <v>MTA and Ferry</v>
      </c>
      <c r="D893" s="79" t="str">
        <f>IFERROR(__xludf.DUMMYFUNCTION("""COMPUTED_VALUE"""),"Transportation")</f>
        <v>Transportation</v>
      </c>
      <c r="E893" s="108" t="str">
        <f t="shared" si="1"/>
        <v>Oct</v>
      </c>
      <c r="F893" s="79" t="str">
        <f>IFERROR(__xludf.DUMMYFUNCTION("""COMPUTED_VALUE"""),"Gil")</f>
        <v>Gil</v>
      </c>
    </row>
    <row r="894">
      <c r="A894" s="85">
        <f>IFERROR(__xludf.DUMMYFUNCTION("""COMPUTED_VALUE"""),45596.0)</f>
        <v>45596</v>
      </c>
      <c r="B894" s="111">
        <f>IFERROR(__xludf.DUMMYFUNCTION("""COMPUTED_VALUE"""),142.1)</f>
        <v>142.1</v>
      </c>
      <c r="C894" s="79" t="str">
        <f>IFERROR(__xludf.DUMMYFUNCTION("""COMPUTED_VALUE"""),"Amex Blue MTA purchases")</f>
        <v>Amex Blue MTA purchases</v>
      </c>
      <c r="D894" s="79" t="str">
        <f>IFERROR(__xludf.DUMMYFUNCTION("""COMPUTED_VALUE"""),"Transportation")</f>
        <v>Transportation</v>
      </c>
      <c r="E894" s="108" t="str">
        <f t="shared" si="1"/>
        <v>Oct</v>
      </c>
      <c r="F894" s="79" t="str">
        <f>IFERROR(__xludf.DUMMYFUNCTION("""COMPUTED_VALUE"""),"Shaeffer")</f>
        <v>Shaeffer</v>
      </c>
    </row>
    <row r="895">
      <c r="A895" s="85">
        <f>IFERROR(__xludf.DUMMYFUNCTION("""COMPUTED_VALUE"""),45598.0)</f>
        <v>45598</v>
      </c>
      <c r="B895" s="111">
        <f>IFERROR(__xludf.DUMMYFUNCTION("""COMPUTED_VALUE"""),20.0)</f>
        <v>20</v>
      </c>
      <c r="C895" s="79" t="str">
        <f>IFERROR(__xludf.DUMMYFUNCTION("""COMPUTED_VALUE"""),"Planned Parenthood")</f>
        <v>Planned Parenthood</v>
      </c>
      <c r="D895" s="79" t="str">
        <f>IFERROR(__xludf.DUMMYFUNCTION("""COMPUTED_VALUE"""),"Gifts/Donations")</f>
        <v>Gifts/Donations</v>
      </c>
      <c r="E895" s="108" t="str">
        <f t="shared" si="1"/>
        <v>Nov</v>
      </c>
      <c r="F895" s="79" t="str">
        <f>IFERROR(__xludf.DUMMYFUNCTION("""COMPUTED_VALUE"""),"Shaeffer")</f>
        <v>Shaeffer</v>
      </c>
    </row>
    <row r="896">
      <c r="A896" s="85">
        <f>IFERROR(__xludf.DUMMYFUNCTION("""COMPUTED_VALUE"""),45567.0)</f>
        <v>45567</v>
      </c>
      <c r="B896" s="111">
        <f>IFERROR(__xludf.DUMMYFUNCTION("""COMPUTED_VALUE"""),20.0)</f>
        <v>20</v>
      </c>
      <c r="C896" s="79" t="str">
        <f>IFERROR(__xludf.DUMMYFUNCTION("""COMPUTED_VALUE"""),"Planned Parenthood")</f>
        <v>Planned Parenthood</v>
      </c>
      <c r="D896" s="79" t="str">
        <f>IFERROR(__xludf.DUMMYFUNCTION("""COMPUTED_VALUE"""),"Gifts/Donations")</f>
        <v>Gifts/Donations</v>
      </c>
      <c r="E896" s="108" t="str">
        <f t="shared" si="1"/>
        <v>Oct</v>
      </c>
      <c r="F896" s="79" t="str">
        <f>IFERROR(__xludf.DUMMYFUNCTION("""COMPUTED_VALUE"""),"Gil")</f>
        <v>Gil</v>
      </c>
    </row>
    <row r="897">
      <c r="A897" s="85">
        <f>IFERROR(__xludf.DUMMYFUNCTION("""COMPUTED_VALUE"""),45537.0)</f>
        <v>45537</v>
      </c>
      <c r="B897" s="111">
        <f>IFERROR(__xludf.DUMMYFUNCTION("""COMPUTED_VALUE"""),20.0)</f>
        <v>20</v>
      </c>
      <c r="C897" s="79" t="str">
        <f>IFERROR(__xludf.DUMMYFUNCTION("""COMPUTED_VALUE"""),"Planned Parenthood")</f>
        <v>Planned Parenthood</v>
      </c>
      <c r="D897" s="79" t="str">
        <f>IFERROR(__xludf.DUMMYFUNCTION("""COMPUTED_VALUE"""),"Gifts/Donations")</f>
        <v>Gifts/Donations</v>
      </c>
      <c r="E897" s="108" t="str">
        <f t="shared" si="1"/>
        <v>Sep</v>
      </c>
      <c r="F897" s="79" t="str">
        <f>IFERROR(__xludf.DUMMYFUNCTION("""COMPUTED_VALUE"""),"Shaeffer")</f>
        <v>Shaeffer</v>
      </c>
    </row>
    <row r="898">
      <c r="A898" s="85">
        <f>IFERROR(__xludf.DUMMYFUNCTION("""COMPUTED_VALUE"""),45506.0)</f>
        <v>45506</v>
      </c>
      <c r="B898" s="111">
        <f>IFERROR(__xludf.DUMMYFUNCTION("""COMPUTED_VALUE"""),20.0)</f>
        <v>20</v>
      </c>
      <c r="C898" s="79" t="str">
        <f>IFERROR(__xludf.DUMMYFUNCTION("""COMPUTED_VALUE"""),"Planned Parenthood")</f>
        <v>Planned Parenthood</v>
      </c>
      <c r="D898" s="79" t="str">
        <f>IFERROR(__xludf.DUMMYFUNCTION("""COMPUTED_VALUE"""),"Gifts/Donations")</f>
        <v>Gifts/Donations</v>
      </c>
      <c r="E898" s="108" t="str">
        <f t="shared" si="1"/>
        <v>Aug</v>
      </c>
      <c r="F898" s="79" t="str">
        <f>IFERROR(__xludf.DUMMYFUNCTION("""COMPUTED_VALUE"""),"Shaeffer")</f>
        <v>Shaeffer</v>
      </c>
    </row>
    <row r="899">
      <c r="A899" s="85">
        <f>IFERROR(__xludf.DUMMYFUNCTION("""COMPUTED_VALUE"""),45475.0)</f>
        <v>45475</v>
      </c>
      <c r="B899" s="111">
        <f>IFERROR(__xludf.DUMMYFUNCTION("""COMPUTED_VALUE"""),20.0)</f>
        <v>20</v>
      </c>
      <c r="C899" s="79" t="str">
        <f>IFERROR(__xludf.DUMMYFUNCTION("""COMPUTED_VALUE"""),"Planned Parenthood")</f>
        <v>Planned Parenthood</v>
      </c>
      <c r="D899" s="79" t="str">
        <f>IFERROR(__xludf.DUMMYFUNCTION("""COMPUTED_VALUE"""),"Gifts/Donations")</f>
        <v>Gifts/Donations</v>
      </c>
      <c r="E899" s="108" t="str">
        <f t="shared" si="1"/>
        <v>Jul</v>
      </c>
      <c r="F899" s="79" t="str">
        <f>IFERROR(__xludf.DUMMYFUNCTION("""COMPUTED_VALUE"""),"Gil")</f>
        <v>Gil</v>
      </c>
    </row>
    <row r="900">
      <c r="A900" s="85">
        <f>IFERROR(__xludf.DUMMYFUNCTION("""COMPUTED_VALUE"""),45445.0)</f>
        <v>45445</v>
      </c>
      <c r="B900" s="111">
        <f>IFERROR(__xludf.DUMMYFUNCTION("""COMPUTED_VALUE"""),20.0)</f>
        <v>20</v>
      </c>
      <c r="C900" s="79" t="str">
        <f>IFERROR(__xludf.DUMMYFUNCTION("""COMPUTED_VALUE"""),"Planned Parenthood")</f>
        <v>Planned Parenthood</v>
      </c>
      <c r="D900" s="79" t="str">
        <f>IFERROR(__xludf.DUMMYFUNCTION("""COMPUTED_VALUE"""),"Gifts/Donations")</f>
        <v>Gifts/Donations</v>
      </c>
      <c r="E900" s="108" t="str">
        <f t="shared" si="1"/>
        <v>Jun</v>
      </c>
      <c r="F900" s="79" t="str">
        <f>IFERROR(__xludf.DUMMYFUNCTION("""COMPUTED_VALUE"""),"Gil")</f>
        <v>Gil</v>
      </c>
    </row>
    <row r="901">
      <c r="A901" s="85">
        <f>IFERROR(__xludf.DUMMYFUNCTION("""COMPUTED_VALUE"""),45414.0)</f>
        <v>45414</v>
      </c>
      <c r="B901" s="111">
        <f>IFERROR(__xludf.DUMMYFUNCTION("""COMPUTED_VALUE"""),20.0)</f>
        <v>20</v>
      </c>
      <c r="C901" s="79" t="str">
        <f>IFERROR(__xludf.DUMMYFUNCTION("""COMPUTED_VALUE"""),"Planned Parenthood")</f>
        <v>Planned Parenthood</v>
      </c>
      <c r="D901" s="79" t="str">
        <f>IFERROR(__xludf.DUMMYFUNCTION("""COMPUTED_VALUE"""),"Gifts/Donations")</f>
        <v>Gifts/Donations</v>
      </c>
      <c r="E901" s="108" t="str">
        <f t="shared" si="1"/>
        <v>May</v>
      </c>
      <c r="F901" s="79" t="str">
        <f>IFERROR(__xludf.DUMMYFUNCTION("""COMPUTED_VALUE"""),"Shaeffer")</f>
        <v>Shaeffer</v>
      </c>
    </row>
    <row r="902">
      <c r="A902" s="85">
        <f>IFERROR(__xludf.DUMMYFUNCTION("""COMPUTED_VALUE"""),45384.0)</f>
        <v>45384</v>
      </c>
      <c r="B902" s="111">
        <f>IFERROR(__xludf.DUMMYFUNCTION("""COMPUTED_VALUE"""),20.0)</f>
        <v>20</v>
      </c>
      <c r="C902" s="79" t="str">
        <f>IFERROR(__xludf.DUMMYFUNCTION("""COMPUTED_VALUE"""),"Planned Parenthood")</f>
        <v>Planned Parenthood</v>
      </c>
      <c r="D902" s="79" t="str">
        <f>IFERROR(__xludf.DUMMYFUNCTION("""COMPUTED_VALUE"""),"Gifts/Donations")</f>
        <v>Gifts/Donations</v>
      </c>
      <c r="E902" s="108" t="str">
        <f t="shared" si="1"/>
        <v>Apr</v>
      </c>
      <c r="F902" s="79" t="str">
        <f>IFERROR(__xludf.DUMMYFUNCTION("""COMPUTED_VALUE"""),"Gil")</f>
        <v>Gil</v>
      </c>
    </row>
    <row r="903">
      <c r="A903" s="85">
        <f>IFERROR(__xludf.DUMMYFUNCTION("""COMPUTED_VALUE"""),45353.0)</f>
        <v>45353</v>
      </c>
      <c r="B903" s="111">
        <f>IFERROR(__xludf.DUMMYFUNCTION("""COMPUTED_VALUE"""),20.0)</f>
        <v>20</v>
      </c>
      <c r="C903" s="79" t="str">
        <f>IFERROR(__xludf.DUMMYFUNCTION("""COMPUTED_VALUE"""),"Planned Parenthood")</f>
        <v>Planned Parenthood</v>
      </c>
      <c r="D903" s="79" t="str">
        <f>IFERROR(__xludf.DUMMYFUNCTION("""COMPUTED_VALUE"""),"Gifts/Donations")</f>
        <v>Gifts/Donations</v>
      </c>
      <c r="E903" s="108" t="str">
        <f t="shared" si="1"/>
        <v>Mar</v>
      </c>
      <c r="F903" s="79" t="str">
        <f>IFERROR(__xludf.DUMMYFUNCTION("""COMPUTED_VALUE"""),"Gil")</f>
        <v>Gil</v>
      </c>
    </row>
    <row r="904">
      <c r="A904" s="85">
        <f>IFERROR(__xludf.DUMMYFUNCTION("""COMPUTED_VALUE"""),45595.0)</f>
        <v>45595</v>
      </c>
      <c r="B904" s="111">
        <f>IFERROR(__xludf.DUMMYFUNCTION("""COMPUTED_VALUE"""),10.8)</f>
        <v>10.8</v>
      </c>
      <c r="C904" s="79" t="str">
        <f>IFERROR(__xludf.DUMMYFUNCTION("""COMPUTED_VALUE"""),"Lucia of Soho")</f>
        <v>Lucia of Soho</v>
      </c>
      <c r="D904" s="79" t="str">
        <f>IFERROR(__xludf.DUMMYFUNCTION("""COMPUTED_VALUE"""),"Meals")</f>
        <v>Meals</v>
      </c>
      <c r="E904" s="108" t="str">
        <f t="shared" si="1"/>
        <v>Oct</v>
      </c>
      <c r="F904" s="79" t="str">
        <f>IFERROR(__xludf.DUMMYFUNCTION("""COMPUTED_VALUE"""),"Gil")</f>
        <v>Gil</v>
      </c>
    </row>
    <row r="905">
      <c r="A905" s="85">
        <f>IFERROR(__xludf.DUMMYFUNCTION("""COMPUTED_VALUE"""),45593.0)</f>
        <v>45593</v>
      </c>
      <c r="B905" s="111">
        <f>IFERROR(__xludf.DUMMYFUNCTION("""COMPUTED_VALUE"""),21.91)</f>
        <v>21.91</v>
      </c>
      <c r="C905" s="79" t="str">
        <f>IFERROR(__xludf.DUMMYFUNCTION("""COMPUTED_VALUE"""),"Miznon")</f>
        <v>Miznon</v>
      </c>
      <c r="D905" s="79" t="str">
        <f>IFERROR(__xludf.DUMMYFUNCTION("""COMPUTED_VALUE"""),"Meals")</f>
        <v>Meals</v>
      </c>
      <c r="E905" s="108" t="str">
        <f t="shared" si="1"/>
        <v>Oct</v>
      </c>
      <c r="F905" s="79" t="str">
        <f>IFERROR(__xludf.DUMMYFUNCTION("""COMPUTED_VALUE"""),"Gil")</f>
        <v>Gil</v>
      </c>
    </row>
    <row r="906">
      <c r="A906" s="85">
        <f>IFERROR(__xludf.DUMMYFUNCTION("""COMPUTED_VALUE"""),45590.0)</f>
        <v>45590</v>
      </c>
      <c r="B906" s="111">
        <f>IFERROR(__xludf.DUMMYFUNCTION("""COMPUTED_VALUE"""),41.72)</f>
        <v>41.72</v>
      </c>
      <c r="C906" s="79" t="str">
        <f>IFERROR(__xludf.DUMMYFUNCTION("""COMPUTED_VALUE"""),"Brooklyn Art Haus - Rocky Horror")</f>
        <v>Brooklyn Art Haus - Rocky Horror</v>
      </c>
      <c r="D906" s="79" t="str">
        <f>IFERROR(__xludf.DUMMYFUNCTION("""COMPUTED_VALUE"""),"Entertainment")</f>
        <v>Entertainment</v>
      </c>
      <c r="E906" s="108" t="str">
        <f t="shared" si="1"/>
        <v>Oct</v>
      </c>
      <c r="F906" s="79" t="str">
        <f>IFERROR(__xludf.DUMMYFUNCTION("""COMPUTED_VALUE"""),"Gil")</f>
        <v>Gil</v>
      </c>
    </row>
    <row r="907">
      <c r="A907" s="85">
        <f>IFERROR(__xludf.DUMMYFUNCTION("""COMPUTED_VALUE"""),45587.0)</f>
        <v>45587</v>
      </c>
      <c r="B907" s="111">
        <f>IFERROR(__xludf.DUMMYFUNCTION("""COMPUTED_VALUE"""),9.95)</f>
        <v>9.95</v>
      </c>
      <c r="C907" s="79" t="str">
        <f>IFERROR(__xludf.DUMMYFUNCTION("""COMPUTED_VALUE"""),"Westside Market")</f>
        <v>Westside Market</v>
      </c>
      <c r="D907" s="79" t="str">
        <f>IFERROR(__xludf.DUMMYFUNCTION("""COMPUTED_VALUE"""),"Work Meals")</f>
        <v>Work Meals</v>
      </c>
      <c r="E907" s="108" t="str">
        <f t="shared" si="1"/>
        <v>Oct</v>
      </c>
      <c r="F907" s="79" t="str">
        <f>IFERROR(__xludf.DUMMYFUNCTION("""COMPUTED_VALUE"""),"Gil")</f>
        <v>Gil</v>
      </c>
    </row>
    <row r="908">
      <c r="A908" s="85">
        <f>IFERROR(__xludf.DUMMYFUNCTION("""COMPUTED_VALUE"""),45576.0)</f>
        <v>45576</v>
      </c>
      <c r="B908" s="111">
        <f>IFERROR(__xludf.DUMMYFUNCTION("""COMPUTED_VALUE"""),4.41)</f>
        <v>4.41</v>
      </c>
      <c r="C908" s="79" t="str">
        <f>IFERROR(__xludf.DUMMYFUNCTION("""COMPUTED_VALUE"""),"Westside Market")</f>
        <v>Westside Market</v>
      </c>
      <c r="D908" s="79" t="str">
        <f>IFERROR(__xludf.DUMMYFUNCTION("""COMPUTED_VALUE"""),"Work Meals")</f>
        <v>Work Meals</v>
      </c>
      <c r="E908" s="108" t="str">
        <f t="shared" si="1"/>
        <v>Oct</v>
      </c>
      <c r="F908" s="79" t="str">
        <f>IFERROR(__xludf.DUMMYFUNCTION("""COMPUTED_VALUE"""),"Gil")</f>
        <v>Gil</v>
      </c>
    </row>
    <row r="909">
      <c r="A909" s="85">
        <f>IFERROR(__xludf.DUMMYFUNCTION("""COMPUTED_VALUE"""),45567.0)</f>
        <v>45567</v>
      </c>
      <c r="B909" s="111">
        <f>IFERROR(__xludf.DUMMYFUNCTION("""COMPUTED_VALUE"""),35.0)</f>
        <v>35</v>
      </c>
      <c r="C909" s="79" t="str">
        <f>IFERROR(__xludf.DUMMYFUNCTION("""COMPUTED_VALUE"""),"Inscript")</f>
        <v>Inscript</v>
      </c>
      <c r="D909" s="79" t="str">
        <f>IFERROR(__xludf.DUMMYFUNCTION("""COMPUTED_VALUE"""),"Other")</f>
        <v>Other</v>
      </c>
      <c r="E909" s="108" t="str">
        <f t="shared" si="1"/>
        <v>Oct</v>
      </c>
      <c r="F909" s="79" t="str">
        <f>IFERROR(__xludf.DUMMYFUNCTION("""COMPUTED_VALUE"""),"Gil")</f>
        <v>Gil</v>
      </c>
    </row>
    <row r="910">
      <c r="A910" s="85">
        <f>IFERROR(__xludf.DUMMYFUNCTION("""COMPUTED_VALUE"""),45567.0)</f>
        <v>45567</v>
      </c>
      <c r="B910" s="111">
        <f>IFERROR(__xludf.DUMMYFUNCTION("""COMPUTED_VALUE"""),4.0)</f>
        <v>4</v>
      </c>
      <c r="C910" s="79" t="str">
        <f>IFERROR(__xludf.DUMMYFUNCTION("""COMPUTED_VALUE"""),"Lost Bread Co.")</f>
        <v>Lost Bread Co.</v>
      </c>
      <c r="D910" s="79" t="str">
        <f>IFERROR(__xludf.DUMMYFUNCTION("""COMPUTED_VALUE"""),"Meals")</f>
        <v>Meals</v>
      </c>
      <c r="E910" s="108" t="str">
        <f t="shared" si="1"/>
        <v>Oct</v>
      </c>
      <c r="F910" s="79" t="str">
        <f>IFERROR(__xludf.DUMMYFUNCTION("""COMPUTED_VALUE"""),"Gil")</f>
        <v>Gil</v>
      </c>
    </row>
    <row r="911">
      <c r="A911" s="85">
        <f>IFERROR(__xludf.DUMMYFUNCTION("""COMPUTED_VALUE"""),45603.0)</f>
        <v>45603</v>
      </c>
      <c r="B911" s="111">
        <f>IFERROR(__xludf.DUMMYFUNCTION("""COMPUTED_VALUE"""),22.43)</f>
        <v>22.43</v>
      </c>
      <c r="C911" s="79" t="str">
        <f>IFERROR(__xludf.DUMMYFUNCTION("""COMPUTED_VALUE"""),"Nick + Sons")</f>
        <v>Nick + Sons</v>
      </c>
      <c r="D911" s="79" t="str">
        <f>IFERROR(__xludf.DUMMYFUNCTION("""COMPUTED_VALUE"""),"Work Meals")</f>
        <v>Work Meals</v>
      </c>
      <c r="E911" s="108" t="str">
        <f t="shared" si="1"/>
        <v>Nov</v>
      </c>
      <c r="F911" s="79" t="str">
        <f>IFERROR(__xludf.DUMMYFUNCTION("""COMPUTED_VALUE"""),"Gil")</f>
        <v>Gil</v>
      </c>
    </row>
    <row r="912">
      <c r="A912" s="85">
        <f>IFERROR(__xludf.DUMMYFUNCTION("""COMPUTED_VALUE"""),45604.0)</f>
        <v>45604</v>
      </c>
      <c r="B912" s="111">
        <f>IFERROR(__xludf.DUMMYFUNCTION("""COMPUTED_VALUE"""),425.14)</f>
        <v>425.14</v>
      </c>
      <c r="C912" s="79" t="str">
        <f>IFERROR(__xludf.DUMMYFUNCTION("""COMPUTED_VALUE"""),"323 Nov rent &amp; mailroom &amp; Sept electric")</f>
        <v>323 Nov rent &amp; mailroom &amp; Sept electric</v>
      </c>
      <c r="D912" s="79" t="str">
        <f>IFERROR(__xludf.DUMMYFUNCTION("""COMPUTED_VALUE"""),"Studio")</f>
        <v>Studio</v>
      </c>
      <c r="E912" s="108" t="str">
        <f t="shared" si="1"/>
        <v>Nov</v>
      </c>
      <c r="F912" s="79" t="str">
        <f>IFERROR(__xludf.DUMMYFUNCTION("""COMPUTED_VALUE"""),"Shaeffer")</f>
        <v>Shaeffer</v>
      </c>
    </row>
    <row r="913">
      <c r="A913" s="85">
        <f>IFERROR(__xludf.DUMMYFUNCTION("""COMPUTED_VALUE"""),45595.0)</f>
        <v>45595</v>
      </c>
      <c r="B913" s="111">
        <f>IFERROR(__xludf.DUMMYFUNCTION("""COMPUTED_VALUE"""),21.78)</f>
        <v>21.78</v>
      </c>
      <c r="C913" s="79" t="str">
        <f>IFERROR(__xludf.DUMMYFUNCTION("""COMPUTED_VALUE"""),"OpenAI - ChatGPT")</f>
        <v>OpenAI - ChatGPT</v>
      </c>
      <c r="D913" s="79" t="str">
        <f>IFERROR(__xludf.DUMMYFUNCTION("""COMPUTED_VALUE"""),"Subscriptions")</f>
        <v>Subscriptions</v>
      </c>
      <c r="E913" s="108" t="str">
        <f t="shared" si="1"/>
        <v>Oct</v>
      </c>
      <c r="F913" s="79" t="str">
        <f>IFERROR(__xludf.DUMMYFUNCTION("""COMPUTED_VALUE"""),"Gil")</f>
        <v>Gil</v>
      </c>
    </row>
    <row r="914">
      <c r="A914" s="85">
        <f>IFERROR(__xludf.DUMMYFUNCTION("""COMPUTED_VALUE"""),45590.0)</f>
        <v>45590</v>
      </c>
      <c r="B914" s="111">
        <f>IFERROR(__xludf.DUMMYFUNCTION("""COMPUTED_VALUE"""),13.9)</f>
        <v>13.9</v>
      </c>
      <c r="C914" s="79" t="str">
        <f>IFERROR(__xludf.DUMMYFUNCTION("""COMPUTED_VALUE"""),"Utrecht - Dick Blick")</f>
        <v>Utrecht - Dick Blick</v>
      </c>
      <c r="D914" s="79" t="str">
        <f>IFERROR(__xludf.DUMMYFUNCTION("""COMPUTED_VALUE"""),"Personal")</f>
        <v>Personal</v>
      </c>
      <c r="E914" s="108" t="str">
        <f t="shared" si="1"/>
        <v>Oct</v>
      </c>
      <c r="F914" s="79" t="str">
        <f>IFERROR(__xludf.DUMMYFUNCTION("""COMPUTED_VALUE"""),"Gil")</f>
        <v>Gil</v>
      </c>
    </row>
    <row r="915">
      <c r="A915" s="85">
        <f>IFERROR(__xludf.DUMMYFUNCTION("""COMPUTED_VALUE"""),45583.0)</f>
        <v>45583</v>
      </c>
      <c r="B915" s="111">
        <f>IFERROR(__xludf.DUMMYFUNCTION("""COMPUTED_VALUE"""),104.8)</f>
        <v>104.8</v>
      </c>
      <c r="C915" s="79" t="str">
        <f>IFERROR(__xludf.DUMMYFUNCTION("""COMPUTED_VALUE"""),"Uniqlo")</f>
        <v>Uniqlo</v>
      </c>
      <c r="D915" s="79" t="str">
        <f>IFERROR(__xludf.DUMMYFUNCTION("""COMPUTED_VALUE"""),"Clothing")</f>
        <v>Clothing</v>
      </c>
      <c r="E915" s="108" t="str">
        <f t="shared" si="1"/>
        <v>Oct</v>
      </c>
      <c r="F915" s="79" t="str">
        <f>IFERROR(__xludf.DUMMYFUNCTION("""COMPUTED_VALUE"""),"Gil")</f>
        <v>Gil</v>
      </c>
    </row>
    <row r="916">
      <c r="A916" s="85">
        <f>IFERROR(__xludf.DUMMYFUNCTION("""COMPUTED_VALUE"""),45582.0)</f>
        <v>45582</v>
      </c>
      <c r="B916" s="111">
        <f>IFERROR(__xludf.DUMMYFUNCTION("""COMPUTED_VALUE"""),99.8)</f>
        <v>99.8</v>
      </c>
      <c r="C916" s="79" t="str">
        <f>IFERROR(__xludf.DUMMYFUNCTION("""COMPUTED_VALUE"""),"Uniqlo")</f>
        <v>Uniqlo</v>
      </c>
      <c r="D916" s="79" t="str">
        <f>IFERROR(__xludf.DUMMYFUNCTION("""COMPUTED_VALUE"""),"Clothing")</f>
        <v>Clothing</v>
      </c>
      <c r="E916" s="108" t="str">
        <f t="shared" si="1"/>
        <v>Oct</v>
      </c>
      <c r="F916" s="79" t="str">
        <f>IFERROR(__xludf.DUMMYFUNCTION("""COMPUTED_VALUE"""),"Gil")</f>
        <v>Gil</v>
      </c>
    </row>
    <row r="917">
      <c r="A917" s="85">
        <f>IFERROR(__xludf.DUMMYFUNCTION("""COMPUTED_VALUE"""),45606.0)</f>
        <v>45606</v>
      </c>
      <c r="B917" s="111">
        <f>IFERROR(__xludf.DUMMYFUNCTION("""COMPUTED_VALUE"""),10.0)</f>
        <v>10</v>
      </c>
      <c r="C917" s="79" t="str">
        <f>IFERROR(__xludf.DUMMYFUNCTION("""COMPUTED_VALUE"""),"Ruby's Gift")</f>
        <v>Ruby's Gift</v>
      </c>
      <c r="D917" s="79" t="str">
        <f>IFERROR(__xludf.DUMMYFUNCTION("""COMPUTED_VALUE"""),"Gifts/Donations")</f>
        <v>Gifts/Donations</v>
      </c>
      <c r="E917" s="108" t="str">
        <f t="shared" si="1"/>
        <v>Nov</v>
      </c>
      <c r="F917" s="79" t="str">
        <f>IFERROR(__xludf.DUMMYFUNCTION("""COMPUTED_VALUE"""),"Gil")</f>
        <v>Gil</v>
      </c>
    </row>
    <row r="918">
      <c r="A918" s="85">
        <f>IFERROR(__xludf.DUMMYFUNCTION("""COMPUTED_VALUE"""),45608.0)</f>
        <v>45608</v>
      </c>
      <c r="B918" s="111">
        <f>IFERROR(__xludf.DUMMYFUNCTION("""COMPUTED_VALUE"""),106.04)</f>
        <v>106.04</v>
      </c>
      <c r="C918" s="79" t="str">
        <f>IFERROR(__xludf.DUMMYFUNCTION("""COMPUTED_VALUE"""),"Ulta Beauty")</f>
        <v>Ulta Beauty</v>
      </c>
      <c r="D918" s="79" t="str">
        <f>IFERROR(__xludf.DUMMYFUNCTION("""COMPUTED_VALUE"""),"Personal")</f>
        <v>Personal</v>
      </c>
      <c r="E918" s="108" t="str">
        <f t="shared" si="1"/>
        <v>Nov</v>
      </c>
      <c r="F918" s="79" t="str">
        <f>IFERROR(__xludf.DUMMYFUNCTION("""COMPUTED_VALUE"""),"Gil")</f>
        <v>Gil</v>
      </c>
    </row>
    <row r="919">
      <c r="A919" s="85">
        <f>IFERROR(__xludf.DUMMYFUNCTION("""COMPUTED_VALUE"""),45608.0)</f>
        <v>45608</v>
      </c>
      <c r="B919" s="111">
        <f>IFERROR(__xludf.DUMMYFUNCTION("""COMPUTED_VALUE"""),7.5)</f>
        <v>7.5</v>
      </c>
      <c r="C919" s="79" t="str">
        <f>IFERROR(__xludf.DUMMYFUNCTION("""COMPUTED_VALUE"""),"Woorijip")</f>
        <v>Woorijip</v>
      </c>
      <c r="D919" s="79" t="str">
        <f>IFERROR(__xludf.DUMMYFUNCTION("""COMPUTED_VALUE"""),"Work Meals")</f>
        <v>Work Meals</v>
      </c>
      <c r="E919" s="108" t="str">
        <f t="shared" si="1"/>
        <v>Nov</v>
      </c>
      <c r="F919" s="79" t="str">
        <f>IFERROR(__xludf.DUMMYFUNCTION("""COMPUTED_VALUE"""),"Gil")</f>
        <v>Gil</v>
      </c>
    </row>
    <row r="920">
      <c r="A920" s="85">
        <f>IFERROR(__xludf.DUMMYFUNCTION("""COMPUTED_VALUE"""),45608.0)</f>
        <v>45608</v>
      </c>
      <c r="B920" s="111">
        <f>IFERROR(__xludf.DUMMYFUNCTION("""COMPUTED_VALUE"""),6.52)</f>
        <v>6.52</v>
      </c>
      <c r="C920" s="79" t="str">
        <f>IFERROR(__xludf.DUMMYFUNCTION("""COMPUTED_VALUE"""),"bb.q Chicken")</f>
        <v>bb.q Chicken</v>
      </c>
      <c r="D920" s="79" t="str">
        <f>IFERROR(__xludf.DUMMYFUNCTION("""COMPUTED_VALUE"""),"Work Meals")</f>
        <v>Work Meals</v>
      </c>
      <c r="E920" s="108" t="str">
        <f t="shared" si="1"/>
        <v>Nov</v>
      </c>
      <c r="F920" s="79" t="str">
        <f>IFERROR(__xludf.DUMMYFUNCTION("""COMPUTED_VALUE"""),"Gil")</f>
        <v>Gil</v>
      </c>
    </row>
    <row r="921">
      <c r="A921" s="85">
        <f>IFERROR(__xludf.DUMMYFUNCTION("""COMPUTED_VALUE"""),45608.0)</f>
        <v>45608</v>
      </c>
      <c r="B921" s="111">
        <f>IFERROR(__xludf.DUMMYFUNCTION("""COMPUTED_VALUE"""),-20.58)</f>
        <v>-20.58</v>
      </c>
      <c r="C921" s="79" t="str">
        <f>IFERROR(__xludf.DUMMYFUNCTION("""COMPUTED_VALUE"""),"Wells Fargo Point Redemption")</f>
        <v>Wells Fargo Point Redemption</v>
      </c>
      <c r="D921" s="79" t="str">
        <f>IFERROR(__xludf.DUMMYFUNCTION("""COMPUTED_VALUE"""),"Clothing")</f>
        <v>Clothing</v>
      </c>
      <c r="E921" s="108" t="str">
        <f t="shared" si="1"/>
        <v>Nov</v>
      </c>
      <c r="F921" s="79" t="str">
        <f>IFERROR(__xludf.DUMMYFUNCTION("""COMPUTED_VALUE"""),"Gil")</f>
        <v>Gil</v>
      </c>
    </row>
    <row r="922">
      <c r="A922" s="85">
        <f>IFERROR(__xludf.DUMMYFUNCTION("""COMPUTED_VALUE"""),45609.0)</f>
        <v>45609</v>
      </c>
      <c r="B922" s="111">
        <f>IFERROR(__xludf.DUMMYFUNCTION("""COMPUTED_VALUE"""),14.15)</f>
        <v>14.15</v>
      </c>
      <c r="C922" s="79" t="str">
        <f>IFERROR(__xludf.DUMMYFUNCTION("""COMPUTED_VALUE"""),"King of Falafel")</f>
        <v>King of Falafel</v>
      </c>
      <c r="D922" s="79" t="str">
        <f>IFERROR(__xludf.DUMMYFUNCTION("""COMPUTED_VALUE"""),"Work Meals")</f>
        <v>Work Meals</v>
      </c>
      <c r="E922" s="108" t="str">
        <f t="shared" si="1"/>
        <v>Nov</v>
      </c>
      <c r="F922" s="79" t="str">
        <f>IFERROR(__xludf.DUMMYFUNCTION("""COMPUTED_VALUE"""),"Gil")</f>
        <v>Gil</v>
      </c>
    </row>
    <row r="923">
      <c r="A923" s="85">
        <f>IFERROR(__xludf.DUMMYFUNCTION("""COMPUTED_VALUE"""),45610.0)</f>
        <v>45610</v>
      </c>
      <c r="B923" s="111">
        <f>IFERROR(__xludf.DUMMYFUNCTION("""COMPUTED_VALUE"""),8.62)</f>
        <v>8.62</v>
      </c>
      <c r="C923" s="79" t="str">
        <f>IFERROR(__xludf.DUMMYFUNCTION("""COMPUTED_VALUE"""),"Lucia of Soho")</f>
        <v>Lucia of Soho</v>
      </c>
      <c r="D923" s="79" t="str">
        <f>IFERROR(__xludf.DUMMYFUNCTION("""COMPUTED_VALUE"""),"Work Meals")</f>
        <v>Work Meals</v>
      </c>
      <c r="E923" s="108" t="str">
        <f t="shared" si="1"/>
        <v>Nov</v>
      </c>
      <c r="F923" s="79" t="str">
        <f>IFERROR(__xludf.DUMMYFUNCTION("""COMPUTED_VALUE"""),"Gil")</f>
        <v>Gil</v>
      </c>
    </row>
    <row r="924">
      <c r="A924" s="85">
        <f>IFERROR(__xludf.DUMMYFUNCTION("""COMPUTED_VALUE"""),45612.0)</f>
        <v>45612</v>
      </c>
      <c r="B924" s="111">
        <f>IFERROR(__xludf.DUMMYFUNCTION("""COMPUTED_VALUE"""),5.63)</f>
        <v>5.63</v>
      </c>
      <c r="C924" s="79" t="str">
        <f>IFERROR(__xludf.DUMMYFUNCTION("""COMPUTED_VALUE"""),"Birch Coffee")</f>
        <v>Birch Coffee</v>
      </c>
      <c r="D924" s="79" t="str">
        <f>IFERROR(__xludf.DUMMYFUNCTION("""COMPUTED_VALUE"""),"Meals")</f>
        <v>Meals</v>
      </c>
      <c r="E924" s="108" t="str">
        <f t="shared" si="1"/>
        <v>Nov</v>
      </c>
      <c r="F924" s="79" t="str">
        <f>IFERROR(__xludf.DUMMYFUNCTION("""COMPUTED_VALUE"""),"Gil")</f>
        <v>Gil</v>
      </c>
    </row>
    <row r="925">
      <c r="A925" s="85">
        <f>IFERROR(__xludf.DUMMYFUNCTION("""COMPUTED_VALUE"""),45610.0)</f>
        <v>45610</v>
      </c>
      <c r="B925" s="111">
        <f>IFERROR(__xludf.DUMMYFUNCTION("""COMPUTED_VALUE"""),106.04)</f>
        <v>106.04</v>
      </c>
      <c r="C925" s="79" t="str">
        <f>IFERROR(__xludf.DUMMYFUNCTION("""COMPUTED_VALUE"""),"Ulta Beauty")</f>
        <v>Ulta Beauty</v>
      </c>
      <c r="D925" s="79" t="str">
        <f>IFERROR(__xludf.DUMMYFUNCTION("""COMPUTED_VALUE"""),"Personal")</f>
        <v>Personal</v>
      </c>
      <c r="E925" s="108" t="str">
        <f t="shared" si="1"/>
        <v>Nov</v>
      </c>
      <c r="F925" s="79" t="str">
        <f>IFERROR(__xludf.DUMMYFUNCTION("""COMPUTED_VALUE"""),"Gil")</f>
        <v>Gil</v>
      </c>
    </row>
    <row r="926">
      <c r="A926" s="85">
        <f>IFERROR(__xludf.DUMMYFUNCTION("""COMPUTED_VALUE"""),45616.0)</f>
        <v>45616</v>
      </c>
      <c r="B926" s="111">
        <f>IFERROR(__xludf.DUMMYFUNCTION("""COMPUTED_VALUE"""),4.0)</f>
        <v>4</v>
      </c>
      <c r="C926" s="79" t="str">
        <f>IFERROR(__xludf.DUMMYFUNCTION("""COMPUTED_VALUE"""),"Taco Bell")</f>
        <v>Taco Bell</v>
      </c>
      <c r="D926" s="79" t="str">
        <f>IFERROR(__xludf.DUMMYFUNCTION("""COMPUTED_VALUE"""),"Work Meals")</f>
        <v>Work Meals</v>
      </c>
      <c r="E926" s="108" t="str">
        <f t="shared" si="1"/>
        <v>Nov</v>
      </c>
      <c r="F926" s="79" t="str">
        <f>IFERROR(__xludf.DUMMYFUNCTION("""COMPUTED_VALUE"""),"Gil")</f>
        <v>Gil</v>
      </c>
    </row>
    <row r="927">
      <c r="A927" s="85">
        <f>IFERROR(__xludf.DUMMYFUNCTION("""COMPUTED_VALUE"""),45618.0)</f>
        <v>45618</v>
      </c>
      <c r="B927" s="111">
        <f>IFERROR(__xludf.DUMMYFUNCTION("""COMPUTED_VALUE"""),4.0)</f>
        <v>4</v>
      </c>
      <c r="C927" s="79" t="str">
        <f>IFERROR(__xludf.DUMMYFUNCTION("""COMPUTED_VALUE"""),"Lost Bread Co.")</f>
        <v>Lost Bread Co.</v>
      </c>
      <c r="D927" s="79" t="str">
        <f>IFERROR(__xludf.DUMMYFUNCTION("""COMPUTED_VALUE"""),"Meals")</f>
        <v>Meals</v>
      </c>
      <c r="E927" s="108" t="str">
        <f t="shared" si="1"/>
        <v>Nov</v>
      </c>
      <c r="F927" s="79" t="str">
        <f>IFERROR(__xludf.DUMMYFUNCTION("""COMPUTED_VALUE"""),"Gil")</f>
        <v>Gil</v>
      </c>
    </row>
    <row r="928">
      <c r="A928" s="85">
        <f>IFERROR(__xludf.DUMMYFUNCTION("""COMPUTED_VALUE"""),45618.0)</f>
        <v>45618</v>
      </c>
      <c r="B928" s="111">
        <f>IFERROR(__xludf.DUMMYFUNCTION("""COMPUTED_VALUE"""),6.53)</f>
        <v>6.53</v>
      </c>
      <c r="C928" s="79" t="str">
        <f>IFERROR(__xludf.DUMMYFUNCTION("""COMPUTED_VALUE"""),"Birch Coffee")</f>
        <v>Birch Coffee</v>
      </c>
      <c r="D928" s="79" t="str">
        <f>IFERROR(__xludf.DUMMYFUNCTION("""COMPUTED_VALUE"""),"Meals")</f>
        <v>Meals</v>
      </c>
      <c r="E928" s="108" t="str">
        <f t="shared" si="1"/>
        <v>Nov</v>
      </c>
      <c r="F928" s="79" t="str">
        <f>IFERROR(__xludf.DUMMYFUNCTION("""COMPUTED_VALUE"""),"Gil")</f>
        <v>Gil</v>
      </c>
    </row>
    <row r="929">
      <c r="A929" s="85">
        <f>IFERROR(__xludf.DUMMYFUNCTION("""COMPUTED_VALUE"""),45620.0)</f>
        <v>45620</v>
      </c>
      <c r="B929" s="111">
        <f>IFERROR(__xludf.DUMMYFUNCTION("""COMPUTED_VALUE"""),9.14)</f>
        <v>9.14</v>
      </c>
      <c r="C929" s="79" t="str">
        <f>IFERROR(__xludf.DUMMYFUNCTION("""COMPUTED_VALUE"""),"Dickson's")</f>
        <v>Dickson's</v>
      </c>
      <c r="D929" s="79" t="str">
        <f>IFERROR(__xludf.DUMMYFUNCTION("""COMPUTED_VALUE"""),"Meals")</f>
        <v>Meals</v>
      </c>
      <c r="E929" s="108" t="str">
        <f t="shared" si="1"/>
        <v>Nov</v>
      </c>
      <c r="F929" s="79" t="str">
        <f>IFERROR(__xludf.DUMMYFUNCTION("""COMPUTED_VALUE"""),"Gil")</f>
        <v>Gil</v>
      </c>
    </row>
    <row r="930">
      <c r="A930" s="85">
        <f>IFERROR(__xludf.DUMMYFUNCTION("""COMPUTED_VALUE"""),45620.0)</f>
        <v>45620</v>
      </c>
      <c r="B930" s="111">
        <f>IFERROR(__xludf.DUMMYFUNCTION("""COMPUTED_VALUE"""),15.02)</f>
        <v>15.02</v>
      </c>
      <c r="C930" s="79" t="str">
        <f>IFERROR(__xludf.DUMMYFUNCTION("""COMPUTED_VALUE"""),"Alf Bakery")</f>
        <v>Alf Bakery</v>
      </c>
      <c r="D930" s="79" t="str">
        <f>IFERROR(__xludf.DUMMYFUNCTION("""COMPUTED_VALUE"""),"Meals")</f>
        <v>Meals</v>
      </c>
      <c r="E930" s="108" t="str">
        <f t="shared" si="1"/>
        <v>Nov</v>
      </c>
      <c r="F930" s="79" t="str">
        <f>IFERROR(__xludf.DUMMYFUNCTION("""COMPUTED_VALUE"""),"Gil")</f>
        <v>Gil</v>
      </c>
    </row>
    <row r="931">
      <c r="A931" s="85">
        <f>IFERROR(__xludf.DUMMYFUNCTION("""COMPUTED_VALUE"""),45623.0)</f>
        <v>45623</v>
      </c>
      <c r="B931" s="111">
        <f>IFERROR(__xludf.DUMMYFUNCTION("""COMPUTED_VALUE"""),34.83)</f>
        <v>34.83</v>
      </c>
      <c r="C931" s="79" t="str">
        <f>IFERROR(__xludf.DUMMYFUNCTION("""COMPUTED_VALUE"""),"Ulta Beauty")</f>
        <v>Ulta Beauty</v>
      </c>
      <c r="D931" s="79" t="str">
        <f>IFERROR(__xludf.DUMMYFUNCTION("""COMPUTED_VALUE"""),"Personal")</f>
        <v>Personal</v>
      </c>
      <c r="E931" s="108" t="str">
        <f t="shared" si="1"/>
        <v>Nov</v>
      </c>
      <c r="F931" s="79" t="str">
        <f>IFERROR(__xludf.DUMMYFUNCTION("""COMPUTED_VALUE"""),"Gil")</f>
        <v>Gil</v>
      </c>
    </row>
    <row r="932">
      <c r="A932" s="85">
        <f>IFERROR(__xludf.DUMMYFUNCTION("""COMPUTED_VALUE"""),45624.0)</f>
        <v>45624</v>
      </c>
      <c r="B932" s="111">
        <f>IFERROR(__xludf.DUMMYFUNCTION("""COMPUTED_VALUE"""),6.0)</f>
        <v>6</v>
      </c>
      <c r="C932" s="79" t="str">
        <f>IFERROR(__xludf.DUMMYFUNCTION("""COMPUTED_VALUE"""),"Porco's Philly ")</f>
        <v>Porco's Philly </v>
      </c>
      <c r="D932" s="79" t="str">
        <f>IFERROR(__xludf.DUMMYFUNCTION("""COMPUTED_VALUE"""),"Meals")</f>
        <v>Meals</v>
      </c>
      <c r="E932" s="108" t="str">
        <f t="shared" si="1"/>
        <v>Nov</v>
      </c>
      <c r="F932" s="79" t="str">
        <f>IFERROR(__xludf.DUMMYFUNCTION("""COMPUTED_VALUE"""),"Gil")</f>
        <v>Gil</v>
      </c>
    </row>
    <row r="933">
      <c r="A933" s="85">
        <f>IFERROR(__xludf.DUMMYFUNCTION("""COMPUTED_VALUE"""),45626.0)</f>
        <v>45626</v>
      </c>
      <c r="B933" s="111">
        <f>IFERROR(__xludf.DUMMYFUNCTION("""COMPUTED_VALUE"""),53.2)</f>
        <v>53.2</v>
      </c>
      <c r="C933" s="79" t="str">
        <f>IFERROR(__xludf.DUMMYFUNCTION("""COMPUTED_VALUE"""),"SkinbeautifulRx - Le Mieux Sheer Hydration")</f>
        <v>SkinbeautifulRx - Le Mieux Sheer Hydration</v>
      </c>
      <c r="D933" s="79" t="str">
        <f>IFERROR(__xludf.DUMMYFUNCTION("""COMPUTED_VALUE"""),"Personal")</f>
        <v>Personal</v>
      </c>
      <c r="E933" s="108" t="str">
        <f t="shared" si="1"/>
        <v>Nov</v>
      </c>
      <c r="F933" s="79" t="str">
        <f>IFERROR(__xludf.DUMMYFUNCTION("""COMPUTED_VALUE"""),"Gil")</f>
        <v>Gil</v>
      </c>
    </row>
    <row r="934">
      <c r="A934" s="85">
        <f>IFERROR(__xludf.DUMMYFUNCTION("""COMPUTED_VALUE"""),45626.0)</f>
        <v>45626</v>
      </c>
      <c r="B934" s="111">
        <f>IFERROR(__xludf.DUMMYFUNCTION("""COMPUTED_VALUE"""),62.4)</f>
        <v>62.4</v>
      </c>
      <c r="C934" s="79" t="str">
        <f>IFERROR(__xludf.DUMMYFUNCTION("""COMPUTED_VALUE"""),"Wigwam ")</f>
        <v>Wigwam </v>
      </c>
      <c r="D934" s="79" t="str">
        <f>IFERROR(__xludf.DUMMYFUNCTION("""COMPUTED_VALUE"""),"Clothing")</f>
        <v>Clothing</v>
      </c>
      <c r="E934" s="108" t="str">
        <f t="shared" si="1"/>
        <v>Nov</v>
      </c>
      <c r="F934" s="79" t="str">
        <f>IFERROR(__xludf.DUMMYFUNCTION("""COMPUTED_VALUE"""),"Gil")</f>
        <v>Gil</v>
      </c>
    </row>
    <row r="935">
      <c r="A935" s="85">
        <f>IFERROR(__xludf.DUMMYFUNCTION("""COMPUTED_VALUE"""),45626.0)</f>
        <v>45626</v>
      </c>
      <c r="B935" s="111">
        <f>IFERROR(__xludf.DUMMYFUNCTION("""COMPUTED_VALUE"""),30.0)</f>
        <v>30</v>
      </c>
      <c r="C935" s="79" t="str">
        <f>IFERROR(__xludf.DUMMYFUNCTION("""COMPUTED_VALUE"""),"Bloomsday")</f>
        <v>Bloomsday</v>
      </c>
      <c r="D935" s="79" t="str">
        <f>IFERROR(__xludf.DUMMYFUNCTION("""COMPUTED_VALUE"""),"Travel")</f>
        <v>Travel</v>
      </c>
      <c r="E935" s="108" t="str">
        <f t="shared" si="1"/>
        <v>Nov</v>
      </c>
      <c r="F935" s="79" t="str">
        <f>IFERROR(__xludf.DUMMYFUNCTION("""COMPUTED_VALUE"""),"Gil")</f>
        <v>Gil</v>
      </c>
    </row>
    <row r="936">
      <c r="A936" s="85">
        <f>IFERROR(__xludf.DUMMYFUNCTION("""COMPUTED_VALUE"""),45619.0)</f>
        <v>45619</v>
      </c>
      <c r="B936" s="111">
        <f>IFERROR(__xludf.DUMMYFUNCTION("""COMPUTED_VALUE"""),299.82)</f>
        <v>299.82</v>
      </c>
      <c r="C936" s="79" t="str">
        <f>IFERROR(__xludf.DUMMYFUNCTION("""COMPUTED_VALUE"""),"Equinox")</f>
        <v>Equinox</v>
      </c>
      <c r="D936" s="79" t="str">
        <f>IFERROR(__xludf.DUMMYFUNCTION("""COMPUTED_VALUE"""),"Gym")</f>
        <v>Gym</v>
      </c>
      <c r="E936" s="108" t="str">
        <f t="shared" si="1"/>
        <v>Nov</v>
      </c>
      <c r="F936" s="79" t="str">
        <f>IFERROR(__xludf.DUMMYFUNCTION("""COMPUTED_VALUE"""),"Gil")</f>
        <v>Gil</v>
      </c>
    </row>
    <row r="937">
      <c r="A937" s="85">
        <f>IFERROR(__xludf.DUMMYFUNCTION("""COMPUTED_VALUE"""),45627.0)</f>
        <v>45627</v>
      </c>
      <c r="B937" s="111">
        <f>IFERROR(__xludf.DUMMYFUNCTION("""COMPUTED_VALUE"""),21.76)</f>
        <v>21.76</v>
      </c>
      <c r="C937" s="79" t="str">
        <f>IFERROR(__xludf.DUMMYFUNCTION("""COMPUTED_VALUE"""),"Googel AI Premium")</f>
        <v>Googel AI Premium</v>
      </c>
      <c r="D937" s="79" t="str">
        <f>IFERROR(__xludf.DUMMYFUNCTION("""COMPUTED_VALUE"""),"Subscriptions")</f>
        <v>Subscriptions</v>
      </c>
      <c r="E937" s="108" t="str">
        <f t="shared" si="1"/>
        <v>Dec</v>
      </c>
      <c r="F937" s="79" t="str">
        <f>IFERROR(__xludf.DUMMYFUNCTION("""COMPUTED_VALUE"""),"Gil")</f>
        <v>Gil</v>
      </c>
    </row>
    <row r="938">
      <c r="A938" s="85">
        <f>IFERROR(__xludf.DUMMYFUNCTION("""COMPUTED_VALUE"""),45630.0)</f>
        <v>45630</v>
      </c>
      <c r="B938" s="111">
        <f>IFERROR(__xludf.DUMMYFUNCTION("""COMPUTED_VALUE"""),10.8)</f>
        <v>10.8</v>
      </c>
      <c r="C938" s="79" t="str">
        <f>IFERROR(__xludf.DUMMYFUNCTION("""COMPUTED_VALUE"""),"Lucia of Soho")</f>
        <v>Lucia of Soho</v>
      </c>
      <c r="D938" s="79" t="str">
        <f>IFERROR(__xludf.DUMMYFUNCTION("""COMPUTED_VALUE"""),"Work Meals")</f>
        <v>Work Meals</v>
      </c>
      <c r="E938" s="108" t="str">
        <f t="shared" si="1"/>
        <v>Dec</v>
      </c>
      <c r="F938" s="79" t="str">
        <f>IFERROR(__xludf.DUMMYFUNCTION("""COMPUTED_VALUE"""),"Gil")</f>
        <v>Gil</v>
      </c>
    </row>
    <row r="939">
      <c r="A939" s="85">
        <f>IFERROR(__xludf.DUMMYFUNCTION("""COMPUTED_VALUE"""),45634.0)</f>
        <v>45634</v>
      </c>
      <c r="B939" s="111">
        <f>IFERROR(__xludf.DUMMYFUNCTION("""COMPUTED_VALUE"""),5.44)</f>
        <v>5.44</v>
      </c>
      <c r="C939" s="79" t="str">
        <f>IFERROR(__xludf.DUMMYFUNCTION("""COMPUTED_VALUE"""),"Marinara's")</f>
        <v>Marinara's</v>
      </c>
      <c r="D939" s="79" t="str">
        <f>IFERROR(__xludf.DUMMYFUNCTION("""COMPUTED_VALUE"""),"Work Meals")</f>
        <v>Work Meals</v>
      </c>
      <c r="E939" s="108" t="str">
        <f t="shared" si="1"/>
        <v>Dec</v>
      </c>
      <c r="F939" s="79" t="str">
        <f>IFERROR(__xludf.DUMMYFUNCTION("""COMPUTED_VALUE"""),"Gil")</f>
        <v>Gil</v>
      </c>
    </row>
    <row r="940">
      <c r="A940" s="85">
        <f>IFERROR(__xludf.DUMMYFUNCTION("""COMPUTED_VALUE"""),45641.0)</f>
        <v>45641</v>
      </c>
      <c r="B940" s="111">
        <f>IFERROR(__xludf.DUMMYFUNCTION("""COMPUTED_VALUE"""),4.9)</f>
        <v>4.9</v>
      </c>
      <c r="C940" s="79" t="str">
        <f>IFERROR(__xludf.DUMMYFUNCTION("""COMPUTED_VALUE"""),"BagelFest")</f>
        <v>BagelFest</v>
      </c>
      <c r="D940" s="79" t="str">
        <f>IFERROR(__xludf.DUMMYFUNCTION("""COMPUTED_VALUE"""),"Work Meals")</f>
        <v>Work Meals</v>
      </c>
      <c r="E940" s="108" t="str">
        <f t="shared" si="1"/>
        <v>Dec</v>
      </c>
      <c r="F940" s="79" t="str">
        <f>IFERROR(__xludf.DUMMYFUNCTION("""COMPUTED_VALUE"""),"Gil")</f>
        <v>Gil</v>
      </c>
    </row>
    <row r="941">
      <c r="A941" s="85">
        <f>IFERROR(__xludf.DUMMYFUNCTION("""COMPUTED_VALUE"""),45641.0)</f>
        <v>45641</v>
      </c>
      <c r="B941" s="111">
        <f>IFERROR(__xludf.DUMMYFUNCTION("""COMPUTED_VALUE"""),6.75)</f>
        <v>6.75</v>
      </c>
      <c r="C941" s="79" t="str">
        <f>IFERROR(__xludf.DUMMYFUNCTION("""COMPUTED_VALUE"""),"Liv Bakery")</f>
        <v>Liv Bakery</v>
      </c>
      <c r="D941" s="79" t="str">
        <f>IFERROR(__xludf.DUMMYFUNCTION("""COMPUTED_VALUE"""),"Work Meals")</f>
        <v>Work Meals</v>
      </c>
      <c r="E941" s="108" t="str">
        <f t="shared" si="1"/>
        <v>Dec</v>
      </c>
      <c r="F941" s="79" t="str">
        <f>IFERROR(__xludf.DUMMYFUNCTION("""COMPUTED_VALUE"""),"Gil")</f>
        <v>Gil</v>
      </c>
    </row>
    <row r="942">
      <c r="A942" s="85">
        <f>IFERROR(__xludf.DUMMYFUNCTION("""COMPUTED_VALUE"""),45641.0)</f>
        <v>45641</v>
      </c>
      <c r="B942" s="111">
        <f>IFERROR(__xludf.DUMMYFUNCTION("""COMPUTED_VALUE"""),23.92)</f>
        <v>23.92</v>
      </c>
      <c r="C942" s="79" t="str">
        <f>IFERROR(__xludf.DUMMYFUNCTION("""COMPUTED_VALUE"""),"Uber")</f>
        <v>Uber</v>
      </c>
      <c r="D942" s="79" t="str">
        <f>IFERROR(__xludf.DUMMYFUNCTION("""COMPUTED_VALUE"""),"Transportation")</f>
        <v>Transportation</v>
      </c>
      <c r="E942" s="108" t="str">
        <f t="shared" si="1"/>
        <v>Dec</v>
      </c>
      <c r="F942" s="79" t="str">
        <f>IFERROR(__xludf.DUMMYFUNCTION("""COMPUTED_VALUE"""),"Gil")</f>
        <v>Gil</v>
      </c>
    </row>
    <row r="943">
      <c r="A943" s="85">
        <f>IFERROR(__xludf.DUMMYFUNCTION("""COMPUTED_VALUE"""),45641.0)</f>
        <v>45641</v>
      </c>
      <c r="B943" s="111">
        <f>IFERROR(__xludf.DUMMYFUNCTION("""COMPUTED_VALUE"""),18.07)</f>
        <v>18.07</v>
      </c>
      <c r="C943" s="79" t="str">
        <f>IFERROR(__xludf.DUMMYFUNCTION("""COMPUTED_VALUE"""),"Four Seasons Deli")</f>
        <v>Four Seasons Deli</v>
      </c>
      <c r="D943" s="79" t="str">
        <f>IFERROR(__xludf.DUMMYFUNCTION("""COMPUTED_VALUE"""),"Work Meals")</f>
        <v>Work Meals</v>
      </c>
      <c r="E943" s="108" t="str">
        <f t="shared" si="1"/>
        <v>Dec</v>
      </c>
      <c r="F943" s="79" t="str">
        <f>IFERROR(__xludf.DUMMYFUNCTION("""COMPUTED_VALUE"""),"Gil")</f>
        <v>Gil</v>
      </c>
    </row>
    <row r="944">
      <c r="A944" s="85">
        <f>IFERROR(__xludf.DUMMYFUNCTION("""COMPUTED_VALUE"""),45641.0)</f>
        <v>45641</v>
      </c>
      <c r="B944" s="111">
        <f>IFERROR(__xludf.DUMMYFUNCTION("""COMPUTED_VALUE"""),5.44)</f>
        <v>5.44</v>
      </c>
      <c r="C944" s="79" t="str">
        <f>IFERROR(__xludf.DUMMYFUNCTION("""COMPUTED_VALUE"""),"Four Seasons Deli ")</f>
        <v>Four Seasons Deli </v>
      </c>
      <c r="D944" s="79" t="str">
        <f>IFERROR(__xludf.DUMMYFUNCTION("""COMPUTED_VALUE"""),"Work Meals")</f>
        <v>Work Meals</v>
      </c>
      <c r="E944" s="108" t="str">
        <f t="shared" si="1"/>
        <v>Dec</v>
      </c>
      <c r="F944" s="79" t="str">
        <f>IFERROR(__xludf.DUMMYFUNCTION("""COMPUTED_VALUE"""),"Gil")</f>
        <v>Gil</v>
      </c>
    </row>
    <row r="945">
      <c r="A945" s="85">
        <f>IFERROR(__xludf.DUMMYFUNCTION("""COMPUTED_VALUE"""),45644.0)</f>
        <v>45644</v>
      </c>
      <c r="B945" s="111">
        <f>IFERROR(__xludf.DUMMYFUNCTION("""COMPUTED_VALUE"""),10.34)</f>
        <v>10.34</v>
      </c>
      <c r="C945" s="79" t="str">
        <f>IFERROR(__xludf.DUMMYFUNCTION("""COMPUTED_VALUE"""),"Lush")</f>
        <v>Lush</v>
      </c>
      <c r="D945" s="79" t="str">
        <f>IFERROR(__xludf.DUMMYFUNCTION("""COMPUTED_VALUE"""),"Personal")</f>
        <v>Personal</v>
      </c>
      <c r="E945" s="108" t="str">
        <f t="shared" si="1"/>
        <v>Dec</v>
      </c>
      <c r="F945" s="79" t="str">
        <f>IFERROR(__xludf.DUMMYFUNCTION("""COMPUTED_VALUE"""),"Gil")</f>
        <v>Gil</v>
      </c>
    </row>
    <row r="946">
      <c r="A946" s="85">
        <f>IFERROR(__xludf.DUMMYFUNCTION("""COMPUTED_VALUE"""),45644.0)</f>
        <v>45644</v>
      </c>
      <c r="B946" s="111">
        <f>IFERROR(__xludf.DUMMYFUNCTION("""COMPUTED_VALUE"""),10.64)</f>
        <v>10.64</v>
      </c>
      <c r="C946" s="79" t="str">
        <f>IFERROR(__xludf.DUMMYFUNCTION("""COMPUTED_VALUE"""),"Cello Pizza")</f>
        <v>Cello Pizza</v>
      </c>
      <c r="D946" s="79" t="str">
        <f>IFERROR(__xludf.DUMMYFUNCTION("""COMPUTED_VALUE"""),"Work Meals")</f>
        <v>Work Meals</v>
      </c>
      <c r="E946" s="108" t="str">
        <f t="shared" si="1"/>
        <v>Dec</v>
      </c>
      <c r="F946" s="79" t="str">
        <f>IFERROR(__xludf.DUMMYFUNCTION("""COMPUTED_VALUE"""),"Gil")</f>
        <v>Gil</v>
      </c>
    </row>
    <row r="947">
      <c r="A947" s="85">
        <f>IFERROR(__xludf.DUMMYFUNCTION("""COMPUTED_VALUE"""),45644.0)</f>
        <v>45644</v>
      </c>
      <c r="B947" s="111">
        <f>IFERROR(__xludf.DUMMYFUNCTION("""COMPUTED_VALUE"""),32.66)</f>
        <v>32.66</v>
      </c>
      <c r="C947" s="79" t="str">
        <f>IFERROR(__xludf.DUMMYFUNCTION("""COMPUTED_VALUE"""),"Ulta Beauty")</f>
        <v>Ulta Beauty</v>
      </c>
      <c r="D947" s="79" t="str">
        <f>IFERROR(__xludf.DUMMYFUNCTION("""COMPUTED_VALUE"""),"Personal")</f>
        <v>Personal</v>
      </c>
      <c r="E947" s="108" t="str">
        <f t="shared" si="1"/>
        <v>Dec</v>
      </c>
      <c r="F947" s="79" t="str">
        <f>IFERROR(__xludf.DUMMYFUNCTION("""COMPUTED_VALUE"""),"Gil")</f>
        <v>Gil</v>
      </c>
    </row>
    <row r="948">
      <c r="A948" s="85">
        <f>IFERROR(__xludf.DUMMYFUNCTION("""COMPUTED_VALUE"""),45597.0)</f>
        <v>45597</v>
      </c>
      <c r="B948" s="111">
        <f>IFERROR(__xludf.DUMMYFUNCTION("""COMPUTED_VALUE"""),14.95)</f>
        <v>14.95</v>
      </c>
      <c r="C948" s="79" t="str">
        <f>IFERROR(__xludf.DUMMYFUNCTION("""COMPUTED_VALUE"""),"Uber ")</f>
        <v>Uber </v>
      </c>
      <c r="D948" s="79" t="str">
        <f>IFERROR(__xludf.DUMMYFUNCTION("""COMPUTED_VALUE"""),"Transportation")</f>
        <v>Transportation</v>
      </c>
      <c r="E948" s="108" t="str">
        <f t="shared" si="1"/>
        <v>Nov</v>
      </c>
      <c r="F948" s="79" t="str">
        <f>IFERROR(__xludf.DUMMYFUNCTION("""COMPUTED_VALUE"""),"Shaeffer")</f>
        <v>Shaeffer</v>
      </c>
    </row>
    <row r="949">
      <c r="A949" s="85">
        <f>IFERROR(__xludf.DUMMYFUNCTION("""COMPUTED_VALUE"""),45597.0)</f>
        <v>45597</v>
      </c>
      <c r="B949" s="111">
        <f>IFERROR(__xludf.DUMMYFUNCTION("""COMPUTED_VALUE"""),32.66)</f>
        <v>32.66</v>
      </c>
      <c r="C949" s="79" t="str">
        <f>IFERROR(__xludf.DUMMYFUNCTION("""COMPUTED_VALUE"""),"STEMS - G-BD")</f>
        <v>STEMS - G-BD</v>
      </c>
      <c r="D949" s="79" t="str">
        <f>IFERROR(__xludf.DUMMYFUNCTION("""COMPUTED_VALUE"""),"Gifts/Donations")</f>
        <v>Gifts/Donations</v>
      </c>
      <c r="E949" s="108" t="str">
        <f t="shared" si="1"/>
        <v>Nov</v>
      </c>
      <c r="F949" s="79" t="str">
        <f>IFERROR(__xludf.DUMMYFUNCTION("""COMPUTED_VALUE"""),"Shaeffer")</f>
        <v>Shaeffer</v>
      </c>
    </row>
    <row r="950">
      <c r="A950" s="85">
        <f>IFERROR(__xludf.DUMMYFUNCTION("""COMPUTED_VALUE"""),45598.0)</f>
        <v>45598</v>
      </c>
      <c r="B950" s="111">
        <f>IFERROR(__xludf.DUMMYFUNCTION("""COMPUTED_VALUE"""),9.99)</f>
        <v>9.99</v>
      </c>
      <c r="C950" s="79" t="str">
        <f>IFERROR(__xludf.DUMMYFUNCTION("""COMPUTED_VALUE"""),"Icloud storage")</f>
        <v>Icloud storage</v>
      </c>
      <c r="D950" s="79" t="str">
        <f>IFERROR(__xludf.DUMMYFUNCTION("""COMPUTED_VALUE"""),"Subscriptions")</f>
        <v>Subscriptions</v>
      </c>
      <c r="E950" s="108" t="str">
        <f t="shared" si="1"/>
        <v>Nov</v>
      </c>
      <c r="F950" s="79" t="str">
        <f>IFERROR(__xludf.DUMMYFUNCTION("""COMPUTED_VALUE"""),"Shaeffer")</f>
        <v>Shaeffer</v>
      </c>
    </row>
    <row r="951">
      <c r="A951" s="85">
        <f>IFERROR(__xludf.DUMMYFUNCTION("""COMPUTED_VALUE"""),45601.0)</f>
        <v>45601</v>
      </c>
      <c r="B951" s="111">
        <f>IFERROR(__xludf.DUMMYFUNCTION("""COMPUTED_VALUE"""),13.43)</f>
        <v>13.43</v>
      </c>
      <c r="C951" s="79" t="str">
        <f>IFERROR(__xludf.DUMMYFUNCTION("""COMPUTED_VALUE"""),"The Bush")</f>
        <v>The Bush</v>
      </c>
      <c r="D951" s="79" t="str">
        <f>IFERROR(__xludf.DUMMYFUNCTION("""COMPUTED_VALUE"""),"Alcohol/Weed")</f>
        <v>Alcohol/Weed</v>
      </c>
      <c r="E951" s="108" t="str">
        <f t="shared" si="1"/>
        <v>Nov</v>
      </c>
      <c r="F951" s="79" t="str">
        <f>IFERROR(__xludf.DUMMYFUNCTION("""COMPUTED_VALUE"""),"Shaeffer")</f>
        <v>Shaeffer</v>
      </c>
    </row>
    <row r="952">
      <c r="A952" s="85">
        <f>IFERROR(__xludf.DUMMYFUNCTION("""COMPUTED_VALUE"""),45603.0)</f>
        <v>45603</v>
      </c>
      <c r="B952" s="111">
        <f>IFERROR(__xludf.DUMMYFUNCTION("""COMPUTED_VALUE"""),1.85)</f>
        <v>1.85</v>
      </c>
      <c r="C952" s="79" t="str">
        <f>IFERROR(__xludf.DUMMYFUNCTION("""COMPUTED_VALUE"""),"Canteen vending machine -ymca")</f>
        <v>Canteen vending machine -ymca</v>
      </c>
      <c r="D952" s="79" t="str">
        <f>IFERROR(__xludf.DUMMYFUNCTION("""COMPUTED_VALUE"""),"Gym")</f>
        <v>Gym</v>
      </c>
      <c r="E952" s="108" t="str">
        <f t="shared" si="1"/>
        <v>Nov</v>
      </c>
      <c r="F952" s="79" t="str">
        <f>IFERROR(__xludf.DUMMYFUNCTION("""COMPUTED_VALUE"""),"Shaeffer")</f>
        <v>Shaeffer</v>
      </c>
    </row>
    <row r="953">
      <c r="A953" s="85">
        <f>IFERROR(__xludf.DUMMYFUNCTION("""COMPUTED_VALUE"""),45604.0)</f>
        <v>45604</v>
      </c>
      <c r="B953" s="111">
        <f>IFERROR(__xludf.DUMMYFUNCTION("""COMPUTED_VALUE"""),17.41)</f>
        <v>17.41</v>
      </c>
      <c r="C953" s="79" t="str">
        <f>IFERROR(__xludf.DUMMYFUNCTION("""COMPUTED_VALUE"""),"MI-NE SUSHI")</f>
        <v>MI-NE SUSHI</v>
      </c>
      <c r="D953" s="79" t="str">
        <f>IFERROR(__xludf.DUMMYFUNCTION("""COMPUTED_VALUE"""),"Work Meals")</f>
        <v>Work Meals</v>
      </c>
      <c r="E953" s="108" t="str">
        <f t="shared" si="1"/>
        <v>Nov</v>
      </c>
      <c r="F953" s="79" t="str">
        <f>IFERROR(__xludf.DUMMYFUNCTION("""COMPUTED_VALUE"""),"Shaeffer")</f>
        <v>Shaeffer</v>
      </c>
    </row>
    <row r="954">
      <c r="A954" s="85">
        <f>IFERROR(__xludf.DUMMYFUNCTION("""COMPUTED_VALUE"""),45604.0)</f>
        <v>45604</v>
      </c>
      <c r="B954" s="111">
        <f>IFERROR(__xludf.DUMMYFUNCTION("""COMPUTED_VALUE"""),24.33)</f>
        <v>24.33</v>
      </c>
      <c r="C954" s="79" t="str">
        <f>IFERROR(__xludf.DUMMYFUNCTION("""COMPUTED_VALUE"""),"Yamadaya")</f>
        <v>Yamadaya</v>
      </c>
      <c r="D954" s="79" t="str">
        <f>IFERROR(__xludf.DUMMYFUNCTION("""COMPUTED_VALUE"""),"Work Meals")</f>
        <v>Work Meals</v>
      </c>
      <c r="E954" s="108" t="str">
        <f t="shared" si="1"/>
        <v>Nov</v>
      </c>
      <c r="F954" s="79" t="str">
        <f>IFERROR(__xludf.DUMMYFUNCTION("""COMPUTED_VALUE"""),"Shaeffer")</f>
        <v>Shaeffer</v>
      </c>
    </row>
    <row r="955">
      <c r="A955" s="85">
        <f>IFERROR(__xludf.DUMMYFUNCTION("""COMPUTED_VALUE"""),45604.0)</f>
        <v>45604</v>
      </c>
      <c r="B955" s="111">
        <f>IFERROR(__xludf.DUMMYFUNCTION("""COMPUTED_VALUE"""),101.25)</f>
        <v>101.25</v>
      </c>
      <c r="C955" s="79" t="str">
        <f>IFERROR(__xludf.DUMMYFUNCTION("""COMPUTED_VALUE"""),"CO BIGELOW")</f>
        <v>CO BIGELOW</v>
      </c>
      <c r="D955" s="79" t="str">
        <f>IFERROR(__xludf.DUMMYFUNCTION("""COMPUTED_VALUE"""),"Personal")</f>
        <v>Personal</v>
      </c>
      <c r="E955" s="108" t="str">
        <f t="shared" si="1"/>
        <v>Nov</v>
      </c>
      <c r="F955" s="79" t="str">
        <f>IFERROR(__xludf.DUMMYFUNCTION("""COMPUTED_VALUE"""),"Shaeffer")</f>
        <v>Shaeffer</v>
      </c>
    </row>
    <row r="956">
      <c r="A956" s="85">
        <f>IFERROR(__xludf.DUMMYFUNCTION("""COMPUTED_VALUE"""),45605.0)</f>
        <v>45605</v>
      </c>
      <c r="B956" s="111">
        <f>IFERROR(__xludf.DUMMYFUNCTION("""COMPUTED_VALUE"""),3.99)</f>
        <v>3.99</v>
      </c>
      <c r="C956" s="79" t="str">
        <f>IFERROR(__xludf.DUMMYFUNCTION("""COMPUTED_VALUE"""),"Movie Rental - itunes")</f>
        <v>Movie Rental - itunes</v>
      </c>
      <c r="D956" s="79" t="str">
        <f>IFERROR(__xludf.DUMMYFUNCTION("""COMPUTED_VALUE"""),"Personal")</f>
        <v>Personal</v>
      </c>
      <c r="E956" s="108" t="str">
        <f t="shared" si="1"/>
        <v>Nov</v>
      </c>
      <c r="F956" s="79" t="str">
        <f>IFERROR(__xludf.DUMMYFUNCTION("""COMPUTED_VALUE"""),"Shaeffer")</f>
        <v>Shaeffer</v>
      </c>
    </row>
    <row r="957">
      <c r="A957" s="85">
        <f>IFERROR(__xludf.DUMMYFUNCTION("""COMPUTED_VALUE"""),45607.0)</f>
        <v>45607</v>
      </c>
      <c r="B957" s="111">
        <f>IFERROR(__xludf.DUMMYFUNCTION("""COMPUTED_VALUE"""),31.27)</f>
        <v>31.27</v>
      </c>
      <c r="C957" s="79" t="str">
        <f>IFERROR(__xludf.DUMMYFUNCTION("""COMPUTED_VALUE"""),"Insect Shield")</f>
        <v>Insect Shield</v>
      </c>
      <c r="D957" s="79" t="str">
        <f>IFERROR(__xludf.DUMMYFUNCTION("""COMPUTED_VALUE"""),"Clothing")</f>
        <v>Clothing</v>
      </c>
      <c r="E957" s="108" t="str">
        <f t="shared" si="1"/>
        <v>Nov</v>
      </c>
      <c r="F957" s="79" t="str">
        <f>IFERROR(__xludf.DUMMYFUNCTION("""COMPUTED_VALUE"""),"Shaeffer")</f>
        <v>Shaeffer</v>
      </c>
    </row>
    <row r="958">
      <c r="A958" s="85">
        <f>IFERROR(__xludf.DUMMYFUNCTION("""COMPUTED_VALUE"""),45607.0)</f>
        <v>45607</v>
      </c>
      <c r="B958" s="111">
        <f>IFERROR(__xludf.DUMMYFUNCTION("""COMPUTED_VALUE"""),27.49)</f>
        <v>27.49</v>
      </c>
      <c r="C958" s="79" t="str">
        <f>IFERROR(__xludf.DUMMYFUNCTION("""COMPUTED_VALUE"""),"Lyft")</f>
        <v>Lyft</v>
      </c>
      <c r="D958" s="79" t="str">
        <f>IFERROR(__xludf.DUMMYFUNCTION("""COMPUTED_VALUE"""),"Transportation")</f>
        <v>Transportation</v>
      </c>
      <c r="E958" s="108" t="str">
        <f t="shared" si="1"/>
        <v>Nov</v>
      </c>
      <c r="F958" s="79" t="str">
        <f>IFERROR(__xludf.DUMMYFUNCTION("""COMPUTED_VALUE"""),"Shaeffer")</f>
        <v>Shaeffer</v>
      </c>
    </row>
    <row r="959">
      <c r="A959" s="85">
        <f>IFERROR(__xludf.DUMMYFUNCTION("""COMPUTED_VALUE"""),45612.0)</f>
        <v>45612</v>
      </c>
      <c r="B959" s="111">
        <f>IFERROR(__xludf.DUMMYFUNCTION("""COMPUTED_VALUE"""),5.36)</f>
        <v>5.36</v>
      </c>
      <c r="C959" s="79" t="str">
        <f>IFERROR(__xludf.DUMMYFUNCTION("""COMPUTED_VALUE"""),"Variety")</f>
        <v>Variety</v>
      </c>
      <c r="D959" s="79" t="str">
        <f>IFERROR(__xludf.DUMMYFUNCTION("""COMPUTED_VALUE"""),"Work Meals")</f>
        <v>Work Meals</v>
      </c>
      <c r="E959" s="108" t="str">
        <f t="shared" si="1"/>
        <v>Nov</v>
      </c>
      <c r="F959" s="79" t="str">
        <f>IFERROR(__xludf.DUMMYFUNCTION("""COMPUTED_VALUE"""),"Shaeffer")</f>
        <v>Shaeffer</v>
      </c>
    </row>
    <row r="960">
      <c r="A960" s="85">
        <f>IFERROR(__xludf.DUMMYFUNCTION("""COMPUTED_VALUE"""),45612.0)</f>
        <v>45612</v>
      </c>
      <c r="B960" s="111">
        <f>IFERROR(__xludf.DUMMYFUNCTION("""COMPUTED_VALUE"""),17.41)</f>
        <v>17.41</v>
      </c>
      <c r="C960" s="79" t="str">
        <f>IFERROR(__xludf.DUMMYFUNCTION("""COMPUTED_VALUE"""),"Irving Bottle")</f>
        <v>Irving Bottle</v>
      </c>
      <c r="D960" s="79" t="str">
        <f>IFERROR(__xludf.DUMMYFUNCTION("""COMPUTED_VALUE"""),"Alcohol/Weed")</f>
        <v>Alcohol/Weed</v>
      </c>
      <c r="E960" s="108" t="str">
        <f t="shared" si="1"/>
        <v>Nov</v>
      </c>
      <c r="F960" s="79" t="str">
        <f>IFERROR(__xludf.DUMMYFUNCTION("""COMPUTED_VALUE"""),"Shaeffer")</f>
        <v>Shaeffer</v>
      </c>
    </row>
    <row r="961">
      <c r="A961" s="85">
        <f>IFERROR(__xludf.DUMMYFUNCTION("""COMPUTED_VALUE"""),45612.0)</f>
        <v>45612</v>
      </c>
      <c r="B961" s="111">
        <f>IFERROR(__xludf.DUMMYFUNCTION("""COMPUTED_VALUE"""),27.21)</f>
        <v>27.21</v>
      </c>
      <c r="C961" s="79" t="str">
        <f>IFERROR(__xludf.DUMMYFUNCTION("""COMPUTED_VALUE"""),"Bedford Wine &amp; Spirits")</f>
        <v>Bedford Wine &amp; Spirits</v>
      </c>
      <c r="D961" s="79" t="str">
        <f>IFERROR(__xludf.DUMMYFUNCTION("""COMPUTED_VALUE"""),"Alcohol/Weed")</f>
        <v>Alcohol/Weed</v>
      </c>
      <c r="E961" s="108" t="str">
        <f t="shared" si="1"/>
        <v>Nov</v>
      </c>
      <c r="F961" s="79" t="str">
        <f>IFERROR(__xludf.DUMMYFUNCTION("""COMPUTED_VALUE"""),"Shaeffer")</f>
        <v>Shaeffer</v>
      </c>
    </row>
    <row r="962">
      <c r="A962" s="85">
        <f>IFERROR(__xludf.DUMMYFUNCTION("""COMPUTED_VALUE"""),45616.0)</f>
        <v>45616</v>
      </c>
      <c r="B962" s="111">
        <f>IFERROR(__xludf.DUMMYFUNCTION("""COMPUTED_VALUE"""),6.99)</f>
        <v>6.99</v>
      </c>
      <c r="C962" s="79" t="str">
        <f>IFERROR(__xludf.DUMMYFUNCTION("""COMPUTED_VALUE"""),"Conwell Coffee Hall")</f>
        <v>Conwell Coffee Hall</v>
      </c>
      <c r="D962" s="79" t="str">
        <f>IFERROR(__xludf.DUMMYFUNCTION("""COMPUTED_VALUE"""),"Work Meals")</f>
        <v>Work Meals</v>
      </c>
      <c r="E962" s="108" t="str">
        <f t="shared" si="1"/>
        <v>Nov</v>
      </c>
      <c r="F962" s="79" t="str">
        <f>IFERROR(__xludf.DUMMYFUNCTION("""COMPUTED_VALUE"""),"Shaeffer")</f>
        <v>Shaeffer</v>
      </c>
    </row>
    <row r="963">
      <c r="A963" s="85">
        <f>IFERROR(__xludf.DUMMYFUNCTION("""COMPUTED_VALUE"""),45620.0)</f>
        <v>45620</v>
      </c>
      <c r="B963" s="111">
        <f>IFERROR(__xludf.DUMMYFUNCTION("""COMPUTED_VALUE"""),24.57)</f>
        <v>24.57</v>
      </c>
      <c r="C963" s="79" t="str">
        <f>IFERROR(__xludf.DUMMYFUNCTION("""COMPUTED_VALUE"""),"Uber delivery - LL pop up")</f>
        <v>Uber delivery - LL pop up</v>
      </c>
      <c r="D963" s="79" t="str">
        <f>IFERROR(__xludf.DUMMYFUNCTION("""COMPUTED_VALUE"""),"Studio")</f>
        <v>Studio</v>
      </c>
      <c r="E963" s="108" t="str">
        <f t="shared" si="1"/>
        <v>Nov</v>
      </c>
      <c r="F963" s="79" t="str">
        <f>IFERROR(__xludf.DUMMYFUNCTION("""COMPUTED_VALUE"""),"Shaeffer")</f>
        <v>Shaeffer</v>
      </c>
    </row>
    <row r="964">
      <c r="A964" s="85">
        <f>IFERROR(__xludf.DUMMYFUNCTION("""COMPUTED_VALUE"""),45621.0)</f>
        <v>45621</v>
      </c>
      <c r="B964" s="111">
        <f>IFERROR(__xludf.DUMMYFUNCTION("""COMPUTED_VALUE"""),45.39)</f>
        <v>45.39</v>
      </c>
      <c r="C964" s="79" t="str">
        <f>IFERROR(__xludf.DUMMYFUNCTION("""COMPUTED_VALUE"""),"MDSolarSciences")</f>
        <v>MDSolarSciences</v>
      </c>
      <c r="D964" s="79" t="str">
        <f>IFERROR(__xludf.DUMMYFUNCTION("""COMPUTED_VALUE"""),"Personal")</f>
        <v>Personal</v>
      </c>
      <c r="E964" s="108" t="str">
        <f t="shared" si="1"/>
        <v>Nov</v>
      </c>
      <c r="F964" s="79" t="str">
        <f>IFERROR(__xludf.DUMMYFUNCTION("""COMPUTED_VALUE"""),"Shaeffer")</f>
        <v>Shaeffer</v>
      </c>
    </row>
    <row r="965">
      <c r="A965" s="85">
        <f>IFERROR(__xludf.DUMMYFUNCTION("""COMPUTED_VALUE"""),45627.0)</f>
        <v>45627</v>
      </c>
      <c r="B965" s="111">
        <f>IFERROR(__xludf.DUMMYFUNCTION("""COMPUTED_VALUE"""),4.5)</f>
        <v>4.5</v>
      </c>
      <c r="C965" s="79" t="str">
        <f>IFERROR(__xludf.DUMMYFUNCTION("""COMPUTED_VALUE"""),"Caffeine Underground")</f>
        <v>Caffeine Underground</v>
      </c>
      <c r="D965" s="79" t="str">
        <f>IFERROR(__xludf.DUMMYFUNCTION("""COMPUTED_VALUE"""),"Work Meals")</f>
        <v>Work Meals</v>
      </c>
      <c r="E965" s="108" t="str">
        <f t="shared" si="1"/>
        <v>Dec</v>
      </c>
      <c r="F965" s="79" t="str">
        <f>IFERROR(__xludf.DUMMYFUNCTION("""COMPUTED_VALUE"""),"Shaeffer")</f>
        <v>Shaeffer</v>
      </c>
    </row>
    <row r="966">
      <c r="A966" s="85">
        <f>IFERROR(__xludf.DUMMYFUNCTION("""COMPUTED_VALUE"""),45628.0)</f>
        <v>45628</v>
      </c>
      <c r="B966" s="111">
        <f>IFERROR(__xludf.DUMMYFUNCTION("""COMPUTED_VALUE"""),9.99)</f>
        <v>9.99</v>
      </c>
      <c r="C966" s="79" t="str">
        <f>IFERROR(__xludf.DUMMYFUNCTION("""COMPUTED_VALUE"""),"Icloud")</f>
        <v>Icloud</v>
      </c>
      <c r="D966" s="79" t="str">
        <f>IFERROR(__xludf.DUMMYFUNCTION("""COMPUTED_VALUE"""),"Subscriptions")</f>
        <v>Subscriptions</v>
      </c>
      <c r="E966" s="108" t="str">
        <f t="shared" si="1"/>
        <v>Dec</v>
      </c>
      <c r="F966" s="79" t="str">
        <f>IFERROR(__xludf.DUMMYFUNCTION("""COMPUTED_VALUE"""),"Shaeffer")</f>
        <v>Shaeffer</v>
      </c>
    </row>
    <row r="967">
      <c r="A967" s="85">
        <f>IFERROR(__xludf.DUMMYFUNCTION("""COMPUTED_VALUE"""),45629.0)</f>
        <v>45629</v>
      </c>
      <c r="B967" s="111">
        <f>IFERROR(__xludf.DUMMYFUNCTION("""COMPUTED_VALUE"""),25.86)</f>
        <v>25.86</v>
      </c>
      <c r="C967" s="79" t="str">
        <f>IFERROR(__xludf.DUMMYFUNCTION("""COMPUTED_VALUE"""),"zippers for LL pop up")</f>
        <v>zippers for LL pop up</v>
      </c>
      <c r="D967" s="79" t="str">
        <f>IFERROR(__xludf.DUMMYFUNCTION("""COMPUTED_VALUE"""),"Studio")</f>
        <v>Studio</v>
      </c>
      <c r="E967" s="108" t="str">
        <f t="shared" si="1"/>
        <v>Dec</v>
      </c>
      <c r="F967" s="79" t="str">
        <f>IFERROR(__xludf.DUMMYFUNCTION("""COMPUTED_VALUE"""),"Shaeffer")</f>
        <v>Shaeffer</v>
      </c>
    </row>
    <row r="968">
      <c r="A968" s="85">
        <f>IFERROR(__xludf.DUMMYFUNCTION("""COMPUTED_VALUE"""),45631.0)</f>
        <v>45631</v>
      </c>
      <c r="B968" s="111">
        <f>IFERROR(__xludf.DUMMYFUNCTION("""COMPUTED_VALUE"""),47.07)</f>
        <v>47.07</v>
      </c>
      <c r="C968" s="79" t="str">
        <f>IFERROR(__xludf.DUMMYFUNCTION("""COMPUTED_VALUE"""),"Uber pick up - LL pop up")</f>
        <v>Uber pick up - LL pop up</v>
      </c>
      <c r="D968" s="79" t="str">
        <f>IFERROR(__xludf.DUMMYFUNCTION("""COMPUTED_VALUE"""),"Studio")</f>
        <v>Studio</v>
      </c>
      <c r="E968" s="108" t="str">
        <f t="shared" si="1"/>
        <v>Dec</v>
      </c>
      <c r="F968" s="79" t="str">
        <f>IFERROR(__xludf.DUMMYFUNCTION("""COMPUTED_VALUE"""),"Shaeffer")</f>
        <v>Shaeffer</v>
      </c>
    </row>
    <row r="969">
      <c r="A969" s="85">
        <f>IFERROR(__xludf.DUMMYFUNCTION("""COMPUTED_VALUE"""),45633.0)</f>
        <v>45633</v>
      </c>
      <c r="B969" s="111">
        <f>IFERROR(__xludf.DUMMYFUNCTION("""COMPUTED_VALUE"""),17.21)</f>
        <v>17.21</v>
      </c>
      <c r="C969" s="79" t="str">
        <f>IFERROR(__xludf.DUMMYFUNCTION("""COMPUTED_VALUE"""),"Lyft")</f>
        <v>Lyft</v>
      </c>
      <c r="D969" s="79" t="str">
        <f>IFERROR(__xludf.DUMMYFUNCTION("""COMPUTED_VALUE"""),"Transportation")</f>
        <v>Transportation</v>
      </c>
      <c r="E969" s="108" t="str">
        <f t="shared" si="1"/>
        <v>Dec</v>
      </c>
      <c r="F969" s="79" t="str">
        <f>IFERROR(__xludf.DUMMYFUNCTION("""COMPUTED_VALUE"""),"Shaeffer")</f>
        <v>Shaeffer</v>
      </c>
    </row>
    <row r="970">
      <c r="A970" s="85">
        <f>IFERROR(__xludf.DUMMYFUNCTION("""COMPUTED_VALUE"""),45631.0)</f>
        <v>45631</v>
      </c>
      <c r="B970" s="111">
        <f>IFERROR(__xludf.DUMMYFUNCTION("""COMPUTED_VALUE"""),8.62)</f>
        <v>8.62</v>
      </c>
      <c r="C970" s="79" t="str">
        <f>IFERROR(__xludf.DUMMYFUNCTION("""COMPUTED_VALUE"""),"Harumastu Bakery")</f>
        <v>Harumastu Bakery</v>
      </c>
      <c r="D970" s="79" t="str">
        <f>IFERROR(__xludf.DUMMYFUNCTION("""COMPUTED_VALUE"""),"Work Meals")</f>
        <v>Work Meals</v>
      </c>
      <c r="E970" s="108" t="str">
        <f t="shared" si="1"/>
        <v>Dec</v>
      </c>
      <c r="F970" s="79" t="str">
        <f>IFERROR(__xludf.DUMMYFUNCTION("""COMPUTED_VALUE"""),"Shaeffer")</f>
        <v>Shaeffer</v>
      </c>
    </row>
    <row r="971">
      <c r="A971" s="85">
        <f>IFERROR(__xludf.DUMMYFUNCTION("""COMPUTED_VALUE"""),45633.0)</f>
        <v>45633</v>
      </c>
      <c r="B971" s="111">
        <f>IFERROR(__xludf.DUMMYFUNCTION("""COMPUTED_VALUE"""),4.41)</f>
        <v>4.41</v>
      </c>
      <c r="C971" s="79" t="str">
        <f>IFERROR(__xludf.DUMMYFUNCTION("""COMPUTED_VALUE"""),"Uber")</f>
        <v>Uber</v>
      </c>
      <c r="D971" s="79" t="str">
        <f>IFERROR(__xludf.DUMMYFUNCTION("""COMPUTED_VALUE"""),"Transportation")</f>
        <v>Transportation</v>
      </c>
      <c r="E971" s="108" t="str">
        <f t="shared" si="1"/>
        <v>Dec</v>
      </c>
      <c r="F971" s="79" t="str">
        <f>IFERROR(__xludf.DUMMYFUNCTION("""COMPUTED_VALUE"""),"Shaeffer")</f>
        <v>Shaeffer</v>
      </c>
    </row>
    <row r="972">
      <c r="A972" s="85">
        <f>IFERROR(__xludf.DUMMYFUNCTION("""COMPUTED_VALUE"""),45633.0)</f>
        <v>45633</v>
      </c>
      <c r="B972" s="111">
        <f>IFERROR(__xludf.DUMMYFUNCTION("""COMPUTED_VALUE"""),23.78)</f>
        <v>23.78</v>
      </c>
      <c r="C972" s="79" t="str">
        <f>IFERROR(__xludf.DUMMYFUNCTION("""COMPUTED_VALUE"""),"Harumatsu Bakery")</f>
        <v>Harumatsu Bakery</v>
      </c>
      <c r="D972" s="79" t="str">
        <f>IFERROR(__xludf.DUMMYFUNCTION("""COMPUTED_VALUE"""),"Work Meals")</f>
        <v>Work Meals</v>
      </c>
      <c r="E972" s="108" t="str">
        <f t="shared" si="1"/>
        <v>Dec</v>
      </c>
      <c r="F972" s="79" t="str">
        <f>IFERROR(__xludf.DUMMYFUNCTION("""COMPUTED_VALUE"""),"Shaeffer")</f>
        <v>Shaeffer</v>
      </c>
    </row>
    <row r="973">
      <c r="A973" s="85">
        <f>IFERROR(__xludf.DUMMYFUNCTION("""COMPUTED_VALUE"""),45636.0)</f>
        <v>45636</v>
      </c>
      <c r="B973" s="111">
        <f>IFERROR(__xludf.DUMMYFUNCTION("""COMPUTED_VALUE"""),2.17)</f>
        <v>2.17</v>
      </c>
      <c r="C973" s="79" t="str">
        <f>IFERROR(__xludf.DUMMYFUNCTION("""COMPUTED_VALUE"""),"gmail storage")</f>
        <v>gmail storage</v>
      </c>
      <c r="D973" s="79" t="str">
        <f>IFERROR(__xludf.DUMMYFUNCTION("""COMPUTED_VALUE"""),"Subscriptions")</f>
        <v>Subscriptions</v>
      </c>
      <c r="E973" s="108" t="str">
        <f t="shared" si="1"/>
        <v>Dec</v>
      </c>
      <c r="F973" s="79" t="str">
        <f>IFERROR(__xludf.DUMMYFUNCTION("""COMPUTED_VALUE"""),"Shaeffer")</f>
        <v>Shaeffer</v>
      </c>
    </row>
    <row r="974">
      <c r="A974" s="85">
        <f>IFERROR(__xludf.DUMMYFUNCTION("""COMPUTED_VALUE"""),45639.0)</f>
        <v>45639</v>
      </c>
      <c r="B974" s="111"/>
      <c r="C974" s="79" t="str">
        <f>IFERROR(__xludf.DUMMYFUNCTION("""COMPUTED_VALUE"""),"22.67")</f>
        <v>22.67</v>
      </c>
      <c r="D974" s="79" t="str">
        <f>IFERROR(__xludf.DUMMYFUNCTION("""COMPUTED_VALUE"""),"Work Meals")</f>
        <v>Work Meals</v>
      </c>
      <c r="E974" s="108" t="str">
        <f t="shared" si="1"/>
        <v>Dec</v>
      </c>
      <c r="F974" s="79" t="str">
        <f>IFERROR(__xludf.DUMMYFUNCTION("""COMPUTED_VALUE"""),"Shaeffer")</f>
        <v>Shaeffer</v>
      </c>
    </row>
    <row r="975">
      <c r="A975" s="85">
        <f>IFERROR(__xludf.DUMMYFUNCTION("""COMPUTED_VALUE"""),45597.0)</f>
        <v>45597</v>
      </c>
      <c r="B975" s="111">
        <f>IFERROR(__xludf.DUMMYFUNCTION("""COMPUTED_VALUE"""),51.0)</f>
        <v>51</v>
      </c>
      <c r="C975" s="79" t="str">
        <f>IFERROR(__xludf.DUMMYFUNCTION("""COMPUTED_VALUE"""),"Abraco - Gils bd")</f>
        <v>Abraco - Gils bd</v>
      </c>
      <c r="D975" s="79" t="str">
        <f>IFERROR(__xludf.DUMMYFUNCTION("""COMPUTED_VALUE"""),"Gifts/Donations")</f>
        <v>Gifts/Donations</v>
      </c>
      <c r="E975" s="108" t="str">
        <f t="shared" si="1"/>
        <v>Nov</v>
      </c>
      <c r="F975" s="79" t="str">
        <f>IFERROR(__xludf.DUMMYFUNCTION("""COMPUTED_VALUE"""),"Shaeffer")</f>
        <v>Shaeffer</v>
      </c>
    </row>
    <row r="976">
      <c r="A976" s="85">
        <f>IFERROR(__xludf.DUMMYFUNCTION("""COMPUTED_VALUE"""),45597.0)</f>
        <v>45597</v>
      </c>
      <c r="B976" s="111">
        <f>IFERROR(__xludf.DUMMYFUNCTION("""COMPUTED_VALUE"""),86.88)</f>
        <v>86.88</v>
      </c>
      <c r="C976" s="79" t="str">
        <f>IFERROR(__xludf.DUMMYFUNCTION("""COMPUTED_VALUE"""),"Superiority Burger - Gils bd")</f>
        <v>Superiority Burger - Gils bd</v>
      </c>
      <c r="D976" s="79" t="str">
        <f>IFERROR(__xludf.DUMMYFUNCTION("""COMPUTED_VALUE"""),"Meals")</f>
        <v>Meals</v>
      </c>
      <c r="E976" s="108" t="str">
        <f t="shared" si="1"/>
        <v>Nov</v>
      </c>
      <c r="F976" s="79" t="str">
        <f>IFERROR(__xludf.DUMMYFUNCTION("""COMPUTED_VALUE"""),"Shaeffer")</f>
        <v>Shaeffer</v>
      </c>
    </row>
    <row r="977">
      <c r="A977" s="85">
        <f>IFERROR(__xludf.DUMMYFUNCTION("""COMPUTED_VALUE"""),45597.0)</f>
        <v>45597</v>
      </c>
      <c r="B977" s="111">
        <f>IFERROR(__xludf.DUMMYFUNCTION("""COMPUTED_VALUE"""),74.01)</f>
        <v>74.01</v>
      </c>
      <c r="C977" s="79" t="str">
        <f>IFERROR(__xludf.DUMMYFUNCTION("""COMPUTED_VALUE"""),"Exquiste Liquor Corp - Gils bd party ")</f>
        <v>Exquiste Liquor Corp - Gils bd party </v>
      </c>
      <c r="D977" s="79" t="str">
        <f>IFERROR(__xludf.DUMMYFUNCTION("""COMPUTED_VALUE"""),"Alcohol/Weed")</f>
        <v>Alcohol/Weed</v>
      </c>
      <c r="E977" s="108" t="str">
        <f t="shared" si="1"/>
        <v>Nov</v>
      </c>
      <c r="F977" s="79" t="str">
        <f>IFERROR(__xludf.DUMMYFUNCTION("""COMPUTED_VALUE"""),"Shaeffer")</f>
        <v>Shaeffer</v>
      </c>
    </row>
    <row r="978">
      <c r="A978" s="85">
        <f>IFERROR(__xludf.DUMMYFUNCTION("""COMPUTED_VALUE"""),45625.0)</f>
        <v>45625</v>
      </c>
      <c r="B978" s="111">
        <f>IFERROR(__xludf.DUMMYFUNCTION("""COMPUTED_VALUE"""),99.0)</f>
        <v>99</v>
      </c>
      <c r="C978" s="79" t="str">
        <f>IFERROR(__xludf.DUMMYFUNCTION("""COMPUTED_VALUE"""),"jet Blue Card Annual Fee")</f>
        <v>jet Blue Card Annual Fee</v>
      </c>
      <c r="D978" s="79" t="str">
        <f>IFERROR(__xludf.DUMMYFUNCTION("""COMPUTED_VALUE"""),"Subscriptions")</f>
        <v>Subscriptions</v>
      </c>
      <c r="E978" s="108" t="str">
        <f t="shared" si="1"/>
        <v>Nov</v>
      </c>
      <c r="F978" s="79" t="str">
        <f>IFERROR(__xludf.DUMMYFUNCTION("""COMPUTED_VALUE"""),"Shaeffer")</f>
        <v>Shaeffer</v>
      </c>
    </row>
    <row r="979">
      <c r="A979" s="85">
        <f>IFERROR(__xludf.DUMMYFUNCTION("""COMPUTED_VALUE"""),45625.0)</f>
        <v>45625</v>
      </c>
      <c r="B979" s="111">
        <f>IFERROR(__xludf.DUMMYFUNCTION("""COMPUTED_VALUE"""),27.98)</f>
        <v>27.98</v>
      </c>
      <c r="C979" s="79" t="str">
        <f>IFERROR(__xludf.DUMMYFUNCTION("""COMPUTED_VALUE"""),"Vixen")</f>
        <v>Vixen</v>
      </c>
      <c r="D979" s="79" t="str">
        <f>IFERROR(__xludf.DUMMYFUNCTION("""COMPUTED_VALUE"""),"Clothing")</f>
        <v>Clothing</v>
      </c>
      <c r="E979" s="108" t="str">
        <f t="shared" si="1"/>
        <v>Nov</v>
      </c>
      <c r="F979" s="79" t="str">
        <f>IFERROR(__xludf.DUMMYFUNCTION("""COMPUTED_VALUE"""),"Shaeffer")</f>
        <v>Shaeffer</v>
      </c>
    </row>
    <row r="980">
      <c r="A980" s="85">
        <f>IFERROR(__xludf.DUMMYFUNCTION("""COMPUTED_VALUE"""),45625.0)</f>
        <v>45625</v>
      </c>
      <c r="B980" s="111">
        <f>IFERROR(__xludf.DUMMYFUNCTION("""COMPUTED_VALUE"""),42.0)</f>
        <v>42</v>
      </c>
      <c r="C980" s="79" t="str">
        <f>IFERROR(__xludf.DUMMYFUNCTION("""COMPUTED_VALUE"""),"Retrospect")</f>
        <v>Retrospect</v>
      </c>
      <c r="D980" s="79" t="str">
        <f>IFERROR(__xludf.DUMMYFUNCTION("""COMPUTED_VALUE"""),"Clothing")</f>
        <v>Clothing</v>
      </c>
      <c r="E980" s="108" t="str">
        <f t="shared" si="1"/>
        <v>Nov</v>
      </c>
      <c r="F980" s="79" t="str">
        <f>IFERROR(__xludf.DUMMYFUNCTION("""COMPUTED_VALUE"""),"Shaeffer")</f>
        <v>Shaeffer</v>
      </c>
    </row>
    <row r="981">
      <c r="A981" s="85">
        <f>IFERROR(__xludf.DUMMYFUNCTION("""COMPUTED_VALUE"""),45628.0)</f>
        <v>45628</v>
      </c>
      <c r="B981" s="111">
        <f>IFERROR(__xludf.DUMMYFUNCTION("""COMPUTED_VALUE"""),65.29)</f>
        <v>65.29</v>
      </c>
      <c r="C981" s="79" t="str">
        <f>IFERROR(__xludf.DUMMYFUNCTION("""COMPUTED_VALUE"""),"Artist &amp; Craftman Supply")</f>
        <v>Artist &amp; Craftman Supply</v>
      </c>
      <c r="D981" s="79" t="str">
        <f>IFERROR(__xludf.DUMMYFUNCTION("""COMPUTED_VALUE"""),"Studio")</f>
        <v>Studio</v>
      </c>
      <c r="E981" s="108" t="str">
        <f t="shared" si="1"/>
        <v>Dec</v>
      </c>
      <c r="F981" s="79" t="str">
        <f>IFERROR(__xludf.DUMMYFUNCTION("""COMPUTED_VALUE"""),"Shaeffer")</f>
        <v>Shaeffer</v>
      </c>
    </row>
    <row r="982">
      <c r="A982" s="85">
        <f>IFERROR(__xludf.DUMMYFUNCTION("""COMPUTED_VALUE"""),45641.0)</f>
        <v>45641</v>
      </c>
      <c r="B982" s="111">
        <f>IFERROR(__xludf.DUMMYFUNCTION("""COMPUTED_VALUE"""),32.0)</f>
        <v>32</v>
      </c>
      <c r="C982" s="79" t="str">
        <f>IFERROR(__xludf.DUMMYFUNCTION("""COMPUTED_VALUE"""),"Connollys Pub")</f>
        <v>Connollys Pub</v>
      </c>
      <c r="D982" s="79" t="str">
        <f>IFERROR(__xludf.DUMMYFUNCTION("""COMPUTED_VALUE"""),"Alcohol/Weed")</f>
        <v>Alcohol/Weed</v>
      </c>
      <c r="E982" s="108" t="str">
        <f t="shared" si="1"/>
        <v>Dec</v>
      </c>
      <c r="F982" s="79" t="str">
        <f>IFERROR(__xludf.DUMMYFUNCTION("""COMPUTED_VALUE"""),"Shaeffer")</f>
        <v>Shaeffer</v>
      </c>
    </row>
    <row r="983">
      <c r="A983" s="85">
        <f>IFERROR(__xludf.DUMMYFUNCTION("""COMPUTED_VALUE"""),45599.0)</f>
        <v>45599</v>
      </c>
      <c r="B983" s="111">
        <f>IFERROR(__xludf.DUMMYFUNCTION("""COMPUTED_VALUE"""),17.61)</f>
        <v>17.61</v>
      </c>
      <c r="C983" s="79" t="str">
        <f>IFERROR(__xludf.DUMMYFUNCTION("""COMPUTED_VALUE"""),"Walgreens")</f>
        <v>Walgreens</v>
      </c>
      <c r="D983" s="79" t="str">
        <f>IFERROR(__xludf.DUMMYFUNCTION("""COMPUTED_VALUE"""),"Personal")</f>
        <v>Personal</v>
      </c>
      <c r="E983" s="108" t="str">
        <f t="shared" si="1"/>
        <v>Nov</v>
      </c>
      <c r="F983" s="79" t="str">
        <f>IFERROR(__xludf.DUMMYFUNCTION("""COMPUTED_VALUE"""),"Shaeffer")</f>
        <v>Shaeffer</v>
      </c>
    </row>
    <row r="984">
      <c r="A984" s="85">
        <f>IFERROR(__xludf.DUMMYFUNCTION("""COMPUTED_VALUE"""),45605.0)</f>
        <v>45605</v>
      </c>
      <c r="B984" s="111">
        <f>IFERROR(__xludf.DUMMYFUNCTION("""COMPUTED_VALUE"""),21.76)</f>
        <v>21.76</v>
      </c>
      <c r="C984" s="79" t="str">
        <f>IFERROR(__xludf.DUMMYFUNCTION("""COMPUTED_VALUE"""),"Big Tree Bottles")</f>
        <v>Big Tree Bottles</v>
      </c>
      <c r="D984" s="79" t="str">
        <f>IFERROR(__xludf.DUMMYFUNCTION("""COMPUTED_VALUE"""),"Alcohol/Weed")</f>
        <v>Alcohol/Weed</v>
      </c>
      <c r="E984" s="108" t="str">
        <f t="shared" si="1"/>
        <v>Nov</v>
      </c>
      <c r="F984" s="79" t="str">
        <f>IFERROR(__xludf.DUMMYFUNCTION("""COMPUTED_VALUE"""),"Shaeffer")</f>
        <v>Shaeffer</v>
      </c>
    </row>
    <row r="985">
      <c r="A985" s="85">
        <f>IFERROR(__xludf.DUMMYFUNCTION("""COMPUTED_VALUE"""),45606.0)</f>
        <v>45606</v>
      </c>
      <c r="B985" s="111">
        <f>IFERROR(__xludf.DUMMYFUNCTION("""COMPUTED_VALUE"""),12.0)</f>
        <v>12</v>
      </c>
      <c r="C985" s="79" t="str">
        <f>IFERROR(__xludf.DUMMYFUNCTION("""COMPUTED_VALUE"""),"Wycoff Weirfield")</f>
        <v>Wycoff Weirfield</v>
      </c>
      <c r="D985" s="79" t="str">
        <f>IFERROR(__xludf.DUMMYFUNCTION("""COMPUTED_VALUE"""),"Work Meals")</f>
        <v>Work Meals</v>
      </c>
      <c r="E985" s="108" t="str">
        <f t="shared" si="1"/>
        <v>Nov</v>
      </c>
      <c r="F985" s="79" t="str">
        <f>IFERROR(__xludf.DUMMYFUNCTION("""COMPUTED_VALUE"""),"Shaeffer")</f>
        <v>Shaeffer</v>
      </c>
    </row>
    <row r="986">
      <c r="A986" s="85">
        <f>IFERROR(__xludf.DUMMYFUNCTION("""COMPUTED_VALUE"""),45607.0)</f>
        <v>45607</v>
      </c>
      <c r="B986" s="111">
        <f>IFERROR(__xludf.DUMMYFUNCTION("""COMPUTED_VALUE"""),95.26)</f>
        <v>95.26</v>
      </c>
      <c r="C986" s="79" t="str">
        <f>IFERROR(__xludf.DUMMYFUNCTION("""COMPUTED_VALUE"""),"Paleo Pro")</f>
        <v>Paleo Pro</v>
      </c>
      <c r="D986" s="79" t="str">
        <f>IFERROR(__xludf.DUMMYFUNCTION("""COMPUTED_VALUE"""),"Subscriptions")</f>
        <v>Subscriptions</v>
      </c>
      <c r="E986" s="108" t="str">
        <f t="shared" si="1"/>
        <v>Nov</v>
      </c>
      <c r="F986" s="79" t="str">
        <f>IFERROR(__xludf.DUMMYFUNCTION("""COMPUTED_VALUE"""),"Shaeffer")</f>
        <v>Shaeffer</v>
      </c>
    </row>
    <row r="987">
      <c r="A987" s="85">
        <f>IFERROR(__xludf.DUMMYFUNCTION("""COMPUTED_VALUE"""),45609.0)</f>
        <v>45609</v>
      </c>
      <c r="B987" s="111">
        <f>IFERROR(__xludf.DUMMYFUNCTION("""COMPUTED_VALUE"""),21.6)</f>
        <v>21.6</v>
      </c>
      <c r="C987" s="79" t="str">
        <f>IFERROR(__xludf.DUMMYFUNCTION("""COMPUTED_VALUE"""),"Windsor Farms")</f>
        <v>Windsor Farms</v>
      </c>
      <c r="D987" s="79" t="str">
        <f>IFERROR(__xludf.DUMMYFUNCTION("""COMPUTED_VALUE"""),"Work Meals")</f>
        <v>Work Meals</v>
      </c>
      <c r="E987" s="108" t="str">
        <f t="shared" si="1"/>
        <v>Nov</v>
      </c>
      <c r="F987" s="79" t="str">
        <f>IFERROR(__xludf.DUMMYFUNCTION("""COMPUTED_VALUE"""),"Shaeffer")</f>
        <v>Shaeffer</v>
      </c>
    </row>
    <row r="988">
      <c r="A988" s="85">
        <f>IFERROR(__xludf.DUMMYFUNCTION("""COMPUTED_VALUE"""),45609.0)</f>
        <v>45609</v>
      </c>
      <c r="B988" s="111">
        <f>IFERROR(__xludf.DUMMYFUNCTION("""COMPUTED_VALUE"""),45.74)</f>
        <v>45.74</v>
      </c>
      <c r="C988" s="79" t="str">
        <f>IFERROR(__xludf.DUMMYFUNCTION("""COMPUTED_VALUE"""),"Korres")</f>
        <v>Korres</v>
      </c>
      <c r="D988" s="79" t="str">
        <f>IFERROR(__xludf.DUMMYFUNCTION("""COMPUTED_VALUE"""),"Personal")</f>
        <v>Personal</v>
      </c>
      <c r="E988" s="108" t="str">
        <f t="shared" si="1"/>
        <v>Nov</v>
      </c>
      <c r="F988" s="79" t="str">
        <f>IFERROR(__xludf.DUMMYFUNCTION("""COMPUTED_VALUE"""),"Shaeffer")</f>
        <v>Shaeffer</v>
      </c>
    </row>
    <row r="989">
      <c r="A989" s="85">
        <f>IFERROR(__xludf.DUMMYFUNCTION("""COMPUTED_VALUE"""),45611.0)</f>
        <v>45611</v>
      </c>
      <c r="B989" s="111">
        <f>IFERROR(__xludf.DUMMYFUNCTION("""COMPUTED_VALUE"""),119.0)</f>
        <v>119</v>
      </c>
      <c r="C989" s="79" t="str">
        <f>IFERROR(__xludf.DUMMYFUNCTION("""COMPUTED_VALUE"""),"YMCA")</f>
        <v>YMCA</v>
      </c>
      <c r="D989" s="79" t="str">
        <f>IFERROR(__xludf.DUMMYFUNCTION("""COMPUTED_VALUE"""),"Gym")</f>
        <v>Gym</v>
      </c>
      <c r="E989" s="108" t="str">
        <f t="shared" si="1"/>
        <v>Nov</v>
      </c>
      <c r="F989" s="79" t="str">
        <f>IFERROR(__xludf.DUMMYFUNCTION("""COMPUTED_VALUE"""),"Shaeffer")</f>
        <v>Shaeffer</v>
      </c>
    </row>
    <row r="990">
      <c r="A990" s="85">
        <f>IFERROR(__xludf.DUMMYFUNCTION("""COMPUTED_VALUE"""),45611.0)</f>
        <v>45611</v>
      </c>
      <c r="B990" s="111">
        <f>IFERROR(__xludf.DUMMYFUNCTION("""COMPUTED_VALUE"""),14.71)</f>
        <v>14.71</v>
      </c>
      <c r="C990" s="79" t="str">
        <f>IFERROR(__xludf.DUMMYFUNCTION("""COMPUTED_VALUE"""),"Vineyard Sky LLC")</f>
        <v>Vineyard Sky LLC</v>
      </c>
      <c r="D990" s="79" t="str">
        <f>IFERROR(__xludf.DUMMYFUNCTION("""COMPUTED_VALUE"""),"Work Meals")</f>
        <v>Work Meals</v>
      </c>
      <c r="E990" s="108" t="str">
        <f t="shared" si="1"/>
        <v>Nov</v>
      </c>
      <c r="F990" s="79" t="str">
        <f>IFERROR(__xludf.DUMMYFUNCTION("""COMPUTED_VALUE"""),"Shaeffer")</f>
        <v>Shaeffer</v>
      </c>
    </row>
    <row r="991">
      <c r="A991" s="85">
        <f>IFERROR(__xludf.DUMMYFUNCTION("""COMPUTED_VALUE"""),45614.0)</f>
        <v>45614</v>
      </c>
      <c r="B991" s="111">
        <f>IFERROR(__xludf.DUMMYFUNCTION("""COMPUTED_VALUE"""),68.0)</f>
        <v>68</v>
      </c>
      <c r="C991" s="79" t="str">
        <f>IFERROR(__xludf.DUMMYFUNCTION("""COMPUTED_VALUE"""),"Lava Linens")</f>
        <v>Lava Linens</v>
      </c>
      <c r="D991" s="79" t="str">
        <f>IFERROR(__xludf.DUMMYFUNCTION("""COMPUTED_VALUE"""),"Gym")</f>
        <v>Gym</v>
      </c>
      <c r="E991" s="108" t="str">
        <f t="shared" si="1"/>
        <v>Nov</v>
      </c>
      <c r="F991" s="79" t="str">
        <f>IFERROR(__xludf.DUMMYFUNCTION("""COMPUTED_VALUE"""),"Shaeffer")</f>
        <v>Shaeffer</v>
      </c>
    </row>
    <row r="992">
      <c r="A992" s="85">
        <f>IFERROR(__xludf.DUMMYFUNCTION("""COMPUTED_VALUE"""),45615.0)</f>
        <v>45615</v>
      </c>
      <c r="B992" s="111">
        <f>IFERROR(__xludf.DUMMYFUNCTION("""COMPUTED_VALUE"""),182.0)</f>
        <v>182</v>
      </c>
      <c r="C992" s="79" t="str">
        <f>IFERROR(__xludf.DUMMYFUNCTION("""COMPUTED_VALUE"""),"Mate the label")</f>
        <v>Mate the label</v>
      </c>
      <c r="D992" s="79" t="str">
        <f>IFERROR(__xludf.DUMMYFUNCTION("""COMPUTED_VALUE"""),"Clothing")</f>
        <v>Clothing</v>
      </c>
      <c r="E992" s="108" t="str">
        <f t="shared" si="1"/>
        <v>Nov</v>
      </c>
      <c r="F992" s="79" t="str">
        <f>IFERROR(__xludf.DUMMYFUNCTION("""COMPUTED_VALUE"""),"Shaeffer")</f>
        <v>Shaeffer</v>
      </c>
    </row>
    <row r="993">
      <c r="A993" s="85">
        <f>IFERROR(__xludf.DUMMYFUNCTION("""COMPUTED_VALUE"""),45619.0)</f>
        <v>45619</v>
      </c>
      <c r="B993" s="111">
        <f>IFERROR(__xludf.DUMMYFUNCTION("""COMPUTED_VALUE"""),15.24)</f>
        <v>15.24</v>
      </c>
      <c r="C993" s="79" t="str">
        <f>IFERROR(__xludf.DUMMYFUNCTION("""COMPUTED_VALUE"""),"TV EYE")</f>
        <v>TV EYE</v>
      </c>
      <c r="D993" s="79" t="str">
        <f>IFERROR(__xludf.DUMMYFUNCTION("""COMPUTED_VALUE"""),"Work Meals")</f>
        <v>Work Meals</v>
      </c>
      <c r="E993" s="108" t="str">
        <f t="shared" si="1"/>
        <v>Nov</v>
      </c>
      <c r="F993" s="79" t="str">
        <f>IFERROR(__xludf.DUMMYFUNCTION("""COMPUTED_VALUE"""),"Shaeffer")</f>
        <v>Shaeffer</v>
      </c>
    </row>
    <row r="994">
      <c r="A994" s="85">
        <f>IFERROR(__xludf.DUMMYFUNCTION("""COMPUTED_VALUE"""),45625.0)</f>
        <v>45625</v>
      </c>
      <c r="B994" s="111">
        <f>IFERROR(__xludf.DUMMYFUNCTION("""COMPUTED_VALUE"""),140.02)</f>
        <v>140.02</v>
      </c>
      <c r="C994" s="79" t="str">
        <f>IFERROR(__xludf.DUMMYFUNCTION("""COMPUTED_VALUE"""),"Ganxxet - wool roving")</f>
        <v>Ganxxet - wool roving</v>
      </c>
      <c r="D994" s="79" t="str">
        <f>IFERROR(__xludf.DUMMYFUNCTION("""COMPUTED_VALUE"""),"Studio")</f>
        <v>Studio</v>
      </c>
      <c r="E994" s="108" t="str">
        <f t="shared" si="1"/>
        <v>Nov</v>
      </c>
      <c r="F994" s="79" t="str">
        <f>IFERROR(__xludf.DUMMYFUNCTION("""COMPUTED_VALUE"""),"Shaeffer")</f>
        <v>Shaeffer</v>
      </c>
    </row>
    <row r="995">
      <c r="A995" s="85">
        <f>IFERROR(__xludf.DUMMYFUNCTION("""COMPUTED_VALUE"""),45627.0)</f>
        <v>45627</v>
      </c>
      <c r="B995" s="111">
        <f>IFERROR(__xludf.DUMMYFUNCTION("""COMPUTED_VALUE"""),95.0)</f>
        <v>95</v>
      </c>
      <c r="C995" s="79" t="str">
        <f>IFERROR(__xludf.DUMMYFUNCTION("""COMPUTED_VALUE"""),"annual fee - chase prefered")</f>
        <v>annual fee - chase prefered</v>
      </c>
      <c r="D995" s="79" t="str">
        <f>IFERROR(__xludf.DUMMYFUNCTION("""COMPUTED_VALUE"""),"Subscriptions")</f>
        <v>Subscriptions</v>
      </c>
      <c r="E995" s="108" t="str">
        <f t="shared" si="1"/>
        <v>Dec</v>
      </c>
      <c r="F995" s="79" t="str">
        <f>IFERROR(__xludf.DUMMYFUNCTION("""COMPUTED_VALUE"""),"Shaeffer")</f>
        <v>Shaeffer</v>
      </c>
    </row>
    <row r="996">
      <c r="A996" s="85">
        <f>IFERROR(__xludf.DUMMYFUNCTION("""COMPUTED_VALUE"""),45630.0)</f>
        <v>45630</v>
      </c>
      <c r="B996" s="111">
        <f>IFERROR(__xludf.DUMMYFUNCTION("""COMPUTED_VALUE"""),85.91)</f>
        <v>85.91</v>
      </c>
      <c r="C996" s="79" t="str">
        <f>IFERROR(__xludf.DUMMYFUNCTION("""COMPUTED_VALUE"""),"One Gold Thread")</f>
        <v>One Gold Thread</v>
      </c>
      <c r="D996" s="79" t="str">
        <f>IFERROR(__xludf.DUMMYFUNCTION("""COMPUTED_VALUE"""),"Clothing")</f>
        <v>Clothing</v>
      </c>
      <c r="E996" s="108" t="str">
        <f t="shared" si="1"/>
        <v>Dec</v>
      </c>
      <c r="F996" s="79" t="str">
        <f>IFERROR(__xludf.DUMMYFUNCTION("""COMPUTED_VALUE"""),"Shaeffer")</f>
        <v>Shaeffer</v>
      </c>
    </row>
    <row r="997">
      <c r="A997" s="85">
        <f>IFERROR(__xludf.DUMMYFUNCTION("""COMPUTED_VALUE"""),45636.0)</f>
        <v>45636</v>
      </c>
      <c r="B997" s="111">
        <f>IFERROR(__xludf.DUMMYFUNCTION("""COMPUTED_VALUE"""),65.03)</f>
        <v>65.03</v>
      </c>
      <c r="C997" s="79" t="str">
        <f>IFERROR(__xludf.DUMMYFUNCTION("""COMPUTED_VALUE"""),"Gin for Jacobs bd")</f>
        <v>Gin for Jacobs bd</v>
      </c>
      <c r="D997" s="79" t="str">
        <f>IFERROR(__xludf.DUMMYFUNCTION("""COMPUTED_VALUE"""),"Gifts/Donations")</f>
        <v>Gifts/Donations</v>
      </c>
      <c r="E997" s="108" t="str">
        <f t="shared" si="1"/>
        <v>Dec</v>
      </c>
      <c r="F997" s="79" t="str">
        <f>IFERROR(__xludf.DUMMYFUNCTION("""COMPUTED_VALUE"""),"Shaeffer")</f>
        <v>Shaeffer</v>
      </c>
    </row>
    <row r="998">
      <c r="A998" s="85">
        <f>IFERROR(__xludf.DUMMYFUNCTION("""COMPUTED_VALUE"""),45636.0)</f>
        <v>45636</v>
      </c>
      <c r="B998" s="111">
        <f>IFERROR(__xludf.DUMMYFUNCTION("""COMPUTED_VALUE"""),15.62)</f>
        <v>15.62</v>
      </c>
      <c r="C998" s="79" t="str">
        <f>IFERROR(__xludf.DUMMYFUNCTION("""COMPUTED_VALUE"""),"tonic for Jacobs bd")</f>
        <v>tonic for Jacobs bd</v>
      </c>
      <c r="D998" s="79" t="str">
        <f>IFERROR(__xludf.DUMMYFUNCTION("""COMPUTED_VALUE"""),"Gifts/Donations")</f>
        <v>Gifts/Donations</v>
      </c>
      <c r="E998" s="108" t="str">
        <f t="shared" si="1"/>
        <v>Dec</v>
      </c>
      <c r="F998" s="79" t="str">
        <f>IFERROR(__xludf.DUMMYFUNCTION("""COMPUTED_VALUE"""),"Shaeffer")</f>
        <v>Shaeffer</v>
      </c>
    </row>
    <row r="999">
      <c r="A999" s="85">
        <f>IFERROR(__xludf.DUMMYFUNCTION("""COMPUTED_VALUE"""),45637.0)</f>
        <v>45637</v>
      </c>
      <c r="B999" s="111">
        <f>IFERROR(__xludf.DUMMYFUNCTION("""COMPUTED_VALUE"""),65.27)</f>
        <v>65.27</v>
      </c>
      <c r="C999" s="79" t="str">
        <f>IFERROR(__xludf.DUMMYFUNCTION("""COMPUTED_VALUE"""),"Paleo Pro")</f>
        <v>Paleo Pro</v>
      </c>
      <c r="D999" s="79" t="str">
        <f>IFERROR(__xludf.DUMMYFUNCTION("""COMPUTED_VALUE"""),"Subscriptions")</f>
        <v>Subscriptions</v>
      </c>
      <c r="E999" s="108" t="str">
        <f t="shared" si="1"/>
        <v>Dec</v>
      </c>
      <c r="F999" s="79" t="str">
        <f>IFERROR(__xludf.DUMMYFUNCTION("""COMPUTED_VALUE"""),"Shaeffer")</f>
        <v>Shaeffer</v>
      </c>
    </row>
    <row r="1000">
      <c r="A1000" s="85">
        <f>IFERROR(__xludf.DUMMYFUNCTION("""COMPUTED_VALUE"""),45637.0)</f>
        <v>45637</v>
      </c>
      <c r="B1000" s="111">
        <f>IFERROR(__xludf.DUMMYFUNCTION("""COMPUTED_VALUE"""),20.0)</f>
        <v>20</v>
      </c>
      <c r="C1000" s="79" t="str">
        <f>IFERROR(__xludf.DUMMYFUNCTION("""COMPUTED_VALUE"""),"One Med - doc visit")</f>
        <v>One Med - doc visit</v>
      </c>
      <c r="D1000" s="79" t="str">
        <f>IFERROR(__xludf.DUMMYFUNCTION("""COMPUTED_VALUE"""),"Personal")</f>
        <v>Personal</v>
      </c>
      <c r="E1000" s="108" t="str">
        <f t="shared" si="1"/>
        <v>Dec</v>
      </c>
      <c r="F1000" s="79" t="str">
        <f>IFERROR(__xludf.DUMMYFUNCTION("""COMPUTED_VALUE"""),"Shaeffer")</f>
        <v>Shaeffer</v>
      </c>
    </row>
    <row r="1001">
      <c r="A1001" s="85">
        <f>IFERROR(__xludf.DUMMYFUNCTION("""COMPUTED_VALUE"""),45640.0)</f>
        <v>45640</v>
      </c>
      <c r="B1001" s="111">
        <f>IFERROR(__xludf.DUMMYFUNCTION("""COMPUTED_VALUE"""),6.44)</f>
        <v>6.44</v>
      </c>
      <c r="C1001" s="79" t="str">
        <f>IFERROR(__xludf.DUMMYFUNCTION("""COMPUTED_VALUE"""),"Cross X Roads Coffee")</f>
        <v>Cross X Roads Coffee</v>
      </c>
      <c r="D1001" s="79" t="str">
        <f>IFERROR(__xludf.DUMMYFUNCTION("""COMPUTED_VALUE"""),"Work Meals")</f>
        <v>Work Meals</v>
      </c>
      <c r="E1001" s="108"/>
      <c r="F1001" s="79" t="str">
        <f>IFERROR(__xludf.DUMMYFUNCTION("""COMPUTED_VALUE"""),"Shaeffer")</f>
        <v>Shaeffer</v>
      </c>
    </row>
    <row r="1002">
      <c r="A1002" s="85">
        <f>IFERROR(__xludf.DUMMYFUNCTION("""COMPUTED_VALUE"""),45640.0)</f>
        <v>45640</v>
      </c>
      <c r="B1002" s="111">
        <f>IFERROR(__xludf.DUMMYFUNCTION("""COMPUTED_VALUE"""),18.63)</f>
        <v>18.63</v>
      </c>
      <c r="C1002" s="79" t="str">
        <f>IFERROR(__xludf.DUMMYFUNCTION("""COMPUTED_VALUE"""),"Bushwick Beer &amp; Market")</f>
        <v>Bushwick Beer &amp; Market</v>
      </c>
      <c r="D1002" s="79" t="str">
        <f>IFERROR(__xludf.DUMMYFUNCTION("""COMPUTED_VALUE"""),"Groceries")</f>
        <v>Groceries</v>
      </c>
      <c r="E1002" s="108"/>
      <c r="F1002" s="79" t="str">
        <f>IFERROR(__xludf.DUMMYFUNCTION("""COMPUTED_VALUE"""),"Shaeffer")</f>
        <v>Shaeffer</v>
      </c>
    </row>
    <row r="1003">
      <c r="A1003" s="85">
        <f>IFERROR(__xludf.DUMMYFUNCTION("""COMPUTED_VALUE"""),45641.0)</f>
        <v>45641</v>
      </c>
      <c r="B1003" s="111">
        <f>IFERROR(__xludf.DUMMYFUNCTION("""COMPUTED_VALUE"""),119.0)</f>
        <v>119</v>
      </c>
      <c r="C1003" s="79" t="str">
        <f>IFERROR(__xludf.DUMMYFUNCTION("""COMPUTED_VALUE"""),"YMCA")</f>
        <v>YMCA</v>
      </c>
      <c r="D1003" s="79" t="str">
        <f>IFERROR(__xludf.DUMMYFUNCTION("""COMPUTED_VALUE"""),"Gym")</f>
        <v>Gym</v>
      </c>
      <c r="E1003" s="108"/>
      <c r="F1003" s="79" t="str">
        <f>IFERROR(__xludf.DUMMYFUNCTION("""COMPUTED_VALUE"""),"Shaeffer")</f>
        <v>Shaeffer</v>
      </c>
    </row>
    <row r="1004">
      <c r="A1004" s="85">
        <f>IFERROR(__xludf.DUMMYFUNCTION("""COMPUTED_VALUE"""),45641.0)</f>
        <v>45641</v>
      </c>
      <c r="B1004" s="111">
        <f>IFERROR(__xludf.DUMMYFUNCTION("""COMPUTED_VALUE"""),32.66)</f>
        <v>32.66</v>
      </c>
      <c r="C1004" s="79" t="str">
        <f>IFERROR(__xludf.DUMMYFUNCTION("""COMPUTED_VALUE"""),"Lagoon ")</f>
        <v>Lagoon </v>
      </c>
      <c r="D1004" s="79" t="str">
        <f>IFERROR(__xludf.DUMMYFUNCTION("""COMPUTED_VALUE"""),"Clothing")</f>
        <v>Clothing</v>
      </c>
      <c r="E1004" s="108"/>
      <c r="F1004" s="79" t="str">
        <f>IFERROR(__xludf.DUMMYFUNCTION("""COMPUTED_VALUE"""),"Shaeffer")</f>
        <v>Shaeffer</v>
      </c>
    </row>
    <row r="1005">
      <c r="A1005" s="85">
        <f>IFERROR(__xludf.DUMMYFUNCTION("""COMPUTED_VALUE"""),45641.0)</f>
        <v>45641</v>
      </c>
      <c r="B1005" s="111">
        <f>IFERROR(__xludf.DUMMYFUNCTION("""COMPUTED_VALUE"""),16.1)</f>
        <v>16.1</v>
      </c>
      <c r="C1005" s="79" t="str">
        <f>IFERROR(__xludf.DUMMYFUNCTION("""COMPUTED_VALUE"""),"coco bread - x bd")</f>
        <v>coco bread - x bd</v>
      </c>
      <c r="D1005" s="79" t="str">
        <f>IFERROR(__xludf.DUMMYFUNCTION("""COMPUTED_VALUE"""),"Work Meals")</f>
        <v>Work Meals</v>
      </c>
      <c r="E1005" s="108"/>
      <c r="F1005" s="79" t="str">
        <f>IFERROR(__xludf.DUMMYFUNCTION("""COMPUTED_VALUE"""),"Shaeffer")</f>
        <v>Shaeffer</v>
      </c>
    </row>
    <row r="1006">
      <c r="A1006" s="85">
        <f>IFERROR(__xludf.DUMMYFUNCTION("""COMPUTED_VALUE"""),45646.0)</f>
        <v>45646</v>
      </c>
      <c r="B1006" s="111">
        <f>IFERROR(__xludf.DUMMYFUNCTION("""COMPUTED_VALUE"""),16.43)</f>
        <v>16.43</v>
      </c>
      <c r="C1006" s="79" t="str">
        <f>IFERROR(__xludf.DUMMYFUNCTION("""COMPUTED_VALUE"""),"Thai Hot Box ")</f>
        <v>Thai Hot Box </v>
      </c>
      <c r="D1006" s="79" t="str">
        <f>IFERROR(__xludf.DUMMYFUNCTION("""COMPUTED_VALUE"""),"Work Meals")</f>
        <v>Work Meals</v>
      </c>
      <c r="E1006" s="108"/>
      <c r="F1006" s="79" t="str">
        <f>IFERROR(__xludf.DUMMYFUNCTION("""COMPUTED_VALUE"""),"Gil")</f>
        <v>Gil</v>
      </c>
    </row>
    <row r="1007">
      <c r="A1007" s="85">
        <f>IFERROR(__xludf.DUMMYFUNCTION("""COMPUTED_VALUE"""),45647.0)</f>
        <v>45647</v>
      </c>
      <c r="B1007" s="111">
        <f>IFERROR(__xludf.DUMMYFUNCTION("""COMPUTED_VALUE"""),17.66)</f>
        <v>17.66</v>
      </c>
      <c r="C1007" s="79" t="str">
        <f>IFERROR(__xludf.DUMMYFUNCTION("""COMPUTED_VALUE"""),"Thai Hot Box")</f>
        <v>Thai Hot Box</v>
      </c>
      <c r="D1007" s="79" t="str">
        <f>IFERROR(__xludf.DUMMYFUNCTION("""COMPUTED_VALUE"""),"Work Meals")</f>
        <v>Work Meals</v>
      </c>
      <c r="E1007" s="108"/>
      <c r="F1007" s="79" t="str">
        <f>IFERROR(__xludf.DUMMYFUNCTION("""COMPUTED_VALUE"""),"Gil")</f>
        <v>Gil</v>
      </c>
    </row>
    <row r="1008">
      <c r="A1008" s="85">
        <f>IFERROR(__xludf.DUMMYFUNCTION("""COMPUTED_VALUE"""),45648.0)</f>
        <v>45648</v>
      </c>
      <c r="B1008" s="111">
        <f>IFERROR(__xludf.DUMMYFUNCTION("""COMPUTED_VALUE"""),13.0)</f>
        <v>13</v>
      </c>
      <c r="C1008" s="79" t="str">
        <f>IFERROR(__xludf.DUMMYFUNCTION("""COMPUTED_VALUE"""),"Ole &amp; Steen")</f>
        <v>Ole &amp; Steen</v>
      </c>
      <c r="D1008" s="79" t="str">
        <f>IFERROR(__xludf.DUMMYFUNCTION("""COMPUTED_VALUE"""),"Work Meals")</f>
        <v>Work Meals</v>
      </c>
      <c r="E1008" s="108"/>
      <c r="F1008" s="79" t="str">
        <f>IFERROR(__xludf.DUMMYFUNCTION("""COMPUTED_VALUE"""),"Gil")</f>
        <v>Gil</v>
      </c>
    </row>
    <row r="1009">
      <c r="A1009" s="85">
        <f>IFERROR(__xludf.DUMMYFUNCTION("""COMPUTED_VALUE"""),45649.0)</f>
        <v>45649</v>
      </c>
      <c r="B1009" s="111">
        <f>IFERROR(__xludf.DUMMYFUNCTION("""COMPUTED_VALUE"""),26.29)</f>
        <v>26.29</v>
      </c>
      <c r="C1009" s="79" t="str">
        <f>IFERROR(__xludf.DUMMYFUNCTION("""COMPUTED_VALUE"""),"Hummus &amp; Pita Co. - Citi Premier")</f>
        <v>Hummus &amp; Pita Co. - Citi Premier</v>
      </c>
      <c r="D1009" s="79" t="str">
        <f>IFERROR(__xludf.DUMMYFUNCTION("""COMPUTED_VALUE"""),"Work Meals")</f>
        <v>Work Meals</v>
      </c>
      <c r="E1009" s="108"/>
      <c r="F1009" s="79" t="str">
        <f>IFERROR(__xludf.DUMMYFUNCTION("""COMPUTED_VALUE"""),"Gil")</f>
        <v>Gil</v>
      </c>
    </row>
    <row r="1010">
      <c r="A1010" s="85">
        <f>IFERROR(__xludf.DUMMYFUNCTION("""COMPUTED_VALUE"""),45650.0)</f>
        <v>45650</v>
      </c>
      <c r="B1010" s="111">
        <f>IFERROR(__xludf.DUMMYFUNCTION("""COMPUTED_VALUE"""),9.0)</f>
        <v>9</v>
      </c>
      <c r="C1010" s="79" t="str">
        <f>IFERROR(__xludf.DUMMYFUNCTION("""COMPUTED_VALUE"""),"Ole &amp; Steen")</f>
        <v>Ole &amp; Steen</v>
      </c>
      <c r="D1010" s="79" t="str">
        <f>IFERROR(__xludf.DUMMYFUNCTION("""COMPUTED_VALUE"""),"Work Meals")</f>
        <v>Work Meals</v>
      </c>
      <c r="E1010" s="108"/>
      <c r="F1010" s="79" t="str">
        <f>IFERROR(__xludf.DUMMYFUNCTION("""COMPUTED_VALUE"""),"Gil")</f>
        <v>Gil</v>
      </c>
    </row>
    <row r="1011">
      <c r="A1011" s="85">
        <f>IFERROR(__xludf.DUMMYFUNCTION("""COMPUTED_VALUE"""),45650.0)</f>
        <v>45650</v>
      </c>
      <c r="B1011" s="111">
        <f>IFERROR(__xludf.DUMMYFUNCTION("""COMPUTED_VALUE"""),3.32)</f>
        <v>3.32</v>
      </c>
      <c r="C1011" s="79" t="str">
        <f>IFERROR(__xludf.DUMMYFUNCTION("""COMPUTED_VALUE"""),"Westside Market")</f>
        <v>Westside Market</v>
      </c>
      <c r="D1011" s="79" t="str">
        <f>IFERROR(__xludf.DUMMYFUNCTION("""COMPUTED_VALUE"""),"Work Meals")</f>
        <v>Work Meals</v>
      </c>
      <c r="E1011" s="108"/>
      <c r="F1011" s="79" t="str">
        <f>IFERROR(__xludf.DUMMYFUNCTION("""COMPUTED_VALUE"""),"Gil")</f>
        <v>Gil</v>
      </c>
    </row>
    <row r="1012">
      <c r="A1012" s="85">
        <f>IFERROR(__xludf.DUMMYFUNCTION("""COMPUTED_VALUE"""),45650.0)</f>
        <v>45650</v>
      </c>
      <c r="B1012" s="111">
        <f>IFERROR(__xludf.DUMMYFUNCTION("""COMPUTED_VALUE"""),5.9)</f>
        <v>5.9</v>
      </c>
      <c r="C1012" s="79" t="str">
        <f>IFERROR(__xludf.DUMMYFUNCTION("""COMPUTED_VALUE"""),"Variety Coffee")</f>
        <v>Variety Coffee</v>
      </c>
      <c r="D1012" s="79" t="str">
        <f>IFERROR(__xludf.DUMMYFUNCTION("""COMPUTED_VALUE"""),"Work Meals")</f>
        <v>Work Meals</v>
      </c>
      <c r="E1012" s="108"/>
      <c r="F1012" s="79" t="str">
        <f>IFERROR(__xludf.DUMMYFUNCTION("""COMPUTED_VALUE"""),"Gil")</f>
        <v>Gil</v>
      </c>
    </row>
    <row r="1013">
      <c r="A1013" s="85">
        <f>IFERROR(__xludf.DUMMYFUNCTION("""COMPUTED_VALUE"""),45650.0)</f>
        <v>45650</v>
      </c>
      <c r="B1013" s="111">
        <f>IFERROR(__xludf.DUMMYFUNCTION("""COMPUTED_VALUE"""),5.86)</f>
        <v>5.86</v>
      </c>
      <c r="C1013" s="79" t="str">
        <f>IFERROR(__xludf.DUMMYFUNCTION("""COMPUTED_VALUE"""),"Cello's Pizza")</f>
        <v>Cello's Pizza</v>
      </c>
      <c r="D1013" s="79" t="str">
        <f>IFERROR(__xludf.DUMMYFUNCTION("""COMPUTED_VALUE"""),"Meals")</f>
        <v>Meals</v>
      </c>
      <c r="E1013" s="108"/>
      <c r="F1013" s="79" t="str">
        <f>IFERROR(__xludf.DUMMYFUNCTION("""COMPUTED_VALUE"""),"Gil")</f>
        <v>Gil</v>
      </c>
    </row>
    <row r="1014">
      <c r="A1014" s="85">
        <f>IFERROR(__xludf.DUMMYFUNCTION("""COMPUTED_VALUE"""),45652.0)</f>
        <v>45652</v>
      </c>
      <c r="B1014" s="111">
        <f>IFERROR(__xludf.DUMMYFUNCTION("""COMPUTED_VALUE"""),11.98)</f>
        <v>11.98</v>
      </c>
      <c r="C1014" s="79" t="str">
        <f>IFERROR(__xludf.DUMMYFUNCTION("""COMPUTED_VALUE"""),"Hudson News - JFK")</f>
        <v>Hudson News - JFK</v>
      </c>
      <c r="D1014" s="79" t="str">
        <f>IFERROR(__xludf.DUMMYFUNCTION("""COMPUTED_VALUE"""),"Travel")</f>
        <v>Travel</v>
      </c>
      <c r="E1014" s="108"/>
      <c r="F1014" s="79" t="str">
        <f>IFERROR(__xludf.DUMMYFUNCTION("""COMPUTED_VALUE"""),"Gil")</f>
        <v>Gil</v>
      </c>
    </row>
    <row r="1015">
      <c r="A1015" s="85">
        <f>IFERROR(__xludf.DUMMYFUNCTION("""COMPUTED_VALUE"""),45653.0)</f>
        <v>45653</v>
      </c>
      <c r="B1015" s="111">
        <f>IFERROR(__xludf.DUMMYFUNCTION("""COMPUTED_VALUE"""),30.14)</f>
        <v>30.14</v>
      </c>
      <c r="C1015" s="79" t="str">
        <f>IFERROR(__xludf.DUMMYFUNCTION("""COMPUTED_VALUE"""),"Luna and Luz")</f>
        <v>Luna and Luz</v>
      </c>
      <c r="D1015" s="79" t="str">
        <f>IFERROR(__xludf.DUMMYFUNCTION("""COMPUTED_VALUE"""),"Travel")</f>
        <v>Travel</v>
      </c>
      <c r="E1015" s="108"/>
      <c r="F1015" s="79" t="str">
        <f>IFERROR(__xludf.DUMMYFUNCTION("""COMPUTED_VALUE"""),"Gil")</f>
        <v>Gil</v>
      </c>
    </row>
    <row r="1016">
      <c r="A1016" s="85">
        <f>IFERROR(__xludf.DUMMYFUNCTION("""COMPUTED_VALUE"""),45646.0)</f>
        <v>45646</v>
      </c>
      <c r="B1016" s="111">
        <f>IFERROR(__xludf.DUMMYFUNCTION("""COMPUTED_VALUE"""),65.0)</f>
        <v>65</v>
      </c>
      <c r="C1016" s="79" t="str">
        <f>IFERROR(__xludf.DUMMYFUNCTION("""COMPUTED_VALUE"""),"The Dermatology Specialist")</f>
        <v>The Dermatology Specialist</v>
      </c>
      <c r="D1016" s="79" t="str">
        <f>IFERROR(__xludf.DUMMYFUNCTION("""COMPUTED_VALUE"""),"Insurance")</f>
        <v>Insurance</v>
      </c>
      <c r="E1016" s="108"/>
      <c r="F1016" s="79" t="str">
        <f>IFERROR(__xludf.DUMMYFUNCTION("""COMPUTED_VALUE"""),"Shaeffer")</f>
        <v>Shaeffer</v>
      </c>
    </row>
    <row r="1017">
      <c r="A1017" s="85">
        <f>IFERROR(__xludf.DUMMYFUNCTION("""COMPUTED_VALUE"""),45646.0)</f>
        <v>45646</v>
      </c>
      <c r="B1017" s="111">
        <f>IFERROR(__xludf.DUMMYFUNCTION("""COMPUTED_VALUE"""),48.29)</f>
        <v>48.29</v>
      </c>
      <c r="C1017" s="79" t="str">
        <f>IFERROR(__xludf.DUMMYFUNCTION("""COMPUTED_VALUE"""),"Lan Larb")</f>
        <v>Lan Larb</v>
      </c>
      <c r="D1017" s="79" t="str">
        <f>IFERROR(__xludf.DUMMYFUNCTION("""COMPUTED_VALUE"""),"Work Meals")</f>
        <v>Work Meals</v>
      </c>
      <c r="E1017" s="108"/>
      <c r="F1017" s="79" t="str">
        <f>IFERROR(__xludf.DUMMYFUNCTION("""COMPUTED_VALUE"""),"Shaeffer")</f>
        <v>Shaeffer</v>
      </c>
    </row>
    <row r="1018">
      <c r="A1018" s="85">
        <f>IFERROR(__xludf.DUMMYFUNCTION("""COMPUTED_VALUE"""),45646.0)</f>
        <v>45646</v>
      </c>
      <c r="B1018" s="111">
        <f>IFERROR(__xludf.DUMMYFUNCTION("""COMPUTED_VALUE"""),18.63)</f>
        <v>18.63</v>
      </c>
      <c r="C1018" s="79" t="str">
        <f>IFERROR(__xludf.DUMMYFUNCTION("""COMPUTED_VALUE"""),"Bushwick Beer &amp; Market")</f>
        <v>Bushwick Beer &amp; Market</v>
      </c>
      <c r="D1018" s="79" t="str">
        <f>IFERROR(__xludf.DUMMYFUNCTION("""COMPUTED_VALUE"""),"Alcohol/Weed")</f>
        <v>Alcohol/Weed</v>
      </c>
      <c r="E1018" s="108"/>
      <c r="F1018" s="79" t="str">
        <f>IFERROR(__xludf.DUMMYFUNCTION("""COMPUTED_VALUE"""),"Shaeffer")</f>
        <v>Shaeffer</v>
      </c>
    </row>
    <row r="1019">
      <c r="A1019" s="85">
        <f>IFERROR(__xludf.DUMMYFUNCTION("""COMPUTED_VALUE"""),45647.0)</f>
        <v>45647</v>
      </c>
      <c r="B1019" s="111">
        <f>IFERROR(__xludf.DUMMYFUNCTION("""COMPUTED_VALUE"""),4.34)</f>
        <v>4.34</v>
      </c>
      <c r="C1019" s="79" t="str">
        <f>IFERROR(__xludf.DUMMYFUNCTION("""COMPUTED_VALUE"""),"Knickerbocker Chemists")</f>
        <v>Knickerbocker Chemists</v>
      </c>
      <c r="D1019" s="79" t="str">
        <f>IFERROR(__xludf.DUMMYFUNCTION("""COMPUTED_VALUE"""),"Insurance")</f>
        <v>Insurance</v>
      </c>
      <c r="E1019" s="108"/>
      <c r="F1019" s="79" t="str">
        <f>IFERROR(__xludf.DUMMYFUNCTION("""COMPUTED_VALUE"""),"Shaeffer")</f>
        <v>Shaeffer</v>
      </c>
    </row>
    <row r="1020">
      <c r="A1020" s="85">
        <f>IFERROR(__xludf.DUMMYFUNCTION("""COMPUTED_VALUE"""),45649.0)</f>
        <v>45649</v>
      </c>
      <c r="B1020" s="111">
        <f>IFERROR(__xludf.DUMMYFUNCTION("""COMPUTED_VALUE"""),68.51)</f>
        <v>68.51</v>
      </c>
      <c r="C1020" s="79" t="str">
        <f>IFERROR(__xludf.DUMMYFUNCTION("""COMPUTED_VALUE"""),"Eveloria")</f>
        <v>Eveloria</v>
      </c>
      <c r="D1020" s="79" t="str">
        <f>IFERROR(__xludf.DUMMYFUNCTION("""COMPUTED_VALUE"""),"Personal")</f>
        <v>Personal</v>
      </c>
      <c r="E1020" s="108"/>
      <c r="F1020" s="79" t="str">
        <f>IFERROR(__xludf.DUMMYFUNCTION("""COMPUTED_VALUE"""),"Shaeffer")</f>
        <v>Shaeffer</v>
      </c>
    </row>
    <row r="1021">
      <c r="A1021" s="85">
        <f>IFERROR(__xludf.DUMMYFUNCTION("""COMPUTED_VALUE"""),45650.0)</f>
        <v>45650</v>
      </c>
      <c r="B1021" s="111">
        <f>IFERROR(__xludf.DUMMYFUNCTION("""COMPUTED_VALUE"""),11.8)</f>
        <v>11.8</v>
      </c>
      <c r="C1021" s="79" t="str">
        <f>IFERROR(__xludf.DUMMYFUNCTION("""COMPUTED_VALUE"""),"Bakeri")</f>
        <v>Bakeri</v>
      </c>
      <c r="D1021" s="79" t="str">
        <f>IFERROR(__xludf.DUMMYFUNCTION("""COMPUTED_VALUE"""),"Work Meals")</f>
        <v>Work Meals</v>
      </c>
      <c r="E1021" s="108"/>
      <c r="F1021" s="79" t="str">
        <f>IFERROR(__xludf.DUMMYFUNCTION("""COMPUTED_VALUE"""),"Shaeffer")</f>
        <v>Shaeffer</v>
      </c>
    </row>
    <row r="1022">
      <c r="A1022" s="85">
        <f>IFERROR(__xludf.DUMMYFUNCTION("""COMPUTED_VALUE"""),45650.0)</f>
        <v>45650</v>
      </c>
      <c r="B1022" s="111">
        <f>IFERROR(__xludf.DUMMYFUNCTION("""COMPUTED_VALUE"""),27.86)</f>
        <v>27.86</v>
      </c>
      <c r="C1022" s="79" t="str">
        <f>IFERROR(__xludf.DUMMYFUNCTION("""COMPUTED_VALUE"""),"Harumatsu")</f>
        <v>Harumatsu</v>
      </c>
      <c r="D1022" s="79" t="str">
        <f>IFERROR(__xludf.DUMMYFUNCTION("""COMPUTED_VALUE"""),"Work Meals")</f>
        <v>Work Meals</v>
      </c>
      <c r="E1022" s="108"/>
      <c r="F1022" s="79" t="str">
        <f>IFERROR(__xludf.DUMMYFUNCTION("""COMPUTED_VALUE"""),"Shaeffer")</f>
        <v>Shaeffer</v>
      </c>
    </row>
    <row r="1023">
      <c r="A1023" s="85">
        <f>IFERROR(__xludf.DUMMYFUNCTION("""COMPUTED_VALUE"""),45650.0)</f>
        <v>45650</v>
      </c>
      <c r="B1023" s="111">
        <f>IFERROR(__xludf.DUMMYFUNCTION("""COMPUTED_VALUE"""),19.08)</f>
        <v>19.08</v>
      </c>
      <c r="C1023" s="79" t="str">
        <f>IFERROR(__xludf.DUMMYFUNCTION("""COMPUTED_VALUE"""),"Churchhill")</f>
        <v>Churchhill</v>
      </c>
      <c r="D1023" s="79" t="str">
        <f>IFERROR(__xludf.DUMMYFUNCTION("""COMPUTED_VALUE"""),"Work Meals")</f>
        <v>Work Meals</v>
      </c>
      <c r="E1023" s="108"/>
      <c r="F1023" s="79" t="str">
        <f>IFERROR(__xludf.DUMMYFUNCTION("""COMPUTED_VALUE"""),"Shaeffer")</f>
        <v>Shaeffer</v>
      </c>
    </row>
    <row r="1024">
      <c r="A1024" s="85">
        <f>IFERROR(__xludf.DUMMYFUNCTION("""COMPUTED_VALUE"""),45650.0)</f>
        <v>45650</v>
      </c>
      <c r="B1024" s="111">
        <f>IFERROR(__xludf.DUMMYFUNCTION("""COMPUTED_VALUE"""),43.68)</f>
        <v>43.68</v>
      </c>
      <c r="C1024" s="79" t="str">
        <f>IFERROR(__xludf.DUMMYFUNCTION("""COMPUTED_VALUE"""),"Paleo Pro")</f>
        <v>Paleo Pro</v>
      </c>
      <c r="D1024" s="79" t="str">
        <f>IFERROR(__xludf.DUMMYFUNCTION("""COMPUTED_VALUE"""),"Subscriptions")</f>
        <v>Subscriptions</v>
      </c>
      <c r="E1024" s="108"/>
      <c r="F1024" s="79" t="str">
        <f>IFERROR(__xludf.DUMMYFUNCTION("""COMPUTED_VALUE"""),"Shaeffer")</f>
        <v>Shaeffer</v>
      </c>
    </row>
    <row r="1025">
      <c r="A1025" s="85">
        <f>IFERROR(__xludf.DUMMYFUNCTION("""COMPUTED_VALUE"""),45654.0)</f>
        <v>45654</v>
      </c>
      <c r="B1025" s="111">
        <f>IFERROR(__xludf.DUMMYFUNCTION("""COMPUTED_VALUE"""),88.94)</f>
        <v>88.94</v>
      </c>
      <c r="C1025" s="79" t="str">
        <f>IFERROR(__xludf.DUMMYFUNCTION("""COMPUTED_VALUE"""),"Vintage Vault")</f>
        <v>Vintage Vault</v>
      </c>
      <c r="D1025" s="79" t="str">
        <f>IFERROR(__xludf.DUMMYFUNCTION("""COMPUTED_VALUE"""),"Clothing")</f>
        <v>Clothing</v>
      </c>
      <c r="E1025" s="108"/>
      <c r="F1025" s="79" t="str">
        <f>IFERROR(__xludf.DUMMYFUNCTION("""COMPUTED_VALUE"""),"Shaeffer")</f>
        <v>Shaeffer</v>
      </c>
    </row>
    <row r="1026">
      <c r="A1026" s="85">
        <f>IFERROR(__xludf.DUMMYFUNCTION("""COMPUTED_VALUE"""),45656.0)</f>
        <v>45656</v>
      </c>
      <c r="B1026" s="111">
        <f>IFERROR(__xludf.DUMMYFUNCTION("""COMPUTED_VALUE"""),46.52)</f>
        <v>46.52</v>
      </c>
      <c r="C1026" s="79" t="str">
        <f>IFERROR(__xludf.DUMMYFUNCTION("""COMPUTED_VALUE"""),"Meow Wolf")</f>
        <v>Meow Wolf</v>
      </c>
      <c r="D1026" s="79" t="str">
        <f>IFERROR(__xludf.DUMMYFUNCTION("""COMPUTED_VALUE"""),"Clothing")</f>
        <v>Clothing</v>
      </c>
      <c r="E1026" s="108"/>
      <c r="F1026" s="79" t="str">
        <f>IFERROR(__xludf.DUMMYFUNCTION("""COMPUTED_VALUE"""),"Shaeffer")</f>
        <v>Shaeffer</v>
      </c>
    </row>
    <row r="1027">
      <c r="A1027" s="85">
        <f>IFERROR(__xludf.DUMMYFUNCTION("""COMPUTED_VALUE"""),45657.0)</f>
        <v>45657</v>
      </c>
      <c r="B1027" s="111">
        <f>IFERROR(__xludf.DUMMYFUNCTION("""COMPUTED_VALUE"""),19.1)</f>
        <v>19.1</v>
      </c>
      <c r="C1027" s="79" t="str">
        <f>IFERROR(__xludf.DUMMYFUNCTION("""COMPUTED_VALUE"""),"CVS")</f>
        <v>CVS</v>
      </c>
      <c r="D1027" s="79" t="str">
        <f>IFERROR(__xludf.DUMMYFUNCTION("""COMPUTED_VALUE"""),"Personal")</f>
        <v>Personal</v>
      </c>
      <c r="E1027" s="108"/>
      <c r="F1027" s="79" t="str">
        <f>IFERROR(__xludf.DUMMYFUNCTION("""COMPUTED_VALUE"""),"Shaeffer")</f>
        <v>Shaeffer</v>
      </c>
    </row>
    <row r="1028">
      <c r="A1028" s="85">
        <f>IFERROR(__xludf.DUMMYFUNCTION("""COMPUTED_VALUE"""),45657.0)</f>
        <v>45657</v>
      </c>
      <c r="B1028" s="111">
        <f>IFERROR(__xludf.DUMMYFUNCTION("""COMPUTED_VALUE"""),81.0)</f>
        <v>81</v>
      </c>
      <c r="C1028" s="79" t="str">
        <f>IFERROR(__xludf.DUMMYFUNCTION("""COMPUTED_VALUE"""),"Museum of Folk Art")</f>
        <v>Museum of Folk Art</v>
      </c>
      <c r="D1028" s="79" t="str">
        <f>IFERROR(__xludf.DUMMYFUNCTION("""COMPUTED_VALUE"""),"Household")</f>
        <v>Household</v>
      </c>
      <c r="E1028" s="108"/>
      <c r="F1028" s="79" t="str">
        <f>IFERROR(__xludf.DUMMYFUNCTION("""COMPUTED_VALUE"""),"Shaeffer")</f>
        <v>Shaeffer</v>
      </c>
    </row>
    <row r="1029">
      <c r="A1029" s="85">
        <f>IFERROR(__xludf.DUMMYFUNCTION("""COMPUTED_VALUE"""),45660.0)</f>
        <v>45660</v>
      </c>
      <c r="B1029" s="111">
        <f>IFERROR(__xludf.DUMMYFUNCTION("""COMPUTED_VALUE"""),4.0)</f>
        <v>4</v>
      </c>
      <c r="C1029" s="79" t="str">
        <f>IFERROR(__xludf.DUMMYFUNCTION("""COMPUTED_VALUE"""),"Vending machine coffee")</f>
        <v>Vending machine coffee</v>
      </c>
      <c r="D1029" s="79" t="str">
        <f>IFERROR(__xludf.DUMMYFUNCTION("""COMPUTED_VALUE"""),"Work Meals")</f>
        <v>Work Meals</v>
      </c>
      <c r="E1029" s="108"/>
      <c r="F1029" s="79" t="str">
        <f>IFERROR(__xludf.DUMMYFUNCTION("""COMPUTED_VALUE"""),"Shaeffer")</f>
        <v>Shaeffer</v>
      </c>
    </row>
    <row r="1030">
      <c r="A1030" s="85">
        <f>IFERROR(__xludf.DUMMYFUNCTION("""COMPUTED_VALUE"""),45608.0)</f>
        <v>45608</v>
      </c>
      <c r="B1030" s="111">
        <f>IFERROR(__xludf.DUMMYFUNCTION("""COMPUTED_VALUE"""),142.34)</f>
        <v>142.34</v>
      </c>
      <c r="C1030" s="79" t="str">
        <f>IFERROR(__xludf.DUMMYFUNCTION("""COMPUTED_VALUE"""),"Studio - utilites")</f>
        <v>Studio - utilites</v>
      </c>
      <c r="D1030" s="79" t="str">
        <f>IFERROR(__xludf.DUMMYFUNCTION("""COMPUTED_VALUE"""),"Studio")</f>
        <v>Studio</v>
      </c>
      <c r="E1030" s="108"/>
      <c r="F1030" s="79" t="str">
        <f>IFERROR(__xludf.DUMMYFUNCTION("""COMPUTED_VALUE"""),"Shaeffer")</f>
        <v>Shaeffer</v>
      </c>
    </row>
    <row r="1031">
      <c r="A1031" s="85">
        <f>IFERROR(__xludf.DUMMYFUNCTION("""COMPUTED_VALUE"""),45628.0)</f>
        <v>45628</v>
      </c>
      <c r="B1031" s="111">
        <f>IFERROR(__xludf.DUMMYFUNCTION("""COMPUTED_VALUE"""),8.0)</f>
        <v>8</v>
      </c>
      <c r="C1031" s="79" t="str">
        <f>IFERROR(__xludf.DUMMYFUNCTION("""COMPUTED_VALUE"""),"323 mailroom")</f>
        <v>323 mailroom</v>
      </c>
      <c r="D1031" s="79" t="str">
        <f>IFERROR(__xludf.DUMMYFUNCTION("""COMPUTED_VALUE"""),"Studio")</f>
        <v>Studio</v>
      </c>
      <c r="E1031" s="108"/>
      <c r="F1031" s="79" t="str">
        <f>IFERROR(__xludf.DUMMYFUNCTION("""COMPUTED_VALUE"""),"Shaeffer")</f>
        <v>Shaeffer</v>
      </c>
    </row>
    <row r="1032">
      <c r="A1032" s="85">
        <f>IFERROR(__xludf.DUMMYFUNCTION("""COMPUTED_VALUE"""),45635.0)</f>
        <v>45635</v>
      </c>
      <c r="B1032" s="111">
        <f>IFERROR(__xludf.DUMMYFUNCTION("""COMPUTED_VALUE"""),250.81)</f>
        <v>250.81</v>
      </c>
      <c r="C1032" s="79" t="str">
        <f>IFERROR(__xludf.DUMMYFUNCTION("""COMPUTED_VALUE"""),"323 Utilites")</f>
        <v>323 Utilites</v>
      </c>
      <c r="D1032" s="79" t="str">
        <f>IFERROR(__xludf.DUMMYFUNCTION("""COMPUTED_VALUE"""),"Studio")</f>
        <v>Studio</v>
      </c>
      <c r="E1032" s="108"/>
      <c r="F1032" s="79" t="str">
        <f>IFERROR(__xludf.DUMMYFUNCTION("""COMPUTED_VALUE"""),"Shaeffer")</f>
        <v>Shaeffer</v>
      </c>
    </row>
    <row r="1033">
      <c r="A1033" s="85">
        <f>IFERROR(__xludf.DUMMYFUNCTION("""COMPUTED_VALUE"""),45636.0)</f>
        <v>45636</v>
      </c>
      <c r="B1033" s="111">
        <f>IFERROR(__xludf.DUMMYFUNCTION("""COMPUTED_VALUE"""),875.0)</f>
        <v>875</v>
      </c>
      <c r="C1033" s="79" t="str">
        <f>IFERROR(__xludf.DUMMYFUNCTION("""COMPUTED_VALUE"""),"323 Dec rent")</f>
        <v>323 Dec rent</v>
      </c>
      <c r="D1033" s="79" t="str">
        <f>IFERROR(__xludf.DUMMYFUNCTION("""COMPUTED_VALUE"""),"Studio")</f>
        <v>Studio</v>
      </c>
      <c r="E1033" s="108"/>
      <c r="F1033" s="79" t="str">
        <f>IFERROR(__xludf.DUMMYFUNCTION("""COMPUTED_VALUE"""),"Shaeffer")</f>
        <v>Shaeffer</v>
      </c>
    </row>
    <row r="1034">
      <c r="A1034" s="85">
        <f>IFERROR(__xludf.DUMMYFUNCTION("""COMPUTED_VALUE"""),45649.0)</f>
        <v>45649</v>
      </c>
      <c r="B1034" s="111">
        <f>IFERROR(__xludf.DUMMYFUNCTION("""COMPUTED_VALUE"""),121.5)</f>
        <v>121.5</v>
      </c>
      <c r="C1034" s="79" t="str">
        <f>IFERROR(__xludf.DUMMYFUNCTION("""COMPUTED_VALUE"""),"Mischas Flower shop")</f>
        <v>Mischas Flower shop</v>
      </c>
      <c r="D1034" s="79" t="str">
        <f>IFERROR(__xludf.DUMMYFUNCTION("""COMPUTED_VALUE"""),"Alcohol/Weed")</f>
        <v>Alcohol/Weed</v>
      </c>
      <c r="E1034" s="108"/>
      <c r="F1034" s="79" t="str">
        <f>IFERROR(__xludf.DUMMYFUNCTION("""COMPUTED_VALUE"""),"Shaeffer")</f>
        <v>Shaeffer</v>
      </c>
    </row>
    <row r="1035">
      <c r="A1035" s="85">
        <f>IFERROR(__xludf.DUMMYFUNCTION("""COMPUTED_VALUE"""),45641.0)</f>
        <v>45641</v>
      </c>
      <c r="B1035" s="111">
        <f>IFERROR(__xludf.DUMMYFUNCTION("""COMPUTED_VALUE"""),67.02)</f>
        <v>67.02</v>
      </c>
      <c r="C1035" s="79" t="str">
        <f>IFERROR(__xludf.DUMMYFUNCTION("""COMPUTED_VALUE"""),"King Thai - x bd")</f>
        <v>King Thai - x bd</v>
      </c>
      <c r="D1035" s="79" t="str">
        <f>IFERROR(__xludf.DUMMYFUNCTION("""COMPUTED_VALUE"""),"Work Meals")</f>
        <v>Work Meals</v>
      </c>
      <c r="E1035" s="108"/>
      <c r="F1035" s="79" t="str">
        <f>IFERROR(__xludf.DUMMYFUNCTION("""COMPUTED_VALUE"""),"Shaeffer")</f>
        <v>Shaeffer</v>
      </c>
    </row>
    <row r="1036">
      <c r="A1036" s="85">
        <f>IFERROR(__xludf.DUMMYFUNCTION("""COMPUTED_VALUE"""),45647.0)</f>
        <v>45647</v>
      </c>
      <c r="B1036" s="111">
        <f>IFERROR(__xludf.DUMMYFUNCTION("""COMPUTED_VALUE"""),30.43)</f>
        <v>30.43</v>
      </c>
      <c r="C1036" s="79" t="str">
        <f>IFERROR(__xludf.DUMMYFUNCTION("""COMPUTED_VALUE"""),"Foster Sundry")</f>
        <v>Foster Sundry</v>
      </c>
      <c r="D1036" s="79" t="str">
        <f>IFERROR(__xludf.DUMMYFUNCTION("""COMPUTED_VALUE"""),"Groceries")</f>
        <v>Groceries</v>
      </c>
      <c r="E1036" s="108"/>
      <c r="F1036" s="79" t="str">
        <f>IFERROR(__xludf.DUMMYFUNCTION("""COMPUTED_VALUE"""),"Shaeffer")</f>
        <v>Shaeffer</v>
      </c>
    </row>
    <row r="1037">
      <c r="A1037" s="85">
        <f>IFERROR(__xludf.DUMMYFUNCTION("""COMPUTED_VALUE"""),45653.0)</f>
        <v>45653</v>
      </c>
      <c r="B1037" s="111">
        <f>IFERROR(__xludf.DUMMYFUNCTION("""COMPUTED_VALUE"""),104.4)</f>
        <v>104.4</v>
      </c>
      <c r="C1037" s="79" t="str">
        <f>IFERROR(__xludf.DUMMYFUNCTION("""COMPUTED_VALUE"""),"Luna &amp; Luz")</f>
        <v>Luna &amp; Luz</v>
      </c>
      <c r="D1037" s="79" t="str">
        <f>IFERROR(__xludf.DUMMYFUNCTION("""COMPUTED_VALUE"""),"Clothing")</f>
        <v>Clothing</v>
      </c>
      <c r="E1037" s="108"/>
      <c r="F1037" s="79" t="str">
        <f>IFERROR(__xludf.DUMMYFUNCTION("""COMPUTED_VALUE"""),"Shaeffer")</f>
        <v>Shaeffer</v>
      </c>
    </row>
    <row r="1038">
      <c r="A1038" s="85">
        <f>IFERROR(__xludf.DUMMYFUNCTION("""COMPUTED_VALUE"""),45653.0)</f>
        <v>45653</v>
      </c>
      <c r="B1038" s="111">
        <f>IFERROR(__xludf.DUMMYFUNCTION("""COMPUTED_VALUE"""),10.74)</f>
        <v>10.74</v>
      </c>
      <c r="C1038" s="79" t="str">
        <f>IFERROR(__xludf.DUMMYFUNCTION("""COMPUTED_VALUE"""),"Guerrilla Graphix")</f>
        <v>Guerrilla Graphix</v>
      </c>
      <c r="D1038" s="79" t="str">
        <f>IFERROR(__xludf.DUMMYFUNCTION("""COMPUTED_VALUE"""),"Clothing")</f>
        <v>Clothing</v>
      </c>
      <c r="E1038" s="108"/>
      <c r="F1038" s="79" t="str">
        <f>IFERROR(__xludf.DUMMYFUNCTION("""COMPUTED_VALUE"""),"Shaeffer")</f>
        <v>Shaeffer</v>
      </c>
    </row>
    <row r="1039">
      <c r="A1039" s="85">
        <f>IFERROR(__xludf.DUMMYFUNCTION("""COMPUTED_VALUE"""),45655.0)</f>
        <v>45655</v>
      </c>
      <c r="B1039" s="111">
        <f>IFERROR(__xludf.DUMMYFUNCTION("""COMPUTED_VALUE"""),53.5)</f>
        <v>53.5</v>
      </c>
      <c r="C1039" s="79" t="str">
        <f>IFERROR(__xludf.DUMMYFUNCTION("""COMPUTED_VALUE"""),"Madrid - ring")</f>
        <v>Madrid - ring</v>
      </c>
      <c r="D1039" s="79" t="str">
        <f>IFERROR(__xludf.DUMMYFUNCTION("""COMPUTED_VALUE"""),"Clothing")</f>
        <v>Clothing</v>
      </c>
      <c r="E1039" s="108"/>
      <c r="F1039" s="79" t="str">
        <f>IFERROR(__xludf.DUMMYFUNCTION("""COMPUTED_VALUE"""),"Shaeffer")</f>
        <v>Shaeffer</v>
      </c>
    </row>
    <row r="1040">
      <c r="A1040" s="85">
        <f>IFERROR(__xludf.DUMMYFUNCTION("""COMPUTED_VALUE"""),45659.0)</f>
        <v>45659</v>
      </c>
      <c r="B1040" s="111">
        <f>IFERROR(__xludf.DUMMYFUNCTION("""COMPUTED_VALUE"""),51.6)</f>
        <v>51.6</v>
      </c>
      <c r="C1040" s="79" t="str">
        <f>IFERROR(__xludf.DUMMYFUNCTION("""COMPUTED_VALUE"""),"ojo caliente gift shop")</f>
        <v>ojo caliente gift shop</v>
      </c>
      <c r="D1040" s="79" t="str">
        <f>IFERROR(__xludf.DUMMYFUNCTION("""COMPUTED_VALUE"""),"Clothing")</f>
        <v>Clothing</v>
      </c>
      <c r="E1040" s="108"/>
      <c r="F1040" s="79" t="str">
        <f>IFERROR(__xludf.DUMMYFUNCTION("""COMPUTED_VALUE"""),"Shaeffer")</f>
        <v>Shaeffer</v>
      </c>
    </row>
    <row r="1041">
      <c r="A1041" s="85">
        <f>IFERROR(__xludf.DUMMYFUNCTION("""COMPUTED_VALUE"""),45293.0)</f>
        <v>45293</v>
      </c>
      <c r="B1041" s="111">
        <f>IFERROR(__xludf.DUMMYFUNCTION("""COMPUTED_VALUE"""),67.0)</f>
        <v>67</v>
      </c>
      <c r="C1041" s="79" t="str">
        <f>IFERROR(__xludf.DUMMYFUNCTION("""COMPUTED_VALUE"""),"American Airlines")</f>
        <v>American Airlines</v>
      </c>
      <c r="D1041" s="79" t="str">
        <f>IFERROR(__xludf.DUMMYFUNCTION("""COMPUTED_VALUE"""),"Travel")</f>
        <v>Travel</v>
      </c>
      <c r="E1041" s="108"/>
      <c r="F1041" s="79" t="str">
        <f>IFERROR(__xludf.DUMMYFUNCTION("""COMPUTED_VALUE"""),"Shaeffer")</f>
        <v>Shaeffer</v>
      </c>
    </row>
    <row r="1042">
      <c r="A1042" s="85">
        <f>IFERROR(__xludf.DUMMYFUNCTION("""COMPUTED_VALUE"""),45661.0)</f>
        <v>45661</v>
      </c>
      <c r="B1042" s="111">
        <f>IFERROR(__xludf.DUMMYFUNCTION("""COMPUTED_VALUE"""),83.3)</f>
        <v>83.3</v>
      </c>
      <c r="C1042" s="79" t="str">
        <f>IFERROR(__xludf.DUMMYFUNCTION("""COMPUTED_VALUE"""),"Risk Boutique")</f>
        <v>Risk Boutique</v>
      </c>
      <c r="D1042" s="79" t="str">
        <f>IFERROR(__xludf.DUMMYFUNCTION("""COMPUTED_VALUE"""),"Clothing")</f>
        <v>Clothing</v>
      </c>
      <c r="E1042" s="108"/>
      <c r="F1042" s="79" t="str">
        <f>IFERROR(__xludf.DUMMYFUNCTION("""COMPUTED_VALUE"""),"Shaeffer")</f>
        <v>Shaeffer</v>
      </c>
    </row>
    <row r="1043">
      <c r="A1043" s="85">
        <f>IFERROR(__xludf.DUMMYFUNCTION("""COMPUTED_VALUE"""),45641.0)</f>
        <v>45641</v>
      </c>
      <c r="B1043" s="111">
        <f>IFERROR(__xludf.DUMMYFUNCTION("""COMPUTED_VALUE"""),80.0)</f>
        <v>80</v>
      </c>
      <c r="C1043" s="79" t="str">
        <f>IFERROR(__xludf.DUMMYFUNCTION("""COMPUTED_VALUE"""),"Vincent - gummies")</f>
        <v>Vincent - gummies</v>
      </c>
      <c r="D1043" s="79" t="str">
        <f>IFERROR(__xludf.DUMMYFUNCTION("""COMPUTED_VALUE"""),"Alcohol/Weed")</f>
        <v>Alcohol/Weed</v>
      </c>
      <c r="E1043" s="108"/>
      <c r="F1043" s="79" t="str">
        <f>IFERROR(__xludf.DUMMYFUNCTION("""COMPUTED_VALUE"""),"Shaeffer")</f>
        <v>Shaeffer</v>
      </c>
    </row>
    <row r="1044">
      <c r="A1044" s="85">
        <f>IFERROR(__xludf.DUMMYFUNCTION("""COMPUTED_VALUE"""),45641.0)</f>
        <v>45641</v>
      </c>
      <c r="B1044" s="111">
        <f>IFERROR(__xludf.DUMMYFUNCTION("""COMPUTED_VALUE"""),50.0)</f>
        <v>50</v>
      </c>
      <c r="C1044" s="79" t="str">
        <f>IFERROR(__xludf.DUMMYFUNCTION("""COMPUTED_VALUE"""),"cool dragon cup - luka carter")</f>
        <v>cool dragon cup - luka carter</v>
      </c>
      <c r="D1044" s="79" t="str">
        <f>IFERROR(__xludf.DUMMYFUNCTION("""COMPUTED_VALUE"""),"Studio")</f>
        <v>Studio</v>
      </c>
      <c r="E1044" s="108"/>
      <c r="F1044" s="79" t="str">
        <f>IFERROR(__xludf.DUMMYFUNCTION("""COMPUTED_VALUE"""),"Shaeffer")</f>
        <v>Shaeffer</v>
      </c>
    </row>
    <row r="1045">
      <c r="A1045" s="85">
        <f>IFERROR(__xludf.DUMMYFUNCTION("""COMPUTED_VALUE"""),45646.0)</f>
        <v>45646</v>
      </c>
      <c r="B1045" s="111">
        <f>IFERROR(__xludf.DUMMYFUNCTION("""COMPUTED_VALUE"""),141.57)</f>
        <v>141.57</v>
      </c>
      <c r="C1045" s="79" t="str">
        <f>IFERROR(__xludf.DUMMYFUNCTION("""COMPUTED_VALUE"""),"Kim Paper Store")</f>
        <v>Kim Paper Store</v>
      </c>
      <c r="D1045" s="79" t="str">
        <f>IFERROR(__xludf.DUMMYFUNCTION("""COMPUTED_VALUE"""),"Gifts/Donations")</f>
        <v>Gifts/Donations</v>
      </c>
      <c r="E1045" s="108"/>
      <c r="F1045" s="79" t="str">
        <f>IFERROR(__xludf.DUMMYFUNCTION("""COMPUTED_VALUE"""),"Shaeffer")</f>
        <v>Shaeffer</v>
      </c>
    </row>
    <row r="1046">
      <c r="A1046" s="85">
        <f>IFERROR(__xludf.DUMMYFUNCTION("""COMPUTED_VALUE"""),45658.0)</f>
        <v>45658</v>
      </c>
      <c r="B1046" s="111">
        <f>IFERROR(__xludf.DUMMYFUNCTION("""COMPUTED_VALUE"""),9.99)</f>
        <v>9.99</v>
      </c>
      <c r="C1046" s="79" t="str">
        <f>IFERROR(__xludf.DUMMYFUNCTION("""COMPUTED_VALUE"""),"Icloud")</f>
        <v>Icloud</v>
      </c>
      <c r="D1046" s="79" t="str">
        <f>IFERROR(__xludf.DUMMYFUNCTION("""COMPUTED_VALUE"""),"Subscriptions")</f>
        <v>Subscriptions</v>
      </c>
      <c r="E1046" s="108"/>
      <c r="F1046" s="79" t="str">
        <f>IFERROR(__xludf.DUMMYFUNCTION("""COMPUTED_VALUE"""),"Shaeffer")</f>
        <v>Shaeffer</v>
      </c>
    </row>
    <row r="1047">
      <c r="A1047" s="85">
        <f>IFERROR(__xludf.DUMMYFUNCTION("""COMPUTED_VALUE"""),45659.0)</f>
        <v>45659</v>
      </c>
      <c r="B1047" s="111">
        <f>IFERROR(__xludf.DUMMYFUNCTION("""COMPUTED_VALUE"""),153.7)</f>
        <v>153.7</v>
      </c>
      <c r="C1047" s="79" t="str">
        <f>IFERROR(__xludf.DUMMYFUNCTION("""COMPUTED_VALUE"""),"Lomography")</f>
        <v>Lomography</v>
      </c>
      <c r="D1047" s="79" t="str">
        <f>IFERROR(__xludf.DUMMYFUNCTION("""COMPUTED_VALUE"""),"Studio")</f>
        <v>Studio</v>
      </c>
      <c r="E1047" s="108"/>
      <c r="F1047" s="79" t="str">
        <f>IFERROR(__xludf.DUMMYFUNCTION("""COMPUTED_VALUE"""),"Shaeffer")</f>
        <v>Shaeffer</v>
      </c>
    </row>
    <row r="1048">
      <c r="A1048" s="85">
        <f>IFERROR(__xludf.DUMMYFUNCTION("""COMPUTED_VALUE"""),45661.0)</f>
        <v>45661</v>
      </c>
      <c r="B1048" s="111">
        <f>IFERROR(__xludf.DUMMYFUNCTION("""COMPUTED_VALUE"""),18.63)</f>
        <v>18.63</v>
      </c>
      <c r="C1048" s="79" t="str">
        <f>IFERROR(__xludf.DUMMYFUNCTION("""COMPUTED_VALUE"""),"Bushwick Beer &amp; Market")</f>
        <v>Bushwick Beer &amp; Market</v>
      </c>
      <c r="D1048" s="79" t="str">
        <f>IFERROR(__xludf.DUMMYFUNCTION("""COMPUTED_VALUE"""),"Alcohol/Weed")</f>
        <v>Alcohol/Weed</v>
      </c>
      <c r="E1048" s="108"/>
      <c r="F1048" s="79" t="str">
        <f>IFERROR(__xludf.DUMMYFUNCTION("""COMPUTED_VALUE"""),"Shaeffer")</f>
        <v>Shaeffer</v>
      </c>
    </row>
    <row r="1049">
      <c r="A1049" s="85">
        <f>IFERROR(__xludf.DUMMYFUNCTION("""COMPUTED_VALUE"""),45661.0)</f>
        <v>45661</v>
      </c>
      <c r="B1049" s="111">
        <f>IFERROR(__xludf.DUMMYFUNCTION("""COMPUTED_VALUE"""),4.99)</f>
        <v>4.99</v>
      </c>
      <c r="C1049" s="79" t="str">
        <f>IFERROR(__xludf.DUMMYFUNCTION("""COMPUTED_VALUE"""),"Mr Lemon")</f>
        <v>Mr Lemon</v>
      </c>
      <c r="D1049" s="79" t="str">
        <f>IFERROR(__xludf.DUMMYFUNCTION("""COMPUTED_VALUE"""),"Work Meals")</f>
        <v>Work Meals</v>
      </c>
      <c r="E1049" s="108"/>
      <c r="F1049" s="79" t="str">
        <f>IFERROR(__xludf.DUMMYFUNCTION("""COMPUTED_VALUE"""),"Shaeffer")</f>
        <v>Shaeffer</v>
      </c>
    </row>
    <row r="1050">
      <c r="A1050" s="85">
        <f>IFERROR(__xludf.DUMMYFUNCTION("""COMPUTED_VALUE"""),45663.0)</f>
        <v>45663</v>
      </c>
      <c r="B1050" s="111">
        <f>IFERROR(__xludf.DUMMYFUNCTION("""COMPUTED_VALUE"""),63.57)</f>
        <v>63.57</v>
      </c>
      <c r="C1050" s="79" t="str">
        <f>IFERROR(__xludf.DUMMYFUNCTION("""COMPUTED_VALUE"""),"323 Utilities ")</f>
        <v>323 Utilities </v>
      </c>
      <c r="D1050" s="79" t="str">
        <f>IFERROR(__xludf.DUMMYFUNCTION("""COMPUTED_VALUE"""),"Studio")</f>
        <v>Studio</v>
      </c>
      <c r="E1050" s="108"/>
      <c r="F1050" s="79" t="str">
        <f>IFERROR(__xludf.DUMMYFUNCTION("""COMPUTED_VALUE"""),"Shaeffer")</f>
        <v>Shaeffer</v>
      </c>
    </row>
    <row r="1051">
      <c r="A1051" s="85">
        <f>IFERROR(__xludf.DUMMYFUNCTION("""COMPUTED_VALUE"""),45664.0)</f>
        <v>45664</v>
      </c>
      <c r="B1051" s="111">
        <f>IFERROR(__xludf.DUMMYFUNCTION("""COMPUTED_VALUE"""),375.0)</f>
        <v>375</v>
      </c>
      <c r="C1051" s="79" t="str">
        <f>IFERROR(__xludf.DUMMYFUNCTION("""COMPUTED_VALUE"""),"323 Jan Rent")</f>
        <v>323 Jan Rent</v>
      </c>
      <c r="D1051" s="79" t="str">
        <f>IFERROR(__xludf.DUMMYFUNCTION("""COMPUTED_VALUE"""),"Studio")</f>
        <v>Studio</v>
      </c>
      <c r="E1051" s="108"/>
      <c r="F1051" s="79" t="str">
        <f>IFERROR(__xludf.DUMMYFUNCTION("""COMPUTED_VALUE"""),"Shaeffer")</f>
        <v>Shaeffer</v>
      </c>
    </row>
    <row r="1052">
      <c r="A1052" s="85">
        <f>IFERROR(__xludf.DUMMYFUNCTION("""COMPUTED_VALUE"""),29595.0)</f>
        <v>29595</v>
      </c>
      <c r="B1052" s="111">
        <f>IFERROR(__xludf.DUMMYFUNCTION("""COMPUTED_VALUE"""),60.0)</f>
        <v>60</v>
      </c>
      <c r="C1052" s="79" t="str">
        <f>IFERROR(__xludf.DUMMYFUNCTION("""COMPUTED_VALUE"""),"Duolingo 1 year")</f>
        <v>Duolingo 1 year</v>
      </c>
      <c r="D1052" s="79" t="str">
        <f>IFERROR(__xludf.DUMMYFUNCTION("""COMPUTED_VALUE"""),"Subscriptions")</f>
        <v>Subscriptions</v>
      </c>
      <c r="E1052" s="108"/>
      <c r="F1052" s="79" t="str">
        <f>IFERROR(__xludf.DUMMYFUNCTION("""COMPUTED_VALUE"""),"Shaeffer")</f>
        <v>Shaeffer</v>
      </c>
    </row>
    <row r="1053">
      <c r="A1053" s="85">
        <f>IFERROR(__xludf.DUMMYFUNCTION("""COMPUTED_VALUE"""),45665.0)</f>
        <v>45665</v>
      </c>
      <c r="B1053" s="111">
        <f>IFERROR(__xludf.DUMMYFUNCTION("""COMPUTED_VALUE"""),55.0)</f>
        <v>55</v>
      </c>
      <c r="C1053" s="79" t="str">
        <f>IFERROR(__xludf.DUMMYFUNCTION("""COMPUTED_VALUE"""),"96 tears")</f>
        <v>96 tears</v>
      </c>
      <c r="D1053" s="79" t="str">
        <f>IFERROR(__xludf.DUMMYFUNCTION("""COMPUTED_VALUE"""),"Work Meals")</f>
        <v>Work Meals</v>
      </c>
      <c r="E1053" s="108"/>
      <c r="F1053" s="79" t="str">
        <f>IFERROR(__xludf.DUMMYFUNCTION("""COMPUTED_VALUE"""),"Shaeffer")</f>
        <v>Shaeffer</v>
      </c>
    </row>
    <row r="1054">
      <c r="A1054" s="85">
        <f>IFERROR(__xludf.DUMMYFUNCTION("""COMPUTED_VALUE"""),45666.0)</f>
        <v>45666</v>
      </c>
      <c r="B1054" s="111">
        <f>IFERROR(__xludf.DUMMYFUNCTION("""COMPUTED_VALUE"""),40.0)</f>
        <v>40</v>
      </c>
      <c r="C1054" s="79" t="str">
        <f>IFERROR(__xludf.DUMMYFUNCTION("""COMPUTED_VALUE"""),"Wick pilates")</f>
        <v>Wick pilates</v>
      </c>
      <c r="D1054" s="79" t="str">
        <f>IFERROR(__xludf.DUMMYFUNCTION("""COMPUTED_VALUE"""),"Gym")</f>
        <v>Gym</v>
      </c>
      <c r="E1054" s="108"/>
      <c r="F1054" s="79" t="str">
        <f>IFERROR(__xludf.DUMMYFUNCTION("""COMPUTED_VALUE"""),"Shaeffer")</f>
        <v>Shaeffer</v>
      </c>
    </row>
    <row r="1055">
      <c r="A1055" s="85">
        <f>IFERROR(__xludf.DUMMYFUNCTION("""COMPUTED_VALUE"""),45667.0)</f>
        <v>45667</v>
      </c>
      <c r="B1055" s="111">
        <f>IFERROR(__xludf.DUMMYFUNCTION("""COMPUTED_VALUE"""),9.93)</f>
        <v>9.93</v>
      </c>
      <c r="C1055" s="79" t="str">
        <f>IFERROR(__xludf.DUMMYFUNCTION("""COMPUTED_VALUE"""),"Vita - coffee")</f>
        <v>Vita - coffee</v>
      </c>
      <c r="D1055" s="79" t="str">
        <f>IFERROR(__xludf.DUMMYFUNCTION("""COMPUTED_VALUE"""),"Work Meals")</f>
        <v>Work Meals</v>
      </c>
      <c r="E1055" s="108"/>
      <c r="F1055" s="79" t="str">
        <f>IFERROR(__xludf.DUMMYFUNCTION("""COMPUTED_VALUE"""),"Shaeffer")</f>
        <v>Shaeffer</v>
      </c>
    </row>
    <row r="1056">
      <c r="A1056" s="85">
        <f>IFERROR(__xludf.DUMMYFUNCTION("""COMPUTED_VALUE"""),45668.0)</f>
        <v>45668</v>
      </c>
      <c r="B1056" s="111">
        <f>IFERROR(__xludf.DUMMYFUNCTION("""COMPUTED_VALUE"""),13.81)</f>
        <v>13.81</v>
      </c>
      <c r="C1056" s="79" t="str">
        <f>IFERROR(__xludf.DUMMYFUNCTION("""COMPUTED_VALUE"""),"Thai Hot Box - Seamless")</f>
        <v>Thai Hot Box - Seamless</v>
      </c>
      <c r="D1056" s="79" t="str">
        <f>IFERROR(__xludf.DUMMYFUNCTION("""COMPUTED_VALUE"""),"Work Meals")</f>
        <v>Work Meals</v>
      </c>
      <c r="E1056" s="108"/>
      <c r="F1056" s="79" t="str">
        <f>IFERROR(__xludf.DUMMYFUNCTION("""COMPUTED_VALUE"""),"Shaeffer")</f>
        <v>Shaeffer</v>
      </c>
    </row>
    <row r="1057">
      <c r="A1057" s="85">
        <f>IFERROR(__xludf.DUMMYFUNCTION("""COMPUTED_VALUE"""),45661.0)</f>
        <v>45661</v>
      </c>
      <c r="B1057" s="111">
        <f>IFERROR(__xludf.DUMMYFUNCTION("""COMPUTED_VALUE"""),42.91)</f>
        <v>42.91</v>
      </c>
      <c r="C1057" s="79" t="str">
        <f>IFERROR(__xludf.DUMMYFUNCTION("""COMPUTED_VALUE"""),"Mano's Pizzeria - Uber eats ")</f>
        <v>Mano's Pizzeria - Uber eats </v>
      </c>
      <c r="D1057" s="79" t="str">
        <f>IFERROR(__xludf.DUMMYFUNCTION("""COMPUTED_VALUE"""),"Meals")</f>
        <v>Meals</v>
      </c>
      <c r="E1057" s="108"/>
      <c r="F1057" s="79" t="str">
        <f>IFERROR(__xludf.DUMMYFUNCTION("""COMPUTED_VALUE"""),"Gil")</f>
        <v>Gil</v>
      </c>
    </row>
    <row r="1058">
      <c r="A1058" s="85">
        <f>IFERROR(__xludf.DUMMYFUNCTION("""COMPUTED_VALUE"""),45662.0)</f>
        <v>45662</v>
      </c>
      <c r="B1058" s="111">
        <f>IFERROR(__xludf.DUMMYFUNCTION("""COMPUTED_VALUE"""),72.0)</f>
        <v>72</v>
      </c>
      <c r="C1058" s="79" t="str">
        <f>IFERROR(__xludf.DUMMYFUNCTION("""COMPUTED_VALUE"""),"Risk Boutique")</f>
        <v>Risk Boutique</v>
      </c>
      <c r="D1058" s="79" t="str">
        <f>IFERROR(__xludf.DUMMYFUNCTION("""COMPUTED_VALUE"""),"Clothing")</f>
        <v>Clothing</v>
      </c>
      <c r="E1058" s="108"/>
      <c r="F1058" s="79" t="str">
        <f>IFERROR(__xludf.DUMMYFUNCTION("""COMPUTED_VALUE"""),"Gil")</f>
        <v>Gil</v>
      </c>
    </row>
    <row r="1059">
      <c r="A1059" s="85">
        <f>IFERROR(__xludf.DUMMYFUNCTION("""COMPUTED_VALUE"""),45660.0)</f>
        <v>45660</v>
      </c>
      <c r="B1059" s="111">
        <f>IFERROR(__xludf.DUMMYFUNCTION("""COMPUTED_VALUE"""),43.55)</f>
        <v>43.55</v>
      </c>
      <c r="C1059" s="79" t="str">
        <f>IFERROR(__xludf.DUMMYFUNCTION("""COMPUTED_VALUE"""),"Bandcamp - Aurat T-shirt ")</f>
        <v>Bandcamp - Aurat T-shirt </v>
      </c>
      <c r="D1059" s="79" t="str">
        <f>IFERROR(__xludf.DUMMYFUNCTION("""COMPUTED_VALUE"""),"Clothing")</f>
        <v>Clothing</v>
      </c>
      <c r="E1059" s="108"/>
      <c r="F1059" s="79" t="str">
        <f>IFERROR(__xludf.DUMMYFUNCTION("""COMPUTED_VALUE"""),"Gil")</f>
        <v>Gil</v>
      </c>
    </row>
    <row r="1060">
      <c r="A1060" s="85">
        <f>IFERROR(__xludf.DUMMYFUNCTION("""COMPUTED_VALUE"""),45657.0)</f>
        <v>45657</v>
      </c>
      <c r="B1060" s="111">
        <f>IFERROR(__xludf.DUMMYFUNCTION("""COMPUTED_VALUE"""),21.76)</f>
        <v>21.76</v>
      </c>
      <c r="C1060" s="79" t="str">
        <f>IFERROR(__xludf.DUMMYFUNCTION("""COMPUTED_VALUE"""),"Google ONE")</f>
        <v>Google ONE</v>
      </c>
      <c r="D1060" s="79" t="str">
        <f>IFERROR(__xludf.DUMMYFUNCTION("""COMPUTED_VALUE"""),"Subscriptions")</f>
        <v>Subscriptions</v>
      </c>
      <c r="E1060" s="108"/>
      <c r="F1060" s="79" t="str">
        <f>IFERROR(__xludf.DUMMYFUNCTION("""COMPUTED_VALUE"""),"Gil")</f>
        <v>Gil</v>
      </c>
    </row>
    <row r="1061">
      <c r="A1061" s="85">
        <f>IFERROR(__xludf.DUMMYFUNCTION("""COMPUTED_VALUE"""),45654.0)</f>
        <v>45654</v>
      </c>
      <c r="B1061" s="111"/>
      <c r="C1061" s="79" t="str">
        <f>IFERROR(__xludf.DUMMYFUNCTION("""COMPUTED_VALUE"""),"Ihatov - ABQ")</f>
        <v>Ihatov - ABQ</v>
      </c>
      <c r="D1061" s="79" t="str">
        <f>IFERROR(__xludf.DUMMYFUNCTION("""COMPUTED_VALUE"""),"Travel")</f>
        <v>Travel</v>
      </c>
      <c r="E1061" s="108"/>
      <c r="F1061" s="79" t="str">
        <f>IFERROR(__xludf.DUMMYFUNCTION("""COMPUTED_VALUE"""),"Gil")</f>
        <v>Gil</v>
      </c>
    </row>
    <row r="1062">
      <c r="A1062" s="85">
        <f>IFERROR(__xludf.DUMMYFUNCTION("""COMPUTED_VALUE"""),45686.0)</f>
        <v>45686</v>
      </c>
      <c r="B1062" s="111">
        <f>IFERROR(__xludf.DUMMYFUNCTION("""COMPUTED_VALUE"""),7.0)</f>
        <v>7</v>
      </c>
      <c r="C1062" s="79" t="str">
        <f>IFERROR(__xludf.DUMMYFUNCTION("""COMPUTED_VALUE"""),"% Arabica")</f>
        <v>% Arabica</v>
      </c>
      <c r="D1062" s="79" t="str">
        <f>IFERROR(__xludf.DUMMYFUNCTION("""COMPUTED_VALUE"""),"Meals")</f>
        <v>Meals</v>
      </c>
      <c r="E1062" s="108"/>
      <c r="F1062" s="79" t="str">
        <f>IFERROR(__xludf.DUMMYFUNCTION("""COMPUTED_VALUE"""),"Gil")</f>
        <v>Gil</v>
      </c>
    </row>
    <row r="1063">
      <c r="A1063" s="85">
        <f>IFERROR(__xludf.DUMMYFUNCTION("""COMPUTED_VALUE"""),45689.0)</f>
        <v>45689</v>
      </c>
      <c r="B1063" s="111">
        <f>IFERROR(__xludf.DUMMYFUNCTION("""COMPUTED_VALUE"""),12.0)</f>
        <v>12</v>
      </c>
      <c r="C1063" s="79" t="str">
        <f>IFERROR(__xludf.DUMMYFUNCTION("""COMPUTED_VALUE"""),"Icloud&amp;email")</f>
        <v>Icloud&amp;email</v>
      </c>
      <c r="D1063" s="79" t="str">
        <f>IFERROR(__xludf.DUMMYFUNCTION("""COMPUTED_VALUE"""),"Subscriptions")</f>
        <v>Subscriptions</v>
      </c>
      <c r="E1063" s="108"/>
      <c r="F1063" s="79" t="str">
        <f>IFERROR(__xludf.DUMMYFUNCTION("""COMPUTED_VALUE"""),"Gil")</f>
        <v>Gil</v>
      </c>
    </row>
    <row r="1064">
      <c r="A1064" s="85">
        <f>IFERROR(__xludf.DUMMYFUNCTION("""COMPUTED_VALUE"""),45667.0)</f>
        <v>45667</v>
      </c>
      <c r="B1064" s="111">
        <f>IFERROR(__xludf.DUMMYFUNCTION("""COMPUTED_VALUE"""),71.16)</f>
        <v>71.16</v>
      </c>
      <c r="C1064" s="79" t="str">
        <f>IFERROR(__xludf.DUMMYFUNCTION("""COMPUTED_VALUE"""),"DH Gate - korean giant pants")</f>
        <v>DH Gate - korean giant pants</v>
      </c>
      <c r="D1064" s="79" t="str">
        <f>IFERROR(__xludf.DUMMYFUNCTION("""COMPUTED_VALUE"""),"Clothing")</f>
        <v>Clothing</v>
      </c>
      <c r="E1064" s="108"/>
      <c r="F1064" s="79" t="str">
        <f>IFERROR(__xludf.DUMMYFUNCTION("""COMPUTED_VALUE"""),"Shaeffer")</f>
        <v>Shaeffer</v>
      </c>
    </row>
    <row r="1065">
      <c r="A1065" s="85">
        <f>IFERROR(__xludf.DUMMYFUNCTION("""COMPUTED_VALUE"""),45667.0)</f>
        <v>45667</v>
      </c>
      <c r="B1065" s="111">
        <f>IFERROR(__xludf.DUMMYFUNCTION("""COMPUTED_VALUE"""),55.0)</f>
        <v>55</v>
      </c>
      <c r="C1065" s="79" t="str">
        <f>IFERROR(__xludf.DUMMYFUNCTION("""COMPUTED_VALUE"""),"Gossip tickets")</f>
        <v>Gossip tickets</v>
      </c>
      <c r="D1065" s="79" t="str">
        <f>IFERROR(__xludf.DUMMYFUNCTION("""COMPUTED_VALUE"""),"Entertainment")</f>
        <v>Entertainment</v>
      </c>
      <c r="E1065" s="108"/>
      <c r="F1065" s="79" t="str">
        <f>IFERROR(__xludf.DUMMYFUNCTION("""COMPUTED_VALUE"""),"Shaeffer")</f>
        <v>Shaeffer</v>
      </c>
    </row>
    <row r="1066">
      <c r="A1066" s="85">
        <f>IFERROR(__xludf.DUMMYFUNCTION("""COMPUTED_VALUE"""),45671.0)</f>
        <v>45671</v>
      </c>
      <c r="B1066" s="111">
        <f>IFERROR(__xludf.DUMMYFUNCTION("""COMPUTED_VALUE"""),50.0)</f>
        <v>50</v>
      </c>
      <c r="C1066" s="79" t="str">
        <f>IFERROR(__xludf.DUMMYFUNCTION("""COMPUTED_VALUE"""),"69tears - la fires")</f>
        <v>69tears - la fires</v>
      </c>
      <c r="D1066" s="79" t="str">
        <f>IFERROR(__xludf.DUMMYFUNCTION("""COMPUTED_VALUE"""),"Gifts/Donations")</f>
        <v>Gifts/Donations</v>
      </c>
      <c r="E1066" s="108"/>
      <c r="F1066" s="79" t="str">
        <f>IFERROR(__xludf.DUMMYFUNCTION("""COMPUTED_VALUE"""),"Shaeffer")</f>
        <v>Shaeffer</v>
      </c>
    </row>
    <row r="1067">
      <c r="A1067" s="85">
        <f>IFERROR(__xludf.DUMMYFUNCTION("""COMPUTED_VALUE"""),45673.0)</f>
        <v>45673</v>
      </c>
      <c r="B1067" s="111">
        <f>IFERROR(__xludf.DUMMYFUNCTION("""COMPUTED_VALUE"""),18.63)</f>
        <v>18.63</v>
      </c>
      <c r="C1067" s="79" t="str">
        <f>IFERROR(__xludf.DUMMYFUNCTION("""COMPUTED_VALUE"""),"Bushwick Beer &amp; Market")</f>
        <v>Bushwick Beer &amp; Market</v>
      </c>
      <c r="D1067" s="79" t="str">
        <f>IFERROR(__xludf.DUMMYFUNCTION("""COMPUTED_VALUE"""),"Alcohol/Weed")</f>
        <v>Alcohol/Weed</v>
      </c>
      <c r="E1067" s="108"/>
      <c r="F1067" s="79" t="str">
        <f>IFERROR(__xludf.DUMMYFUNCTION("""COMPUTED_VALUE"""),"Shaeffer")</f>
        <v>Shaeffer</v>
      </c>
    </row>
    <row r="1068">
      <c r="A1068" s="85">
        <f>IFERROR(__xludf.DUMMYFUNCTION("""COMPUTED_VALUE"""),45691.0)</f>
        <v>45691</v>
      </c>
      <c r="B1068" s="111">
        <f>IFERROR(__xludf.DUMMYFUNCTION("""COMPUTED_VALUE"""),9.94)</f>
        <v>9.94</v>
      </c>
      <c r="C1068" s="79" t="str">
        <f>IFERROR(__xludf.DUMMYFUNCTION("""COMPUTED_VALUE"""),"Vineyard Deli")</f>
        <v>Vineyard Deli</v>
      </c>
      <c r="D1068" s="79" t="str">
        <f>IFERROR(__xludf.DUMMYFUNCTION("""COMPUTED_VALUE"""),"Work Meals")</f>
        <v>Work Meals</v>
      </c>
      <c r="E1068" s="108"/>
      <c r="F1068" s="79" t="str">
        <f>IFERROR(__xludf.DUMMYFUNCTION("""COMPUTED_VALUE"""),"Shaeffer")</f>
        <v>Shaeffer</v>
      </c>
    </row>
    <row r="1069">
      <c r="A1069" s="85">
        <f>IFERROR(__xludf.DUMMYFUNCTION("""COMPUTED_VALUE"""),45668.0)</f>
        <v>45668</v>
      </c>
      <c r="B1069" s="111">
        <f>IFERROR(__xludf.DUMMYFUNCTION("""COMPUTED_VALUE"""),25.46)</f>
        <v>25.46</v>
      </c>
      <c r="C1069" s="79" t="str">
        <f>IFERROR(__xludf.DUMMYFUNCTION("""COMPUTED_VALUE"""),"La Cantine")</f>
        <v>La Cantine</v>
      </c>
      <c r="D1069" s="79" t="str">
        <f>IFERROR(__xludf.DUMMYFUNCTION("""COMPUTED_VALUE"""),"Work Meals")</f>
        <v>Work Meals</v>
      </c>
      <c r="E1069" s="108"/>
      <c r="F1069" s="79" t="str">
        <f>IFERROR(__xludf.DUMMYFUNCTION("""COMPUTED_VALUE"""),"Shaeffer")</f>
        <v>Shaeffer</v>
      </c>
    </row>
    <row r="1070">
      <c r="A1070" s="85">
        <f>IFERROR(__xludf.DUMMYFUNCTION("""COMPUTED_VALUE"""),45671.0)</f>
        <v>45671</v>
      </c>
      <c r="B1070" s="111">
        <f>IFERROR(__xludf.DUMMYFUNCTION("""COMPUTED_VALUE"""),268.37)</f>
        <v>268.37</v>
      </c>
      <c r="C1070" s="79" t="str">
        <f>IFERROR(__xludf.DUMMYFUNCTION("""COMPUTED_VALUE"""),"Paula's Choice")</f>
        <v>Paula's Choice</v>
      </c>
      <c r="D1070" s="79" t="str">
        <f>IFERROR(__xludf.DUMMYFUNCTION("""COMPUTED_VALUE"""),"Personal")</f>
        <v>Personal</v>
      </c>
      <c r="E1070" s="108"/>
      <c r="F1070" s="79" t="str">
        <f>IFERROR(__xludf.DUMMYFUNCTION("""COMPUTED_VALUE"""),"Shaeffer")</f>
        <v>Shaeffer</v>
      </c>
    </row>
    <row r="1071">
      <c r="A1071" s="85">
        <f>IFERROR(__xludf.DUMMYFUNCTION("""COMPUTED_VALUE"""),45671.0)</f>
        <v>45671</v>
      </c>
      <c r="B1071" s="111">
        <f>IFERROR(__xludf.DUMMYFUNCTION("""COMPUTED_VALUE"""),265.18)</f>
        <v>265.18</v>
      </c>
      <c r="C1071" s="79" t="str">
        <f>IFERROR(__xludf.DUMMYFUNCTION("""COMPUTED_VALUE"""),"Everybody World")</f>
        <v>Everybody World</v>
      </c>
      <c r="D1071" s="79" t="str">
        <f>IFERROR(__xludf.DUMMYFUNCTION("""COMPUTED_VALUE"""),"Clothing")</f>
        <v>Clothing</v>
      </c>
      <c r="E1071" s="108"/>
      <c r="F1071" s="79" t="str">
        <f>IFERROR(__xludf.DUMMYFUNCTION("""COMPUTED_VALUE"""),"Shaeffer")</f>
        <v>Shaeffer</v>
      </c>
    </row>
    <row r="1072">
      <c r="A1072" s="85">
        <f>IFERROR(__xludf.DUMMYFUNCTION("""COMPUTED_VALUE"""),45671.0)</f>
        <v>45671</v>
      </c>
      <c r="B1072" s="111">
        <f>IFERROR(__xludf.DUMMYFUNCTION("""COMPUTED_VALUE"""),17.89)</f>
        <v>17.89</v>
      </c>
      <c r="C1072" s="79" t="str">
        <f>IFERROR(__xludf.DUMMYFUNCTION("""COMPUTED_VALUE"""),"Top Hops - Nurse Betty")</f>
        <v>Top Hops - Nurse Betty</v>
      </c>
      <c r="D1072" s="79" t="str">
        <f>IFERROR(__xludf.DUMMYFUNCTION("""COMPUTED_VALUE"""),"Entertainment")</f>
        <v>Entertainment</v>
      </c>
      <c r="E1072" s="108"/>
      <c r="F1072" s="79" t="str">
        <f>IFERROR(__xludf.DUMMYFUNCTION("""COMPUTED_VALUE"""),"Shaeffer")</f>
        <v>Shaeffer</v>
      </c>
    </row>
    <row r="1073">
      <c r="A1073" s="85">
        <f>IFERROR(__xludf.DUMMYFUNCTION("""COMPUTED_VALUE"""),45674.0)</f>
        <v>45674</v>
      </c>
      <c r="B1073" s="111">
        <f>IFERROR(__xludf.DUMMYFUNCTION("""COMPUTED_VALUE"""),12.98)</f>
        <v>12.98</v>
      </c>
      <c r="C1073" s="79" t="str">
        <f>IFERROR(__xludf.DUMMYFUNCTION("""COMPUTED_VALUE"""),"Uber to studio")</f>
        <v>Uber to studio</v>
      </c>
      <c r="D1073" s="79" t="str">
        <f>IFERROR(__xludf.DUMMYFUNCTION("""COMPUTED_VALUE"""),"Studio")</f>
        <v>Studio</v>
      </c>
      <c r="E1073" s="108"/>
      <c r="F1073" s="79" t="str">
        <f>IFERROR(__xludf.DUMMYFUNCTION("""COMPUTED_VALUE"""),"Shaeffer")</f>
        <v>Shaeffer</v>
      </c>
    </row>
    <row r="1074">
      <c r="A1074" s="85">
        <f>IFERROR(__xludf.DUMMYFUNCTION("""COMPUTED_VALUE"""),45674.0)</f>
        <v>45674</v>
      </c>
      <c r="B1074" s="111">
        <f>IFERROR(__xludf.DUMMYFUNCTION("""COMPUTED_VALUE"""),424.61)</f>
        <v>424.61</v>
      </c>
      <c r="C1074" s="79" t="str">
        <f>IFERROR(__xludf.DUMMYFUNCTION("""COMPUTED_VALUE"""),"Guest In Residence")</f>
        <v>Guest In Residence</v>
      </c>
      <c r="D1074" s="79" t="str">
        <f>IFERROR(__xludf.DUMMYFUNCTION("""COMPUTED_VALUE"""),"Clothing")</f>
        <v>Clothing</v>
      </c>
      <c r="E1074" s="108"/>
      <c r="F1074" s="79" t="str">
        <f>IFERROR(__xludf.DUMMYFUNCTION("""COMPUTED_VALUE"""),"Shaeffer")</f>
        <v>Shaeffer</v>
      </c>
    </row>
    <row r="1075">
      <c r="A1075" s="85">
        <f>IFERROR(__xludf.DUMMYFUNCTION("""COMPUTED_VALUE"""),45674.0)</f>
        <v>45674</v>
      </c>
      <c r="B1075" s="111">
        <f>IFERROR(__xludf.DUMMYFUNCTION("""COMPUTED_VALUE"""),47.9)</f>
        <v>47.9</v>
      </c>
      <c r="C1075" s="79" t="str">
        <f>IFERROR(__xludf.DUMMYFUNCTION("""COMPUTED_VALUE"""),"Wonderskin")</f>
        <v>Wonderskin</v>
      </c>
      <c r="D1075" s="79" t="str">
        <f>IFERROR(__xludf.DUMMYFUNCTION("""COMPUTED_VALUE"""),"Personal")</f>
        <v>Personal</v>
      </c>
      <c r="E1075" s="108"/>
      <c r="F1075" s="79" t="str">
        <f>IFERROR(__xludf.DUMMYFUNCTION("""COMPUTED_VALUE"""),"Shaeffer")</f>
        <v>Shaeffer</v>
      </c>
    </row>
    <row r="1076">
      <c r="A1076" s="85">
        <f>IFERROR(__xludf.DUMMYFUNCTION("""COMPUTED_VALUE"""),45675.0)</f>
        <v>45675</v>
      </c>
      <c r="B1076" s="111">
        <f>IFERROR(__xludf.DUMMYFUNCTION("""COMPUTED_VALUE"""),53.35)</f>
        <v>53.35</v>
      </c>
      <c r="C1076" s="79" t="str">
        <f>IFERROR(__xludf.DUMMYFUNCTION("""COMPUTED_VALUE"""),"Starr Wines")</f>
        <v>Starr Wines</v>
      </c>
      <c r="D1076" s="79" t="str">
        <f>IFERROR(__xludf.DUMMYFUNCTION("""COMPUTED_VALUE"""),"Meals")</f>
        <v>Meals</v>
      </c>
      <c r="E1076" s="108"/>
      <c r="F1076" s="79" t="str">
        <f>IFERROR(__xludf.DUMMYFUNCTION("""COMPUTED_VALUE"""),"Shaeffer")</f>
        <v>Shaeffer</v>
      </c>
    </row>
    <row r="1077">
      <c r="A1077" s="85">
        <f>IFERROR(__xludf.DUMMYFUNCTION("""COMPUTED_VALUE"""),45676.0)</f>
        <v>45676</v>
      </c>
      <c r="B1077" s="111">
        <f>IFERROR(__xludf.DUMMYFUNCTION("""COMPUTED_VALUE"""),83.76)</f>
        <v>83.76</v>
      </c>
      <c r="C1077" s="79" t="str">
        <f>IFERROR(__xludf.DUMMYFUNCTION("""COMPUTED_VALUE"""),"SPA 88")</f>
        <v>SPA 88</v>
      </c>
      <c r="D1077" s="79" t="str">
        <f>IFERROR(__xludf.DUMMYFUNCTION("""COMPUTED_VALUE"""),"Entertainment")</f>
        <v>Entertainment</v>
      </c>
      <c r="E1077" s="108"/>
      <c r="F1077" s="79" t="str">
        <f>IFERROR(__xludf.DUMMYFUNCTION("""COMPUTED_VALUE"""),"Shaeffer")</f>
        <v>Shaeffer</v>
      </c>
    </row>
    <row r="1078">
      <c r="A1078" s="85">
        <f>IFERROR(__xludf.DUMMYFUNCTION("""COMPUTED_VALUE"""),45676.0)</f>
        <v>45676</v>
      </c>
      <c r="B1078" s="111">
        <f>IFERROR(__xludf.DUMMYFUNCTION("""COMPUTED_VALUE"""),51.17)</f>
        <v>51.17</v>
      </c>
      <c r="C1078" s="79" t="str">
        <f>IFERROR(__xludf.DUMMYFUNCTION("""COMPUTED_VALUE"""),"KORRES")</f>
        <v>KORRES</v>
      </c>
      <c r="D1078" s="79" t="str">
        <f>IFERROR(__xludf.DUMMYFUNCTION("""COMPUTED_VALUE"""),"Personal")</f>
        <v>Personal</v>
      </c>
      <c r="E1078" s="108"/>
      <c r="F1078" s="79" t="str">
        <f>IFERROR(__xludf.DUMMYFUNCTION("""COMPUTED_VALUE"""),"Shaeffer")</f>
        <v>Shaeffer</v>
      </c>
    </row>
    <row r="1079">
      <c r="A1079" s="85">
        <f>IFERROR(__xludf.DUMMYFUNCTION("""COMPUTED_VALUE"""),45676.0)</f>
        <v>45676</v>
      </c>
      <c r="B1079" s="111">
        <f>IFERROR(__xludf.DUMMYFUNCTION("""COMPUTED_VALUE"""),62.92)</f>
        <v>62.92</v>
      </c>
      <c r="C1079" s="79" t="str">
        <f>IFERROR(__xludf.DUMMYFUNCTION("""COMPUTED_VALUE"""),"Blue Ribbon Sushi - Kim's BD")</f>
        <v>Blue Ribbon Sushi - Kim's BD</v>
      </c>
      <c r="D1079" s="79" t="str">
        <f>IFERROR(__xludf.DUMMYFUNCTION("""COMPUTED_VALUE"""),"Meals")</f>
        <v>Meals</v>
      </c>
      <c r="E1079" s="108"/>
      <c r="F1079" s="79" t="str">
        <f>IFERROR(__xludf.DUMMYFUNCTION("""COMPUTED_VALUE"""),"Shaeffer")</f>
        <v>Shaeffer</v>
      </c>
    </row>
    <row r="1080">
      <c r="A1080" s="85">
        <f>IFERROR(__xludf.DUMMYFUNCTION("""COMPUTED_VALUE"""),45671.0)</f>
        <v>45671</v>
      </c>
      <c r="B1080" s="111">
        <f>IFERROR(__xludf.DUMMYFUNCTION("""COMPUTED_VALUE"""),40.0)</f>
        <v>40</v>
      </c>
      <c r="C1080" s="79" t="str">
        <f>IFERROR(__xludf.DUMMYFUNCTION("""COMPUTED_VALUE"""),"Nurse Betty - Meg Venmo")</f>
        <v>Nurse Betty - Meg Venmo</v>
      </c>
      <c r="D1080" s="79" t="str">
        <f>IFERROR(__xludf.DUMMYFUNCTION("""COMPUTED_VALUE"""),"Entertainment")</f>
        <v>Entertainment</v>
      </c>
      <c r="E1080" s="108"/>
      <c r="F1080" s="79" t="str">
        <f>IFERROR(__xludf.DUMMYFUNCTION("""COMPUTED_VALUE"""),"Shaeffer")</f>
        <v>Shaeffer</v>
      </c>
    </row>
    <row r="1081">
      <c r="A1081" s="85">
        <f>IFERROR(__xludf.DUMMYFUNCTION("""COMPUTED_VALUE"""),45682.0)</f>
        <v>45682</v>
      </c>
      <c r="B1081" s="111">
        <f>IFERROR(__xludf.DUMMYFUNCTION("""COMPUTED_VALUE"""),20.0)</f>
        <v>20</v>
      </c>
      <c r="C1081" s="79" t="str">
        <f>IFERROR(__xludf.DUMMYFUNCTION("""COMPUTED_VALUE"""),"tattoo tip")</f>
        <v>tattoo tip</v>
      </c>
      <c r="D1081" s="79" t="str">
        <f>IFERROR(__xludf.DUMMYFUNCTION("""COMPUTED_VALUE"""),"Entertainment")</f>
        <v>Entertainment</v>
      </c>
      <c r="E1081" s="108"/>
      <c r="F1081" s="79" t="str">
        <f>IFERROR(__xludf.DUMMYFUNCTION("""COMPUTED_VALUE"""),"Shaeffer")</f>
        <v>Shaeffer</v>
      </c>
    </row>
    <row r="1082">
      <c r="A1082" s="85">
        <f>IFERROR(__xludf.DUMMYFUNCTION("""COMPUTED_VALUE"""),45684.0)</f>
        <v>45684</v>
      </c>
      <c r="B1082" s="111">
        <f>IFERROR(__xludf.DUMMYFUNCTION("""COMPUTED_VALUE"""),127.0)</f>
        <v>127</v>
      </c>
      <c r="C1082" s="79" t="str">
        <f>IFERROR(__xludf.DUMMYFUNCTION("""COMPUTED_VALUE"""),"Ladies Italian - Kim Venmo")</f>
        <v>Ladies Italian - Kim Venmo</v>
      </c>
      <c r="D1082" s="79" t="str">
        <f>IFERROR(__xludf.DUMMYFUNCTION("""COMPUTED_VALUE"""),"Meals")</f>
        <v>Meals</v>
      </c>
      <c r="E1082" s="108"/>
      <c r="F1082" s="79" t="str">
        <f>IFERROR(__xludf.DUMMYFUNCTION("""COMPUTED_VALUE"""),"Shaeffer")</f>
        <v>Shaeffer</v>
      </c>
    </row>
    <row r="1083">
      <c r="A1083" s="85">
        <f>IFERROR(__xludf.DUMMYFUNCTION("""COMPUTED_VALUE"""),45687.0)</f>
        <v>45687</v>
      </c>
      <c r="B1083" s="111">
        <f>IFERROR(__xludf.DUMMYFUNCTION("""COMPUTED_VALUE"""),99.08)</f>
        <v>99.08</v>
      </c>
      <c r="C1083" s="79" t="str">
        <f>IFERROR(__xludf.DUMMYFUNCTION("""COMPUTED_VALUE"""),"Ebay - Casio Watch")</f>
        <v>Ebay - Casio Watch</v>
      </c>
      <c r="D1083" s="79" t="str">
        <f>IFERROR(__xludf.DUMMYFUNCTION("""COMPUTED_VALUE"""),"Clothing")</f>
        <v>Clothing</v>
      </c>
      <c r="E1083" s="108"/>
      <c r="F1083" s="79" t="str">
        <f>IFERROR(__xludf.DUMMYFUNCTION("""COMPUTED_VALUE"""),"Shaeffer")</f>
        <v>Shaeffer</v>
      </c>
    </row>
    <row r="1084">
      <c r="A1084" s="85">
        <f>IFERROR(__xludf.DUMMYFUNCTION("""COMPUTED_VALUE"""),45689.0)</f>
        <v>45689</v>
      </c>
      <c r="B1084" s="111">
        <f>IFERROR(__xludf.DUMMYFUNCTION("""COMPUTED_VALUE"""),48.19)</f>
        <v>48.19</v>
      </c>
      <c r="C1084" s="79" t="str">
        <f>IFERROR(__xludf.DUMMYFUNCTION("""COMPUTED_VALUE"""),"323 - feb utilities")</f>
        <v>323 - feb utilities</v>
      </c>
      <c r="D1084" s="79" t="str">
        <f>IFERROR(__xludf.DUMMYFUNCTION("""COMPUTED_VALUE"""),"Studio")</f>
        <v>Studio</v>
      </c>
      <c r="E1084" s="108"/>
      <c r="F1084" s="79" t="str">
        <f>IFERROR(__xludf.DUMMYFUNCTION("""COMPUTED_VALUE"""),"Shaeffer")</f>
        <v>Shaeffer</v>
      </c>
    </row>
    <row r="1085">
      <c r="A1085" s="85">
        <f>IFERROR(__xludf.DUMMYFUNCTION("""COMPUTED_VALUE"""),45680.0)</f>
        <v>45680</v>
      </c>
      <c r="B1085" s="111">
        <f>IFERROR(__xludf.DUMMYFUNCTION("""COMPUTED_VALUE"""),23.76)</f>
        <v>23.76</v>
      </c>
      <c r="C1085" s="79" t="str">
        <f>IFERROR(__xludf.DUMMYFUNCTION("""COMPUTED_VALUE"""),"Le Coucou")</f>
        <v>Le Coucou</v>
      </c>
      <c r="D1085" s="79" t="str">
        <f>IFERROR(__xludf.DUMMYFUNCTION("""COMPUTED_VALUE"""),"Meals")</f>
        <v>Meals</v>
      </c>
      <c r="E1085" s="108"/>
      <c r="F1085" s="79" t="str">
        <f>IFERROR(__xludf.DUMMYFUNCTION("""COMPUTED_VALUE"""),"Shaeffer")</f>
        <v>Shaeffer</v>
      </c>
    </row>
    <row r="1086">
      <c r="A1086" s="85">
        <f>IFERROR(__xludf.DUMMYFUNCTION("""COMPUTED_VALUE"""),45695.0)</f>
        <v>45695</v>
      </c>
      <c r="B1086" s="111">
        <f>IFERROR(__xludf.DUMMYFUNCTION("""COMPUTED_VALUE"""),20.0)</f>
        <v>20</v>
      </c>
      <c r="C1086" s="79" t="str">
        <f>IFERROR(__xludf.DUMMYFUNCTION("""COMPUTED_VALUE"""),"Resize watch - cash")</f>
        <v>Resize watch - cash</v>
      </c>
      <c r="D1086" s="79" t="str">
        <f>IFERROR(__xludf.DUMMYFUNCTION("""COMPUTED_VALUE"""),"Personal")</f>
        <v>Personal</v>
      </c>
      <c r="E1086" s="108"/>
      <c r="F1086" s="79" t="str">
        <f>IFERROR(__xludf.DUMMYFUNCTION("""COMPUTED_VALUE"""),"Shaeffer")</f>
        <v>Shaeffer</v>
      </c>
    </row>
    <row r="1087">
      <c r="A1087" s="85">
        <f>IFERROR(__xludf.DUMMYFUNCTION("""COMPUTED_VALUE"""),45681.0)</f>
        <v>45681</v>
      </c>
      <c r="B1087" s="111">
        <f>IFERROR(__xludf.DUMMYFUNCTION("""COMPUTED_VALUE"""),23.95)</f>
        <v>23.95</v>
      </c>
      <c r="C1087" s="79" t="str">
        <f>IFERROR(__xludf.DUMMYFUNCTION("""COMPUTED_VALUE"""),"Irving Wine")</f>
        <v>Irving Wine</v>
      </c>
      <c r="D1087" s="79" t="str">
        <f>IFERROR(__xludf.DUMMYFUNCTION("""COMPUTED_VALUE"""),"Alcohol/Weed")</f>
        <v>Alcohol/Weed</v>
      </c>
      <c r="E1087" s="108"/>
      <c r="F1087" s="79" t="str">
        <f>IFERROR(__xludf.DUMMYFUNCTION("""COMPUTED_VALUE"""),"Shaeffer")</f>
        <v>Shaeffer</v>
      </c>
    </row>
    <row r="1088">
      <c r="A1088" s="85">
        <f>IFERROR(__xludf.DUMMYFUNCTION("""COMPUTED_VALUE"""),45682.0)</f>
        <v>45682</v>
      </c>
      <c r="B1088" s="111">
        <f>IFERROR(__xludf.DUMMYFUNCTION("""COMPUTED_VALUE"""),40.37)</f>
        <v>40.37</v>
      </c>
      <c r="C1088" s="79" t="str">
        <f>IFERROR(__xludf.DUMMYFUNCTION("""COMPUTED_VALUE"""),"Bushwick Beer &amp; Market")</f>
        <v>Bushwick Beer &amp; Market</v>
      </c>
      <c r="D1088" s="79" t="str">
        <f>IFERROR(__xludf.DUMMYFUNCTION("""COMPUTED_VALUE"""),"Alcohol/Weed")</f>
        <v>Alcohol/Weed</v>
      </c>
      <c r="E1088" s="108"/>
      <c r="F1088" s="79" t="str">
        <f>IFERROR(__xludf.DUMMYFUNCTION("""COMPUTED_VALUE"""),"Shaeffer")</f>
        <v>Shaeffer</v>
      </c>
    </row>
    <row r="1089">
      <c r="A1089" s="85">
        <f>IFERROR(__xludf.DUMMYFUNCTION("""COMPUTED_VALUE"""),45686.0)</f>
        <v>45686</v>
      </c>
      <c r="B1089" s="111">
        <f>IFERROR(__xludf.DUMMYFUNCTION("""COMPUTED_VALUE"""),18.0)</f>
        <v>18</v>
      </c>
      <c r="C1089" s="79" t="str">
        <f>IFERROR(__xludf.DUMMYFUNCTION("""COMPUTED_VALUE"""),"Fab Scrap")</f>
        <v>Fab Scrap</v>
      </c>
      <c r="D1089" s="79" t="str">
        <f>IFERROR(__xludf.DUMMYFUNCTION("""COMPUTED_VALUE"""),"Studio")</f>
        <v>Studio</v>
      </c>
      <c r="E1089" s="108"/>
      <c r="F1089" s="79" t="str">
        <f>IFERROR(__xludf.DUMMYFUNCTION("""COMPUTED_VALUE"""),"Shaeffer")</f>
        <v>Shaeffer</v>
      </c>
    </row>
    <row r="1090">
      <c r="A1090" s="85">
        <f>IFERROR(__xludf.DUMMYFUNCTION("""COMPUTED_VALUE"""),45689.0)</f>
        <v>45689</v>
      </c>
      <c r="B1090" s="111">
        <f>IFERROR(__xludf.DUMMYFUNCTION("""COMPUTED_VALUE"""),43.68)</f>
        <v>43.68</v>
      </c>
      <c r="C1090" s="79" t="str">
        <f>IFERROR(__xludf.DUMMYFUNCTION("""COMPUTED_VALUE"""),"Paleo Pro")</f>
        <v>Paleo Pro</v>
      </c>
      <c r="D1090" s="79" t="str">
        <f>IFERROR(__xludf.DUMMYFUNCTION("""COMPUTED_VALUE"""),"Personal")</f>
        <v>Personal</v>
      </c>
      <c r="E1090" s="108"/>
      <c r="F1090" s="79" t="str">
        <f>IFERROR(__xludf.DUMMYFUNCTION("""COMPUTED_VALUE"""),"Shaeffer")</f>
        <v>Shaeffer</v>
      </c>
    </row>
    <row r="1091">
      <c r="A1091" s="85">
        <f>IFERROR(__xludf.DUMMYFUNCTION("""COMPUTED_VALUE"""),45690.0)</f>
        <v>45690</v>
      </c>
      <c r="B1091" s="111">
        <f>IFERROR(__xludf.DUMMYFUNCTION("""COMPUTED_VALUE"""),215.57)</f>
        <v>215.57</v>
      </c>
      <c r="C1091" s="79" t="str">
        <f>IFERROR(__xludf.DUMMYFUNCTION("""COMPUTED_VALUE"""),"Front St General - Heart")</f>
        <v>Front St General - Heart</v>
      </c>
      <c r="D1091" s="79" t="str">
        <f>IFERROR(__xludf.DUMMYFUNCTION("""COMPUTED_VALUE"""),"Clothing")</f>
        <v>Clothing</v>
      </c>
      <c r="E1091" s="108"/>
      <c r="F1091" s="79" t="str">
        <f>IFERROR(__xludf.DUMMYFUNCTION("""COMPUTED_VALUE"""),"Shaeffer")</f>
        <v>Shaeffer</v>
      </c>
    </row>
    <row r="1092">
      <c r="A1092" s="85">
        <f>IFERROR(__xludf.DUMMYFUNCTION("""COMPUTED_VALUE"""),45694.0)</f>
        <v>45694</v>
      </c>
      <c r="B1092" s="111">
        <f>IFERROR(__xludf.DUMMYFUNCTION("""COMPUTED_VALUE"""),5.63)</f>
        <v>5.63</v>
      </c>
      <c r="C1092" s="79" t="str">
        <f>IFERROR(__xludf.DUMMYFUNCTION("""COMPUTED_VALUE"""),"Birch coffee")</f>
        <v>Birch coffee</v>
      </c>
      <c r="D1092" s="79" t="str">
        <f>IFERROR(__xludf.DUMMYFUNCTION("""COMPUTED_VALUE"""),"Work Meals")</f>
        <v>Work Meals</v>
      </c>
      <c r="E1092" s="108"/>
      <c r="F1092" s="79" t="str">
        <f>IFERROR(__xludf.DUMMYFUNCTION("""COMPUTED_VALUE"""),"Shaeffer")</f>
        <v>Shaeffer</v>
      </c>
    </row>
    <row r="1093">
      <c r="A1093" s="85">
        <f>IFERROR(__xludf.DUMMYFUNCTION("""COMPUTED_VALUE"""),45694.0)</f>
        <v>45694</v>
      </c>
      <c r="B1093" s="111">
        <f>IFERROR(__xludf.DUMMYFUNCTION("""COMPUTED_VALUE"""),96.02)</f>
        <v>96.02</v>
      </c>
      <c r="C1093" s="79" t="str">
        <f>IFERROR(__xludf.DUMMYFUNCTION("""COMPUTED_VALUE"""),"Cowgirl")</f>
        <v>Cowgirl</v>
      </c>
      <c r="D1093" s="79" t="str">
        <f>IFERROR(__xludf.DUMMYFUNCTION("""COMPUTED_VALUE"""),"Meals")</f>
        <v>Meals</v>
      </c>
      <c r="E1093" s="108"/>
      <c r="F1093" s="79" t="str">
        <f>IFERROR(__xludf.DUMMYFUNCTION("""COMPUTED_VALUE"""),"Shaeffer")</f>
        <v>Shaeffer</v>
      </c>
    </row>
    <row r="1094">
      <c r="A1094" s="85">
        <f>IFERROR(__xludf.DUMMYFUNCTION("""COMPUTED_VALUE"""),45696.0)</f>
        <v>45696</v>
      </c>
      <c r="B1094" s="111">
        <f>IFERROR(__xludf.DUMMYFUNCTION("""COMPUTED_VALUE"""),28.79)</f>
        <v>28.79</v>
      </c>
      <c r="C1094" s="79" t="str">
        <f>IFERROR(__xludf.DUMMYFUNCTION("""COMPUTED_VALUE"""),"Lyonne - fries &amp; drink")</f>
        <v>Lyonne - fries &amp; drink</v>
      </c>
      <c r="D1094" s="79" t="str">
        <f>IFERROR(__xludf.DUMMYFUNCTION("""COMPUTED_VALUE"""),"Work Meals")</f>
        <v>Work Meals</v>
      </c>
      <c r="E1094" s="108"/>
      <c r="F1094" s="79" t="str">
        <f>IFERROR(__xludf.DUMMYFUNCTION("""COMPUTED_VALUE"""),"Shaeffer")</f>
        <v>Shaeffer</v>
      </c>
    </row>
    <row r="1095">
      <c r="A1095" s="85">
        <f>IFERROR(__xludf.DUMMYFUNCTION("""COMPUTED_VALUE"""),45698.0)</f>
        <v>45698</v>
      </c>
      <c r="B1095" s="111">
        <f>IFERROR(__xludf.DUMMYFUNCTION("""COMPUTED_VALUE"""),5.36)</f>
        <v>5.36</v>
      </c>
      <c r="C1095" s="79" t="str">
        <f>IFERROR(__xludf.DUMMYFUNCTION("""COMPUTED_VALUE"""),"Variety")</f>
        <v>Variety</v>
      </c>
      <c r="D1095" s="79" t="str">
        <f>IFERROR(__xludf.DUMMYFUNCTION("""COMPUTED_VALUE"""),"Work Meals")</f>
        <v>Work Meals</v>
      </c>
      <c r="E1095" s="108"/>
      <c r="F1095" s="79" t="str">
        <f>IFERROR(__xludf.DUMMYFUNCTION("""COMPUTED_VALUE"""),"Shaeffer")</f>
        <v>Shaeffer</v>
      </c>
    </row>
    <row r="1096">
      <c r="A1096" s="85">
        <f>IFERROR(__xludf.DUMMYFUNCTION("""COMPUTED_VALUE"""),45698.0)</f>
        <v>45698</v>
      </c>
      <c r="B1096" s="111">
        <f>IFERROR(__xludf.DUMMYFUNCTION("""COMPUTED_VALUE"""),375.0)</f>
        <v>375</v>
      </c>
      <c r="C1096" s="79" t="str">
        <f>IFERROR(__xludf.DUMMYFUNCTION("""COMPUTED_VALUE"""),"323 Feb rent")</f>
        <v>323 Feb rent</v>
      </c>
      <c r="D1096" s="79" t="str">
        <f>IFERROR(__xludf.DUMMYFUNCTION("""COMPUTED_VALUE"""),"Studio")</f>
        <v>Studio</v>
      </c>
      <c r="E1096" s="108"/>
      <c r="F1096" s="79" t="str">
        <f>IFERROR(__xludf.DUMMYFUNCTION("""COMPUTED_VALUE"""),"Shaeffer")</f>
        <v>Shaeffer</v>
      </c>
    </row>
    <row r="1097">
      <c r="A1097" s="85">
        <f>IFERROR(__xludf.DUMMYFUNCTION("""COMPUTED_VALUE"""),45670.0)</f>
        <v>45670</v>
      </c>
      <c r="B1097" s="111">
        <f>IFERROR(__xludf.DUMMYFUNCTION("""COMPUTED_VALUE"""),316.64)</f>
        <v>316.64</v>
      </c>
      <c r="C1097" s="79" t="str">
        <f>IFERROR(__xludf.DUMMYFUNCTION("""COMPUTED_VALUE"""),"Wick pilates")</f>
        <v>Wick pilates</v>
      </c>
      <c r="D1097" s="79" t="str">
        <f>IFERROR(__xludf.DUMMYFUNCTION("""COMPUTED_VALUE"""),"Gym")</f>
        <v>Gym</v>
      </c>
      <c r="E1097" s="108"/>
      <c r="F1097" s="79" t="str">
        <f>IFERROR(__xludf.DUMMYFUNCTION("""COMPUTED_VALUE"""),"Shaeffer")</f>
        <v>Shaeffer</v>
      </c>
    </row>
    <row r="1098">
      <c r="A1098" s="85">
        <f>IFERROR(__xludf.DUMMYFUNCTION("""COMPUTED_VALUE"""),45698.0)</f>
        <v>45698</v>
      </c>
      <c r="B1098" s="111">
        <f>IFERROR(__xludf.DUMMYFUNCTION("""COMPUTED_VALUE"""),66.83)</f>
        <v>66.83</v>
      </c>
      <c r="C1098" s="79" t="str">
        <f>IFERROR(__xludf.DUMMYFUNCTION("""COMPUTED_VALUE"""),"Equip- protein powder")</f>
        <v>Equip- protein powder</v>
      </c>
      <c r="D1098" s="79" t="str">
        <f>IFERROR(__xludf.DUMMYFUNCTION("""COMPUTED_VALUE"""),"Personal")</f>
        <v>Personal</v>
      </c>
      <c r="E1098" s="108"/>
      <c r="F1098" s="79" t="str">
        <f>IFERROR(__xludf.DUMMYFUNCTION("""COMPUTED_VALUE"""),"Shaeffer")</f>
        <v>Shaeffer</v>
      </c>
    </row>
    <row r="1099">
      <c r="A1099" s="85">
        <f>IFERROR(__xludf.DUMMYFUNCTION("""COMPUTED_VALUE"""),45699.0)</f>
        <v>45699</v>
      </c>
      <c r="B1099" s="111">
        <f>IFERROR(__xludf.DUMMYFUNCTION("""COMPUTED_VALUE"""),15.0)</f>
        <v>15</v>
      </c>
      <c r="C1099" s="79" t="str">
        <f>IFERROR(__xludf.DUMMYFUNCTION("""COMPUTED_VALUE"""),"Jimmys ")</f>
        <v>Jimmys </v>
      </c>
      <c r="D1099" s="79" t="str">
        <f>IFERROR(__xludf.DUMMYFUNCTION("""COMPUTED_VALUE"""),"Entertainment")</f>
        <v>Entertainment</v>
      </c>
      <c r="E1099" s="108"/>
      <c r="F1099" s="79" t="str">
        <f>IFERROR(__xludf.DUMMYFUNCTION("""COMPUTED_VALUE"""),"Shaeffer")</f>
        <v>Shaeffer</v>
      </c>
    </row>
    <row r="1100">
      <c r="A1100" s="85">
        <f>IFERROR(__xludf.DUMMYFUNCTION("""COMPUTED_VALUE"""),45699.0)</f>
        <v>45699</v>
      </c>
      <c r="B1100" s="111">
        <f>IFERROR(__xludf.DUMMYFUNCTION("""COMPUTED_VALUE"""),40.0)</f>
        <v>40</v>
      </c>
      <c r="C1100" s="79" t="str">
        <f>IFERROR(__xludf.DUMMYFUNCTION("""COMPUTED_VALUE"""),"Rush tix - maybe happy ending")</f>
        <v>Rush tix - maybe happy ending</v>
      </c>
      <c r="D1100" s="79" t="str">
        <f>IFERROR(__xludf.DUMMYFUNCTION("""COMPUTED_VALUE"""),"Entertainment")</f>
        <v>Entertainment</v>
      </c>
      <c r="E1100" s="108"/>
      <c r="F1100" s="79" t="str">
        <f>IFERROR(__xludf.DUMMYFUNCTION("""COMPUTED_VALUE"""),"Shaeffer")</f>
        <v>Shaeffer</v>
      </c>
    </row>
    <row r="1101">
      <c r="A1101" s="85">
        <f>IFERROR(__xludf.DUMMYFUNCTION("""COMPUTED_VALUE"""),45704.0)</f>
        <v>45704</v>
      </c>
      <c r="B1101" s="111">
        <f>IFERROR(__xludf.DUMMYFUNCTION("""COMPUTED_VALUE"""),67.32)</f>
        <v>67.32</v>
      </c>
      <c r="C1101" s="79" t="str">
        <f>IFERROR(__xludf.DUMMYFUNCTION("""COMPUTED_VALUE"""),"Boody - underwear")</f>
        <v>Boody - underwear</v>
      </c>
      <c r="D1101" s="79" t="str">
        <f>IFERROR(__xludf.DUMMYFUNCTION("""COMPUTED_VALUE"""),"Clothing")</f>
        <v>Clothing</v>
      </c>
      <c r="E1101" s="108"/>
      <c r="F1101" s="79" t="str">
        <f>IFERROR(__xludf.DUMMYFUNCTION("""COMPUTED_VALUE"""),"Shaeffer")</f>
        <v>Shaeffer</v>
      </c>
    </row>
    <row r="1102">
      <c r="A1102" s="85">
        <f>IFERROR(__xludf.DUMMYFUNCTION("""COMPUTED_VALUE"""),45735.0)</f>
        <v>45735</v>
      </c>
      <c r="B1102" s="111">
        <f>IFERROR(__xludf.DUMMYFUNCTION("""COMPUTED_VALUE"""),13.45)</f>
        <v>13.45</v>
      </c>
      <c r="C1102" s="79" t="str">
        <f>IFERROR(__xludf.DUMMYFUNCTION("""COMPUTED_VALUE"""),"I'Milky")</f>
        <v>I'Milky</v>
      </c>
      <c r="D1102" s="79" t="str">
        <f>IFERROR(__xludf.DUMMYFUNCTION("""COMPUTED_VALUE"""),"Work Meals")</f>
        <v>Work Meals</v>
      </c>
      <c r="E1102" s="108"/>
      <c r="F1102" s="79" t="str">
        <f>IFERROR(__xludf.DUMMYFUNCTION("""COMPUTED_VALUE"""),"Shaeffer")</f>
        <v>Shaeffer</v>
      </c>
    </row>
    <row r="1103">
      <c r="A1103" s="85">
        <f>IFERROR(__xludf.DUMMYFUNCTION("""COMPUTED_VALUE"""),45293.0)</f>
        <v>45293</v>
      </c>
      <c r="B1103" s="111">
        <f>IFERROR(__xludf.DUMMYFUNCTION("""COMPUTED_VALUE"""),12.07)</f>
        <v>12.07</v>
      </c>
      <c r="C1103" s="79" t="str">
        <f>IFERROR(__xludf.DUMMYFUNCTION("""COMPUTED_VALUE"""),"Birch")</f>
        <v>Birch</v>
      </c>
      <c r="D1103" s="79" t="str">
        <f>IFERROR(__xludf.DUMMYFUNCTION("""COMPUTED_VALUE"""),"Gifts/Donations")</f>
        <v>Gifts/Donations</v>
      </c>
      <c r="E1103" s="108"/>
      <c r="F1103" s="79" t="str">
        <f>IFERROR(__xludf.DUMMYFUNCTION("""COMPUTED_VALUE"""),"Gil")</f>
        <v>Gil</v>
      </c>
    </row>
    <row r="1104">
      <c r="A1104" s="85">
        <f>IFERROR(__xludf.DUMMYFUNCTION("""COMPUTED_VALUE"""),45293.0)</f>
        <v>45293</v>
      </c>
      <c r="B1104" s="111">
        <f>IFERROR(__xludf.DUMMYFUNCTION("""COMPUTED_VALUE"""),60.8)</f>
        <v>60.8</v>
      </c>
      <c r="C1104" s="79" t="str">
        <f>IFERROR(__xludf.DUMMYFUNCTION("""COMPUTED_VALUE"""),"Kuumba - perfume")</f>
        <v>Kuumba - perfume</v>
      </c>
      <c r="D1104" s="79" t="str">
        <f>IFERROR(__xludf.DUMMYFUNCTION("""COMPUTED_VALUE"""),"Personal")</f>
        <v>Personal</v>
      </c>
      <c r="E1104" s="108"/>
      <c r="F1104" s="79" t="str">
        <f>IFERROR(__xludf.DUMMYFUNCTION("""COMPUTED_VALUE"""),"Shaeffer")</f>
        <v>Shaeffer</v>
      </c>
    </row>
    <row r="1105">
      <c r="A1105" s="85">
        <f>IFERROR(__xludf.DUMMYFUNCTION("""COMPUTED_VALUE"""),45293.0)</f>
        <v>45293</v>
      </c>
      <c r="B1105" s="111">
        <f>IFERROR(__xludf.DUMMYFUNCTION("""COMPUTED_VALUE"""),331.25)</f>
        <v>331.25</v>
      </c>
      <c r="C1105" s="79" t="str">
        <f>IFERROR(__xludf.DUMMYFUNCTION("""COMPUTED_VALUE"""),"236 Moore St. #38")</f>
        <v>236 Moore St. #38</v>
      </c>
      <c r="D1105" s="79" t="str">
        <f>IFERROR(__xludf.DUMMYFUNCTION("""COMPUTED_VALUE"""),"Storage")</f>
        <v>Storage</v>
      </c>
      <c r="E1105" s="108"/>
      <c r="F1105" s="79" t="str">
        <f>IFERROR(__xludf.DUMMYFUNCTION("""COMPUTED_VALUE"""),"Shaeffer")</f>
        <v>Shaeffer</v>
      </c>
    </row>
    <row r="1106">
      <c r="A1106" s="85">
        <f>IFERROR(__xludf.DUMMYFUNCTION("""COMPUTED_VALUE"""),45293.0)</f>
        <v>45293</v>
      </c>
      <c r="B1106" s="111">
        <f>IFERROR(__xludf.DUMMYFUNCTION("""COMPUTED_VALUE"""),32.64)</f>
        <v>32.64</v>
      </c>
      <c r="C1106" s="79" t="str">
        <f>IFERROR(__xludf.DUMMYFUNCTION("""COMPUTED_VALUE"""),"Adobe")</f>
        <v>Adobe</v>
      </c>
      <c r="D1106" s="79" t="str">
        <f>IFERROR(__xludf.DUMMYFUNCTION("""COMPUTED_VALUE"""),"Subscriptions")</f>
        <v>Subscriptions</v>
      </c>
      <c r="E1106" s="108"/>
      <c r="F1106" s="79" t="str">
        <f>IFERROR(__xludf.DUMMYFUNCTION("""COMPUTED_VALUE"""),"Gil")</f>
        <v>Gil</v>
      </c>
    </row>
    <row r="1107">
      <c r="A1107" s="85">
        <f>IFERROR(__xludf.DUMMYFUNCTION("""COMPUTED_VALUE"""),45293.0)</f>
        <v>45293</v>
      </c>
      <c r="B1107" s="111">
        <f>IFERROR(__xludf.DUMMYFUNCTION("""COMPUTED_VALUE"""),14.15)</f>
        <v>14.15</v>
      </c>
      <c r="C1107" s="79" t="str">
        <f>IFERROR(__xludf.DUMMYFUNCTION("""COMPUTED_VALUE"""),"El Tepeyac")</f>
        <v>El Tepeyac</v>
      </c>
      <c r="D1107" s="79" t="str">
        <f>IFERROR(__xludf.DUMMYFUNCTION("""COMPUTED_VALUE"""),"Work Meals")</f>
        <v>Work Meals</v>
      </c>
      <c r="E1107" s="108"/>
      <c r="F1107" s="79" t="str">
        <f>IFERROR(__xludf.DUMMYFUNCTION("""COMPUTED_VALUE"""),"Gil")</f>
        <v>Gil</v>
      </c>
    </row>
    <row r="1108">
      <c r="A1108" s="85">
        <f>IFERROR(__xludf.DUMMYFUNCTION("""COMPUTED_VALUE"""),45294.0)</f>
        <v>45294</v>
      </c>
      <c r="B1108" s="111">
        <f>IFERROR(__xludf.DUMMYFUNCTION("""COMPUTED_VALUE"""),5.44)</f>
        <v>5.44</v>
      </c>
      <c r="C1108" s="79" t="str">
        <f>IFERROR(__xludf.DUMMYFUNCTION("""COMPUTED_VALUE"""),"DIG")</f>
        <v>DIG</v>
      </c>
      <c r="D1108" s="79" t="str">
        <f>IFERROR(__xludf.DUMMYFUNCTION("""COMPUTED_VALUE"""),"Groceries")</f>
        <v>Groceries</v>
      </c>
      <c r="E1108" s="108"/>
      <c r="F1108" s="79" t="str">
        <f>IFERROR(__xludf.DUMMYFUNCTION("""COMPUTED_VALUE"""),"Gil")</f>
        <v>Gil</v>
      </c>
    </row>
    <row r="1109">
      <c r="A1109" s="85">
        <f>IFERROR(__xludf.DUMMYFUNCTION("""COMPUTED_VALUE"""),45295.0)</f>
        <v>45295</v>
      </c>
      <c r="B1109" s="111">
        <f>IFERROR(__xludf.DUMMYFUNCTION("""COMPUTED_VALUE"""),10.88)</f>
        <v>10.88</v>
      </c>
      <c r="C1109" s="79" t="str">
        <f>IFERROR(__xludf.DUMMYFUNCTION("""COMPUTED_VALUE"""),"Amazon - HB Dead Sea Foot Deodorant")</f>
        <v>Amazon - HB Dead Sea Foot Deodorant</v>
      </c>
      <c r="D1109" s="79" t="str">
        <f>IFERROR(__xludf.DUMMYFUNCTION("""COMPUTED_VALUE"""),"Personal")</f>
        <v>Personal</v>
      </c>
      <c r="E1109" s="108"/>
      <c r="F1109" s="79" t="str">
        <f>IFERROR(__xludf.DUMMYFUNCTION("""COMPUTED_VALUE"""),"Gil")</f>
        <v>Gil</v>
      </c>
    </row>
    <row r="1110">
      <c r="A1110" s="85">
        <f>IFERROR(__xludf.DUMMYFUNCTION("""COMPUTED_VALUE"""),45296.0)</f>
        <v>45296</v>
      </c>
      <c r="B1110" s="111">
        <f>IFERROR(__xludf.DUMMYFUNCTION("""COMPUTED_VALUE"""),23.0)</f>
        <v>23</v>
      </c>
      <c r="C1110" s="79" t="str">
        <f>IFERROR(__xludf.DUMMYFUNCTION("""COMPUTED_VALUE"""),"Zara")</f>
        <v>Zara</v>
      </c>
      <c r="D1110" s="79" t="str">
        <f>IFERROR(__xludf.DUMMYFUNCTION("""COMPUTED_VALUE"""),"Clothing")</f>
        <v>Clothing</v>
      </c>
      <c r="E1110" s="108"/>
      <c r="F1110" s="79" t="str">
        <f>IFERROR(__xludf.DUMMYFUNCTION("""COMPUTED_VALUE"""),"Gil")</f>
        <v>Gil</v>
      </c>
    </row>
    <row r="1111">
      <c r="A1111" s="85">
        <f>IFERROR(__xludf.DUMMYFUNCTION("""COMPUTED_VALUE"""),45297.0)</f>
        <v>45297</v>
      </c>
      <c r="B1111" s="111">
        <f>IFERROR(__xludf.DUMMYFUNCTION("""COMPUTED_VALUE"""),16.0)</f>
        <v>16</v>
      </c>
      <c r="C1111" s="79" t="str">
        <f>IFERROR(__xludf.DUMMYFUNCTION("""COMPUTED_VALUE"""),"New Chinatown")</f>
        <v>New Chinatown</v>
      </c>
      <c r="D1111" s="79" t="str">
        <f>IFERROR(__xludf.DUMMYFUNCTION("""COMPUTED_VALUE"""),"Work Meals")</f>
        <v>Work Meals</v>
      </c>
      <c r="E1111" s="108"/>
      <c r="F1111" s="79" t="str">
        <f>IFERROR(__xludf.DUMMYFUNCTION("""COMPUTED_VALUE"""),"Gil")</f>
        <v>Gil</v>
      </c>
    </row>
    <row r="1112">
      <c r="A1112" s="85">
        <f>IFERROR(__xludf.DUMMYFUNCTION("""COMPUTED_VALUE"""),45298.0)</f>
        <v>45298</v>
      </c>
      <c r="B1112" s="111">
        <f>IFERROR(__xludf.DUMMYFUNCTION("""COMPUTED_VALUE"""),20.0)</f>
        <v>20</v>
      </c>
      <c r="C1112" s="79" t="str">
        <f>IFERROR(__xludf.DUMMYFUNCTION("""COMPUTED_VALUE"""),"Mineola Diner")</f>
        <v>Mineola Diner</v>
      </c>
      <c r="D1112" s="79" t="str">
        <f>IFERROR(__xludf.DUMMYFUNCTION("""COMPUTED_VALUE"""),"Meals")</f>
        <v>Meals</v>
      </c>
      <c r="E1112" s="108"/>
      <c r="F1112" s="79" t="str">
        <f>IFERROR(__xludf.DUMMYFUNCTION("""COMPUTED_VALUE"""),"Gil")</f>
        <v>Gil</v>
      </c>
    </row>
    <row r="1113">
      <c r="A1113" s="85">
        <f>IFERROR(__xludf.DUMMYFUNCTION("""COMPUTED_VALUE"""),45299.0)</f>
        <v>45299</v>
      </c>
      <c r="B1113" s="111">
        <f>IFERROR(__xludf.DUMMYFUNCTION("""COMPUTED_VALUE"""),34.77)</f>
        <v>34.77</v>
      </c>
      <c r="C1113" s="79" t="str">
        <f>IFERROR(__xludf.DUMMYFUNCTION("""COMPUTED_VALUE"""),"Feiyue ")</f>
        <v>Feiyue </v>
      </c>
      <c r="D1113" s="79" t="str">
        <f>IFERROR(__xludf.DUMMYFUNCTION("""COMPUTED_VALUE"""),"Clothing")</f>
        <v>Clothing</v>
      </c>
      <c r="E1113" s="108"/>
      <c r="F1113" s="79" t="str">
        <f>IFERROR(__xludf.DUMMYFUNCTION("""COMPUTED_VALUE"""),"Gil")</f>
        <v>Gil</v>
      </c>
    </row>
    <row r="1114">
      <c r="A1114" s="85">
        <f>IFERROR(__xludf.DUMMYFUNCTION("""COMPUTED_VALUE"""),45299.0)</f>
        <v>45299</v>
      </c>
      <c r="B1114" s="111">
        <f>IFERROR(__xludf.DUMMYFUNCTION("""COMPUTED_VALUE"""),5.63)</f>
        <v>5.63</v>
      </c>
      <c r="C1114" s="79" t="str">
        <f>IFERROR(__xludf.DUMMYFUNCTION("""COMPUTED_VALUE"""),"Birch")</f>
        <v>Birch</v>
      </c>
      <c r="D1114" s="79" t="str">
        <f>IFERROR(__xludf.DUMMYFUNCTION("""COMPUTED_VALUE"""),"Meals")</f>
        <v>Meals</v>
      </c>
      <c r="E1114" s="108"/>
      <c r="F1114" s="79" t="str">
        <f>IFERROR(__xludf.DUMMYFUNCTION("""COMPUTED_VALUE"""),"Shaeffer")</f>
        <v>Shaeffer</v>
      </c>
    </row>
    <row r="1115">
      <c r="A1115" s="85">
        <f>IFERROR(__xludf.DUMMYFUNCTION("""COMPUTED_VALUE"""),45299.0)</f>
        <v>45299</v>
      </c>
      <c r="B1115" s="111">
        <f>IFERROR(__xludf.DUMMYFUNCTION("""COMPUTED_VALUE"""),383.0)</f>
        <v>383</v>
      </c>
      <c r="C1115" s="79" t="str">
        <f>IFERROR(__xludf.DUMMYFUNCTION("""COMPUTED_VALUE"""),"Jan rent - studio")</f>
        <v>Jan rent - studio</v>
      </c>
      <c r="D1115" s="79" t="str">
        <f>IFERROR(__xludf.DUMMYFUNCTION("""COMPUTED_VALUE"""),"Studio")</f>
        <v>Studio</v>
      </c>
      <c r="E1115" s="108"/>
      <c r="F1115" s="79" t="str">
        <f>IFERROR(__xludf.DUMMYFUNCTION("""COMPUTED_VALUE"""),"Shaeffer")</f>
        <v>Shaeffer</v>
      </c>
    </row>
    <row r="1116">
      <c r="A1116" s="85">
        <f>IFERROR(__xludf.DUMMYFUNCTION("""COMPUTED_VALUE"""),45295.0)</f>
        <v>45295</v>
      </c>
      <c r="B1116" s="111">
        <f>IFERROR(__xludf.DUMMYFUNCTION("""COMPUTED_VALUE"""),22.44)</f>
        <v>22.44</v>
      </c>
      <c r="C1116" s="79" t="str">
        <f>IFERROR(__xludf.DUMMYFUNCTION("""COMPUTED_VALUE"""),"Mr.Lemon - clothing swap")</f>
        <v>Mr.Lemon - clothing swap</v>
      </c>
      <c r="D1116" s="79" t="str">
        <f>IFERROR(__xludf.DUMMYFUNCTION("""COMPUTED_VALUE"""),"Personal")</f>
        <v>Personal</v>
      </c>
      <c r="E1116" s="108"/>
      <c r="F1116" s="79" t="str">
        <f>IFERROR(__xludf.DUMMYFUNCTION("""COMPUTED_VALUE"""),"Shaeffer")</f>
        <v>Shaeffer</v>
      </c>
    </row>
    <row r="1117">
      <c r="A1117" s="85">
        <f>IFERROR(__xludf.DUMMYFUNCTION("""COMPUTED_VALUE"""),45296.0)</f>
        <v>45296</v>
      </c>
      <c r="B1117" s="111">
        <f>IFERROR(__xludf.DUMMYFUNCTION("""COMPUTED_VALUE"""),5.08)</f>
        <v>5.08</v>
      </c>
      <c r="C1117" s="79" t="str">
        <f>IFERROR(__xludf.DUMMYFUNCTION("""COMPUTED_VALUE"""),"Variety")</f>
        <v>Variety</v>
      </c>
      <c r="D1117" s="79" t="str">
        <f>IFERROR(__xludf.DUMMYFUNCTION("""COMPUTED_VALUE"""),"Meals")</f>
        <v>Meals</v>
      </c>
      <c r="E1117" s="108"/>
      <c r="F1117" s="79" t="str">
        <f>IFERROR(__xludf.DUMMYFUNCTION("""COMPUTED_VALUE"""),"Shaeffer")</f>
        <v>Shaeffer</v>
      </c>
    </row>
    <row r="1118">
      <c r="A1118" s="85">
        <f>IFERROR(__xludf.DUMMYFUNCTION("""COMPUTED_VALUE"""),45298.0)</f>
        <v>45298</v>
      </c>
      <c r="B1118" s="111">
        <f>IFERROR(__xludf.DUMMYFUNCTION("""COMPUTED_VALUE"""),20.0)</f>
        <v>20</v>
      </c>
      <c r="C1118" s="79" t="str">
        <f>IFERROR(__xludf.DUMMYFUNCTION("""COMPUTED_VALUE"""),"BP Gas")</f>
        <v>BP Gas</v>
      </c>
      <c r="D1118" s="79" t="str">
        <f>IFERROR(__xludf.DUMMYFUNCTION("""COMPUTED_VALUE"""),"Personal")</f>
        <v>Personal</v>
      </c>
      <c r="E1118" s="108"/>
      <c r="F1118" s="79" t="str">
        <f>IFERROR(__xludf.DUMMYFUNCTION("""COMPUTED_VALUE"""),"Shaeffer")</f>
        <v>Shaeffer</v>
      </c>
    </row>
    <row r="1119">
      <c r="A1119" s="85">
        <f>IFERROR(__xludf.DUMMYFUNCTION("""COMPUTED_VALUE"""),45298.0)</f>
        <v>45298</v>
      </c>
      <c r="B1119" s="111">
        <f>IFERROR(__xludf.DUMMYFUNCTION("""COMPUTED_VALUE"""),200.0)</f>
        <v>200</v>
      </c>
      <c r="C1119" s="79" t="str">
        <f>IFERROR(__xludf.DUMMYFUNCTION("""COMPUTED_VALUE"""),"Craigslist - piano")</f>
        <v>Craigslist - piano</v>
      </c>
      <c r="D1119" s="79" t="str">
        <f>IFERROR(__xludf.DUMMYFUNCTION("""COMPUTED_VALUE"""),"Personal")</f>
        <v>Personal</v>
      </c>
      <c r="E1119" s="108"/>
      <c r="F1119" s="79" t="str">
        <f>IFERROR(__xludf.DUMMYFUNCTION("""COMPUTED_VALUE"""),"Shaeffer")</f>
        <v>Shaeffer</v>
      </c>
    </row>
    <row r="1120">
      <c r="A1120" s="85">
        <f>IFERROR(__xludf.DUMMYFUNCTION("""COMPUTED_VALUE"""),45295.0)</f>
        <v>45295</v>
      </c>
      <c r="B1120" s="111">
        <f>IFERROR(__xludf.DUMMYFUNCTION("""COMPUTED_VALUE"""),11.88)</f>
        <v>11.88</v>
      </c>
      <c r="C1120" s="79" t="str">
        <f>IFERROR(__xludf.DUMMYFUNCTION("""COMPUTED_VALUE"""),"Takahachi Bakery")</f>
        <v>Takahachi Bakery</v>
      </c>
      <c r="D1120" s="79" t="str">
        <f>IFERROR(__xludf.DUMMYFUNCTION("""COMPUTED_VALUE"""),"Work Meals")</f>
        <v>Work Meals</v>
      </c>
      <c r="E1120" s="108"/>
      <c r="F1120" s="79" t="str">
        <f>IFERROR(__xludf.DUMMYFUNCTION("""COMPUTED_VALUE"""),"Shaeffer")</f>
        <v>Shaeffer</v>
      </c>
    </row>
    <row r="1121">
      <c r="A1121" s="85">
        <f>IFERROR(__xludf.DUMMYFUNCTION("""COMPUTED_VALUE"""),45293.0)</f>
        <v>45293</v>
      </c>
      <c r="B1121" s="111">
        <f>IFERROR(__xludf.DUMMYFUNCTION("""COMPUTED_VALUE"""),9.99)</f>
        <v>9.99</v>
      </c>
      <c r="C1121" s="79" t="str">
        <f>IFERROR(__xludf.DUMMYFUNCTION("""COMPUTED_VALUE"""),"Apple storage")</f>
        <v>Apple storage</v>
      </c>
      <c r="D1121" s="79" t="str">
        <f>IFERROR(__xludf.DUMMYFUNCTION("""COMPUTED_VALUE"""),"Subscriptions")</f>
        <v>Subscriptions</v>
      </c>
      <c r="E1121" s="108"/>
      <c r="F1121" s="79" t="str">
        <f>IFERROR(__xludf.DUMMYFUNCTION("""COMPUTED_VALUE"""),"Shaeffer")</f>
        <v>Shaeffer</v>
      </c>
    </row>
    <row r="1122">
      <c r="A1122" s="85">
        <f>IFERROR(__xludf.DUMMYFUNCTION("""COMPUTED_VALUE"""),45296.0)</f>
        <v>45296</v>
      </c>
      <c r="B1122" s="111">
        <f>IFERROR(__xludf.DUMMYFUNCTION("""COMPUTED_VALUE"""),30.0)</f>
        <v>30</v>
      </c>
      <c r="C1122" s="79" t="str">
        <f>IFERROR(__xludf.DUMMYFUNCTION("""COMPUTED_VALUE"""),"Everyone Yoga")</f>
        <v>Everyone Yoga</v>
      </c>
      <c r="D1122" s="79" t="str">
        <f>IFERROR(__xludf.DUMMYFUNCTION("""COMPUTED_VALUE"""),"Gym")</f>
        <v>Gym</v>
      </c>
      <c r="E1122" s="108"/>
      <c r="F1122" s="79" t="str">
        <f>IFERROR(__xludf.DUMMYFUNCTION("""COMPUTED_VALUE"""),"Shaeffer")</f>
        <v>Shaeffer</v>
      </c>
    </row>
    <row r="1123">
      <c r="A1123" s="85">
        <f>IFERROR(__xludf.DUMMYFUNCTION("""COMPUTED_VALUE"""),45297.0)</f>
        <v>45297</v>
      </c>
      <c r="B1123" s="111">
        <f>IFERROR(__xludf.DUMMYFUNCTION("""COMPUTED_VALUE"""),1.99)</f>
        <v>1.99</v>
      </c>
      <c r="C1123" s="79" t="str">
        <f>IFERROR(__xludf.DUMMYFUNCTION("""COMPUTED_VALUE"""),"Gmail storage")</f>
        <v>Gmail storage</v>
      </c>
      <c r="D1123" s="79" t="str">
        <f>IFERROR(__xludf.DUMMYFUNCTION("""COMPUTED_VALUE"""),"Subscriptions")</f>
        <v>Subscriptions</v>
      </c>
      <c r="E1123" s="108"/>
      <c r="F1123" s="79" t="str">
        <f>IFERROR(__xludf.DUMMYFUNCTION("""COMPUTED_VALUE"""),"Shaeffer")</f>
        <v>Shaeffer</v>
      </c>
    </row>
    <row r="1124">
      <c r="A1124" s="85">
        <f>IFERROR(__xludf.DUMMYFUNCTION("""COMPUTED_VALUE"""),45299.0)</f>
        <v>45299</v>
      </c>
      <c r="B1124" s="111">
        <f>IFERROR(__xludf.DUMMYFUNCTION("""COMPUTED_VALUE"""),15.6)</f>
        <v>15.6</v>
      </c>
      <c r="C1124" s="79" t="str">
        <f>IFERROR(__xludf.DUMMYFUNCTION("""COMPUTED_VALUE"""),"King of Falafel")</f>
        <v>King of Falafel</v>
      </c>
      <c r="D1124" s="79" t="str">
        <f>IFERROR(__xludf.DUMMYFUNCTION("""COMPUTED_VALUE"""),"Work Meals")</f>
        <v>Work Meals</v>
      </c>
      <c r="E1124" s="108"/>
      <c r="F1124" s="79" t="str">
        <f>IFERROR(__xludf.DUMMYFUNCTION("""COMPUTED_VALUE"""),"Shaeffer")</f>
        <v>Shaeffer</v>
      </c>
    </row>
    <row r="1125">
      <c r="A1125" s="85">
        <f>IFERROR(__xludf.DUMMYFUNCTION("""COMPUTED_VALUE"""),45301.0)</f>
        <v>45301</v>
      </c>
      <c r="B1125" s="111">
        <f>IFERROR(__xludf.DUMMYFUNCTION("""COMPUTED_VALUE"""),8.0)</f>
        <v>8</v>
      </c>
      <c r="C1125" s="79" t="str">
        <f>IFERROR(__xludf.DUMMYFUNCTION("""COMPUTED_VALUE"""),"Manousheh")</f>
        <v>Manousheh</v>
      </c>
      <c r="D1125" s="79" t="str">
        <f>IFERROR(__xludf.DUMMYFUNCTION("""COMPUTED_VALUE"""),"Meals/Entertainment")</f>
        <v>Meals/Entertainment</v>
      </c>
      <c r="E1125" s="108"/>
      <c r="F1125" s="79" t="str">
        <f>IFERROR(__xludf.DUMMYFUNCTION("""COMPUTED_VALUE"""),"Gil")</f>
        <v>Gil</v>
      </c>
    </row>
    <row r="1126">
      <c r="A1126" s="85">
        <f>IFERROR(__xludf.DUMMYFUNCTION("""COMPUTED_VALUE"""),45301.0)</f>
        <v>45301</v>
      </c>
      <c r="B1126" s="111">
        <f>IFERROR(__xludf.DUMMYFUNCTION("""COMPUTED_VALUE"""),179.49)</f>
        <v>179.49</v>
      </c>
      <c r="C1126" s="79" t="str">
        <f>IFERROR(__xludf.DUMMYFUNCTION("""COMPUTED_VALUE"""),"Garrett Wade")</f>
        <v>Garrett Wade</v>
      </c>
      <c r="D1126" s="79" t="str">
        <f>IFERROR(__xludf.DUMMYFUNCTION("""COMPUTED_VALUE"""),"Personal")</f>
        <v>Personal</v>
      </c>
      <c r="E1126" s="108"/>
      <c r="F1126" s="79" t="str">
        <f>IFERROR(__xludf.DUMMYFUNCTION("""COMPUTED_VALUE"""),"Gil")</f>
        <v>Gil</v>
      </c>
    </row>
    <row r="1127">
      <c r="A1127" s="85">
        <f>IFERROR(__xludf.DUMMYFUNCTION("""COMPUTED_VALUE"""),45302.0)</f>
        <v>45302</v>
      </c>
      <c r="B1127" s="111">
        <f>IFERROR(__xludf.DUMMYFUNCTION("""COMPUTED_VALUE"""),13.07)</f>
        <v>13.07</v>
      </c>
      <c r="C1127" s="79" t="str">
        <f>IFERROR(__xludf.DUMMYFUNCTION("""COMPUTED_VALUE"""),"Paula’s Choice")</f>
        <v>Paula’s Choice</v>
      </c>
      <c r="D1127" s="79" t="str">
        <f>IFERROR(__xludf.DUMMYFUNCTION("""COMPUTED_VALUE"""),"Personal")</f>
        <v>Personal</v>
      </c>
      <c r="E1127" s="108"/>
      <c r="F1127" s="79" t="str">
        <f>IFERROR(__xludf.DUMMYFUNCTION("""COMPUTED_VALUE"""),"Shaeffer")</f>
        <v>Shaeffer</v>
      </c>
    </row>
    <row r="1128">
      <c r="A1128" s="85">
        <f>IFERROR(__xludf.DUMMYFUNCTION("""COMPUTED_VALUE"""),45301.0)</f>
        <v>45301</v>
      </c>
      <c r="B1128" s="111">
        <f>IFERROR(__xludf.DUMMYFUNCTION("""COMPUTED_VALUE"""),45.73)</f>
        <v>45.73</v>
      </c>
      <c r="C1128" s="79" t="str">
        <f>IFERROR(__xludf.DUMMYFUNCTION("""COMPUTED_VALUE"""),"Sephora")</f>
        <v>Sephora</v>
      </c>
      <c r="D1128" s="79" t="str">
        <f>IFERROR(__xludf.DUMMYFUNCTION("""COMPUTED_VALUE"""),"Personal")</f>
        <v>Personal</v>
      </c>
      <c r="E1128" s="108"/>
      <c r="F1128" s="79" t="str">
        <f>IFERROR(__xludf.DUMMYFUNCTION("""COMPUTED_VALUE"""),"Shaeffer")</f>
        <v>Shaeffer</v>
      </c>
    </row>
    <row r="1129">
      <c r="A1129" s="85">
        <f>IFERROR(__xludf.DUMMYFUNCTION("""COMPUTED_VALUE"""),45301.0)</f>
        <v>45301</v>
      </c>
      <c r="B1129" s="111">
        <f>IFERROR(__xludf.DUMMYFUNCTION("""COMPUTED_VALUE"""),14.38)</f>
        <v>14.38</v>
      </c>
      <c r="C1129" s="79" t="str">
        <f>IFERROR(__xludf.DUMMYFUNCTION("""COMPUTED_VALUE"""),"Taco Truck")</f>
        <v>Taco Truck</v>
      </c>
      <c r="D1129" s="79" t="str">
        <f>IFERROR(__xludf.DUMMYFUNCTION("""COMPUTED_VALUE"""),"Meals")</f>
        <v>Meals</v>
      </c>
      <c r="E1129" s="108"/>
      <c r="F1129" s="79" t="str">
        <f>IFERROR(__xludf.DUMMYFUNCTION("""COMPUTED_VALUE"""),"Shaeffer")</f>
        <v>Shaeffer</v>
      </c>
    </row>
    <row r="1130">
      <c r="A1130" s="85">
        <f>IFERROR(__xludf.DUMMYFUNCTION("""COMPUTED_VALUE"""),45303.0)</f>
        <v>45303</v>
      </c>
      <c r="B1130" s="111">
        <f>IFERROR(__xludf.DUMMYFUNCTION("""COMPUTED_VALUE"""),15.02)</f>
        <v>15.02</v>
      </c>
      <c r="C1130" s="79" t="str">
        <f>IFERROR(__xludf.DUMMYFUNCTION("""COMPUTED_VALUE"""),"Alf Bakery")</f>
        <v>Alf Bakery</v>
      </c>
      <c r="D1130" s="79" t="str">
        <f>IFERROR(__xludf.DUMMYFUNCTION("""COMPUTED_VALUE"""),"Work Meals")</f>
        <v>Work Meals</v>
      </c>
      <c r="E1130" s="108"/>
      <c r="F1130" s="79" t="str">
        <f>IFERROR(__xludf.DUMMYFUNCTION("""COMPUTED_VALUE"""),"Shaeffer")</f>
        <v>Shaeffer</v>
      </c>
    </row>
    <row r="1131">
      <c r="E1131" s="108"/>
      <c r="F1131" s="79" t="str">
        <f>IFERROR(__xludf.DUMMYFUNCTION("""COMPUTED_VALUE"""),"Gil")</f>
        <v>Gil</v>
      </c>
    </row>
    <row r="1132">
      <c r="E1132" s="108"/>
    </row>
    <row r="1133">
      <c r="E1133" s="108"/>
    </row>
    <row r="1134">
      <c r="E1134" s="108"/>
    </row>
    <row r="1135">
      <c r="E1135" s="108"/>
    </row>
    <row r="1136">
      <c r="E1136" s="108"/>
    </row>
    <row r="1137">
      <c r="E1137" s="108"/>
    </row>
    <row r="1138">
      <c r="E1138" s="108"/>
    </row>
    <row r="1139">
      <c r="E1139" s="108"/>
    </row>
    <row r="1140">
      <c r="E1140" s="108"/>
    </row>
    <row r="1141">
      <c r="E1141" s="108"/>
    </row>
    <row r="1142">
      <c r="E1142" s="108"/>
    </row>
    <row r="1143">
      <c r="E1143" s="108"/>
    </row>
    <row r="1144">
      <c r="E1144" s="108"/>
    </row>
    <row r="1145">
      <c r="E1145" s="108"/>
    </row>
    <row r="1146">
      <c r="E1146" s="108"/>
    </row>
    <row r="1147">
      <c r="E1147" s="108"/>
    </row>
    <row r="1148">
      <c r="E1148" s="108"/>
    </row>
    <row r="1149">
      <c r="E1149" s="108"/>
    </row>
    <row r="1150">
      <c r="E1150" s="108"/>
    </row>
    <row r="1151">
      <c r="E1151" s="108"/>
    </row>
    <row r="1152">
      <c r="E1152" s="108"/>
    </row>
    <row r="1153">
      <c r="E1153" s="108"/>
    </row>
    <row r="1154">
      <c r="E1154" s="108"/>
    </row>
    <row r="1155">
      <c r="E1155" s="108"/>
    </row>
    <row r="1156">
      <c r="E1156" s="108"/>
    </row>
    <row r="1157">
      <c r="E1157" s="108"/>
    </row>
    <row r="1158">
      <c r="E1158" s="108"/>
    </row>
    <row r="1159">
      <c r="E1159" s="108"/>
    </row>
    <row r="1160">
      <c r="E1160" s="108"/>
    </row>
    <row r="1161">
      <c r="E1161" s="108"/>
    </row>
    <row r="1162">
      <c r="E1162" s="108"/>
    </row>
    <row r="1163">
      <c r="E1163" s="108"/>
    </row>
    <row r="1164">
      <c r="E1164" s="108"/>
    </row>
    <row r="1165">
      <c r="E1165" s="108"/>
    </row>
    <row r="1166">
      <c r="E1166" s="108"/>
    </row>
    <row r="1167">
      <c r="E1167" s="108"/>
    </row>
    <row r="1168">
      <c r="E1168" s="108"/>
    </row>
    <row r="1169">
      <c r="E1169" s="108"/>
    </row>
    <row r="1170">
      <c r="E1170" s="108"/>
    </row>
    <row r="1171">
      <c r="E1171" s="108"/>
    </row>
    <row r="1172">
      <c r="E1172" s="108"/>
    </row>
    <row r="1173">
      <c r="E1173" s="108"/>
    </row>
    <row r="1174">
      <c r="E1174" s="108"/>
    </row>
    <row r="1175">
      <c r="E1175" s="108"/>
    </row>
    <row r="1176">
      <c r="E1176" s="108"/>
    </row>
    <row r="1177">
      <c r="E1177" s="108"/>
    </row>
    <row r="1178">
      <c r="E1178" s="108"/>
    </row>
    <row r="1179">
      <c r="E1179" s="108"/>
    </row>
    <row r="1180">
      <c r="E1180" s="108"/>
    </row>
    <row r="1181">
      <c r="E1181" s="108"/>
    </row>
    <row r="1182">
      <c r="E1182" s="108"/>
    </row>
    <row r="1183">
      <c r="E1183" s="108"/>
    </row>
    <row r="1184">
      <c r="E1184" s="108"/>
    </row>
    <row r="1185">
      <c r="E1185" s="108"/>
    </row>
    <row r="1186">
      <c r="E1186" s="108"/>
    </row>
    <row r="1187">
      <c r="E1187" s="108"/>
    </row>
    <row r="1188">
      <c r="E1188" s="108"/>
    </row>
    <row r="1189">
      <c r="E1189" s="108"/>
    </row>
    <row r="1190">
      <c r="E1190" s="108"/>
    </row>
    <row r="1191">
      <c r="E1191" s="108"/>
    </row>
    <row r="1192">
      <c r="E1192" s="108"/>
    </row>
    <row r="1193">
      <c r="E1193" s="108"/>
    </row>
    <row r="1194">
      <c r="E1194" s="108"/>
    </row>
    <row r="1195">
      <c r="E1195" s="108"/>
    </row>
    <row r="1196">
      <c r="E1196" s="108"/>
    </row>
    <row r="1197">
      <c r="E1197" s="108"/>
    </row>
    <row r="1198">
      <c r="E1198" s="108"/>
    </row>
    <row r="1199">
      <c r="E1199" s="108"/>
    </row>
    <row r="1200">
      <c r="E1200" s="108"/>
    </row>
    <row r="1201">
      <c r="E1201" s="108"/>
    </row>
    <row r="1202">
      <c r="E1202" s="108"/>
    </row>
    <row r="1203">
      <c r="E1203" s="108"/>
    </row>
    <row r="1204">
      <c r="E1204" s="108"/>
    </row>
    <row r="1205">
      <c r="E1205" s="108"/>
    </row>
    <row r="1206">
      <c r="E1206" s="108"/>
    </row>
    <row r="1207">
      <c r="E1207" s="108"/>
    </row>
    <row r="1208">
      <c r="E1208" s="108"/>
    </row>
    <row r="1209">
      <c r="E1209" s="108"/>
    </row>
    <row r="1210">
      <c r="E1210" s="108"/>
    </row>
    <row r="1211">
      <c r="E1211" s="108"/>
    </row>
    <row r="1212">
      <c r="E1212" s="108"/>
    </row>
    <row r="1213">
      <c r="E1213" s="108"/>
    </row>
    <row r="1214">
      <c r="E1214" s="108"/>
    </row>
    <row r="1215">
      <c r="E1215" s="108"/>
    </row>
    <row r="1216">
      <c r="E1216" s="108"/>
    </row>
    <row r="1217">
      <c r="E1217" s="108"/>
    </row>
    <row r="1218">
      <c r="E1218" s="108"/>
    </row>
    <row r="1219">
      <c r="E1219" s="108"/>
    </row>
    <row r="1220">
      <c r="E1220" s="108"/>
    </row>
    <row r="1221">
      <c r="E1221" s="108"/>
    </row>
    <row r="1222">
      <c r="E1222" s="108"/>
    </row>
    <row r="1223">
      <c r="E1223" s="108"/>
    </row>
    <row r="1224">
      <c r="E1224" s="108"/>
    </row>
    <row r="1225">
      <c r="E1225" s="108"/>
    </row>
    <row r="1226">
      <c r="E1226" s="108"/>
    </row>
    <row r="1227">
      <c r="E1227" s="108"/>
    </row>
    <row r="1228">
      <c r="E1228" s="108"/>
    </row>
    <row r="1229">
      <c r="E1229" s="108"/>
    </row>
    <row r="1230">
      <c r="E1230" s="108"/>
    </row>
    <row r="1231">
      <c r="E1231" s="108"/>
    </row>
    <row r="1232">
      <c r="E1232" s="108"/>
    </row>
    <row r="1233">
      <c r="E1233" s="108"/>
    </row>
    <row r="1234">
      <c r="E1234" s="108"/>
    </row>
    <row r="1235">
      <c r="E1235" s="108"/>
    </row>
    <row r="1236">
      <c r="E1236" s="108"/>
    </row>
    <row r="1237">
      <c r="E1237" s="108"/>
    </row>
    <row r="1238">
      <c r="E1238" s="108"/>
    </row>
    <row r="1239">
      <c r="E1239" s="108"/>
    </row>
    <row r="1240">
      <c r="E1240" s="108"/>
    </row>
    <row r="1241">
      <c r="E1241" s="108"/>
    </row>
    <row r="1242">
      <c r="E1242" s="108"/>
    </row>
    <row r="1243">
      <c r="E1243" s="108"/>
    </row>
    <row r="1244">
      <c r="E1244" s="108"/>
    </row>
    <row r="1245">
      <c r="E1245" s="108"/>
    </row>
    <row r="1246">
      <c r="E1246" s="108"/>
    </row>
    <row r="1247">
      <c r="E1247" s="108"/>
    </row>
    <row r="1248">
      <c r="E1248" s="108"/>
    </row>
    <row r="1249">
      <c r="E1249" s="108"/>
    </row>
    <row r="1250">
      <c r="E1250" s="108"/>
    </row>
    <row r="1251">
      <c r="E1251" s="108"/>
    </row>
    <row r="1252">
      <c r="E1252" s="108"/>
    </row>
    <row r="1253">
      <c r="E1253" s="108"/>
    </row>
    <row r="1254">
      <c r="E1254" s="108"/>
    </row>
    <row r="1255">
      <c r="E1255" s="108"/>
    </row>
    <row r="1256">
      <c r="E1256" s="108"/>
    </row>
    <row r="1257">
      <c r="E1257" s="108"/>
    </row>
    <row r="1258">
      <c r="E1258" s="108"/>
    </row>
    <row r="1259">
      <c r="E1259" s="108"/>
    </row>
    <row r="1260">
      <c r="E1260" s="108"/>
    </row>
    <row r="1261">
      <c r="E1261" s="108"/>
    </row>
    <row r="1262">
      <c r="E1262" s="108"/>
    </row>
    <row r="1263">
      <c r="E1263" s="108"/>
    </row>
    <row r="1264">
      <c r="E1264" s="108"/>
    </row>
    <row r="1265">
      <c r="E1265" s="108"/>
    </row>
    <row r="1266">
      <c r="E1266" s="108"/>
    </row>
    <row r="1267">
      <c r="E1267" s="108"/>
    </row>
    <row r="1268">
      <c r="E1268" s="108"/>
    </row>
    <row r="1269">
      <c r="E1269" s="108"/>
    </row>
    <row r="1270">
      <c r="E1270" s="108"/>
    </row>
    <row r="1271">
      <c r="E1271" s="108"/>
    </row>
    <row r="1272">
      <c r="E1272" s="108"/>
    </row>
    <row r="1273">
      <c r="E1273" s="108"/>
    </row>
    <row r="1274">
      <c r="E1274" s="108"/>
    </row>
    <row r="1275">
      <c r="E1275" s="108"/>
    </row>
    <row r="1276">
      <c r="E1276" s="108"/>
    </row>
    <row r="1277">
      <c r="E1277" s="108"/>
    </row>
    <row r="1278">
      <c r="E1278" s="108"/>
    </row>
    <row r="1279">
      <c r="E1279" s="108"/>
    </row>
    <row r="1280">
      <c r="E1280" s="108"/>
    </row>
    <row r="1281">
      <c r="E1281" s="108"/>
    </row>
    <row r="1282">
      <c r="E1282" s="108"/>
    </row>
    <row r="1283">
      <c r="E1283" s="108"/>
    </row>
    <row r="1284">
      <c r="E1284" s="108"/>
    </row>
    <row r="1285">
      <c r="E1285" s="108"/>
    </row>
    <row r="1286">
      <c r="E1286" s="108"/>
    </row>
    <row r="1287">
      <c r="E1287" s="108"/>
    </row>
    <row r="1288">
      <c r="E1288" s="108"/>
    </row>
    <row r="1289">
      <c r="E1289" s="108"/>
    </row>
    <row r="1290">
      <c r="E1290" s="108"/>
    </row>
    <row r="1291">
      <c r="E1291" s="108"/>
    </row>
    <row r="1292">
      <c r="E1292" s="108"/>
    </row>
    <row r="1293">
      <c r="E1293" s="108"/>
    </row>
    <row r="1294">
      <c r="E1294" s="108"/>
    </row>
    <row r="1295">
      <c r="E1295" s="108"/>
    </row>
    <row r="1296">
      <c r="E1296" s="108"/>
    </row>
    <row r="1297">
      <c r="E1297" s="108"/>
    </row>
    <row r="1298">
      <c r="E1298" s="108"/>
    </row>
    <row r="1299">
      <c r="E1299" s="108"/>
    </row>
    <row r="1300">
      <c r="E1300" s="108"/>
    </row>
    <row r="1301">
      <c r="E1301" s="108"/>
    </row>
    <row r="1302">
      <c r="E1302" s="108"/>
    </row>
    <row r="1303">
      <c r="E1303" s="108"/>
    </row>
    <row r="1304">
      <c r="E1304" s="108"/>
    </row>
    <row r="1305">
      <c r="E1305" s="108"/>
    </row>
    <row r="1306">
      <c r="E1306" s="108"/>
    </row>
    <row r="1307">
      <c r="E1307" s="108"/>
    </row>
    <row r="1308">
      <c r="E1308" s="108"/>
    </row>
    <row r="1309">
      <c r="E1309" s="108"/>
    </row>
    <row r="1310">
      <c r="E1310" s="108"/>
    </row>
    <row r="1311">
      <c r="E1311" s="108"/>
    </row>
    <row r="1312">
      <c r="E1312" s="108"/>
    </row>
    <row r="1313">
      <c r="E1313" s="108"/>
    </row>
    <row r="1314">
      <c r="E1314" s="108"/>
    </row>
    <row r="1315">
      <c r="E1315" s="108"/>
    </row>
    <row r="1316">
      <c r="E1316" s="108"/>
    </row>
    <row r="1317">
      <c r="E1317" s="108"/>
    </row>
    <row r="1318">
      <c r="E1318" s="108"/>
    </row>
    <row r="1319">
      <c r="E1319" s="108"/>
    </row>
    <row r="1320">
      <c r="E1320" s="108"/>
    </row>
    <row r="1321">
      <c r="E1321" s="108"/>
    </row>
    <row r="1322">
      <c r="E1322" s="108"/>
    </row>
    <row r="1323">
      <c r="E1323" s="108"/>
    </row>
    <row r="1324">
      <c r="E1324" s="108"/>
    </row>
    <row r="1325">
      <c r="E1325" s="108"/>
    </row>
    <row r="1326">
      <c r="E1326" s="108"/>
    </row>
    <row r="1327">
      <c r="E1327" s="108"/>
    </row>
    <row r="1328">
      <c r="E1328" s="108"/>
    </row>
    <row r="1329">
      <c r="E1329" s="108"/>
    </row>
    <row r="1330">
      <c r="E1330" s="108"/>
    </row>
    <row r="1331">
      <c r="E1331" s="108"/>
    </row>
    <row r="1332">
      <c r="E1332" s="108"/>
    </row>
    <row r="1333">
      <c r="E1333" s="108"/>
    </row>
    <row r="1334">
      <c r="E1334" s="108"/>
    </row>
    <row r="1335">
      <c r="E1335" s="108"/>
    </row>
    <row r="1336">
      <c r="E1336" s="108"/>
    </row>
    <row r="1337">
      <c r="E1337" s="108"/>
    </row>
    <row r="1338">
      <c r="E1338" s="108"/>
    </row>
    <row r="1339">
      <c r="E1339" s="108"/>
    </row>
    <row r="1340">
      <c r="E1340" s="108"/>
    </row>
    <row r="1341">
      <c r="E1341" s="108"/>
    </row>
    <row r="1342">
      <c r="E1342" s="108"/>
    </row>
    <row r="1343">
      <c r="E1343" s="108"/>
    </row>
    <row r="1344">
      <c r="E1344" s="108"/>
    </row>
    <row r="1345">
      <c r="E1345" s="108"/>
    </row>
    <row r="1346">
      <c r="E1346" s="108"/>
    </row>
    <row r="1347">
      <c r="E1347" s="108"/>
    </row>
    <row r="1348">
      <c r="E1348" s="108"/>
    </row>
    <row r="1349">
      <c r="E1349" s="108"/>
    </row>
    <row r="1350">
      <c r="E1350" s="108"/>
    </row>
    <row r="1351">
      <c r="E1351" s="108"/>
    </row>
    <row r="1352">
      <c r="E1352" s="108"/>
    </row>
    <row r="1353">
      <c r="E1353" s="108"/>
    </row>
    <row r="1354">
      <c r="E1354" s="108"/>
    </row>
    <row r="1355">
      <c r="E1355" s="108"/>
    </row>
    <row r="1356">
      <c r="E1356" s="108"/>
    </row>
    <row r="1357">
      <c r="E1357" s="108"/>
    </row>
    <row r="1358">
      <c r="E1358" s="108"/>
    </row>
    <row r="1359">
      <c r="E1359" s="108"/>
    </row>
    <row r="1360">
      <c r="E1360" s="108"/>
    </row>
    <row r="1361">
      <c r="E1361" s="108"/>
    </row>
    <row r="1362">
      <c r="E1362" s="108"/>
    </row>
    <row r="1363">
      <c r="E1363" s="108"/>
    </row>
    <row r="1364">
      <c r="E1364" s="108"/>
    </row>
    <row r="1365">
      <c r="E1365" s="108"/>
    </row>
    <row r="1366">
      <c r="E1366" s="108"/>
    </row>
    <row r="1367">
      <c r="E1367" s="108"/>
    </row>
    <row r="1368">
      <c r="E1368" s="108"/>
    </row>
    <row r="1369">
      <c r="E1369" s="108"/>
    </row>
    <row r="1370">
      <c r="E1370" s="108"/>
    </row>
    <row r="1371">
      <c r="E1371" s="108"/>
    </row>
    <row r="1372">
      <c r="E1372" s="108"/>
    </row>
    <row r="1373">
      <c r="E1373" s="108"/>
    </row>
    <row r="1374">
      <c r="E1374" s="108"/>
    </row>
    <row r="1375">
      <c r="E1375" s="108"/>
    </row>
    <row r="1376">
      <c r="E1376" s="108"/>
    </row>
    <row r="1377">
      <c r="E1377" s="108"/>
    </row>
    <row r="1378">
      <c r="E1378" s="108"/>
    </row>
    <row r="1379">
      <c r="E1379" s="108"/>
    </row>
    <row r="1380">
      <c r="E1380" s="108"/>
    </row>
    <row r="1381">
      <c r="E1381" s="108"/>
    </row>
    <row r="1382">
      <c r="E1382" s="108"/>
    </row>
    <row r="1383">
      <c r="E1383" s="108"/>
    </row>
    <row r="1384">
      <c r="E1384" s="108"/>
    </row>
    <row r="1385">
      <c r="E1385" s="108"/>
    </row>
    <row r="1386">
      <c r="E1386" s="108"/>
    </row>
    <row r="1387">
      <c r="E1387" s="108"/>
    </row>
    <row r="1388">
      <c r="E1388" s="108"/>
    </row>
    <row r="1389">
      <c r="E1389" s="108"/>
    </row>
    <row r="1390">
      <c r="E1390" s="108"/>
    </row>
    <row r="1391">
      <c r="E1391" s="108"/>
    </row>
    <row r="1392">
      <c r="E1392" s="108"/>
    </row>
    <row r="1393">
      <c r="E1393" s="108"/>
    </row>
    <row r="1394">
      <c r="E1394" s="108"/>
    </row>
    <row r="1395">
      <c r="E1395" s="108"/>
    </row>
    <row r="1396">
      <c r="E1396" s="108"/>
    </row>
    <row r="1397">
      <c r="E1397" s="108"/>
    </row>
    <row r="1398">
      <c r="E1398" s="108"/>
    </row>
    <row r="1399">
      <c r="E1399" s="108"/>
    </row>
    <row r="1400">
      <c r="E1400" s="108"/>
    </row>
    <row r="1401">
      <c r="E1401" s="108"/>
    </row>
    <row r="1402">
      <c r="E1402" s="108"/>
    </row>
    <row r="1403">
      <c r="E1403" s="108"/>
    </row>
    <row r="1404">
      <c r="E1404" s="108"/>
    </row>
    <row r="1405">
      <c r="E1405" s="108"/>
    </row>
    <row r="1406">
      <c r="E1406" s="108"/>
    </row>
    <row r="1407">
      <c r="E1407" s="108"/>
    </row>
    <row r="1408">
      <c r="E1408" s="108"/>
    </row>
    <row r="1409">
      <c r="E1409" s="108"/>
    </row>
    <row r="1410">
      <c r="E1410" s="108"/>
    </row>
    <row r="1411">
      <c r="E1411" s="108"/>
    </row>
    <row r="1412">
      <c r="E1412" s="108"/>
    </row>
    <row r="1413">
      <c r="E1413" s="108"/>
    </row>
    <row r="1414">
      <c r="E1414" s="108"/>
    </row>
    <row r="1415">
      <c r="E1415" s="108"/>
    </row>
    <row r="1416">
      <c r="E1416" s="108"/>
    </row>
    <row r="1417">
      <c r="E1417" s="108"/>
    </row>
    <row r="1418">
      <c r="E1418" s="108"/>
    </row>
    <row r="1419">
      <c r="E1419" s="108"/>
    </row>
    <row r="1420">
      <c r="E1420" s="108"/>
    </row>
    <row r="1421">
      <c r="E1421" s="108"/>
    </row>
    <row r="1422">
      <c r="E1422" s="108"/>
    </row>
    <row r="1423">
      <c r="E1423" s="108"/>
    </row>
    <row r="1424">
      <c r="E1424" s="108"/>
    </row>
    <row r="1425">
      <c r="E1425" s="108"/>
    </row>
    <row r="1426">
      <c r="E1426" s="108"/>
    </row>
    <row r="1427">
      <c r="E1427" s="108"/>
    </row>
    <row r="1428">
      <c r="E1428" s="108"/>
    </row>
    <row r="1429">
      <c r="E1429" s="108"/>
    </row>
    <row r="1430">
      <c r="E1430" s="108"/>
    </row>
    <row r="1431">
      <c r="E1431" s="108"/>
    </row>
    <row r="1432">
      <c r="E1432" s="108"/>
    </row>
    <row r="1433">
      <c r="E1433" s="108"/>
    </row>
    <row r="1434">
      <c r="E1434" s="108"/>
    </row>
    <row r="1435">
      <c r="E1435" s="108"/>
    </row>
    <row r="1436">
      <c r="E1436" s="108"/>
    </row>
    <row r="1437">
      <c r="E1437" s="108"/>
    </row>
    <row r="1438">
      <c r="E1438" s="108"/>
    </row>
    <row r="1439">
      <c r="E1439" s="108"/>
    </row>
    <row r="1440">
      <c r="E1440" s="108"/>
    </row>
    <row r="1441">
      <c r="E1441" s="108"/>
    </row>
    <row r="1442">
      <c r="E1442" s="108"/>
    </row>
    <row r="1443">
      <c r="E1443" s="108"/>
    </row>
    <row r="1444">
      <c r="E1444" s="108"/>
    </row>
    <row r="1445">
      <c r="E1445" s="108"/>
    </row>
    <row r="1446">
      <c r="E1446" s="108"/>
    </row>
    <row r="1447">
      <c r="E1447" s="108"/>
    </row>
    <row r="1448">
      <c r="E1448" s="108"/>
    </row>
    <row r="1449">
      <c r="E1449" s="108"/>
    </row>
    <row r="1450">
      <c r="E1450" s="108"/>
    </row>
    <row r="1451">
      <c r="E1451" s="108"/>
    </row>
    <row r="1452">
      <c r="E1452" s="108"/>
    </row>
    <row r="1453">
      <c r="E1453" s="108"/>
    </row>
    <row r="1454">
      <c r="E1454" s="108"/>
    </row>
    <row r="1455">
      <c r="E1455" s="108"/>
    </row>
    <row r="1456">
      <c r="E1456" s="108"/>
    </row>
    <row r="1457">
      <c r="E1457" s="108"/>
    </row>
    <row r="1458">
      <c r="E1458" s="108"/>
    </row>
    <row r="1459">
      <c r="E1459" s="108"/>
    </row>
    <row r="1460">
      <c r="E1460" s="108"/>
    </row>
    <row r="1461">
      <c r="E1461" s="108"/>
    </row>
    <row r="1462">
      <c r="E1462" s="108"/>
    </row>
    <row r="1463">
      <c r="E1463" s="108"/>
    </row>
    <row r="1464">
      <c r="E1464" s="108"/>
    </row>
    <row r="1465">
      <c r="E1465" s="108"/>
    </row>
    <row r="1466">
      <c r="E1466" s="108"/>
    </row>
    <row r="1467">
      <c r="E1467" s="108"/>
    </row>
    <row r="1468">
      <c r="E1468" s="108"/>
    </row>
    <row r="1469">
      <c r="E1469" s="108"/>
    </row>
    <row r="1470">
      <c r="E1470" s="108"/>
    </row>
    <row r="1471">
      <c r="E1471" s="108"/>
    </row>
    <row r="1472">
      <c r="E1472" s="108"/>
    </row>
    <row r="1473">
      <c r="E1473" s="108"/>
    </row>
    <row r="1474">
      <c r="E1474" s="108"/>
    </row>
    <row r="1475">
      <c r="E1475" s="108"/>
    </row>
    <row r="1476">
      <c r="E1476" s="108"/>
    </row>
    <row r="1477">
      <c r="E1477" s="108"/>
    </row>
    <row r="1478">
      <c r="E1478" s="108"/>
    </row>
    <row r="1479">
      <c r="E1479" s="108"/>
    </row>
    <row r="1480">
      <c r="E1480" s="108"/>
    </row>
    <row r="1481">
      <c r="E1481" s="108"/>
    </row>
    <row r="1482">
      <c r="E1482" s="108"/>
    </row>
    <row r="1483">
      <c r="E1483" s="108"/>
    </row>
    <row r="1484">
      <c r="E1484" s="108"/>
    </row>
    <row r="1485">
      <c r="E1485" s="108"/>
    </row>
    <row r="1486">
      <c r="E1486" s="108"/>
    </row>
    <row r="1487">
      <c r="E1487" s="108"/>
    </row>
    <row r="1488">
      <c r="E1488" s="108"/>
    </row>
    <row r="1489">
      <c r="E1489" s="108"/>
    </row>
    <row r="1490">
      <c r="E1490" s="108"/>
    </row>
    <row r="1491">
      <c r="E1491" s="108"/>
    </row>
    <row r="1492">
      <c r="E1492" s="108"/>
    </row>
    <row r="1493">
      <c r="E1493" s="108"/>
    </row>
    <row r="1494">
      <c r="E1494" s="108"/>
    </row>
    <row r="1495">
      <c r="E1495" s="108"/>
    </row>
    <row r="1496">
      <c r="E1496" s="108"/>
    </row>
    <row r="1497">
      <c r="E1497" s="108"/>
    </row>
    <row r="1498">
      <c r="E1498" s="108"/>
    </row>
    <row r="1499">
      <c r="E1499" s="108"/>
    </row>
    <row r="1500">
      <c r="E1500" s="108"/>
    </row>
    <row r="1501">
      <c r="E1501" s="10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13" width="8.38"/>
  </cols>
  <sheetData>
    <row r="1">
      <c r="A1" s="112" t="s">
        <v>65</v>
      </c>
      <c r="B1" s="112" t="s">
        <v>66</v>
      </c>
      <c r="C1" s="112" t="s">
        <v>67</v>
      </c>
      <c r="D1" s="112" t="s">
        <v>68</v>
      </c>
      <c r="E1" s="112" t="s">
        <v>69</v>
      </c>
      <c r="F1" s="112" t="s">
        <v>70</v>
      </c>
      <c r="G1" s="112" t="s">
        <v>71</v>
      </c>
      <c r="H1" s="112" t="s">
        <v>72</v>
      </c>
      <c r="I1" s="113" t="s">
        <v>73</v>
      </c>
      <c r="J1" s="113" t="s">
        <v>74</v>
      </c>
      <c r="K1" s="113" t="s">
        <v>75</v>
      </c>
      <c r="L1" s="113" t="s">
        <v>76</v>
      </c>
      <c r="M1" s="113" t="s">
        <v>77</v>
      </c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>
      <c r="A2" s="114" t="s">
        <v>14</v>
      </c>
      <c r="B2" s="114">
        <v>1946.0</v>
      </c>
      <c r="C2" s="114">
        <v>1797.0</v>
      </c>
      <c r="D2" s="114">
        <v>1950.0</v>
      </c>
      <c r="E2" s="114">
        <v>1800.0</v>
      </c>
      <c r="F2" s="114">
        <v>1800.0</v>
      </c>
      <c r="G2" s="114">
        <v>1950.0</v>
      </c>
      <c r="H2" s="114">
        <v>2250.0</v>
      </c>
      <c r="I2" s="115">
        <v>1950.0</v>
      </c>
      <c r="J2" s="115">
        <v>1500.0</v>
      </c>
      <c r="K2" s="115">
        <v>1800.0</v>
      </c>
      <c r="L2" s="115">
        <v>1650.0</v>
      </c>
      <c r="M2" s="115">
        <f>2100+1000</f>
        <v>3100</v>
      </c>
    </row>
    <row r="3">
      <c r="A3" s="114" t="s">
        <v>16</v>
      </c>
      <c r="B3" s="114">
        <v>600.0</v>
      </c>
      <c r="C3" s="114">
        <v>0.0</v>
      </c>
      <c r="D3" s="114">
        <v>300.0</v>
      </c>
      <c r="E3" s="114">
        <v>1200.0</v>
      </c>
      <c r="F3" s="114">
        <v>900.0</v>
      </c>
      <c r="G3" s="114">
        <v>1500.0</v>
      </c>
      <c r="H3" s="114">
        <v>300.0</v>
      </c>
      <c r="I3" s="116">
        <v>900.0</v>
      </c>
      <c r="J3" s="116">
        <v>1200.0</v>
      </c>
      <c r="K3" s="116">
        <v>300.0</v>
      </c>
      <c r="L3" s="116">
        <v>300.0</v>
      </c>
      <c r="M3" s="116">
        <v>0.0</v>
      </c>
    </row>
    <row r="4">
      <c r="A4" s="114" t="s">
        <v>18</v>
      </c>
      <c r="B4" s="114">
        <v>3000.0</v>
      </c>
      <c r="C4" s="82">
        <v>1081.0</v>
      </c>
      <c r="D4" s="82">
        <v>3125.0</v>
      </c>
      <c r="E4" s="82">
        <v>2667.0</v>
      </c>
      <c r="F4" s="82">
        <v>2881.0</v>
      </c>
      <c r="G4" s="117">
        <v>3213.0</v>
      </c>
      <c r="H4" s="117">
        <v>1603.0</v>
      </c>
      <c r="I4" s="118">
        <v>2287.0</v>
      </c>
      <c r="J4" s="118">
        <v>2727.0</v>
      </c>
      <c r="K4" s="118">
        <v>3085.0</v>
      </c>
      <c r="L4" s="118">
        <v>2282.0</v>
      </c>
      <c r="M4" s="118">
        <v>3354.0</v>
      </c>
    </row>
    <row r="5">
      <c r="A5" s="114" t="s">
        <v>20</v>
      </c>
      <c r="B5" s="119"/>
      <c r="C5" s="119"/>
      <c r="D5" s="119"/>
      <c r="E5" s="119"/>
      <c r="F5" s="119"/>
      <c r="G5" s="119"/>
      <c r="H5" s="119"/>
      <c r="I5" s="120"/>
      <c r="J5" s="120"/>
      <c r="K5" s="120"/>
      <c r="L5" s="120"/>
      <c r="M5" s="120"/>
    </row>
    <row r="6">
      <c r="A6" s="121" t="s">
        <v>59</v>
      </c>
      <c r="B6" s="122">
        <f t="shared" ref="B6:M6" si="1">SUM(B2:B5)</f>
        <v>5546</v>
      </c>
      <c r="C6" s="122">
        <f t="shared" si="1"/>
        <v>2878</v>
      </c>
      <c r="D6" s="122">
        <f t="shared" si="1"/>
        <v>5375</v>
      </c>
      <c r="E6" s="122">
        <f t="shared" si="1"/>
        <v>5667</v>
      </c>
      <c r="F6" s="122">
        <f t="shared" si="1"/>
        <v>5581</v>
      </c>
      <c r="G6" s="122">
        <f t="shared" si="1"/>
        <v>6663</v>
      </c>
      <c r="H6" s="122">
        <f t="shared" si="1"/>
        <v>4153</v>
      </c>
      <c r="I6" s="122">
        <f t="shared" si="1"/>
        <v>5137</v>
      </c>
      <c r="J6" s="122">
        <f t="shared" si="1"/>
        <v>5427</v>
      </c>
      <c r="K6" s="122">
        <f t="shared" si="1"/>
        <v>5185</v>
      </c>
      <c r="L6" s="122">
        <f t="shared" si="1"/>
        <v>4232</v>
      </c>
      <c r="M6" s="122">
        <f t="shared" si="1"/>
        <v>6454</v>
      </c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</row>
    <row r="7">
      <c r="A7" s="112" t="s">
        <v>78</v>
      </c>
      <c r="B7" s="124">
        <v>6510.619999999999</v>
      </c>
      <c r="C7" s="124">
        <v>5389.75</v>
      </c>
      <c r="D7" s="124">
        <v>6205.44</v>
      </c>
      <c r="E7" s="124">
        <v>7475.99</v>
      </c>
      <c r="F7" s="125">
        <v>6857.33</v>
      </c>
      <c r="G7" s="126">
        <v>7098.0</v>
      </c>
      <c r="H7" s="126">
        <v>4716.0</v>
      </c>
      <c r="I7" s="126">
        <v>4200.0</v>
      </c>
      <c r="J7" s="126">
        <v>8676.0</v>
      </c>
      <c r="K7" s="126">
        <v>7500.0</v>
      </c>
      <c r="L7" s="127"/>
      <c r="M7" s="127"/>
    </row>
    <row r="8">
      <c r="A8" s="128" t="s">
        <v>79</v>
      </c>
      <c r="B8" s="129">
        <f t="shared" ref="B8:G8" si="2">B6-4100</f>
        <v>1446</v>
      </c>
      <c r="C8" s="129">
        <f t="shared" si="2"/>
        <v>-1222</v>
      </c>
      <c r="D8" s="129">
        <f t="shared" si="2"/>
        <v>1275</v>
      </c>
      <c r="E8" s="129">
        <f t="shared" si="2"/>
        <v>1567</v>
      </c>
      <c r="F8" s="130">
        <f t="shared" si="2"/>
        <v>1481</v>
      </c>
      <c r="G8" s="131">
        <f t="shared" si="2"/>
        <v>2563</v>
      </c>
      <c r="H8" s="129">
        <f t="shared" ref="H8:M8" si="3">H6-3849</f>
        <v>304</v>
      </c>
      <c r="I8" s="129">
        <f t="shared" si="3"/>
        <v>1288</v>
      </c>
      <c r="J8" s="129">
        <f t="shared" si="3"/>
        <v>1578</v>
      </c>
      <c r="K8" s="129">
        <f t="shared" si="3"/>
        <v>1336</v>
      </c>
      <c r="L8" s="129">
        <f t="shared" si="3"/>
        <v>383</v>
      </c>
      <c r="M8" s="131">
        <f t="shared" si="3"/>
        <v>2605</v>
      </c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</row>
    <row r="9">
      <c r="A9" s="112" t="s">
        <v>9</v>
      </c>
      <c r="B9" s="114">
        <v>1932.0</v>
      </c>
      <c r="C9" s="114">
        <v>1069.0</v>
      </c>
      <c r="D9" s="114">
        <v>1414.0</v>
      </c>
      <c r="E9" s="114">
        <v>1980.0</v>
      </c>
      <c r="F9" s="114">
        <f>460+1959</f>
        <v>2419</v>
      </c>
      <c r="G9" s="114">
        <v>2014.0</v>
      </c>
      <c r="H9" s="114">
        <v>41.0</v>
      </c>
      <c r="I9" s="115">
        <v>-871.0</v>
      </c>
      <c r="J9" s="115">
        <v>3855.0</v>
      </c>
      <c r="K9" s="133"/>
      <c r="L9" s="133"/>
      <c r="M9" s="133"/>
    </row>
    <row r="10">
      <c r="A10" s="112" t="s">
        <v>80</v>
      </c>
      <c r="B10" s="119">
        <f t="shared" ref="B10:J10" si="4">B9-B8</f>
        <v>486</v>
      </c>
      <c r="C10" s="119">
        <f t="shared" si="4"/>
        <v>2291</v>
      </c>
      <c r="D10" s="119">
        <f t="shared" si="4"/>
        <v>139</v>
      </c>
      <c r="E10" s="119">
        <f t="shared" si="4"/>
        <v>413</v>
      </c>
      <c r="F10" s="119">
        <f t="shared" si="4"/>
        <v>938</v>
      </c>
      <c r="G10" s="119">
        <f t="shared" si="4"/>
        <v>-549</v>
      </c>
      <c r="H10" s="119">
        <f t="shared" si="4"/>
        <v>-263</v>
      </c>
      <c r="I10" s="119">
        <f t="shared" si="4"/>
        <v>-2159</v>
      </c>
      <c r="J10" s="119">
        <f t="shared" si="4"/>
        <v>2277</v>
      </c>
      <c r="K10" s="120"/>
      <c r="L10" s="120"/>
      <c r="M10" s="120"/>
    </row>
    <row r="11">
      <c r="A11" s="114" t="s">
        <v>6</v>
      </c>
      <c r="B11" s="134">
        <v>4431.200000000001</v>
      </c>
      <c r="C11" s="134">
        <v>4472.91</v>
      </c>
      <c r="D11" s="134">
        <v>4791.826309700001</v>
      </c>
      <c r="E11" s="134">
        <v>5580.735000000001</v>
      </c>
      <c r="F11" s="134">
        <v>4996.8</v>
      </c>
      <c r="G11" s="134">
        <v>5083.795</v>
      </c>
      <c r="H11" s="134">
        <v>4675.0</v>
      </c>
      <c r="I11" s="115">
        <v>5071.0</v>
      </c>
      <c r="J11" s="135">
        <v>4821.509999999999</v>
      </c>
      <c r="K11" s="133"/>
      <c r="L11" s="133"/>
      <c r="M11" s="133"/>
    </row>
    <row r="12">
      <c r="A12" s="112" t="s">
        <v>81</v>
      </c>
      <c r="B12" s="124">
        <f t="array" ref="B12">AVERAGE(B7:INDEX(B7:M7, MATCH(TEXT(TODAY(), "mmm"), B1:M1, 0)))</f>
        <v>6395.45</v>
      </c>
      <c r="C12" s="119"/>
      <c r="D12" s="119"/>
      <c r="E12" s="119"/>
      <c r="F12" s="119"/>
      <c r="G12" s="119"/>
      <c r="H12" s="119"/>
      <c r="I12" s="133"/>
      <c r="J12" s="133"/>
      <c r="K12" s="133"/>
      <c r="L12" s="133"/>
      <c r="M12" s="133"/>
    </row>
    <row r="13">
      <c r="A13" s="112" t="s">
        <v>82</v>
      </c>
      <c r="B13" s="124">
        <f t="array" ref="B13">AVERAGE(B11:INDEX(B11:M11, MATCH(TEXT(TODAY(), "mmm"), B1:M1, 0)))</f>
        <v>4819.167827</v>
      </c>
      <c r="C13" s="119"/>
      <c r="D13" s="119"/>
      <c r="E13" s="119"/>
      <c r="F13" s="119"/>
      <c r="G13" s="119"/>
      <c r="H13" s="119"/>
      <c r="I13" s="120"/>
      <c r="J13" s="120"/>
      <c r="K13" s="120"/>
      <c r="L13" s="120"/>
      <c r="M13" s="120"/>
    </row>
    <row r="14">
      <c r="A14" s="112" t="s">
        <v>83</v>
      </c>
      <c r="B14" s="124">
        <f t="array" ref="B14">AVERAGE(B9:INDEX(B9:M9, MATCH(TEXT(TODAY(), "mmm"), B1:M1, 0)))</f>
        <v>1598.75</v>
      </c>
      <c r="C14" s="119"/>
      <c r="D14" s="119"/>
      <c r="E14" s="119"/>
      <c r="F14" s="119"/>
      <c r="G14" s="119"/>
      <c r="H14" s="119"/>
      <c r="I14" s="133"/>
      <c r="J14" s="133"/>
      <c r="K14" s="133"/>
      <c r="L14" s="133"/>
      <c r="M14" s="133"/>
    </row>
    <row r="15">
      <c r="A15" s="112" t="s">
        <v>84</v>
      </c>
      <c r="B15" s="124">
        <f t="array" ref="B15">AVERAGE(B8:INDEX(B8:M8, MATCH(TEXT(TODAY(), "mmm"), B1:M1, 0)))</f>
        <v>766.5</v>
      </c>
      <c r="C15" s="119"/>
      <c r="D15" s="119"/>
      <c r="E15" s="119"/>
      <c r="F15" s="119"/>
      <c r="G15" s="119"/>
      <c r="H15" s="119"/>
      <c r="I15" s="120"/>
      <c r="J15" s="120"/>
      <c r="K15" s="120"/>
      <c r="L15" s="120"/>
      <c r="M15" s="120"/>
    </row>
    <row r="16">
      <c r="A16" s="119"/>
      <c r="B16" s="119"/>
      <c r="C16" s="119"/>
      <c r="D16" s="119"/>
      <c r="E16" s="119"/>
      <c r="F16" s="119"/>
      <c r="G16" s="119"/>
      <c r="H16" s="119"/>
      <c r="I16" s="120"/>
      <c r="J16" s="120"/>
      <c r="K16" s="120"/>
      <c r="L16" s="120"/>
      <c r="M16" s="120"/>
    </row>
    <row r="17">
      <c r="A17" s="119"/>
      <c r="B17" s="119"/>
      <c r="C17" s="119"/>
      <c r="D17" s="119"/>
      <c r="E17" s="119"/>
      <c r="F17" s="119"/>
      <c r="G17" s="119"/>
      <c r="H17" s="119"/>
      <c r="I17" s="133"/>
      <c r="J17" s="133"/>
      <c r="K17" s="133"/>
      <c r="L17" s="133"/>
      <c r="M17" s="133"/>
    </row>
    <row r="18">
      <c r="A18" s="119"/>
      <c r="B18" s="119"/>
      <c r="C18" s="119"/>
      <c r="D18" s="119"/>
      <c r="E18" s="119"/>
      <c r="F18" s="119"/>
      <c r="G18" s="119"/>
      <c r="H18" s="119"/>
      <c r="I18" s="120"/>
      <c r="J18" s="120"/>
      <c r="K18" s="120"/>
      <c r="L18" s="120"/>
      <c r="M18" s="120"/>
    </row>
    <row r="19">
      <c r="A19" s="119"/>
      <c r="B19" s="119"/>
      <c r="C19" s="119"/>
      <c r="D19" s="119"/>
      <c r="E19" s="119"/>
      <c r="F19" s="119"/>
      <c r="G19" s="119"/>
      <c r="H19" s="119"/>
      <c r="I19" s="133"/>
      <c r="J19" s="133"/>
      <c r="K19" s="133"/>
      <c r="L19" s="133"/>
      <c r="M19" s="133"/>
    </row>
    <row r="20">
      <c r="A20" s="119"/>
      <c r="B20" s="119"/>
      <c r="C20" s="119"/>
      <c r="D20" s="119"/>
      <c r="E20" s="119"/>
      <c r="F20" s="119"/>
      <c r="G20" s="119"/>
      <c r="H20" s="119"/>
      <c r="I20" s="120"/>
      <c r="J20" s="120"/>
      <c r="K20" s="120"/>
      <c r="L20" s="120"/>
      <c r="M20" s="120"/>
    </row>
    <row r="21">
      <c r="A21" s="119"/>
      <c r="B21" s="119"/>
      <c r="C21" s="119"/>
      <c r="D21" s="119"/>
      <c r="E21" s="119"/>
      <c r="F21" s="119"/>
      <c r="G21" s="119"/>
      <c r="H21" s="119"/>
      <c r="I21" s="133"/>
      <c r="J21" s="133"/>
      <c r="K21" s="133"/>
      <c r="L21" s="133"/>
      <c r="M21" s="133"/>
    </row>
    <row r="22">
      <c r="A22" s="119"/>
      <c r="B22" s="119"/>
      <c r="C22" s="119"/>
      <c r="D22" s="119"/>
      <c r="E22" s="119"/>
      <c r="F22" s="119"/>
      <c r="G22" s="119"/>
      <c r="H22" s="119"/>
      <c r="I22" s="120"/>
      <c r="J22" s="120"/>
      <c r="K22" s="120"/>
      <c r="L22" s="120"/>
      <c r="M22" s="120"/>
    </row>
    <row r="23">
      <c r="A23" s="119"/>
      <c r="B23" s="119"/>
      <c r="C23" s="119"/>
      <c r="D23" s="119"/>
      <c r="E23" s="119"/>
      <c r="F23" s="119"/>
      <c r="G23" s="119"/>
      <c r="H23" s="119"/>
      <c r="I23" s="133"/>
      <c r="J23" s="133"/>
      <c r="K23" s="133"/>
      <c r="L23" s="133"/>
      <c r="M23" s="133"/>
    </row>
    <row r="24">
      <c r="A24" s="119"/>
      <c r="B24" s="119"/>
      <c r="C24" s="119"/>
      <c r="D24" s="119"/>
      <c r="E24" s="119"/>
      <c r="F24" s="119"/>
      <c r="G24" s="119"/>
      <c r="H24" s="119"/>
      <c r="I24" s="120"/>
      <c r="J24" s="120"/>
      <c r="K24" s="120"/>
      <c r="L24" s="120"/>
      <c r="M24" s="120"/>
    </row>
    <row r="25">
      <c r="A25" s="119"/>
      <c r="B25" s="119"/>
      <c r="C25" s="119"/>
      <c r="D25" s="119"/>
      <c r="E25" s="119"/>
      <c r="F25" s="119"/>
      <c r="G25" s="119"/>
      <c r="H25" s="119"/>
      <c r="I25" s="133"/>
      <c r="J25" s="133"/>
      <c r="K25" s="133"/>
      <c r="L25" s="133"/>
      <c r="M25" s="133"/>
    </row>
    <row r="26">
      <c r="A26" s="119"/>
      <c r="B26" s="119"/>
      <c r="C26" s="119"/>
      <c r="D26" s="119"/>
      <c r="E26" s="119"/>
      <c r="F26" s="119"/>
      <c r="G26" s="119"/>
      <c r="H26" s="119"/>
      <c r="I26" s="120"/>
      <c r="J26" s="120"/>
      <c r="K26" s="120"/>
      <c r="L26" s="120"/>
      <c r="M26" s="120"/>
    </row>
    <row r="27">
      <c r="A27" s="119"/>
      <c r="B27" s="119"/>
      <c r="C27" s="119"/>
      <c r="D27" s="119"/>
      <c r="E27" s="119"/>
      <c r="F27" s="119"/>
      <c r="G27" s="119"/>
      <c r="H27" s="119"/>
      <c r="I27" s="133"/>
      <c r="J27" s="133"/>
      <c r="K27" s="133"/>
      <c r="L27" s="133"/>
      <c r="M27" s="133"/>
    </row>
    <row r="28">
      <c r="A28" s="119"/>
      <c r="B28" s="119"/>
      <c r="C28" s="119"/>
      <c r="D28" s="119"/>
      <c r="E28" s="119"/>
      <c r="F28" s="119"/>
      <c r="G28" s="119"/>
      <c r="H28" s="119"/>
      <c r="I28" s="120"/>
      <c r="J28" s="120"/>
      <c r="K28" s="120"/>
      <c r="L28" s="120"/>
      <c r="M28" s="120"/>
    </row>
    <row r="29">
      <c r="A29" s="119"/>
      <c r="B29" s="119"/>
      <c r="C29" s="119"/>
      <c r="D29" s="119"/>
      <c r="E29" s="119"/>
      <c r="F29" s="119"/>
      <c r="G29" s="119"/>
      <c r="H29" s="119"/>
      <c r="I29" s="133"/>
      <c r="J29" s="133"/>
      <c r="K29" s="133"/>
      <c r="L29" s="133"/>
      <c r="M29" s="133"/>
    </row>
    <row r="30">
      <c r="A30" s="119"/>
      <c r="B30" s="119"/>
      <c r="C30" s="119"/>
      <c r="D30" s="119"/>
      <c r="E30" s="119"/>
      <c r="F30" s="119"/>
      <c r="G30" s="119"/>
      <c r="H30" s="119"/>
      <c r="I30" s="120"/>
      <c r="J30" s="120"/>
      <c r="K30" s="120"/>
      <c r="L30" s="120"/>
      <c r="M30" s="120"/>
    </row>
    <row r="31">
      <c r="A31" s="119"/>
      <c r="B31" s="119"/>
      <c r="C31" s="119"/>
      <c r="D31" s="119"/>
      <c r="E31" s="119"/>
      <c r="F31" s="119"/>
      <c r="G31" s="119"/>
      <c r="H31" s="119"/>
      <c r="I31" s="133"/>
      <c r="J31" s="133"/>
      <c r="K31" s="133"/>
      <c r="L31" s="133"/>
      <c r="M31" s="133"/>
    </row>
    <row r="32">
      <c r="A32" s="119"/>
      <c r="B32" s="119"/>
      <c r="C32" s="119"/>
      <c r="D32" s="119"/>
      <c r="E32" s="119"/>
      <c r="F32" s="119"/>
      <c r="G32" s="119"/>
      <c r="H32" s="119"/>
      <c r="I32" s="120"/>
      <c r="J32" s="120"/>
      <c r="K32" s="120"/>
      <c r="L32" s="120"/>
      <c r="M32" s="120"/>
    </row>
    <row r="33">
      <c r="A33" s="119"/>
      <c r="B33" s="119"/>
      <c r="C33" s="119"/>
      <c r="D33" s="119"/>
      <c r="E33" s="119"/>
      <c r="F33" s="119"/>
      <c r="G33" s="119"/>
      <c r="H33" s="119"/>
      <c r="I33" s="133"/>
      <c r="J33" s="133"/>
      <c r="K33" s="133"/>
      <c r="L33" s="133"/>
      <c r="M33" s="133"/>
    </row>
    <row r="34">
      <c r="A34" s="119"/>
      <c r="B34" s="119"/>
      <c r="C34" s="119"/>
      <c r="D34" s="119"/>
      <c r="E34" s="119"/>
      <c r="F34" s="119"/>
      <c r="G34" s="119"/>
      <c r="H34" s="119"/>
      <c r="I34" s="120"/>
      <c r="J34" s="120"/>
      <c r="K34" s="120"/>
      <c r="L34" s="120"/>
      <c r="M34" s="120"/>
    </row>
    <row r="35">
      <c r="A35" s="119"/>
      <c r="B35" s="119"/>
      <c r="C35" s="119"/>
      <c r="D35" s="119"/>
      <c r="E35" s="119"/>
      <c r="F35" s="119"/>
      <c r="G35" s="119"/>
      <c r="H35" s="119"/>
      <c r="I35" s="133"/>
      <c r="J35" s="133"/>
      <c r="K35" s="133"/>
      <c r="L35" s="133"/>
      <c r="M35" s="133"/>
    </row>
    <row r="36">
      <c r="A36" s="119"/>
      <c r="B36" s="119"/>
      <c r="C36" s="119"/>
      <c r="D36" s="119"/>
      <c r="E36" s="119"/>
      <c r="F36" s="119"/>
      <c r="G36" s="119"/>
      <c r="H36" s="119"/>
      <c r="I36" s="120"/>
      <c r="J36" s="120"/>
      <c r="K36" s="120"/>
      <c r="L36" s="120"/>
      <c r="M36" s="120"/>
    </row>
    <row r="37">
      <c r="A37" s="119"/>
      <c r="B37" s="119"/>
      <c r="C37" s="119"/>
      <c r="D37" s="119"/>
      <c r="E37" s="119"/>
      <c r="F37" s="119"/>
      <c r="G37" s="119"/>
      <c r="H37" s="119"/>
      <c r="I37" s="133"/>
      <c r="J37" s="133"/>
      <c r="K37" s="133"/>
      <c r="L37" s="133"/>
      <c r="M37" s="133"/>
    </row>
    <row r="38">
      <c r="A38" s="119"/>
      <c r="B38" s="119"/>
      <c r="C38" s="119"/>
      <c r="D38" s="119"/>
      <c r="E38" s="119"/>
      <c r="F38" s="119"/>
      <c r="G38" s="119"/>
      <c r="H38" s="119"/>
      <c r="I38" s="120"/>
      <c r="J38" s="120"/>
      <c r="K38" s="120"/>
      <c r="L38" s="120"/>
      <c r="M38" s="120"/>
    </row>
    <row r="39">
      <c r="A39" s="119"/>
      <c r="B39" s="119"/>
      <c r="C39" s="119"/>
      <c r="D39" s="119"/>
      <c r="E39" s="119"/>
      <c r="F39" s="119"/>
      <c r="G39" s="119"/>
      <c r="H39" s="119"/>
      <c r="I39" s="133"/>
      <c r="J39" s="133"/>
      <c r="K39" s="133"/>
      <c r="L39" s="133"/>
      <c r="M39" s="133"/>
    </row>
    <row r="40">
      <c r="A40" s="119"/>
      <c r="B40" s="119"/>
      <c r="C40" s="119"/>
      <c r="D40" s="119"/>
      <c r="E40" s="119"/>
      <c r="F40" s="119"/>
      <c r="G40" s="119"/>
      <c r="H40" s="119"/>
      <c r="I40" s="120"/>
      <c r="J40" s="120"/>
      <c r="K40" s="120"/>
      <c r="L40" s="120"/>
      <c r="M40" s="120"/>
    </row>
    <row r="41">
      <c r="A41" s="119"/>
      <c r="B41" s="119"/>
      <c r="C41" s="119"/>
      <c r="D41" s="119"/>
      <c r="E41" s="119"/>
      <c r="F41" s="119"/>
      <c r="G41" s="119"/>
      <c r="H41" s="119"/>
      <c r="I41" s="133"/>
      <c r="J41" s="133"/>
      <c r="K41" s="133"/>
      <c r="L41" s="133"/>
      <c r="M41" s="133"/>
    </row>
    <row r="42">
      <c r="A42" s="119"/>
      <c r="B42" s="119"/>
      <c r="C42" s="119"/>
      <c r="D42" s="119"/>
      <c r="E42" s="119"/>
      <c r="F42" s="119"/>
      <c r="G42" s="119"/>
      <c r="H42" s="119"/>
      <c r="I42" s="120"/>
      <c r="J42" s="120"/>
      <c r="K42" s="120"/>
      <c r="L42" s="120"/>
      <c r="M42" s="120"/>
    </row>
    <row r="43">
      <c r="A43" s="119"/>
      <c r="B43" s="119"/>
      <c r="C43" s="119"/>
      <c r="D43" s="119"/>
      <c r="E43" s="119"/>
      <c r="F43" s="119"/>
      <c r="G43" s="119"/>
      <c r="H43" s="119"/>
      <c r="I43" s="133"/>
      <c r="J43" s="133"/>
      <c r="K43" s="133"/>
      <c r="L43" s="133"/>
      <c r="M43" s="133"/>
    </row>
    <row r="44">
      <c r="A44" s="119"/>
      <c r="B44" s="119"/>
      <c r="C44" s="119"/>
      <c r="D44" s="119"/>
      <c r="E44" s="119"/>
      <c r="F44" s="119"/>
      <c r="G44" s="119"/>
      <c r="H44" s="119"/>
      <c r="I44" s="120"/>
      <c r="J44" s="120"/>
      <c r="K44" s="120"/>
      <c r="L44" s="120"/>
      <c r="M44" s="120"/>
    </row>
    <row r="45">
      <c r="A45" s="119"/>
      <c r="B45" s="119"/>
      <c r="C45" s="119"/>
      <c r="D45" s="119"/>
      <c r="E45" s="119"/>
      <c r="F45" s="119"/>
      <c r="G45" s="119"/>
      <c r="H45" s="119"/>
      <c r="I45" s="133"/>
      <c r="J45" s="133"/>
      <c r="K45" s="133"/>
      <c r="L45" s="133"/>
      <c r="M45" s="133"/>
    </row>
    <row r="46">
      <c r="A46" s="119"/>
      <c r="B46" s="119"/>
      <c r="C46" s="119"/>
      <c r="D46" s="119"/>
      <c r="E46" s="119"/>
      <c r="F46" s="119"/>
      <c r="G46" s="119"/>
      <c r="H46" s="119"/>
      <c r="I46" s="120"/>
      <c r="J46" s="120"/>
      <c r="K46" s="120"/>
      <c r="L46" s="120"/>
      <c r="M46" s="120"/>
    </row>
    <row r="47">
      <c r="A47" s="119"/>
      <c r="B47" s="119"/>
      <c r="C47" s="119"/>
      <c r="D47" s="119"/>
      <c r="E47" s="119"/>
      <c r="F47" s="119"/>
      <c r="G47" s="119"/>
      <c r="H47" s="119"/>
      <c r="I47" s="133"/>
      <c r="J47" s="133"/>
      <c r="K47" s="133"/>
      <c r="L47" s="133"/>
      <c r="M47" s="133"/>
    </row>
    <row r="48">
      <c r="A48" s="119"/>
      <c r="B48" s="119"/>
      <c r="C48" s="119"/>
      <c r="D48" s="119"/>
      <c r="E48" s="119"/>
      <c r="F48" s="119"/>
      <c r="G48" s="119"/>
      <c r="H48" s="119"/>
      <c r="I48" s="120"/>
      <c r="J48" s="120"/>
      <c r="K48" s="120"/>
      <c r="L48" s="120"/>
      <c r="M48" s="120"/>
    </row>
    <row r="49">
      <c r="A49" s="119"/>
      <c r="B49" s="119"/>
      <c r="C49" s="119"/>
      <c r="D49" s="119"/>
      <c r="E49" s="119"/>
      <c r="F49" s="119"/>
      <c r="G49" s="119"/>
      <c r="H49" s="119"/>
      <c r="I49" s="133"/>
      <c r="J49" s="133"/>
      <c r="K49" s="133"/>
      <c r="L49" s="133"/>
      <c r="M49" s="133"/>
    </row>
    <row r="50">
      <c r="A50" s="119"/>
      <c r="B50" s="119"/>
      <c r="C50" s="119"/>
      <c r="D50" s="119"/>
      <c r="E50" s="119"/>
      <c r="F50" s="119"/>
      <c r="G50" s="119"/>
      <c r="H50" s="119"/>
      <c r="I50" s="120"/>
      <c r="J50" s="120"/>
      <c r="K50" s="120"/>
      <c r="L50" s="120"/>
      <c r="M50" s="120"/>
    </row>
    <row r="51">
      <c r="A51" s="119"/>
      <c r="B51" s="119"/>
      <c r="C51" s="119"/>
      <c r="D51" s="119"/>
      <c r="E51" s="119"/>
      <c r="F51" s="119"/>
      <c r="G51" s="119"/>
      <c r="H51" s="119"/>
      <c r="I51" s="133"/>
      <c r="J51" s="133"/>
      <c r="K51" s="133"/>
      <c r="L51" s="133"/>
      <c r="M51" s="133"/>
    </row>
    <row r="52">
      <c r="A52" s="119"/>
      <c r="B52" s="119"/>
      <c r="C52" s="119"/>
      <c r="D52" s="119"/>
      <c r="E52" s="119"/>
      <c r="F52" s="119"/>
      <c r="G52" s="119"/>
      <c r="H52" s="119"/>
      <c r="I52" s="120"/>
      <c r="J52" s="120"/>
      <c r="K52" s="120"/>
      <c r="L52" s="120"/>
      <c r="M52" s="120"/>
    </row>
    <row r="53">
      <c r="A53" s="119"/>
      <c r="B53" s="119"/>
      <c r="C53" s="119"/>
      <c r="D53" s="119"/>
      <c r="E53" s="119"/>
      <c r="F53" s="119"/>
      <c r="G53" s="119"/>
      <c r="H53" s="119"/>
      <c r="I53" s="133"/>
      <c r="J53" s="133"/>
      <c r="K53" s="133"/>
      <c r="L53" s="133"/>
      <c r="M53" s="133"/>
    </row>
    <row r="54">
      <c r="A54" s="119"/>
      <c r="B54" s="119"/>
      <c r="C54" s="119"/>
      <c r="D54" s="119"/>
      <c r="E54" s="119"/>
      <c r="F54" s="119"/>
      <c r="G54" s="119"/>
      <c r="H54" s="119"/>
      <c r="I54" s="120"/>
      <c r="J54" s="120"/>
      <c r="K54" s="120"/>
      <c r="L54" s="120"/>
      <c r="M54" s="120"/>
    </row>
    <row r="55">
      <c r="A55" s="119"/>
      <c r="B55" s="119"/>
      <c r="C55" s="119"/>
      <c r="D55" s="119"/>
      <c r="E55" s="119"/>
      <c r="F55" s="119"/>
      <c r="G55" s="119"/>
      <c r="H55" s="119"/>
      <c r="I55" s="133"/>
      <c r="J55" s="133"/>
      <c r="K55" s="133"/>
      <c r="L55" s="133"/>
      <c r="M55" s="133"/>
    </row>
    <row r="56">
      <c r="A56" s="119"/>
      <c r="B56" s="119"/>
      <c r="C56" s="119"/>
      <c r="D56" s="119"/>
      <c r="E56" s="119"/>
      <c r="F56" s="119"/>
      <c r="G56" s="119"/>
      <c r="H56" s="119"/>
      <c r="I56" s="120"/>
      <c r="J56" s="120"/>
      <c r="K56" s="120"/>
      <c r="L56" s="120"/>
      <c r="M56" s="120"/>
    </row>
    <row r="57">
      <c r="A57" s="119"/>
      <c r="B57" s="119"/>
      <c r="C57" s="119"/>
      <c r="D57" s="119"/>
      <c r="E57" s="119"/>
      <c r="F57" s="119"/>
      <c r="G57" s="119"/>
      <c r="H57" s="119"/>
      <c r="I57" s="133"/>
      <c r="J57" s="133"/>
      <c r="K57" s="133"/>
      <c r="L57" s="133"/>
      <c r="M57" s="133"/>
    </row>
    <row r="58">
      <c r="A58" s="119"/>
      <c r="B58" s="119"/>
      <c r="C58" s="119"/>
      <c r="D58" s="119"/>
      <c r="E58" s="119"/>
      <c r="F58" s="119"/>
      <c r="G58" s="119"/>
      <c r="H58" s="119"/>
      <c r="I58" s="120"/>
      <c r="J58" s="120"/>
      <c r="K58" s="120"/>
      <c r="L58" s="120"/>
      <c r="M58" s="120"/>
    </row>
    <row r="59">
      <c r="A59" s="119"/>
      <c r="B59" s="119"/>
      <c r="C59" s="119"/>
      <c r="D59" s="119"/>
      <c r="E59" s="119"/>
      <c r="F59" s="119"/>
      <c r="G59" s="119"/>
      <c r="H59" s="119"/>
      <c r="I59" s="133"/>
      <c r="J59" s="133"/>
      <c r="K59" s="133"/>
      <c r="L59" s="133"/>
      <c r="M59" s="133"/>
    </row>
    <row r="60">
      <c r="A60" s="119"/>
      <c r="B60" s="119"/>
      <c r="C60" s="119"/>
      <c r="D60" s="119"/>
      <c r="E60" s="119"/>
      <c r="F60" s="119"/>
      <c r="G60" s="119"/>
      <c r="H60" s="119"/>
      <c r="I60" s="120"/>
      <c r="J60" s="120"/>
      <c r="K60" s="120"/>
      <c r="L60" s="120"/>
      <c r="M60" s="120"/>
    </row>
    <row r="61">
      <c r="A61" s="119"/>
      <c r="B61" s="119"/>
      <c r="C61" s="119"/>
      <c r="D61" s="119"/>
      <c r="E61" s="119"/>
      <c r="F61" s="119"/>
      <c r="G61" s="119"/>
      <c r="H61" s="119"/>
      <c r="I61" s="133"/>
      <c r="J61" s="133"/>
      <c r="K61" s="133"/>
      <c r="L61" s="133"/>
      <c r="M61" s="133"/>
    </row>
    <row r="62">
      <c r="A62" s="119"/>
      <c r="B62" s="119"/>
      <c r="C62" s="119"/>
      <c r="D62" s="119"/>
      <c r="E62" s="119"/>
      <c r="F62" s="119"/>
      <c r="G62" s="119"/>
      <c r="H62" s="119"/>
      <c r="I62" s="120"/>
      <c r="J62" s="120"/>
      <c r="K62" s="120"/>
      <c r="L62" s="120"/>
      <c r="M62" s="120"/>
    </row>
    <row r="63">
      <c r="A63" s="119"/>
      <c r="B63" s="119"/>
      <c r="C63" s="119"/>
      <c r="D63" s="119"/>
      <c r="E63" s="119"/>
      <c r="F63" s="119"/>
      <c r="G63" s="119"/>
      <c r="H63" s="119"/>
      <c r="I63" s="133"/>
      <c r="J63" s="133"/>
      <c r="K63" s="133"/>
      <c r="L63" s="133"/>
      <c r="M63" s="133"/>
    </row>
    <row r="64">
      <c r="A64" s="119"/>
      <c r="B64" s="119"/>
      <c r="C64" s="119"/>
      <c r="D64" s="119"/>
      <c r="E64" s="119"/>
      <c r="F64" s="119"/>
      <c r="G64" s="119"/>
      <c r="H64" s="119"/>
      <c r="I64" s="120"/>
      <c r="J64" s="120"/>
      <c r="K64" s="120"/>
      <c r="L64" s="120"/>
      <c r="M64" s="120"/>
    </row>
    <row r="65">
      <c r="A65" s="119"/>
      <c r="B65" s="119"/>
      <c r="C65" s="119"/>
      <c r="D65" s="119"/>
      <c r="E65" s="119"/>
      <c r="F65" s="119"/>
      <c r="G65" s="119"/>
      <c r="H65" s="119"/>
      <c r="I65" s="133"/>
      <c r="J65" s="133"/>
      <c r="K65" s="133"/>
      <c r="L65" s="133"/>
      <c r="M65" s="133"/>
    </row>
    <row r="66">
      <c r="A66" s="119"/>
      <c r="B66" s="119"/>
      <c r="C66" s="119"/>
      <c r="D66" s="119"/>
      <c r="E66" s="119"/>
      <c r="F66" s="119"/>
      <c r="G66" s="119"/>
      <c r="H66" s="119"/>
      <c r="I66" s="120"/>
      <c r="J66" s="120"/>
      <c r="K66" s="120"/>
      <c r="L66" s="120"/>
      <c r="M66" s="120"/>
    </row>
    <row r="67">
      <c r="A67" s="119"/>
      <c r="B67" s="119"/>
      <c r="C67" s="119"/>
      <c r="D67" s="119"/>
      <c r="E67" s="119"/>
      <c r="F67" s="119"/>
      <c r="G67" s="119"/>
      <c r="H67" s="119"/>
      <c r="I67" s="133"/>
      <c r="J67" s="133"/>
      <c r="K67" s="133"/>
      <c r="L67" s="133"/>
      <c r="M67" s="133"/>
    </row>
    <row r="68">
      <c r="A68" s="119"/>
      <c r="B68" s="119"/>
      <c r="C68" s="119"/>
      <c r="D68" s="119"/>
      <c r="E68" s="119"/>
      <c r="F68" s="119"/>
      <c r="G68" s="119"/>
      <c r="H68" s="119"/>
      <c r="I68" s="120"/>
      <c r="J68" s="120"/>
      <c r="K68" s="120"/>
      <c r="L68" s="120"/>
      <c r="M68" s="120"/>
    </row>
    <row r="69">
      <c r="A69" s="119"/>
      <c r="B69" s="119"/>
      <c r="C69" s="119"/>
      <c r="D69" s="119"/>
      <c r="E69" s="119"/>
      <c r="F69" s="119"/>
      <c r="G69" s="119"/>
      <c r="H69" s="119"/>
      <c r="I69" s="133"/>
      <c r="J69" s="133"/>
      <c r="K69" s="133"/>
      <c r="L69" s="133"/>
      <c r="M69" s="133"/>
    </row>
    <row r="70">
      <c r="A70" s="119"/>
      <c r="B70" s="119"/>
      <c r="C70" s="119"/>
      <c r="D70" s="119"/>
      <c r="E70" s="119"/>
      <c r="F70" s="119"/>
      <c r="G70" s="119"/>
      <c r="H70" s="119"/>
      <c r="I70" s="120"/>
      <c r="J70" s="120"/>
      <c r="K70" s="120"/>
      <c r="L70" s="120"/>
      <c r="M70" s="120"/>
    </row>
    <row r="71">
      <c r="A71" s="119"/>
      <c r="B71" s="119"/>
      <c r="C71" s="119"/>
      <c r="D71" s="119"/>
      <c r="E71" s="119"/>
      <c r="F71" s="119"/>
      <c r="G71" s="119"/>
      <c r="H71" s="119"/>
      <c r="I71" s="133"/>
      <c r="J71" s="133"/>
      <c r="K71" s="133"/>
      <c r="L71" s="133"/>
      <c r="M71" s="133"/>
    </row>
    <row r="72">
      <c r="A72" s="119"/>
      <c r="B72" s="119"/>
      <c r="C72" s="119"/>
      <c r="D72" s="119"/>
      <c r="E72" s="119"/>
      <c r="F72" s="119"/>
      <c r="G72" s="119"/>
      <c r="H72" s="119"/>
      <c r="I72" s="120"/>
      <c r="J72" s="120"/>
      <c r="K72" s="120"/>
      <c r="L72" s="120"/>
      <c r="M72" s="120"/>
    </row>
    <row r="73">
      <c r="A73" s="119"/>
      <c r="B73" s="119"/>
      <c r="C73" s="119"/>
      <c r="D73" s="119"/>
      <c r="E73" s="119"/>
      <c r="F73" s="119"/>
      <c r="G73" s="119"/>
      <c r="H73" s="119"/>
      <c r="I73" s="133"/>
      <c r="J73" s="133"/>
      <c r="K73" s="133"/>
      <c r="L73" s="133"/>
      <c r="M73" s="133"/>
    </row>
    <row r="74">
      <c r="A74" s="119"/>
      <c r="B74" s="119"/>
      <c r="C74" s="119"/>
      <c r="D74" s="119"/>
      <c r="E74" s="119"/>
      <c r="F74" s="119"/>
      <c r="G74" s="119"/>
      <c r="H74" s="119"/>
      <c r="I74" s="120"/>
      <c r="J74" s="120"/>
      <c r="K74" s="120"/>
      <c r="L74" s="120"/>
      <c r="M74" s="120"/>
    </row>
    <row r="75">
      <c r="A75" s="119"/>
      <c r="B75" s="119"/>
      <c r="C75" s="119"/>
      <c r="D75" s="119"/>
      <c r="E75" s="119"/>
      <c r="F75" s="119"/>
      <c r="G75" s="119"/>
      <c r="H75" s="119"/>
      <c r="I75" s="133"/>
      <c r="J75" s="133"/>
      <c r="K75" s="133"/>
      <c r="L75" s="133"/>
      <c r="M75" s="133"/>
    </row>
    <row r="76">
      <c r="A76" s="119"/>
      <c r="B76" s="119"/>
      <c r="C76" s="119"/>
      <c r="D76" s="119"/>
      <c r="E76" s="119"/>
      <c r="F76" s="119"/>
      <c r="G76" s="119"/>
      <c r="H76" s="119"/>
      <c r="I76" s="120"/>
      <c r="J76" s="120"/>
      <c r="K76" s="120"/>
      <c r="L76" s="120"/>
      <c r="M76" s="120"/>
    </row>
    <row r="77">
      <c r="A77" s="119"/>
      <c r="B77" s="119"/>
      <c r="C77" s="119"/>
      <c r="D77" s="119"/>
      <c r="E77" s="119"/>
      <c r="F77" s="119"/>
      <c r="G77" s="119"/>
      <c r="H77" s="119"/>
      <c r="I77" s="133"/>
      <c r="J77" s="133"/>
      <c r="K77" s="133"/>
      <c r="L77" s="133"/>
      <c r="M77" s="133"/>
    </row>
    <row r="78">
      <c r="A78" s="119"/>
      <c r="B78" s="119"/>
      <c r="C78" s="119"/>
      <c r="D78" s="119"/>
      <c r="E78" s="119"/>
      <c r="F78" s="119"/>
      <c r="G78" s="119"/>
      <c r="H78" s="119"/>
      <c r="I78" s="120"/>
      <c r="J78" s="120"/>
      <c r="K78" s="120"/>
      <c r="L78" s="120"/>
      <c r="M78" s="120"/>
    </row>
    <row r="79">
      <c r="A79" s="119"/>
      <c r="B79" s="119"/>
      <c r="C79" s="119"/>
      <c r="D79" s="119"/>
      <c r="E79" s="119"/>
      <c r="F79" s="119"/>
      <c r="G79" s="119"/>
      <c r="H79" s="119"/>
      <c r="I79" s="133"/>
      <c r="J79" s="133"/>
      <c r="K79" s="133"/>
      <c r="L79" s="133"/>
      <c r="M79" s="133"/>
    </row>
    <row r="80">
      <c r="A80" s="119"/>
      <c r="B80" s="119"/>
      <c r="C80" s="119"/>
      <c r="D80" s="119"/>
      <c r="E80" s="119"/>
      <c r="F80" s="119"/>
      <c r="G80" s="119"/>
      <c r="H80" s="119"/>
      <c r="I80" s="120"/>
      <c r="J80" s="120"/>
      <c r="K80" s="120"/>
      <c r="L80" s="120"/>
      <c r="M80" s="120"/>
    </row>
    <row r="81">
      <c r="A81" s="119"/>
      <c r="B81" s="119"/>
      <c r="C81" s="119"/>
      <c r="D81" s="119"/>
      <c r="E81" s="119"/>
      <c r="F81" s="119"/>
      <c r="G81" s="119"/>
      <c r="H81" s="119"/>
      <c r="I81" s="133"/>
      <c r="J81" s="133"/>
      <c r="K81" s="133"/>
      <c r="L81" s="133"/>
      <c r="M81" s="133"/>
    </row>
    <row r="82">
      <c r="A82" s="119"/>
      <c r="B82" s="119"/>
      <c r="C82" s="119"/>
      <c r="D82" s="119"/>
      <c r="E82" s="119"/>
      <c r="F82" s="119"/>
      <c r="G82" s="119"/>
      <c r="H82" s="119"/>
      <c r="I82" s="120"/>
      <c r="J82" s="120"/>
      <c r="K82" s="120"/>
      <c r="L82" s="120"/>
      <c r="M82" s="120"/>
    </row>
    <row r="83">
      <c r="A83" s="119"/>
      <c r="B83" s="119"/>
      <c r="C83" s="119"/>
      <c r="D83" s="119"/>
      <c r="E83" s="119"/>
      <c r="F83" s="119"/>
      <c r="G83" s="119"/>
      <c r="H83" s="119"/>
      <c r="I83" s="133"/>
      <c r="J83" s="133"/>
      <c r="K83" s="133"/>
      <c r="L83" s="133"/>
      <c r="M83" s="133"/>
    </row>
    <row r="84">
      <c r="A84" s="119"/>
      <c r="B84" s="119"/>
      <c r="C84" s="119"/>
      <c r="D84" s="119"/>
      <c r="E84" s="119"/>
      <c r="F84" s="119"/>
      <c r="G84" s="119"/>
      <c r="H84" s="119"/>
      <c r="I84" s="120"/>
      <c r="J84" s="120"/>
      <c r="K84" s="120"/>
      <c r="L84" s="120"/>
      <c r="M84" s="120"/>
    </row>
    <row r="85">
      <c r="A85" s="119"/>
      <c r="B85" s="119"/>
      <c r="C85" s="119"/>
      <c r="D85" s="119"/>
      <c r="E85" s="119"/>
      <c r="F85" s="119"/>
      <c r="G85" s="119"/>
      <c r="H85" s="119"/>
      <c r="I85" s="133"/>
      <c r="J85" s="133"/>
      <c r="K85" s="133"/>
      <c r="L85" s="133"/>
      <c r="M85" s="133"/>
    </row>
    <row r="86">
      <c r="A86" s="119"/>
      <c r="B86" s="119"/>
      <c r="C86" s="119"/>
      <c r="D86" s="119"/>
      <c r="E86" s="119"/>
      <c r="F86" s="119"/>
      <c r="G86" s="119"/>
      <c r="H86" s="119"/>
      <c r="I86" s="120"/>
      <c r="J86" s="120"/>
      <c r="K86" s="120"/>
      <c r="L86" s="120"/>
      <c r="M86" s="120"/>
    </row>
    <row r="87">
      <c r="A87" s="119"/>
      <c r="B87" s="119"/>
      <c r="C87" s="119"/>
      <c r="D87" s="119"/>
      <c r="E87" s="119"/>
      <c r="F87" s="119"/>
      <c r="G87" s="119"/>
      <c r="H87" s="119"/>
      <c r="I87" s="133"/>
      <c r="J87" s="133"/>
      <c r="K87" s="133"/>
      <c r="L87" s="133"/>
      <c r="M87" s="133"/>
    </row>
    <row r="88">
      <c r="A88" s="119"/>
      <c r="B88" s="119"/>
      <c r="C88" s="119"/>
      <c r="D88" s="119"/>
      <c r="E88" s="119"/>
      <c r="F88" s="119"/>
      <c r="G88" s="119"/>
      <c r="H88" s="119"/>
      <c r="I88" s="120"/>
      <c r="J88" s="120"/>
      <c r="K88" s="120"/>
      <c r="L88" s="120"/>
      <c r="M88" s="120"/>
    </row>
    <row r="89">
      <c r="A89" s="119"/>
      <c r="B89" s="119"/>
      <c r="C89" s="119"/>
      <c r="D89" s="119"/>
      <c r="E89" s="119"/>
      <c r="F89" s="119"/>
      <c r="G89" s="119"/>
      <c r="H89" s="119"/>
      <c r="I89" s="133"/>
      <c r="J89" s="133"/>
      <c r="K89" s="133"/>
      <c r="L89" s="133"/>
      <c r="M89" s="133"/>
    </row>
    <row r="90">
      <c r="A90" s="119"/>
      <c r="B90" s="119"/>
      <c r="C90" s="119"/>
      <c r="D90" s="119"/>
      <c r="E90" s="119"/>
      <c r="F90" s="119"/>
      <c r="G90" s="119"/>
      <c r="H90" s="119"/>
      <c r="I90" s="120"/>
      <c r="J90" s="120"/>
      <c r="K90" s="120"/>
      <c r="L90" s="120"/>
      <c r="M90" s="120"/>
    </row>
    <row r="91">
      <c r="A91" s="119"/>
      <c r="B91" s="119"/>
      <c r="C91" s="119"/>
      <c r="D91" s="119"/>
      <c r="E91" s="119"/>
      <c r="F91" s="119"/>
      <c r="G91" s="119"/>
      <c r="H91" s="119"/>
      <c r="I91" s="133"/>
      <c r="J91" s="133"/>
      <c r="K91" s="133"/>
      <c r="L91" s="133"/>
      <c r="M91" s="133"/>
    </row>
    <row r="92">
      <c r="A92" s="119"/>
      <c r="B92" s="119"/>
      <c r="C92" s="119"/>
      <c r="D92" s="119"/>
      <c r="E92" s="119"/>
      <c r="F92" s="119"/>
      <c r="G92" s="119"/>
      <c r="H92" s="119"/>
      <c r="I92" s="120"/>
      <c r="J92" s="120"/>
      <c r="K92" s="120"/>
      <c r="L92" s="120"/>
      <c r="M92" s="120"/>
    </row>
    <row r="93">
      <c r="A93" s="119"/>
      <c r="B93" s="119"/>
      <c r="C93" s="119"/>
      <c r="D93" s="119"/>
      <c r="E93" s="119"/>
      <c r="F93" s="119"/>
      <c r="G93" s="119"/>
      <c r="H93" s="119"/>
      <c r="I93" s="133"/>
      <c r="J93" s="133"/>
      <c r="K93" s="133"/>
      <c r="L93" s="133"/>
      <c r="M93" s="133"/>
    </row>
    <row r="94">
      <c r="A94" s="119"/>
      <c r="B94" s="119"/>
      <c r="C94" s="119"/>
      <c r="D94" s="119"/>
      <c r="E94" s="119"/>
      <c r="F94" s="119"/>
      <c r="G94" s="119"/>
      <c r="H94" s="119"/>
      <c r="I94" s="120"/>
      <c r="J94" s="120"/>
      <c r="K94" s="120"/>
      <c r="L94" s="120"/>
      <c r="M94" s="120"/>
    </row>
    <row r="95">
      <c r="A95" s="119"/>
      <c r="B95" s="119"/>
      <c r="C95" s="119"/>
      <c r="D95" s="119"/>
      <c r="E95" s="119"/>
      <c r="F95" s="119"/>
      <c r="G95" s="119"/>
      <c r="H95" s="119"/>
      <c r="I95" s="133"/>
      <c r="J95" s="133"/>
      <c r="K95" s="133"/>
      <c r="L95" s="133"/>
      <c r="M95" s="133"/>
    </row>
    <row r="96">
      <c r="A96" s="119"/>
      <c r="B96" s="119"/>
      <c r="C96" s="119"/>
      <c r="D96" s="119"/>
      <c r="E96" s="119"/>
      <c r="F96" s="119"/>
      <c r="G96" s="119"/>
      <c r="H96" s="119"/>
      <c r="I96" s="120"/>
      <c r="J96" s="120"/>
      <c r="K96" s="120"/>
      <c r="L96" s="120"/>
      <c r="M96" s="120"/>
    </row>
    <row r="97">
      <c r="A97" s="119"/>
      <c r="B97" s="119"/>
      <c r="C97" s="119"/>
      <c r="D97" s="119"/>
      <c r="E97" s="119"/>
      <c r="F97" s="119"/>
      <c r="G97" s="119"/>
      <c r="H97" s="119"/>
      <c r="I97" s="133"/>
      <c r="J97" s="133"/>
      <c r="K97" s="133"/>
      <c r="L97" s="133"/>
      <c r="M97" s="133"/>
    </row>
    <row r="98">
      <c r="A98" s="119"/>
      <c r="B98" s="119"/>
      <c r="C98" s="119"/>
      <c r="D98" s="119"/>
      <c r="E98" s="119"/>
      <c r="F98" s="119"/>
      <c r="G98" s="119"/>
      <c r="H98" s="119"/>
      <c r="I98" s="120"/>
      <c r="J98" s="120"/>
      <c r="K98" s="120"/>
      <c r="L98" s="120"/>
      <c r="M98" s="120"/>
    </row>
    <row r="99">
      <c r="A99" s="119"/>
      <c r="B99" s="119"/>
      <c r="C99" s="119"/>
      <c r="D99" s="119"/>
      <c r="E99" s="119"/>
      <c r="F99" s="119"/>
      <c r="G99" s="119"/>
      <c r="H99" s="119"/>
      <c r="I99" s="133"/>
      <c r="J99" s="133"/>
      <c r="K99" s="133"/>
      <c r="L99" s="133"/>
      <c r="M99" s="133"/>
    </row>
    <row r="100">
      <c r="A100" s="119"/>
      <c r="B100" s="119"/>
      <c r="C100" s="119"/>
      <c r="D100" s="119"/>
      <c r="E100" s="119"/>
      <c r="F100" s="119"/>
      <c r="G100" s="119"/>
      <c r="H100" s="119"/>
      <c r="I100" s="120"/>
      <c r="J100" s="120"/>
      <c r="K100" s="120"/>
      <c r="L100" s="120"/>
      <c r="M100" s="120"/>
    </row>
    <row r="101">
      <c r="A101" s="119"/>
      <c r="B101" s="119"/>
      <c r="C101" s="119"/>
      <c r="D101" s="119"/>
      <c r="E101" s="119"/>
      <c r="F101" s="119"/>
      <c r="G101" s="119"/>
      <c r="H101" s="119"/>
      <c r="I101" s="133"/>
      <c r="J101" s="133"/>
      <c r="K101" s="133"/>
      <c r="L101" s="133"/>
      <c r="M101" s="133"/>
    </row>
    <row r="102">
      <c r="A102" s="119"/>
      <c r="B102" s="119"/>
      <c r="C102" s="119"/>
      <c r="D102" s="119"/>
      <c r="E102" s="119"/>
      <c r="F102" s="119"/>
      <c r="G102" s="119"/>
      <c r="H102" s="119"/>
      <c r="I102" s="120"/>
      <c r="J102" s="120"/>
      <c r="K102" s="120"/>
      <c r="L102" s="120"/>
      <c r="M102" s="120"/>
    </row>
    <row r="103">
      <c r="A103" s="119"/>
      <c r="B103" s="119"/>
      <c r="C103" s="119"/>
      <c r="D103" s="119"/>
      <c r="E103" s="119"/>
      <c r="F103" s="119"/>
      <c r="G103" s="119"/>
      <c r="H103" s="119"/>
      <c r="I103" s="133"/>
      <c r="J103" s="133"/>
      <c r="K103" s="133"/>
      <c r="L103" s="133"/>
      <c r="M103" s="133"/>
    </row>
    <row r="104">
      <c r="A104" s="119"/>
      <c r="B104" s="119"/>
      <c r="C104" s="119"/>
      <c r="D104" s="119"/>
      <c r="E104" s="119"/>
      <c r="F104" s="119"/>
      <c r="G104" s="119"/>
      <c r="H104" s="119"/>
      <c r="I104" s="120"/>
      <c r="J104" s="120"/>
      <c r="K104" s="120"/>
      <c r="L104" s="120"/>
      <c r="M104" s="120"/>
    </row>
    <row r="105">
      <c r="A105" s="119"/>
      <c r="B105" s="119"/>
      <c r="C105" s="119"/>
      <c r="D105" s="119"/>
      <c r="E105" s="119"/>
      <c r="F105" s="119"/>
      <c r="G105" s="119"/>
      <c r="H105" s="119"/>
      <c r="I105" s="133"/>
      <c r="J105" s="133"/>
      <c r="K105" s="133"/>
      <c r="L105" s="133"/>
      <c r="M105" s="133"/>
    </row>
    <row r="106">
      <c r="A106" s="119"/>
      <c r="B106" s="119"/>
      <c r="C106" s="119"/>
      <c r="D106" s="119"/>
      <c r="E106" s="119"/>
      <c r="F106" s="119"/>
      <c r="G106" s="119"/>
      <c r="H106" s="119"/>
      <c r="I106" s="120"/>
      <c r="J106" s="120"/>
      <c r="K106" s="120"/>
      <c r="L106" s="120"/>
      <c r="M106" s="120"/>
    </row>
    <row r="107">
      <c r="A107" s="119"/>
      <c r="B107" s="119"/>
      <c r="C107" s="119"/>
      <c r="D107" s="119"/>
      <c r="E107" s="119"/>
      <c r="F107" s="119"/>
      <c r="G107" s="119"/>
      <c r="H107" s="119"/>
      <c r="I107" s="133"/>
      <c r="J107" s="133"/>
      <c r="K107" s="133"/>
      <c r="L107" s="133"/>
      <c r="M107" s="133"/>
    </row>
    <row r="108">
      <c r="A108" s="119"/>
      <c r="B108" s="119"/>
      <c r="C108" s="119"/>
      <c r="D108" s="119"/>
      <c r="E108" s="119"/>
      <c r="F108" s="119"/>
      <c r="G108" s="119"/>
      <c r="H108" s="119"/>
      <c r="I108" s="120"/>
      <c r="J108" s="120"/>
      <c r="K108" s="120"/>
      <c r="L108" s="120"/>
      <c r="M108" s="120"/>
    </row>
    <row r="109">
      <c r="A109" s="119"/>
      <c r="B109" s="119"/>
      <c r="C109" s="119"/>
      <c r="D109" s="119"/>
      <c r="E109" s="119"/>
      <c r="F109" s="119"/>
      <c r="G109" s="119"/>
      <c r="H109" s="119"/>
      <c r="I109" s="133"/>
      <c r="J109" s="133"/>
      <c r="K109" s="133"/>
      <c r="L109" s="133"/>
      <c r="M109" s="133"/>
    </row>
    <row r="110">
      <c r="A110" s="119"/>
      <c r="B110" s="119"/>
      <c r="C110" s="119"/>
      <c r="D110" s="119"/>
      <c r="E110" s="119"/>
      <c r="F110" s="119"/>
      <c r="G110" s="119"/>
      <c r="H110" s="119"/>
      <c r="I110" s="120"/>
      <c r="J110" s="120"/>
      <c r="K110" s="120"/>
      <c r="L110" s="120"/>
      <c r="M110" s="120"/>
    </row>
    <row r="111">
      <c r="A111" s="119"/>
      <c r="B111" s="119"/>
      <c r="C111" s="119"/>
      <c r="D111" s="119"/>
      <c r="E111" s="119"/>
      <c r="F111" s="119"/>
      <c r="G111" s="119"/>
      <c r="H111" s="119"/>
      <c r="I111" s="133"/>
      <c r="J111" s="133"/>
      <c r="K111" s="133"/>
      <c r="L111" s="133"/>
      <c r="M111" s="133"/>
    </row>
    <row r="112">
      <c r="A112" s="119"/>
      <c r="B112" s="119"/>
      <c r="C112" s="119"/>
      <c r="D112" s="119"/>
      <c r="E112" s="119"/>
      <c r="F112" s="119"/>
      <c r="G112" s="119"/>
      <c r="H112" s="119"/>
      <c r="I112" s="120"/>
      <c r="J112" s="120"/>
      <c r="K112" s="120"/>
      <c r="L112" s="120"/>
      <c r="M112" s="120"/>
    </row>
    <row r="113">
      <c r="A113" s="119"/>
      <c r="B113" s="119"/>
      <c r="C113" s="119"/>
      <c r="D113" s="119"/>
      <c r="E113" s="119"/>
      <c r="F113" s="119"/>
      <c r="G113" s="119"/>
      <c r="H113" s="119"/>
      <c r="I113" s="133"/>
      <c r="J113" s="133"/>
      <c r="K113" s="133"/>
      <c r="L113" s="133"/>
      <c r="M113" s="133"/>
    </row>
    <row r="114">
      <c r="A114" s="119"/>
      <c r="B114" s="119"/>
      <c r="C114" s="119"/>
      <c r="D114" s="119"/>
      <c r="E114" s="119"/>
      <c r="F114" s="119"/>
      <c r="G114" s="119"/>
      <c r="H114" s="119"/>
      <c r="I114" s="120"/>
      <c r="J114" s="120"/>
      <c r="K114" s="120"/>
      <c r="L114" s="120"/>
      <c r="M114" s="120"/>
    </row>
    <row r="115">
      <c r="A115" s="119"/>
      <c r="B115" s="119"/>
      <c r="C115" s="119"/>
      <c r="D115" s="119"/>
      <c r="E115" s="119"/>
      <c r="F115" s="119"/>
      <c r="G115" s="119"/>
      <c r="H115" s="119"/>
      <c r="I115" s="133"/>
      <c r="J115" s="133"/>
      <c r="K115" s="133"/>
      <c r="L115" s="133"/>
      <c r="M115" s="133"/>
    </row>
    <row r="116">
      <c r="A116" s="119"/>
      <c r="B116" s="119"/>
      <c r="C116" s="119"/>
      <c r="D116" s="119"/>
      <c r="E116" s="119"/>
      <c r="F116" s="119"/>
      <c r="G116" s="119"/>
      <c r="H116" s="119"/>
      <c r="I116" s="120"/>
      <c r="J116" s="120"/>
      <c r="K116" s="120"/>
      <c r="L116" s="120"/>
      <c r="M116" s="120"/>
    </row>
    <row r="117">
      <c r="A117" s="119"/>
      <c r="B117" s="119"/>
      <c r="C117" s="119"/>
      <c r="D117" s="119"/>
      <c r="E117" s="119"/>
      <c r="F117" s="119"/>
      <c r="G117" s="119"/>
      <c r="H117" s="119"/>
      <c r="I117" s="133"/>
      <c r="J117" s="133"/>
      <c r="K117" s="133"/>
      <c r="L117" s="133"/>
      <c r="M117" s="133"/>
    </row>
    <row r="118">
      <c r="A118" s="119"/>
      <c r="B118" s="119"/>
      <c r="C118" s="119"/>
      <c r="D118" s="119"/>
      <c r="E118" s="119"/>
      <c r="F118" s="119"/>
      <c r="G118" s="119"/>
      <c r="H118" s="119"/>
      <c r="I118" s="120"/>
      <c r="J118" s="120"/>
      <c r="K118" s="120"/>
      <c r="L118" s="120"/>
      <c r="M118" s="120"/>
    </row>
    <row r="119">
      <c r="A119" s="119"/>
      <c r="B119" s="119"/>
      <c r="C119" s="119"/>
      <c r="D119" s="119"/>
      <c r="E119" s="119"/>
      <c r="F119" s="119"/>
      <c r="G119" s="119"/>
      <c r="H119" s="119"/>
      <c r="I119" s="133"/>
      <c r="J119" s="133"/>
      <c r="K119" s="133"/>
      <c r="L119" s="133"/>
      <c r="M119" s="133"/>
    </row>
    <row r="120">
      <c r="A120" s="119"/>
      <c r="B120" s="119"/>
      <c r="C120" s="119"/>
      <c r="D120" s="119"/>
      <c r="E120" s="119"/>
      <c r="F120" s="119"/>
      <c r="G120" s="119"/>
      <c r="H120" s="119"/>
      <c r="I120" s="120"/>
      <c r="J120" s="120"/>
      <c r="K120" s="120"/>
      <c r="L120" s="120"/>
      <c r="M120" s="120"/>
    </row>
    <row r="121">
      <c r="A121" s="119"/>
      <c r="B121" s="119"/>
      <c r="C121" s="119"/>
      <c r="D121" s="119"/>
      <c r="E121" s="119"/>
      <c r="F121" s="119"/>
      <c r="G121" s="119"/>
      <c r="H121" s="119"/>
      <c r="I121" s="133"/>
      <c r="J121" s="133"/>
      <c r="K121" s="133"/>
      <c r="L121" s="133"/>
      <c r="M121" s="133"/>
    </row>
    <row r="122">
      <c r="A122" s="119"/>
      <c r="B122" s="119"/>
      <c r="C122" s="119"/>
      <c r="D122" s="119"/>
      <c r="E122" s="119"/>
      <c r="F122" s="119"/>
      <c r="G122" s="119"/>
      <c r="H122" s="119"/>
      <c r="I122" s="120"/>
      <c r="J122" s="120"/>
      <c r="K122" s="120"/>
      <c r="L122" s="120"/>
      <c r="M122" s="120"/>
    </row>
    <row r="123">
      <c r="A123" s="119"/>
      <c r="B123" s="119"/>
      <c r="C123" s="119"/>
      <c r="D123" s="119"/>
      <c r="E123" s="119"/>
      <c r="F123" s="119"/>
      <c r="G123" s="119"/>
      <c r="H123" s="119"/>
      <c r="I123" s="133"/>
      <c r="J123" s="133"/>
      <c r="K123" s="133"/>
      <c r="L123" s="133"/>
      <c r="M123" s="133"/>
    </row>
    <row r="124">
      <c r="A124" s="119"/>
      <c r="B124" s="119"/>
      <c r="C124" s="119"/>
      <c r="D124" s="119"/>
      <c r="E124" s="119"/>
      <c r="F124" s="119"/>
      <c r="G124" s="119"/>
      <c r="H124" s="119"/>
      <c r="I124" s="120"/>
      <c r="J124" s="120"/>
      <c r="K124" s="120"/>
      <c r="L124" s="120"/>
      <c r="M124" s="120"/>
    </row>
    <row r="125">
      <c r="A125" s="119"/>
      <c r="B125" s="119"/>
      <c r="C125" s="119"/>
      <c r="D125" s="119"/>
      <c r="E125" s="119"/>
      <c r="F125" s="119"/>
      <c r="G125" s="119"/>
      <c r="H125" s="119"/>
      <c r="I125" s="133"/>
      <c r="J125" s="133"/>
      <c r="K125" s="133"/>
      <c r="L125" s="133"/>
      <c r="M125" s="133"/>
    </row>
    <row r="126">
      <c r="A126" s="119"/>
      <c r="B126" s="119"/>
      <c r="C126" s="119"/>
      <c r="D126" s="119"/>
      <c r="E126" s="119"/>
      <c r="F126" s="119"/>
      <c r="G126" s="119"/>
      <c r="H126" s="119"/>
      <c r="I126" s="120"/>
      <c r="J126" s="120"/>
      <c r="K126" s="120"/>
      <c r="L126" s="120"/>
      <c r="M126" s="120"/>
    </row>
    <row r="127">
      <c r="A127" s="119"/>
      <c r="B127" s="119"/>
      <c r="C127" s="119"/>
      <c r="D127" s="119"/>
      <c r="E127" s="119"/>
      <c r="F127" s="119"/>
      <c r="G127" s="119"/>
      <c r="H127" s="119"/>
      <c r="I127" s="133"/>
      <c r="J127" s="133"/>
      <c r="K127" s="133"/>
      <c r="L127" s="133"/>
      <c r="M127" s="133"/>
    </row>
    <row r="128">
      <c r="A128" s="119"/>
      <c r="B128" s="119"/>
      <c r="C128" s="119"/>
      <c r="D128" s="119"/>
      <c r="E128" s="119"/>
      <c r="F128" s="119"/>
      <c r="G128" s="119"/>
      <c r="H128" s="119"/>
      <c r="I128" s="120"/>
      <c r="J128" s="120"/>
      <c r="K128" s="120"/>
      <c r="L128" s="120"/>
      <c r="M128" s="120"/>
    </row>
    <row r="129">
      <c r="A129" s="119"/>
      <c r="B129" s="119"/>
      <c r="C129" s="119"/>
      <c r="D129" s="119"/>
      <c r="E129" s="119"/>
      <c r="F129" s="119"/>
      <c r="G129" s="119"/>
      <c r="H129" s="119"/>
      <c r="I129" s="133"/>
      <c r="J129" s="133"/>
      <c r="K129" s="133"/>
      <c r="L129" s="133"/>
      <c r="M129" s="133"/>
    </row>
    <row r="130">
      <c r="A130" s="119"/>
      <c r="B130" s="119"/>
      <c r="C130" s="119"/>
      <c r="D130" s="119"/>
      <c r="E130" s="119"/>
      <c r="F130" s="119"/>
      <c r="G130" s="119"/>
      <c r="H130" s="119"/>
      <c r="I130" s="120"/>
      <c r="J130" s="120"/>
      <c r="K130" s="120"/>
      <c r="L130" s="120"/>
      <c r="M130" s="120"/>
    </row>
    <row r="131">
      <c r="A131" s="119"/>
      <c r="B131" s="119"/>
      <c r="C131" s="119"/>
      <c r="D131" s="119"/>
      <c r="E131" s="119"/>
      <c r="F131" s="119"/>
      <c r="G131" s="119"/>
      <c r="H131" s="119"/>
      <c r="I131" s="133"/>
      <c r="J131" s="133"/>
      <c r="K131" s="133"/>
      <c r="L131" s="133"/>
      <c r="M131" s="133"/>
    </row>
    <row r="132">
      <c r="A132" s="119"/>
      <c r="B132" s="119"/>
      <c r="C132" s="119"/>
      <c r="D132" s="119"/>
      <c r="E132" s="119"/>
      <c r="F132" s="119"/>
      <c r="G132" s="119"/>
      <c r="H132" s="119"/>
      <c r="I132" s="120"/>
      <c r="J132" s="120"/>
      <c r="K132" s="120"/>
      <c r="L132" s="120"/>
      <c r="M132" s="120"/>
    </row>
    <row r="133">
      <c r="A133" s="119"/>
      <c r="B133" s="119"/>
      <c r="C133" s="119"/>
      <c r="D133" s="119"/>
      <c r="E133" s="119"/>
      <c r="F133" s="119"/>
      <c r="G133" s="119"/>
      <c r="H133" s="119"/>
      <c r="I133" s="133"/>
      <c r="J133" s="133"/>
      <c r="K133" s="133"/>
      <c r="L133" s="133"/>
      <c r="M133" s="133"/>
    </row>
    <row r="134">
      <c r="A134" s="119"/>
      <c r="B134" s="119"/>
      <c r="C134" s="119"/>
      <c r="D134" s="119"/>
      <c r="E134" s="119"/>
      <c r="F134" s="119"/>
      <c r="G134" s="119"/>
      <c r="H134" s="119"/>
      <c r="I134" s="120"/>
      <c r="J134" s="120"/>
      <c r="K134" s="120"/>
      <c r="L134" s="120"/>
      <c r="M134" s="120"/>
    </row>
    <row r="135">
      <c r="A135" s="119"/>
      <c r="B135" s="119"/>
      <c r="C135" s="119"/>
      <c r="D135" s="119"/>
      <c r="E135" s="119"/>
      <c r="F135" s="119"/>
      <c r="G135" s="119"/>
      <c r="H135" s="119"/>
      <c r="I135" s="133"/>
      <c r="J135" s="133"/>
      <c r="K135" s="133"/>
      <c r="L135" s="133"/>
      <c r="M135" s="133"/>
    </row>
    <row r="136">
      <c r="A136" s="119"/>
      <c r="B136" s="119"/>
      <c r="C136" s="119"/>
      <c r="D136" s="119"/>
      <c r="E136" s="119"/>
      <c r="F136" s="119"/>
      <c r="G136" s="119"/>
      <c r="H136" s="119"/>
      <c r="I136" s="120"/>
      <c r="J136" s="120"/>
      <c r="K136" s="120"/>
      <c r="L136" s="120"/>
      <c r="M136" s="120"/>
    </row>
    <row r="137">
      <c r="A137" s="119"/>
      <c r="B137" s="119"/>
      <c r="C137" s="119"/>
      <c r="D137" s="119"/>
      <c r="E137" s="119"/>
      <c r="F137" s="119"/>
      <c r="G137" s="119"/>
      <c r="H137" s="119"/>
      <c r="I137" s="133"/>
      <c r="J137" s="133"/>
      <c r="K137" s="133"/>
      <c r="L137" s="133"/>
      <c r="M137" s="133"/>
    </row>
    <row r="138">
      <c r="A138" s="119"/>
      <c r="B138" s="119"/>
      <c r="C138" s="119"/>
      <c r="D138" s="119"/>
      <c r="E138" s="119"/>
      <c r="F138" s="119"/>
      <c r="G138" s="119"/>
      <c r="H138" s="119"/>
      <c r="I138" s="120"/>
      <c r="J138" s="120"/>
      <c r="K138" s="120"/>
      <c r="L138" s="120"/>
      <c r="M138" s="120"/>
    </row>
    <row r="139">
      <c r="A139" s="119"/>
      <c r="B139" s="119"/>
      <c r="C139" s="119"/>
      <c r="D139" s="119"/>
      <c r="E139" s="119"/>
      <c r="F139" s="119"/>
      <c r="G139" s="119"/>
      <c r="H139" s="119"/>
      <c r="I139" s="133"/>
      <c r="J139" s="133"/>
      <c r="K139" s="133"/>
      <c r="L139" s="133"/>
      <c r="M139" s="133"/>
    </row>
    <row r="140">
      <c r="A140" s="119"/>
      <c r="B140" s="119"/>
      <c r="C140" s="119"/>
      <c r="D140" s="119"/>
      <c r="E140" s="119"/>
      <c r="F140" s="119"/>
      <c r="G140" s="119"/>
      <c r="H140" s="119"/>
      <c r="I140" s="120"/>
      <c r="J140" s="120"/>
      <c r="K140" s="120"/>
      <c r="L140" s="120"/>
      <c r="M140" s="120"/>
    </row>
    <row r="141">
      <c r="A141" s="119"/>
      <c r="B141" s="119"/>
      <c r="C141" s="119"/>
      <c r="D141" s="119"/>
      <c r="E141" s="119"/>
      <c r="F141" s="119"/>
      <c r="G141" s="119"/>
      <c r="H141" s="119"/>
      <c r="I141" s="133"/>
      <c r="J141" s="133"/>
      <c r="K141" s="133"/>
      <c r="L141" s="133"/>
      <c r="M141" s="133"/>
    </row>
    <row r="142">
      <c r="A142" s="119"/>
      <c r="B142" s="119"/>
      <c r="C142" s="119"/>
      <c r="D142" s="119"/>
      <c r="E142" s="119"/>
      <c r="F142" s="119"/>
      <c r="G142" s="119"/>
      <c r="H142" s="119"/>
      <c r="I142" s="120"/>
      <c r="J142" s="120"/>
      <c r="K142" s="120"/>
      <c r="L142" s="120"/>
      <c r="M142" s="120"/>
    </row>
    <row r="143">
      <c r="A143" s="119"/>
      <c r="B143" s="119"/>
      <c r="C143" s="119"/>
      <c r="D143" s="119"/>
      <c r="E143" s="119"/>
      <c r="F143" s="119"/>
      <c r="G143" s="119"/>
      <c r="H143" s="119"/>
      <c r="I143" s="133"/>
      <c r="J143" s="133"/>
      <c r="K143" s="133"/>
      <c r="L143" s="133"/>
      <c r="M143" s="133"/>
    </row>
    <row r="144">
      <c r="A144" s="119"/>
      <c r="B144" s="119"/>
      <c r="C144" s="119"/>
      <c r="D144" s="119"/>
      <c r="E144" s="119"/>
      <c r="F144" s="119"/>
      <c r="G144" s="119"/>
      <c r="H144" s="119"/>
      <c r="I144" s="120"/>
      <c r="J144" s="120"/>
      <c r="K144" s="120"/>
      <c r="L144" s="120"/>
      <c r="M144" s="120"/>
    </row>
    <row r="145">
      <c r="A145" s="119"/>
      <c r="B145" s="119"/>
      <c r="C145" s="119"/>
      <c r="D145" s="119"/>
      <c r="E145" s="119"/>
      <c r="F145" s="119"/>
      <c r="G145" s="119"/>
      <c r="H145" s="119"/>
      <c r="I145" s="133"/>
      <c r="J145" s="133"/>
      <c r="K145" s="133"/>
      <c r="L145" s="133"/>
      <c r="M145" s="133"/>
    </row>
    <row r="146">
      <c r="A146" s="119"/>
      <c r="B146" s="119"/>
      <c r="C146" s="119"/>
      <c r="D146" s="119"/>
      <c r="E146" s="119"/>
      <c r="F146" s="119"/>
      <c r="G146" s="119"/>
      <c r="H146" s="119"/>
      <c r="I146" s="120"/>
      <c r="J146" s="120"/>
      <c r="K146" s="120"/>
      <c r="L146" s="120"/>
      <c r="M146" s="120"/>
    </row>
    <row r="147">
      <c r="A147" s="119"/>
      <c r="B147" s="119"/>
      <c r="C147" s="119"/>
      <c r="D147" s="119"/>
      <c r="E147" s="119"/>
      <c r="F147" s="119"/>
      <c r="G147" s="119"/>
      <c r="H147" s="119"/>
      <c r="I147" s="133"/>
      <c r="J147" s="133"/>
      <c r="K147" s="133"/>
      <c r="L147" s="133"/>
      <c r="M147" s="133"/>
    </row>
    <row r="148">
      <c r="A148" s="119"/>
      <c r="B148" s="119"/>
      <c r="C148" s="119"/>
      <c r="D148" s="119"/>
      <c r="E148" s="119"/>
      <c r="F148" s="119"/>
      <c r="G148" s="119"/>
      <c r="H148" s="119"/>
      <c r="I148" s="120"/>
      <c r="J148" s="120"/>
      <c r="K148" s="120"/>
      <c r="L148" s="120"/>
      <c r="M148" s="120"/>
    </row>
    <row r="149">
      <c r="A149" s="119"/>
      <c r="B149" s="119"/>
      <c r="C149" s="119"/>
      <c r="D149" s="119"/>
      <c r="E149" s="119"/>
      <c r="F149" s="119"/>
      <c r="G149" s="119"/>
      <c r="H149" s="119"/>
      <c r="I149" s="133"/>
      <c r="J149" s="133"/>
      <c r="K149" s="133"/>
      <c r="L149" s="133"/>
      <c r="M149" s="133"/>
    </row>
    <row r="150">
      <c r="A150" s="119"/>
      <c r="B150" s="119"/>
      <c r="C150" s="119"/>
      <c r="D150" s="119"/>
      <c r="E150" s="119"/>
      <c r="F150" s="119"/>
      <c r="G150" s="119"/>
      <c r="H150" s="119"/>
      <c r="I150" s="120"/>
      <c r="J150" s="120"/>
      <c r="K150" s="120"/>
      <c r="L150" s="120"/>
      <c r="M150" s="120"/>
    </row>
    <row r="151">
      <c r="A151" s="119"/>
      <c r="B151" s="119"/>
      <c r="C151" s="119"/>
      <c r="D151" s="119"/>
      <c r="E151" s="119"/>
      <c r="F151" s="119"/>
      <c r="G151" s="119"/>
      <c r="H151" s="119"/>
      <c r="I151" s="133"/>
      <c r="J151" s="133"/>
      <c r="K151" s="133"/>
      <c r="L151" s="133"/>
      <c r="M151" s="133"/>
    </row>
    <row r="152">
      <c r="A152" s="119"/>
      <c r="B152" s="119"/>
      <c r="C152" s="119"/>
      <c r="D152" s="119"/>
      <c r="E152" s="119"/>
      <c r="F152" s="119"/>
      <c r="G152" s="119"/>
      <c r="H152" s="119"/>
      <c r="I152" s="120"/>
      <c r="J152" s="120"/>
      <c r="K152" s="120"/>
      <c r="L152" s="120"/>
      <c r="M152" s="120"/>
    </row>
    <row r="153">
      <c r="A153" s="119"/>
      <c r="B153" s="119"/>
      <c r="C153" s="119"/>
      <c r="D153" s="119"/>
      <c r="E153" s="119"/>
      <c r="F153" s="119"/>
      <c r="G153" s="119"/>
      <c r="H153" s="119"/>
      <c r="I153" s="133"/>
      <c r="J153" s="133"/>
      <c r="K153" s="133"/>
      <c r="L153" s="133"/>
      <c r="M153" s="133"/>
    </row>
    <row r="154">
      <c r="A154" s="119"/>
      <c r="B154" s="119"/>
      <c r="C154" s="119"/>
      <c r="D154" s="119"/>
      <c r="E154" s="119"/>
      <c r="F154" s="119"/>
      <c r="G154" s="119"/>
      <c r="H154" s="119"/>
      <c r="I154" s="120"/>
      <c r="J154" s="120"/>
      <c r="K154" s="120"/>
      <c r="L154" s="120"/>
      <c r="M154" s="120"/>
    </row>
    <row r="155">
      <c r="A155" s="119"/>
      <c r="B155" s="119"/>
      <c r="C155" s="119"/>
      <c r="D155" s="119"/>
      <c r="E155" s="119"/>
      <c r="F155" s="119"/>
      <c r="G155" s="119"/>
      <c r="H155" s="119"/>
      <c r="I155" s="133"/>
      <c r="J155" s="133"/>
      <c r="K155" s="133"/>
      <c r="L155" s="133"/>
      <c r="M155" s="133"/>
    </row>
    <row r="156">
      <c r="A156" s="119"/>
      <c r="B156" s="119"/>
      <c r="C156" s="119"/>
      <c r="D156" s="119"/>
      <c r="E156" s="119"/>
      <c r="F156" s="119"/>
      <c r="G156" s="119"/>
      <c r="H156" s="119"/>
      <c r="I156" s="120"/>
      <c r="J156" s="120"/>
      <c r="K156" s="120"/>
      <c r="L156" s="120"/>
      <c r="M156" s="120"/>
    </row>
    <row r="157">
      <c r="A157" s="119"/>
      <c r="B157" s="119"/>
      <c r="C157" s="119"/>
      <c r="D157" s="119"/>
      <c r="E157" s="119"/>
      <c r="F157" s="119"/>
      <c r="G157" s="119"/>
      <c r="H157" s="119"/>
      <c r="I157" s="133"/>
      <c r="J157" s="133"/>
      <c r="K157" s="133"/>
      <c r="L157" s="133"/>
      <c r="M157" s="133"/>
    </row>
    <row r="158">
      <c r="A158" s="119"/>
      <c r="B158" s="119"/>
      <c r="C158" s="119"/>
      <c r="D158" s="119"/>
      <c r="E158" s="119"/>
      <c r="F158" s="119"/>
      <c r="G158" s="119"/>
      <c r="H158" s="119"/>
      <c r="I158" s="120"/>
      <c r="J158" s="120"/>
      <c r="K158" s="120"/>
      <c r="L158" s="120"/>
      <c r="M158" s="120"/>
    </row>
    <row r="159">
      <c r="A159" s="119"/>
      <c r="B159" s="119"/>
      <c r="C159" s="119"/>
      <c r="D159" s="119"/>
      <c r="E159" s="119"/>
      <c r="F159" s="119"/>
      <c r="G159" s="119"/>
      <c r="H159" s="119"/>
      <c r="I159" s="133"/>
      <c r="J159" s="133"/>
      <c r="K159" s="133"/>
      <c r="L159" s="133"/>
      <c r="M159" s="133"/>
    </row>
    <row r="160">
      <c r="A160" s="119"/>
      <c r="B160" s="119"/>
      <c r="C160" s="119"/>
      <c r="D160" s="119"/>
      <c r="E160" s="119"/>
      <c r="F160" s="119"/>
      <c r="G160" s="119"/>
      <c r="H160" s="119"/>
      <c r="I160" s="120"/>
      <c r="J160" s="120"/>
      <c r="K160" s="120"/>
      <c r="L160" s="120"/>
      <c r="M160" s="120"/>
    </row>
    <row r="161">
      <c r="A161" s="119"/>
      <c r="B161" s="119"/>
      <c r="C161" s="119"/>
      <c r="D161" s="119"/>
      <c r="E161" s="119"/>
      <c r="F161" s="119"/>
      <c r="G161" s="119"/>
      <c r="H161" s="119"/>
      <c r="I161" s="133"/>
      <c r="J161" s="133"/>
      <c r="K161" s="133"/>
      <c r="L161" s="133"/>
      <c r="M161" s="133"/>
    </row>
    <row r="162">
      <c r="A162" s="119"/>
      <c r="B162" s="119"/>
      <c r="C162" s="119"/>
      <c r="D162" s="119"/>
      <c r="E162" s="119"/>
      <c r="F162" s="119"/>
      <c r="G162" s="119"/>
      <c r="H162" s="119"/>
      <c r="I162" s="120"/>
      <c r="J162" s="120"/>
      <c r="K162" s="120"/>
      <c r="L162" s="120"/>
      <c r="M162" s="120"/>
    </row>
    <row r="163">
      <c r="A163" s="119"/>
      <c r="B163" s="119"/>
      <c r="C163" s="119"/>
      <c r="D163" s="119"/>
      <c r="E163" s="119"/>
      <c r="F163" s="119"/>
      <c r="G163" s="119"/>
      <c r="H163" s="119"/>
      <c r="I163" s="133"/>
      <c r="J163" s="133"/>
      <c r="K163" s="133"/>
      <c r="L163" s="133"/>
      <c r="M163" s="133"/>
    </row>
    <row r="164">
      <c r="A164" s="119"/>
      <c r="B164" s="119"/>
      <c r="C164" s="119"/>
      <c r="D164" s="119"/>
      <c r="E164" s="119"/>
      <c r="F164" s="119"/>
      <c r="G164" s="119"/>
      <c r="H164" s="119"/>
      <c r="I164" s="120"/>
      <c r="J164" s="120"/>
      <c r="K164" s="120"/>
      <c r="L164" s="120"/>
      <c r="M164" s="120"/>
    </row>
    <row r="165">
      <c r="A165" s="119"/>
      <c r="B165" s="119"/>
      <c r="C165" s="119"/>
      <c r="D165" s="119"/>
      <c r="E165" s="119"/>
      <c r="F165" s="119"/>
      <c r="G165" s="119"/>
      <c r="H165" s="119"/>
      <c r="I165" s="133"/>
      <c r="J165" s="133"/>
      <c r="K165" s="133"/>
      <c r="L165" s="133"/>
      <c r="M165" s="133"/>
    </row>
    <row r="166">
      <c r="A166" s="119"/>
      <c r="B166" s="119"/>
      <c r="C166" s="119"/>
      <c r="D166" s="119"/>
      <c r="E166" s="119"/>
      <c r="F166" s="119"/>
      <c r="G166" s="119"/>
      <c r="H166" s="119"/>
      <c r="I166" s="120"/>
      <c r="J166" s="120"/>
      <c r="K166" s="120"/>
      <c r="L166" s="120"/>
      <c r="M166" s="120"/>
    </row>
    <row r="167">
      <c r="A167" s="119"/>
      <c r="B167" s="119"/>
      <c r="C167" s="119"/>
      <c r="D167" s="119"/>
      <c r="E167" s="119"/>
      <c r="F167" s="119"/>
      <c r="G167" s="119"/>
      <c r="H167" s="119"/>
      <c r="I167" s="133"/>
      <c r="J167" s="133"/>
      <c r="K167" s="133"/>
      <c r="L167" s="133"/>
      <c r="M167" s="133"/>
    </row>
    <row r="168">
      <c r="A168" s="119"/>
      <c r="B168" s="119"/>
      <c r="C168" s="119"/>
      <c r="D168" s="119"/>
      <c r="E168" s="119"/>
      <c r="F168" s="119"/>
      <c r="G168" s="119"/>
      <c r="H168" s="119"/>
      <c r="I168" s="120"/>
      <c r="J168" s="120"/>
      <c r="K168" s="120"/>
      <c r="L168" s="120"/>
      <c r="M168" s="120"/>
    </row>
    <row r="169">
      <c r="A169" s="119"/>
      <c r="B169" s="119"/>
      <c r="C169" s="119"/>
      <c r="D169" s="119"/>
      <c r="E169" s="119"/>
      <c r="F169" s="119"/>
      <c r="G169" s="119"/>
      <c r="H169" s="119"/>
      <c r="I169" s="133"/>
      <c r="J169" s="133"/>
      <c r="K169" s="133"/>
      <c r="L169" s="133"/>
      <c r="M169" s="133"/>
    </row>
    <row r="170">
      <c r="A170" s="119"/>
      <c r="B170" s="119"/>
      <c r="C170" s="119"/>
      <c r="D170" s="119"/>
      <c r="E170" s="119"/>
      <c r="F170" s="119"/>
      <c r="G170" s="119"/>
      <c r="H170" s="119"/>
      <c r="I170" s="120"/>
      <c r="J170" s="120"/>
      <c r="K170" s="120"/>
      <c r="L170" s="120"/>
      <c r="M170" s="120"/>
    </row>
    <row r="171">
      <c r="A171" s="119"/>
      <c r="B171" s="119"/>
      <c r="C171" s="119"/>
      <c r="D171" s="119"/>
      <c r="E171" s="119"/>
      <c r="F171" s="119"/>
      <c r="G171" s="119"/>
      <c r="H171" s="119"/>
      <c r="I171" s="133"/>
      <c r="J171" s="133"/>
      <c r="K171" s="133"/>
      <c r="L171" s="133"/>
      <c r="M171" s="133"/>
    </row>
    <row r="172">
      <c r="A172" s="119"/>
      <c r="B172" s="119"/>
      <c r="C172" s="119"/>
      <c r="D172" s="119"/>
      <c r="E172" s="119"/>
      <c r="F172" s="119"/>
      <c r="G172" s="119"/>
      <c r="H172" s="119"/>
      <c r="I172" s="120"/>
      <c r="J172" s="120"/>
      <c r="K172" s="120"/>
      <c r="L172" s="120"/>
      <c r="M172" s="120"/>
    </row>
    <row r="173">
      <c r="A173" s="119"/>
      <c r="B173" s="119"/>
      <c r="C173" s="119"/>
      <c r="D173" s="119"/>
      <c r="E173" s="119"/>
      <c r="F173" s="119"/>
      <c r="G173" s="119"/>
      <c r="H173" s="119"/>
      <c r="I173" s="133"/>
      <c r="J173" s="133"/>
      <c r="K173" s="133"/>
      <c r="L173" s="133"/>
      <c r="M173" s="133"/>
    </row>
    <row r="174">
      <c r="A174" s="119"/>
      <c r="B174" s="119"/>
      <c r="C174" s="119"/>
      <c r="D174" s="119"/>
      <c r="E174" s="119"/>
      <c r="F174" s="119"/>
      <c r="G174" s="119"/>
      <c r="H174" s="119"/>
      <c r="I174" s="120"/>
      <c r="J174" s="120"/>
      <c r="K174" s="120"/>
      <c r="L174" s="120"/>
      <c r="M174" s="120"/>
    </row>
    <row r="175">
      <c r="A175" s="119"/>
      <c r="B175" s="119"/>
      <c r="C175" s="119"/>
      <c r="D175" s="119"/>
      <c r="E175" s="119"/>
      <c r="F175" s="119"/>
      <c r="G175" s="119"/>
      <c r="H175" s="119"/>
      <c r="I175" s="133"/>
      <c r="J175" s="133"/>
      <c r="K175" s="133"/>
      <c r="L175" s="133"/>
      <c r="M175" s="133"/>
    </row>
    <row r="176">
      <c r="A176" s="119"/>
      <c r="B176" s="119"/>
      <c r="C176" s="119"/>
      <c r="D176" s="119"/>
      <c r="E176" s="119"/>
      <c r="F176" s="119"/>
      <c r="G176" s="119"/>
      <c r="H176" s="119"/>
      <c r="I176" s="120"/>
      <c r="J176" s="120"/>
      <c r="K176" s="120"/>
      <c r="L176" s="120"/>
      <c r="M176" s="120"/>
    </row>
    <row r="177">
      <c r="A177" s="119"/>
      <c r="B177" s="119"/>
      <c r="C177" s="119"/>
      <c r="D177" s="119"/>
      <c r="E177" s="119"/>
      <c r="F177" s="119"/>
      <c r="G177" s="119"/>
      <c r="H177" s="119"/>
      <c r="I177" s="133"/>
      <c r="J177" s="133"/>
      <c r="K177" s="133"/>
      <c r="L177" s="133"/>
      <c r="M177" s="133"/>
    </row>
    <row r="178">
      <c r="A178" s="119"/>
      <c r="B178" s="119"/>
      <c r="C178" s="119"/>
      <c r="D178" s="119"/>
      <c r="E178" s="119"/>
      <c r="F178" s="119"/>
      <c r="G178" s="119"/>
      <c r="H178" s="119"/>
      <c r="I178" s="120"/>
      <c r="J178" s="120"/>
      <c r="K178" s="120"/>
      <c r="L178" s="120"/>
      <c r="M178" s="120"/>
    </row>
    <row r="179">
      <c r="A179" s="119"/>
      <c r="B179" s="119"/>
      <c r="C179" s="119"/>
      <c r="D179" s="119"/>
      <c r="E179" s="119"/>
      <c r="F179" s="119"/>
      <c r="G179" s="119"/>
      <c r="H179" s="119"/>
      <c r="I179" s="133"/>
      <c r="J179" s="133"/>
      <c r="K179" s="133"/>
      <c r="L179" s="133"/>
      <c r="M179" s="133"/>
    </row>
    <row r="180">
      <c r="A180" s="119"/>
      <c r="B180" s="119"/>
      <c r="C180" s="119"/>
      <c r="D180" s="119"/>
      <c r="E180" s="119"/>
      <c r="F180" s="119"/>
      <c r="G180" s="119"/>
      <c r="H180" s="119"/>
      <c r="I180" s="120"/>
      <c r="J180" s="120"/>
      <c r="K180" s="120"/>
      <c r="L180" s="120"/>
      <c r="M180" s="120"/>
    </row>
    <row r="181">
      <c r="A181" s="119"/>
      <c r="B181" s="119"/>
      <c r="C181" s="119"/>
      <c r="D181" s="119"/>
      <c r="E181" s="119"/>
      <c r="F181" s="119"/>
      <c r="G181" s="119"/>
      <c r="H181" s="119"/>
      <c r="I181" s="133"/>
      <c r="J181" s="133"/>
      <c r="K181" s="133"/>
      <c r="L181" s="133"/>
      <c r="M181" s="133"/>
    </row>
    <row r="182">
      <c r="A182" s="119"/>
      <c r="B182" s="119"/>
      <c r="C182" s="119"/>
      <c r="D182" s="119"/>
      <c r="E182" s="119"/>
      <c r="F182" s="119"/>
      <c r="G182" s="119"/>
      <c r="H182" s="119"/>
      <c r="I182" s="120"/>
      <c r="J182" s="120"/>
      <c r="K182" s="120"/>
      <c r="L182" s="120"/>
      <c r="M182" s="120"/>
    </row>
    <row r="183">
      <c r="A183" s="119"/>
      <c r="B183" s="119"/>
      <c r="C183" s="119"/>
      <c r="D183" s="119"/>
      <c r="E183" s="119"/>
      <c r="F183" s="119"/>
      <c r="G183" s="119"/>
      <c r="H183" s="119"/>
      <c r="I183" s="133"/>
      <c r="J183" s="133"/>
      <c r="K183" s="133"/>
      <c r="L183" s="133"/>
      <c r="M183" s="133"/>
    </row>
    <row r="184">
      <c r="A184" s="119"/>
      <c r="B184" s="119"/>
      <c r="C184" s="119"/>
      <c r="D184" s="119"/>
      <c r="E184" s="119"/>
      <c r="F184" s="119"/>
      <c r="G184" s="119"/>
      <c r="H184" s="119"/>
      <c r="I184" s="120"/>
      <c r="J184" s="120"/>
      <c r="K184" s="120"/>
      <c r="L184" s="120"/>
      <c r="M184" s="120"/>
    </row>
    <row r="185">
      <c r="A185" s="119"/>
      <c r="B185" s="119"/>
      <c r="C185" s="119"/>
      <c r="D185" s="119"/>
      <c r="E185" s="119"/>
      <c r="F185" s="119"/>
      <c r="G185" s="119"/>
      <c r="H185" s="119"/>
      <c r="I185" s="133"/>
      <c r="J185" s="133"/>
      <c r="K185" s="133"/>
      <c r="L185" s="133"/>
      <c r="M185" s="133"/>
    </row>
    <row r="186">
      <c r="A186" s="119"/>
      <c r="B186" s="119"/>
      <c r="C186" s="119"/>
      <c r="D186" s="119"/>
      <c r="E186" s="119"/>
      <c r="F186" s="119"/>
      <c r="G186" s="119"/>
      <c r="H186" s="119"/>
      <c r="I186" s="120"/>
      <c r="J186" s="120"/>
      <c r="K186" s="120"/>
      <c r="L186" s="120"/>
      <c r="M186" s="120"/>
    </row>
    <row r="187">
      <c r="A187" s="119"/>
      <c r="B187" s="119"/>
      <c r="C187" s="119"/>
      <c r="D187" s="119"/>
      <c r="E187" s="119"/>
      <c r="F187" s="119"/>
      <c r="G187" s="119"/>
      <c r="H187" s="119"/>
      <c r="I187" s="133"/>
      <c r="J187" s="133"/>
      <c r="K187" s="133"/>
      <c r="L187" s="133"/>
      <c r="M187" s="133"/>
    </row>
    <row r="188">
      <c r="A188" s="119"/>
      <c r="B188" s="119"/>
      <c r="C188" s="119"/>
      <c r="D188" s="119"/>
      <c r="E188" s="119"/>
      <c r="F188" s="119"/>
      <c r="G188" s="119"/>
      <c r="H188" s="119"/>
      <c r="I188" s="120"/>
      <c r="J188" s="120"/>
      <c r="K188" s="120"/>
      <c r="L188" s="120"/>
      <c r="M188" s="120"/>
    </row>
    <row r="189">
      <c r="A189" s="119"/>
      <c r="B189" s="119"/>
      <c r="C189" s="119"/>
      <c r="D189" s="119"/>
      <c r="E189" s="119"/>
      <c r="F189" s="119"/>
      <c r="G189" s="119"/>
      <c r="H189" s="119"/>
      <c r="I189" s="133"/>
      <c r="J189" s="133"/>
      <c r="K189" s="133"/>
      <c r="L189" s="133"/>
      <c r="M189" s="133"/>
    </row>
    <row r="190">
      <c r="A190" s="119"/>
      <c r="B190" s="119"/>
      <c r="C190" s="119"/>
      <c r="D190" s="119"/>
      <c r="E190" s="119"/>
      <c r="F190" s="119"/>
      <c r="G190" s="119"/>
      <c r="H190" s="119"/>
      <c r="I190" s="120"/>
      <c r="J190" s="120"/>
      <c r="K190" s="120"/>
      <c r="L190" s="120"/>
      <c r="M190" s="120"/>
    </row>
    <row r="191">
      <c r="A191" s="119"/>
      <c r="B191" s="119"/>
      <c r="C191" s="119"/>
      <c r="D191" s="119"/>
      <c r="E191" s="119"/>
      <c r="F191" s="119"/>
      <c r="G191" s="119"/>
      <c r="H191" s="119"/>
      <c r="I191" s="133"/>
      <c r="J191" s="133"/>
      <c r="K191" s="133"/>
      <c r="L191" s="133"/>
      <c r="M191" s="133"/>
    </row>
    <row r="192">
      <c r="A192" s="119"/>
      <c r="B192" s="119"/>
      <c r="C192" s="119"/>
      <c r="D192" s="119"/>
      <c r="E192" s="119"/>
      <c r="F192" s="119"/>
      <c r="G192" s="119"/>
      <c r="H192" s="119"/>
      <c r="I192" s="120"/>
      <c r="J192" s="120"/>
      <c r="K192" s="120"/>
      <c r="L192" s="120"/>
      <c r="M192" s="120"/>
    </row>
    <row r="193">
      <c r="A193" s="119"/>
      <c r="B193" s="119"/>
      <c r="C193" s="119"/>
      <c r="D193" s="119"/>
      <c r="E193" s="119"/>
      <c r="F193" s="119"/>
      <c r="G193" s="119"/>
      <c r="H193" s="119"/>
      <c r="I193" s="133"/>
      <c r="J193" s="133"/>
      <c r="K193" s="133"/>
      <c r="L193" s="133"/>
      <c r="M193" s="133"/>
    </row>
    <row r="194">
      <c r="A194" s="119"/>
      <c r="B194" s="119"/>
      <c r="C194" s="119"/>
      <c r="D194" s="119"/>
      <c r="E194" s="119"/>
      <c r="F194" s="119"/>
      <c r="G194" s="119"/>
      <c r="H194" s="119"/>
      <c r="I194" s="120"/>
      <c r="J194" s="120"/>
      <c r="K194" s="120"/>
      <c r="L194" s="120"/>
      <c r="M194" s="120"/>
    </row>
    <row r="195">
      <c r="A195" s="119"/>
      <c r="B195" s="119"/>
      <c r="C195" s="119"/>
      <c r="D195" s="119"/>
      <c r="E195" s="119"/>
      <c r="F195" s="119"/>
      <c r="G195" s="119"/>
      <c r="H195" s="119"/>
      <c r="I195" s="133"/>
      <c r="J195" s="133"/>
      <c r="K195" s="133"/>
      <c r="L195" s="133"/>
      <c r="M195" s="133"/>
    </row>
    <row r="196">
      <c r="A196" s="119"/>
      <c r="B196" s="119"/>
      <c r="C196" s="119"/>
      <c r="D196" s="119"/>
      <c r="E196" s="119"/>
      <c r="F196" s="119"/>
      <c r="G196" s="119"/>
      <c r="H196" s="119"/>
      <c r="I196" s="120"/>
      <c r="J196" s="120"/>
      <c r="K196" s="120"/>
      <c r="L196" s="120"/>
      <c r="M196" s="120"/>
    </row>
    <row r="197">
      <c r="A197" s="119"/>
      <c r="B197" s="119"/>
      <c r="C197" s="119"/>
      <c r="D197" s="119"/>
      <c r="E197" s="119"/>
      <c r="F197" s="119"/>
      <c r="G197" s="119"/>
      <c r="H197" s="119"/>
      <c r="I197" s="133"/>
      <c r="J197" s="133"/>
      <c r="K197" s="133"/>
      <c r="L197" s="133"/>
      <c r="M197" s="133"/>
    </row>
    <row r="198">
      <c r="A198" s="119"/>
      <c r="B198" s="119"/>
      <c r="C198" s="119"/>
      <c r="D198" s="119"/>
      <c r="E198" s="119"/>
      <c r="F198" s="119"/>
      <c r="G198" s="119"/>
      <c r="H198" s="119"/>
      <c r="I198" s="120"/>
      <c r="J198" s="120"/>
      <c r="K198" s="120"/>
      <c r="L198" s="120"/>
      <c r="M198" s="120"/>
    </row>
    <row r="199">
      <c r="A199" s="119"/>
      <c r="B199" s="119"/>
      <c r="C199" s="119"/>
      <c r="D199" s="119"/>
      <c r="E199" s="119"/>
      <c r="F199" s="119"/>
      <c r="G199" s="119"/>
      <c r="H199" s="119"/>
      <c r="I199" s="133"/>
      <c r="J199" s="133"/>
      <c r="K199" s="133"/>
      <c r="L199" s="133"/>
      <c r="M199" s="133"/>
    </row>
    <row r="200">
      <c r="A200" s="119"/>
      <c r="B200" s="119"/>
      <c r="C200" s="119"/>
      <c r="D200" s="119"/>
      <c r="E200" s="119"/>
      <c r="F200" s="119"/>
      <c r="G200" s="119"/>
      <c r="H200" s="119"/>
      <c r="I200" s="120"/>
      <c r="J200" s="120"/>
      <c r="K200" s="120"/>
      <c r="L200" s="120"/>
      <c r="M200" s="120"/>
    </row>
    <row r="201">
      <c r="A201" s="119"/>
      <c r="B201" s="119"/>
      <c r="C201" s="119"/>
      <c r="D201" s="119"/>
      <c r="E201" s="119"/>
      <c r="F201" s="119"/>
      <c r="G201" s="119"/>
      <c r="H201" s="119"/>
      <c r="I201" s="133"/>
      <c r="J201" s="133"/>
      <c r="K201" s="133"/>
      <c r="L201" s="133"/>
      <c r="M201" s="133"/>
    </row>
    <row r="202">
      <c r="A202" s="119"/>
      <c r="B202" s="119"/>
      <c r="C202" s="119"/>
      <c r="D202" s="119"/>
      <c r="E202" s="119"/>
      <c r="F202" s="119"/>
      <c r="G202" s="119"/>
      <c r="H202" s="119"/>
      <c r="I202" s="120"/>
      <c r="J202" s="120"/>
      <c r="K202" s="120"/>
      <c r="L202" s="120"/>
      <c r="M202" s="120"/>
    </row>
    <row r="203">
      <c r="A203" s="119"/>
      <c r="B203" s="119"/>
      <c r="C203" s="119"/>
      <c r="D203" s="119"/>
      <c r="E203" s="119"/>
      <c r="F203" s="119"/>
      <c r="G203" s="119"/>
      <c r="H203" s="119"/>
      <c r="I203" s="133"/>
      <c r="J203" s="133"/>
      <c r="K203" s="133"/>
      <c r="L203" s="133"/>
      <c r="M203" s="133"/>
    </row>
    <row r="204">
      <c r="A204" s="119"/>
      <c r="B204" s="119"/>
      <c r="C204" s="119"/>
      <c r="D204" s="119"/>
      <c r="E204" s="119"/>
      <c r="F204" s="119"/>
      <c r="G204" s="119"/>
      <c r="H204" s="119"/>
      <c r="I204" s="120"/>
      <c r="J204" s="120"/>
      <c r="K204" s="120"/>
      <c r="L204" s="120"/>
      <c r="M204" s="120"/>
    </row>
    <row r="205">
      <c r="A205" s="119"/>
      <c r="B205" s="119"/>
      <c r="C205" s="119"/>
      <c r="D205" s="119"/>
      <c r="E205" s="119"/>
      <c r="F205" s="119"/>
      <c r="G205" s="119"/>
      <c r="H205" s="119"/>
      <c r="I205" s="133"/>
      <c r="J205" s="133"/>
      <c r="K205" s="133"/>
      <c r="L205" s="133"/>
      <c r="M205" s="133"/>
    </row>
    <row r="206">
      <c r="A206" s="119"/>
      <c r="B206" s="119"/>
      <c r="C206" s="119"/>
      <c r="D206" s="119"/>
      <c r="E206" s="119"/>
      <c r="F206" s="119"/>
      <c r="G206" s="119"/>
      <c r="H206" s="119"/>
      <c r="I206" s="120"/>
      <c r="J206" s="120"/>
      <c r="K206" s="120"/>
      <c r="L206" s="120"/>
      <c r="M206" s="120"/>
    </row>
    <row r="207">
      <c r="A207" s="119"/>
      <c r="B207" s="119"/>
      <c r="C207" s="119"/>
      <c r="D207" s="119"/>
      <c r="E207" s="119"/>
      <c r="F207" s="119"/>
      <c r="G207" s="119"/>
      <c r="H207" s="119"/>
      <c r="I207" s="133"/>
      <c r="J207" s="133"/>
      <c r="K207" s="133"/>
      <c r="L207" s="133"/>
      <c r="M207" s="133"/>
    </row>
    <row r="208">
      <c r="A208" s="119"/>
      <c r="B208" s="119"/>
      <c r="C208" s="119"/>
      <c r="D208" s="119"/>
      <c r="E208" s="119"/>
      <c r="F208" s="119"/>
      <c r="G208" s="119"/>
      <c r="H208" s="119"/>
      <c r="I208" s="120"/>
      <c r="J208" s="120"/>
      <c r="K208" s="120"/>
      <c r="L208" s="120"/>
      <c r="M208" s="120"/>
    </row>
    <row r="209">
      <c r="A209" s="119"/>
      <c r="B209" s="119"/>
      <c r="C209" s="119"/>
      <c r="D209" s="119"/>
      <c r="E209" s="119"/>
      <c r="F209" s="119"/>
      <c r="G209" s="119"/>
      <c r="H209" s="119"/>
      <c r="I209" s="133"/>
      <c r="J209" s="133"/>
      <c r="K209" s="133"/>
      <c r="L209" s="133"/>
      <c r="M209" s="133"/>
    </row>
    <row r="210">
      <c r="A210" s="119"/>
      <c r="B210" s="119"/>
      <c r="C210" s="119"/>
      <c r="D210" s="119"/>
      <c r="E210" s="119"/>
      <c r="F210" s="119"/>
      <c r="G210" s="119"/>
      <c r="H210" s="119"/>
      <c r="I210" s="120"/>
      <c r="J210" s="120"/>
      <c r="K210" s="120"/>
      <c r="L210" s="120"/>
      <c r="M210" s="120"/>
    </row>
    <row r="211">
      <c r="A211" s="119"/>
      <c r="B211" s="119"/>
      <c r="C211" s="119"/>
      <c r="D211" s="119"/>
      <c r="E211" s="119"/>
      <c r="F211" s="119"/>
      <c r="G211" s="119"/>
      <c r="H211" s="119"/>
      <c r="I211" s="133"/>
      <c r="J211" s="133"/>
      <c r="K211" s="133"/>
      <c r="L211" s="133"/>
      <c r="M211" s="133"/>
    </row>
    <row r="212">
      <c r="A212" s="119"/>
      <c r="B212" s="119"/>
      <c r="C212" s="119"/>
      <c r="D212" s="119"/>
      <c r="E212" s="119"/>
      <c r="F212" s="119"/>
      <c r="G212" s="119"/>
      <c r="H212" s="119"/>
      <c r="I212" s="120"/>
      <c r="J212" s="120"/>
      <c r="K212" s="120"/>
      <c r="L212" s="120"/>
      <c r="M212" s="120"/>
    </row>
    <row r="213">
      <c r="A213" s="119"/>
      <c r="B213" s="119"/>
      <c r="C213" s="119"/>
      <c r="D213" s="119"/>
      <c r="E213" s="119"/>
      <c r="F213" s="119"/>
      <c r="G213" s="119"/>
      <c r="H213" s="119"/>
      <c r="I213" s="133"/>
      <c r="J213" s="133"/>
      <c r="K213" s="133"/>
      <c r="L213" s="133"/>
      <c r="M213" s="133"/>
    </row>
    <row r="214">
      <c r="A214" s="119"/>
      <c r="B214" s="119"/>
      <c r="C214" s="119"/>
      <c r="D214" s="119"/>
      <c r="E214" s="119"/>
      <c r="F214" s="119"/>
      <c r="G214" s="119"/>
      <c r="H214" s="119"/>
      <c r="I214" s="120"/>
      <c r="J214" s="120"/>
      <c r="K214" s="120"/>
      <c r="L214" s="120"/>
      <c r="M214" s="120"/>
    </row>
    <row r="215">
      <c r="A215" s="119"/>
      <c r="B215" s="119"/>
      <c r="C215" s="119"/>
      <c r="D215" s="119"/>
      <c r="E215" s="119"/>
      <c r="F215" s="119"/>
      <c r="G215" s="119"/>
      <c r="H215" s="119"/>
      <c r="I215" s="133"/>
      <c r="J215" s="133"/>
      <c r="K215" s="133"/>
      <c r="L215" s="133"/>
      <c r="M215" s="133"/>
    </row>
    <row r="216">
      <c r="A216" s="119"/>
      <c r="B216" s="119"/>
      <c r="C216" s="119"/>
      <c r="D216" s="119"/>
      <c r="E216" s="119"/>
      <c r="F216" s="119"/>
      <c r="G216" s="119"/>
      <c r="H216" s="119"/>
      <c r="I216" s="120"/>
      <c r="J216" s="120"/>
      <c r="K216" s="120"/>
      <c r="L216" s="120"/>
      <c r="M216" s="120"/>
    </row>
    <row r="217">
      <c r="A217" s="119"/>
      <c r="B217" s="119"/>
      <c r="C217" s="119"/>
      <c r="D217" s="119"/>
      <c r="E217" s="119"/>
      <c r="F217" s="119"/>
      <c r="G217" s="119"/>
      <c r="H217" s="119"/>
      <c r="I217" s="133"/>
      <c r="J217" s="133"/>
      <c r="K217" s="133"/>
      <c r="L217" s="133"/>
      <c r="M217" s="133"/>
    </row>
    <row r="218">
      <c r="A218" s="119"/>
      <c r="B218" s="119"/>
      <c r="C218" s="119"/>
      <c r="D218" s="119"/>
      <c r="E218" s="119"/>
      <c r="F218" s="119"/>
      <c r="G218" s="119"/>
      <c r="H218" s="119"/>
      <c r="I218" s="120"/>
      <c r="J218" s="120"/>
      <c r="K218" s="120"/>
      <c r="L218" s="120"/>
      <c r="M218" s="120"/>
    </row>
    <row r="219">
      <c r="A219" s="119"/>
      <c r="B219" s="119"/>
      <c r="C219" s="119"/>
      <c r="D219" s="119"/>
      <c r="E219" s="119"/>
      <c r="F219" s="119"/>
      <c r="G219" s="119"/>
      <c r="H219" s="119"/>
      <c r="I219" s="133"/>
      <c r="J219" s="133"/>
      <c r="K219" s="133"/>
      <c r="L219" s="133"/>
      <c r="M219" s="133"/>
    </row>
    <row r="220">
      <c r="A220" s="119"/>
      <c r="B220" s="119"/>
      <c r="C220" s="119"/>
      <c r="D220" s="119"/>
      <c r="E220" s="119"/>
      <c r="F220" s="119"/>
      <c r="G220" s="119"/>
      <c r="H220" s="119"/>
      <c r="I220" s="120"/>
      <c r="J220" s="120"/>
      <c r="K220" s="120"/>
      <c r="L220" s="120"/>
      <c r="M220" s="120"/>
    </row>
    <row r="221">
      <c r="A221" s="119"/>
      <c r="B221" s="119"/>
      <c r="C221" s="119"/>
      <c r="D221" s="119"/>
      <c r="E221" s="119"/>
      <c r="F221" s="119"/>
      <c r="G221" s="119"/>
      <c r="H221" s="119"/>
      <c r="I221" s="133"/>
      <c r="J221" s="133"/>
      <c r="K221" s="133"/>
      <c r="L221" s="133"/>
      <c r="M221" s="133"/>
    </row>
    <row r="222">
      <c r="A222" s="119"/>
      <c r="B222" s="119"/>
      <c r="C222" s="119"/>
      <c r="D222" s="119"/>
      <c r="E222" s="119"/>
      <c r="F222" s="119"/>
      <c r="G222" s="119"/>
      <c r="H222" s="119"/>
      <c r="I222" s="120"/>
      <c r="J222" s="120"/>
      <c r="K222" s="120"/>
      <c r="L222" s="120"/>
      <c r="M222" s="120"/>
    </row>
    <row r="223">
      <c r="A223" s="119"/>
      <c r="B223" s="119"/>
      <c r="C223" s="119"/>
      <c r="D223" s="119"/>
      <c r="E223" s="119"/>
      <c r="F223" s="119"/>
      <c r="G223" s="119"/>
      <c r="H223" s="119"/>
      <c r="I223" s="133"/>
      <c r="J223" s="133"/>
      <c r="K223" s="133"/>
      <c r="L223" s="133"/>
      <c r="M223" s="133"/>
    </row>
    <row r="224">
      <c r="A224" s="119"/>
      <c r="B224" s="119"/>
      <c r="C224" s="119"/>
      <c r="D224" s="119"/>
      <c r="E224" s="119"/>
      <c r="F224" s="119"/>
      <c r="G224" s="119"/>
      <c r="H224" s="119"/>
      <c r="I224" s="120"/>
      <c r="J224" s="120"/>
      <c r="K224" s="120"/>
      <c r="L224" s="120"/>
      <c r="M224" s="120"/>
    </row>
    <row r="225">
      <c r="A225" s="119"/>
      <c r="B225" s="119"/>
      <c r="C225" s="119"/>
      <c r="D225" s="119"/>
      <c r="E225" s="119"/>
      <c r="F225" s="119"/>
      <c r="G225" s="119"/>
      <c r="H225" s="119"/>
      <c r="I225" s="133"/>
      <c r="J225" s="133"/>
      <c r="K225" s="133"/>
      <c r="L225" s="133"/>
      <c r="M225" s="133"/>
    </row>
    <row r="226">
      <c r="A226" s="119"/>
      <c r="B226" s="119"/>
      <c r="C226" s="119"/>
      <c r="D226" s="119"/>
      <c r="E226" s="119"/>
      <c r="F226" s="119"/>
      <c r="G226" s="119"/>
      <c r="H226" s="119"/>
      <c r="I226" s="120"/>
      <c r="J226" s="120"/>
      <c r="K226" s="120"/>
      <c r="L226" s="120"/>
      <c r="M226" s="120"/>
    </row>
    <row r="227">
      <c r="A227" s="119"/>
      <c r="B227" s="119"/>
      <c r="C227" s="119"/>
      <c r="D227" s="119"/>
      <c r="E227" s="119"/>
      <c r="F227" s="119"/>
      <c r="G227" s="119"/>
      <c r="H227" s="119"/>
      <c r="I227" s="133"/>
      <c r="J227" s="133"/>
      <c r="K227" s="133"/>
      <c r="L227" s="133"/>
      <c r="M227" s="133"/>
    </row>
    <row r="228">
      <c r="A228" s="119"/>
      <c r="B228" s="119"/>
      <c r="C228" s="119"/>
      <c r="D228" s="119"/>
      <c r="E228" s="119"/>
      <c r="F228" s="119"/>
      <c r="G228" s="119"/>
      <c r="H228" s="119"/>
      <c r="I228" s="120"/>
      <c r="J228" s="120"/>
      <c r="K228" s="120"/>
      <c r="L228" s="120"/>
      <c r="M228" s="120"/>
    </row>
    <row r="229">
      <c r="A229" s="119"/>
      <c r="B229" s="119"/>
      <c r="C229" s="119"/>
      <c r="D229" s="119"/>
      <c r="E229" s="119"/>
      <c r="F229" s="119"/>
      <c r="G229" s="119"/>
      <c r="H229" s="119"/>
      <c r="I229" s="133"/>
      <c r="J229" s="133"/>
      <c r="K229" s="133"/>
      <c r="L229" s="133"/>
      <c r="M229" s="133"/>
    </row>
    <row r="230">
      <c r="A230" s="119"/>
      <c r="B230" s="119"/>
      <c r="C230" s="119"/>
      <c r="D230" s="119"/>
      <c r="E230" s="119"/>
      <c r="F230" s="119"/>
      <c r="G230" s="119"/>
      <c r="H230" s="119"/>
      <c r="I230" s="120"/>
      <c r="J230" s="120"/>
      <c r="K230" s="120"/>
      <c r="L230" s="120"/>
      <c r="M230" s="120"/>
    </row>
    <row r="231">
      <c r="A231" s="119"/>
      <c r="B231" s="119"/>
      <c r="C231" s="119"/>
      <c r="D231" s="119"/>
      <c r="E231" s="119"/>
      <c r="F231" s="119"/>
      <c r="G231" s="119"/>
      <c r="H231" s="119"/>
      <c r="I231" s="133"/>
      <c r="J231" s="133"/>
      <c r="K231" s="133"/>
      <c r="L231" s="133"/>
      <c r="M231" s="133"/>
    </row>
    <row r="232">
      <c r="A232" s="119"/>
      <c r="B232" s="119"/>
      <c r="C232" s="119"/>
      <c r="D232" s="119"/>
      <c r="E232" s="119"/>
      <c r="F232" s="119"/>
      <c r="G232" s="119"/>
      <c r="H232" s="119"/>
      <c r="I232" s="120"/>
      <c r="J232" s="120"/>
      <c r="K232" s="120"/>
      <c r="L232" s="120"/>
      <c r="M232" s="120"/>
    </row>
    <row r="233">
      <c r="A233" s="119"/>
      <c r="B233" s="119"/>
      <c r="C233" s="119"/>
      <c r="D233" s="119"/>
      <c r="E233" s="119"/>
      <c r="F233" s="119"/>
      <c r="G233" s="119"/>
      <c r="H233" s="119"/>
      <c r="I233" s="133"/>
      <c r="J233" s="133"/>
      <c r="K233" s="133"/>
      <c r="L233" s="133"/>
      <c r="M233" s="133"/>
    </row>
    <row r="234">
      <c r="A234" s="119"/>
      <c r="B234" s="119"/>
      <c r="C234" s="119"/>
      <c r="D234" s="119"/>
      <c r="E234" s="119"/>
      <c r="F234" s="119"/>
      <c r="G234" s="119"/>
      <c r="H234" s="119"/>
      <c r="I234" s="120"/>
      <c r="J234" s="120"/>
      <c r="K234" s="120"/>
      <c r="L234" s="120"/>
      <c r="M234" s="120"/>
    </row>
    <row r="235">
      <c r="A235" s="119"/>
      <c r="B235" s="119"/>
      <c r="C235" s="119"/>
      <c r="D235" s="119"/>
      <c r="E235" s="119"/>
      <c r="F235" s="119"/>
      <c r="G235" s="119"/>
      <c r="H235" s="119"/>
      <c r="I235" s="133"/>
      <c r="J235" s="133"/>
      <c r="K235" s="133"/>
      <c r="L235" s="133"/>
      <c r="M235" s="133"/>
    </row>
    <row r="236">
      <c r="A236" s="119"/>
      <c r="B236" s="119"/>
      <c r="C236" s="119"/>
      <c r="D236" s="119"/>
      <c r="E236" s="119"/>
      <c r="F236" s="119"/>
      <c r="G236" s="119"/>
      <c r="H236" s="119"/>
      <c r="I236" s="120"/>
      <c r="J236" s="120"/>
      <c r="K236" s="120"/>
      <c r="L236" s="120"/>
      <c r="M236" s="120"/>
    </row>
    <row r="237">
      <c r="A237" s="119"/>
      <c r="B237" s="119"/>
      <c r="C237" s="119"/>
      <c r="D237" s="119"/>
      <c r="E237" s="119"/>
      <c r="F237" s="119"/>
      <c r="G237" s="119"/>
      <c r="H237" s="119"/>
      <c r="I237" s="133"/>
      <c r="J237" s="133"/>
      <c r="K237" s="133"/>
      <c r="L237" s="133"/>
      <c r="M237" s="133"/>
    </row>
    <row r="238">
      <c r="A238" s="119"/>
      <c r="B238" s="119"/>
      <c r="C238" s="119"/>
      <c r="D238" s="119"/>
      <c r="E238" s="119"/>
      <c r="F238" s="119"/>
      <c r="G238" s="119"/>
      <c r="H238" s="119"/>
      <c r="I238" s="120"/>
      <c r="J238" s="120"/>
      <c r="K238" s="120"/>
      <c r="L238" s="120"/>
      <c r="M238" s="120"/>
    </row>
    <row r="239">
      <c r="A239" s="119"/>
      <c r="B239" s="119"/>
      <c r="C239" s="119"/>
      <c r="D239" s="119"/>
      <c r="E239" s="119"/>
      <c r="F239" s="119"/>
      <c r="G239" s="119"/>
      <c r="H239" s="119"/>
      <c r="I239" s="133"/>
      <c r="J239" s="133"/>
      <c r="K239" s="133"/>
      <c r="L239" s="133"/>
      <c r="M239" s="133"/>
    </row>
    <row r="240">
      <c r="A240" s="119"/>
      <c r="B240" s="119"/>
      <c r="C240" s="119"/>
      <c r="D240" s="119"/>
      <c r="E240" s="119"/>
      <c r="F240" s="119"/>
      <c r="G240" s="119"/>
      <c r="H240" s="119"/>
      <c r="I240" s="120"/>
      <c r="J240" s="120"/>
      <c r="K240" s="120"/>
      <c r="L240" s="120"/>
      <c r="M240" s="120"/>
    </row>
    <row r="241">
      <c r="A241" s="119"/>
      <c r="B241" s="119"/>
      <c r="C241" s="119"/>
      <c r="D241" s="119"/>
      <c r="E241" s="119"/>
      <c r="F241" s="119"/>
      <c r="G241" s="119"/>
      <c r="H241" s="119"/>
      <c r="I241" s="133"/>
      <c r="J241" s="133"/>
      <c r="K241" s="133"/>
      <c r="L241" s="133"/>
      <c r="M241" s="133"/>
    </row>
    <row r="242">
      <c r="A242" s="119"/>
      <c r="B242" s="119"/>
      <c r="C242" s="119"/>
      <c r="D242" s="119"/>
      <c r="E242" s="119"/>
      <c r="F242" s="119"/>
      <c r="G242" s="119"/>
      <c r="H242" s="119"/>
      <c r="I242" s="120"/>
      <c r="J242" s="120"/>
      <c r="K242" s="120"/>
      <c r="L242" s="120"/>
      <c r="M242" s="120"/>
    </row>
    <row r="243">
      <c r="A243" s="119"/>
      <c r="B243" s="119"/>
      <c r="C243" s="119"/>
      <c r="D243" s="119"/>
      <c r="E243" s="119"/>
      <c r="F243" s="119"/>
      <c r="G243" s="119"/>
      <c r="H243" s="119"/>
      <c r="I243" s="133"/>
      <c r="J243" s="133"/>
      <c r="K243" s="133"/>
      <c r="L243" s="133"/>
      <c r="M243" s="133"/>
    </row>
    <row r="244">
      <c r="A244" s="119"/>
      <c r="B244" s="119"/>
      <c r="C244" s="119"/>
      <c r="D244" s="119"/>
      <c r="E244" s="119"/>
      <c r="F244" s="119"/>
      <c r="G244" s="119"/>
      <c r="H244" s="119"/>
      <c r="I244" s="120"/>
      <c r="J244" s="120"/>
      <c r="K244" s="120"/>
      <c r="L244" s="120"/>
      <c r="M244" s="120"/>
    </row>
    <row r="245">
      <c r="A245" s="119"/>
      <c r="B245" s="119"/>
      <c r="C245" s="119"/>
      <c r="D245" s="119"/>
      <c r="E245" s="119"/>
      <c r="F245" s="119"/>
      <c r="G245" s="119"/>
      <c r="H245" s="119"/>
      <c r="I245" s="133"/>
      <c r="J245" s="133"/>
      <c r="K245" s="133"/>
      <c r="L245" s="133"/>
      <c r="M245" s="133"/>
    </row>
    <row r="246">
      <c r="A246" s="119"/>
      <c r="B246" s="119"/>
      <c r="C246" s="119"/>
      <c r="D246" s="119"/>
      <c r="E246" s="119"/>
      <c r="F246" s="119"/>
      <c r="G246" s="119"/>
      <c r="H246" s="119"/>
      <c r="I246" s="120"/>
      <c r="J246" s="120"/>
      <c r="K246" s="120"/>
      <c r="L246" s="120"/>
      <c r="M246" s="120"/>
    </row>
    <row r="247">
      <c r="A247" s="119"/>
      <c r="B247" s="119"/>
      <c r="C247" s="119"/>
      <c r="D247" s="119"/>
      <c r="E247" s="119"/>
      <c r="F247" s="119"/>
      <c r="G247" s="119"/>
      <c r="H247" s="119"/>
      <c r="I247" s="133"/>
      <c r="J247" s="133"/>
      <c r="K247" s="133"/>
      <c r="L247" s="133"/>
      <c r="M247" s="133"/>
    </row>
    <row r="248">
      <c r="A248" s="119"/>
      <c r="B248" s="119"/>
      <c r="C248" s="119"/>
      <c r="D248" s="119"/>
      <c r="E248" s="119"/>
      <c r="F248" s="119"/>
      <c r="G248" s="119"/>
      <c r="H248" s="119"/>
      <c r="I248" s="120"/>
      <c r="J248" s="120"/>
      <c r="K248" s="120"/>
      <c r="L248" s="120"/>
      <c r="M248" s="120"/>
    </row>
    <row r="249">
      <c r="A249" s="119"/>
      <c r="B249" s="119"/>
      <c r="C249" s="119"/>
      <c r="D249" s="119"/>
      <c r="E249" s="119"/>
      <c r="F249" s="119"/>
      <c r="G249" s="119"/>
      <c r="H249" s="119"/>
      <c r="I249" s="133"/>
      <c r="J249" s="133"/>
      <c r="K249" s="133"/>
      <c r="L249" s="133"/>
      <c r="M249" s="133"/>
    </row>
    <row r="250">
      <c r="A250" s="119"/>
      <c r="B250" s="119"/>
      <c r="C250" s="119"/>
      <c r="D250" s="119"/>
      <c r="E250" s="119"/>
      <c r="F250" s="119"/>
      <c r="G250" s="119"/>
      <c r="H250" s="119"/>
      <c r="I250" s="120"/>
      <c r="J250" s="120"/>
      <c r="K250" s="120"/>
      <c r="L250" s="120"/>
      <c r="M250" s="120"/>
    </row>
    <row r="251">
      <c r="A251" s="119"/>
      <c r="B251" s="119"/>
      <c r="C251" s="119"/>
      <c r="D251" s="119"/>
      <c r="E251" s="119"/>
      <c r="F251" s="119"/>
      <c r="G251" s="119"/>
      <c r="H251" s="119"/>
      <c r="I251" s="133"/>
      <c r="J251" s="133"/>
      <c r="K251" s="133"/>
      <c r="L251" s="133"/>
      <c r="M251" s="133"/>
    </row>
    <row r="252">
      <c r="A252" s="119"/>
      <c r="B252" s="119"/>
      <c r="C252" s="119"/>
      <c r="D252" s="119"/>
      <c r="E252" s="119"/>
      <c r="F252" s="119"/>
      <c r="G252" s="119"/>
      <c r="H252" s="119"/>
      <c r="I252" s="120"/>
      <c r="J252" s="120"/>
      <c r="K252" s="120"/>
      <c r="L252" s="120"/>
      <c r="M252" s="120"/>
    </row>
    <row r="253">
      <c r="A253" s="119"/>
      <c r="B253" s="119"/>
      <c r="C253" s="119"/>
      <c r="D253" s="119"/>
      <c r="E253" s="119"/>
      <c r="F253" s="119"/>
      <c r="G253" s="119"/>
      <c r="H253" s="119"/>
      <c r="I253" s="133"/>
      <c r="J253" s="133"/>
      <c r="K253" s="133"/>
      <c r="L253" s="133"/>
      <c r="M253" s="133"/>
    </row>
    <row r="254">
      <c r="A254" s="119"/>
      <c r="B254" s="119"/>
      <c r="C254" s="119"/>
      <c r="D254" s="119"/>
      <c r="E254" s="119"/>
      <c r="F254" s="119"/>
      <c r="G254" s="119"/>
      <c r="H254" s="119"/>
      <c r="I254" s="120"/>
      <c r="J254" s="120"/>
      <c r="K254" s="120"/>
      <c r="L254" s="120"/>
      <c r="M254" s="120"/>
    </row>
    <row r="255">
      <c r="A255" s="119"/>
      <c r="B255" s="119"/>
      <c r="C255" s="119"/>
      <c r="D255" s="119"/>
      <c r="E255" s="119"/>
      <c r="F255" s="119"/>
      <c r="G255" s="119"/>
      <c r="H255" s="119"/>
      <c r="I255" s="133"/>
      <c r="J255" s="133"/>
      <c r="K255" s="133"/>
      <c r="L255" s="133"/>
      <c r="M255" s="133"/>
    </row>
    <row r="256">
      <c r="A256" s="119"/>
      <c r="B256" s="119"/>
      <c r="C256" s="119"/>
      <c r="D256" s="119"/>
      <c r="E256" s="119"/>
      <c r="F256" s="119"/>
      <c r="G256" s="119"/>
      <c r="H256" s="119"/>
      <c r="I256" s="120"/>
      <c r="J256" s="120"/>
      <c r="K256" s="120"/>
      <c r="L256" s="120"/>
      <c r="M256" s="120"/>
    </row>
    <row r="257">
      <c r="A257" s="119"/>
      <c r="B257" s="119"/>
      <c r="C257" s="119"/>
      <c r="D257" s="119"/>
      <c r="E257" s="119"/>
      <c r="F257" s="119"/>
      <c r="G257" s="119"/>
      <c r="H257" s="119"/>
      <c r="I257" s="133"/>
      <c r="J257" s="133"/>
      <c r="K257" s="133"/>
      <c r="L257" s="133"/>
      <c r="M257" s="133"/>
    </row>
    <row r="258">
      <c r="A258" s="119"/>
      <c r="B258" s="119"/>
      <c r="C258" s="119"/>
      <c r="D258" s="119"/>
      <c r="E258" s="119"/>
      <c r="F258" s="119"/>
      <c r="G258" s="119"/>
      <c r="H258" s="119"/>
      <c r="I258" s="120"/>
      <c r="J258" s="120"/>
      <c r="K258" s="120"/>
      <c r="L258" s="120"/>
      <c r="M258" s="120"/>
    </row>
    <row r="259">
      <c r="A259" s="119"/>
      <c r="B259" s="119"/>
      <c r="C259" s="119"/>
      <c r="D259" s="119"/>
      <c r="E259" s="119"/>
      <c r="F259" s="119"/>
      <c r="G259" s="119"/>
      <c r="H259" s="119"/>
      <c r="I259" s="133"/>
      <c r="J259" s="133"/>
      <c r="K259" s="133"/>
      <c r="L259" s="133"/>
      <c r="M259" s="133"/>
    </row>
    <row r="260">
      <c r="A260" s="119"/>
      <c r="B260" s="119"/>
      <c r="C260" s="119"/>
      <c r="D260" s="119"/>
      <c r="E260" s="119"/>
      <c r="F260" s="119"/>
      <c r="G260" s="119"/>
      <c r="H260" s="119"/>
      <c r="I260" s="120"/>
      <c r="J260" s="120"/>
      <c r="K260" s="120"/>
      <c r="L260" s="120"/>
      <c r="M260" s="120"/>
    </row>
    <row r="261">
      <c r="A261" s="119"/>
      <c r="B261" s="119"/>
      <c r="C261" s="119"/>
      <c r="D261" s="119"/>
      <c r="E261" s="119"/>
      <c r="F261" s="119"/>
      <c r="G261" s="119"/>
      <c r="H261" s="119"/>
      <c r="I261" s="133"/>
      <c r="J261" s="133"/>
      <c r="K261" s="133"/>
      <c r="L261" s="133"/>
      <c r="M261" s="133"/>
    </row>
    <row r="262">
      <c r="A262" s="119"/>
      <c r="B262" s="119"/>
      <c r="C262" s="119"/>
      <c r="D262" s="119"/>
      <c r="E262" s="119"/>
      <c r="F262" s="119"/>
      <c r="G262" s="119"/>
      <c r="H262" s="119"/>
      <c r="I262" s="120"/>
      <c r="J262" s="120"/>
      <c r="K262" s="120"/>
      <c r="L262" s="120"/>
      <c r="M262" s="120"/>
    </row>
    <row r="263">
      <c r="A263" s="119"/>
      <c r="B263" s="119"/>
      <c r="C263" s="119"/>
      <c r="D263" s="119"/>
      <c r="E263" s="119"/>
      <c r="F263" s="119"/>
      <c r="G263" s="119"/>
      <c r="H263" s="119"/>
      <c r="I263" s="133"/>
      <c r="J263" s="133"/>
      <c r="K263" s="133"/>
      <c r="L263" s="133"/>
      <c r="M263" s="133"/>
    </row>
    <row r="264">
      <c r="A264" s="119"/>
      <c r="B264" s="119"/>
      <c r="C264" s="119"/>
      <c r="D264" s="119"/>
      <c r="E264" s="119"/>
      <c r="F264" s="119"/>
      <c r="G264" s="119"/>
      <c r="H264" s="119"/>
      <c r="I264" s="120"/>
      <c r="J264" s="120"/>
      <c r="K264" s="120"/>
      <c r="L264" s="120"/>
      <c r="M264" s="120"/>
    </row>
    <row r="265">
      <c r="A265" s="119"/>
      <c r="B265" s="119"/>
      <c r="C265" s="119"/>
      <c r="D265" s="119"/>
      <c r="E265" s="119"/>
      <c r="F265" s="119"/>
      <c r="G265" s="119"/>
      <c r="H265" s="119"/>
      <c r="I265" s="133"/>
      <c r="J265" s="133"/>
      <c r="K265" s="133"/>
      <c r="L265" s="133"/>
      <c r="M265" s="133"/>
    </row>
    <row r="266">
      <c r="A266" s="119"/>
      <c r="B266" s="119"/>
      <c r="C266" s="119"/>
      <c r="D266" s="119"/>
      <c r="E266" s="119"/>
      <c r="F266" s="119"/>
      <c r="G266" s="119"/>
      <c r="H266" s="119"/>
      <c r="I266" s="120"/>
      <c r="J266" s="120"/>
      <c r="K266" s="120"/>
      <c r="L266" s="120"/>
      <c r="M266" s="120"/>
    </row>
    <row r="267">
      <c r="A267" s="119"/>
      <c r="B267" s="119"/>
      <c r="C267" s="119"/>
      <c r="D267" s="119"/>
      <c r="E267" s="119"/>
      <c r="F267" s="119"/>
      <c r="G267" s="119"/>
      <c r="H267" s="119"/>
      <c r="I267" s="133"/>
      <c r="J267" s="133"/>
      <c r="K267" s="133"/>
      <c r="L267" s="133"/>
      <c r="M267" s="133"/>
    </row>
    <row r="268">
      <c r="A268" s="119"/>
      <c r="B268" s="119"/>
      <c r="C268" s="119"/>
      <c r="D268" s="119"/>
      <c r="E268" s="119"/>
      <c r="F268" s="119"/>
      <c r="G268" s="119"/>
      <c r="H268" s="119"/>
      <c r="I268" s="120"/>
      <c r="J268" s="120"/>
      <c r="K268" s="120"/>
      <c r="L268" s="120"/>
      <c r="M268" s="120"/>
    </row>
    <row r="269">
      <c r="A269" s="119"/>
      <c r="B269" s="119"/>
      <c r="C269" s="119"/>
      <c r="D269" s="119"/>
      <c r="E269" s="119"/>
      <c r="F269" s="119"/>
      <c r="G269" s="119"/>
      <c r="H269" s="119"/>
      <c r="I269" s="133"/>
      <c r="J269" s="133"/>
      <c r="K269" s="133"/>
      <c r="L269" s="133"/>
      <c r="M269" s="133"/>
    </row>
    <row r="270">
      <c r="A270" s="119"/>
      <c r="B270" s="119"/>
      <c r="C270" s="119"/>
      <c r="D270" s="119"/>
      <c r="E270" s="119"/>
      <c r="F270" s="119"/>
      <c r="G270" s="119"/>
      <c r="H270" s="119"/>
      <c r="I270" s="120"/>
      <c r="J270" s="120"/>
      <c r="K270" s="120"/>
      <c r="L270" s="120"/>
      <c r="M270" s="120"/>
    </row>
    <row r="271">
      <c r="A271" s="119"/>
      <c r="B271" s="119"/>
      <c r="C271" s="119"/>
      <c r="D271" s="119"/>
      <c r="E271" s="119"/>
      <c r="F271" s="119"/>
      <c r="G271" s="119"/>
      <c r="H271" s="119"/>
      <c r="I271" s="133"/>
      <c r="J271" s="133"/>
      <c r="K271" s="133"/>
      <c r="L271" s="133"/>
      <c r="M271" s="133"/>
    </row>
    <row r="272">
      <c r="A272" s="119"/>
      <c r="B272" s="119"/>
      <c r="C272" s="119"/>
      <c r="D272" s="119"/>
      <c r="E272" s="119"/>
      <c r="F272" s="119"/>
      <c r="G272" s="119"/>
      <c r="H272" s="119"/>
      <c r="I272" s="120"/>
      <c r="J272" s="120"/>
      <c r="K272" s="120"/>
      <c r="L272" s="120"/>
      <c r="M272" s="120"/>
    </row>
    <row r="273">
      <c r="A273" s="119"/>
      <c r="B273" s="119"/>
      <c r="C273" s="119"/>
      <c r="D273" s="119"/>
      <c r="E273" s="119"/>
      <c r="F273" s="119"/>
      <c r="G273" s="119"/>
      <c r="H273" s="119"/>
      <c r="I273" s="133"/>
      <c r="J273" s="133"/>
      <c r="K273" s="133"/>
      <c r="L273" s="133"/>
      <c r="M273" s="133"/>
    </row>
    <row r="274">
      <c r="A274" s="119"/>
      <c r="B274" s="119"/>
      <c r="C274" s="119"/>
      <c r="D274" s="119"/>
      <c r="E274" s="119"/>
      <c r="F274" s="119"/>
      <c r="G274" s="119"/>
      <c r="H274" s="119"/>
      <c r="I274" s="120"/>
      <c r="J274" s="120"/>
      <c r="K274" s="120"/>
      <c r="L274" s="120"/>
      <c r="M274" s="120"/>
    </row>
    <row r="275">
      <c r="A275" s="119"/>
      <c r="B275" s="119"/>
      <c r="C275" s="119"/>
      <c r="D275" s="119"/>
      <c r="E275" s="119"/>
      <c r="F275" s="119"/>
      <c r="G275" s="119"/>
      <c r="H275" s="119"/>
      <c r="I275" s="133"/>
      <c r="J275" s="133"/>
      <c r="K275" s="133"/>
      <c r="L275" s="133"/>
      <c r="M275" s="133"/>
    </row>
    <row r="276">
      <c r="A276" s="119"/>
      <c r="B276" s="119"/>
      <c r="C276" s="119"/>
      <c r="D276" s="119"/>
      <c r="E276" s="119"/>
      <c r="F276" s="119"/>
      <c r="G276" s="119"/>
      <c r="H276" s="119"/>
      <c r="I276" s="120"/>
      <c r="J276" s="120"/>
      <c r="K276" s="120"/>
      <c r="L276" s="120"/>
      <c r="M276" s="120"/>
    </row>
    <row r="277">
      <c r="A277" s="119"/>
      <c r="B277" s="119"/>
      <c r="C277" s="119"/>
      <c r="D277" s="119"/>
      <c r="E277" s="119"/>
      <c r="F277" s="119"/>
      <c r="G277" s="119"/>
      <c r="H277" s="119"/>
      <c r="I277" s="133"/>
      <c r="J277" s="133"/>
      <c r="K277" s="133"/>
      <c r="L277" s="133"/>
      <c r="M277" s="133"/>
    </row>
    <row r="278">
      <c r="A278" s="119"/>
      <c r="B278" s="119"/>
      <c r="C278" s="119"/>
      <c r="D278" s="119"/>
      <c r="E278" s="119"/>
      <c r="F278" s="119"/>
      <c r="G278" s="119"/>
      <c r="H278" s="119"/>
      <c r="I278" s="120"/>
      <c r="J278" s="120"/>
      <c r="K278" s="120"/>
      <c r="L278" s="120"/>
      <c r="M278" s="120"/>
    </row>
    <row r="279">
      <c r="A279" s="119"/>
      <c r="B279" s="119"/>
      <c r="C279" s="119"/>
      <c r="D279" s="119"/>
      <c r="E279" s="119"/>
      <c r="F279" s="119"/>
      <c r="G279" s="119"/>
      <c r="H279" s="119"/>
      <c r="I279" s="133"/>
      <c r="J279" s="133"/>
      <c r="K279" s="133"/>
      <c r="L279" s="133"/>
      <c r="M279" s="133"/>
    </row>
    <row r="280">
      <c r="A280" s="119"/>
      <c r="B280" s="119"/>
      <c r="C280" s="119"/>
      <c r="D280" s="119"/>
      <c r="E280" s="119"/>
      <c r="F280" s="119"/>
      <c r="G280" s="119"/>
      <c r="H280" s="119"/>
      <c r="I280" s="120"/>
      <c r="J280" s="120"/>
      <c r="K280" s="120"/>
      <c r="L280" s="120"/>
      <c r="M280" s="120"/>
    </row>
    <row r="281">
      <c r="A281" s="119"/>
      <c r="B281" s="119"/>
      <c r="C281" s="119"/>
      <c r="D281" s="119"/>
      <c r="E281" s="119"/>
      <c r="F281" s="119"/>
      <c r="G281" s="119"/>
      <c r="H281" s="119"/>
      <c r="I281" s="133"/>
      <c r="J281" s="133"/>
      <c r="K281" s="133"/>
      <c r="L281" s="133"/>
      <c r="M281" s="133"/>
    </row>
    <row r="282">
      <c r="A282" s="119"/>
      <c r="B282" s="119"/>
      <c r="C282" s="119"/>
      <c r="D282" s="119"/>
      <c r="E282" s="119"/>
      <c r="F282" s="119"/>
      <c r="G282" s="119"/>
      <c r="H282" s="119"/>
      <c r="I282" s="120"/>
      <c r="J282" s="120"/>
      <c r="K282" s="120"/>
      <c r="L282" s="120"/>
      <c r="M282" s="120"/>
    </row>
    <row r="283">
      <c r="A283" s="119"/>
      <c r="B283" s="119"/>
      <c r="C283" s="119"/>
      <c r="D283" s="119"/>
      <c r="E283" s="119"/>
      <c r="F283" s="119"/>
      <c r="G283" s="119"/>
      <c r="H283" s="119"/>
      <c r="I283" s="133"/>
      <c r="J283" s="133"/>
      <c r="K283" s="133"/>
      <c r="L283" s="133"/>
      <c r="M283" s="133"/>
    </row>
    <row r="284">
      <c r="A284" s="119"/>
      <c r="B284" s="119"/>
      <c r="C284" s="119"/>
      <c r="D284" s="119"/>
      <c r="E284" s="119"/>
      <c r="F284" s="119"/>
      <c r="G284" s="119"/>
      <c r="H284" s="119"/>
      <c r="I284" s="120"/>
      <c r="J284" s="120"/>
      <c r="K284" s="120"/>
      <c r="L284" s="120"/>
      <c r="M284" s="120"/>
    </row>
    <row r="285">
      <c r="A285" s="119"/>
      <c r="B285" s="119"/>
      <c r="C285" s="119"/>
      <c r="D285" s="119"/>
      <c r="E285" s="119"/>
      <c r="F285" s="119"/>
      <c r="G285" s="119"/>
      <c r="H285" s="119"/>
      <c r="I285" s="133"/>
      <c r="J285" s="133"/>
      <c r="K285" s="133"/>
      <c r="L285" s="133"/>
      <c r="M285" s="133"/>
    </row>
    <row r="286">
      <c r="A286" s="119"/>
      <c r="B286" s="119"/>
      <c r="C286" s="119"/>
      <c r="D286" s="119"/>
      <c r="E286" s="119"/>
      <c r="F286" s="119"/>
      <c r="G286" s="119"/>
      <c r="H286" s="119"/>
      <c r="I286" s="120"/>
      <c r="J286" s="120"/>
      <c r="K286" s="120"/>
      <c r="L286" s="120"/>
      <c r="M286" s="120"/>
    </row>
    <row r="287">
      <c r="A287" s="119"/>
      <c r="B287" s="119"/>
      <c r="C287" s="119"/>
      <c r="D287" s="119"/>
      <c r="E287" s="119"/>
      <c r="F287" s="119"/>
      <c r="G287" s="119"/>
      <c r="H287" s="119"/>
      <c r="I287" s="133"/>
      <c r="J287" s="133"/>
      <c r="K287" s="133"/>
      <c r="L287" s="133"/>
      <c r="M287" s="133"/>
    </row>
    <row r="288">
      <c r="A288" s="119"/>
      <c r="B288" s="119"/>
      <c r="C288" s="119"/>
      <c r="D288" s="119"/>
      <c r="E288" s="119"/>
      <c r="F288" s="119"/>
      <c r="G288" s="119"/>
      <c r="H288" s="119"/>
      <c r="I288" s="120"/>
      <c r="J288" s="120"/>
      <c r="K288" s="120"/>
      <c r="L288" s="120"/>
      <c r="M288" s="120"/>
    </row>
    <row r="289">
      <c r="A289" s="119"/>
      <c r="B289" s="119"/>
      <c r="C289" s="119"/>
      <c r="D289" s="119"/>
      <c r="E289" s="119"/>
      <c r="F289" s="119"/>
      <c r="G289" s="119"/>
      <c r="H289" s="119"/>
      <c r="I289" s="133"/>
      <c r="J289" s="133"/>
      <c r="K289" s="133"/>
      <c r="L289" s="133"/>
      <c r="M289" s="133"/>
    </row>
    <row r="290">
      <c r="A290" s="119"/>
      <c r="B290" s="119"/>
      <c r="C290" s="119"/>
      <c r="D290" s="119"/>
      <c r="E290" s="119"/>
      <c r="F290" s="119"/>
      <c r="G290" s="119"/>
      <c r="H290" s="119"/>
      <c r="I290" s="120"/>
      <c r="J290" s="120"/>
      <c r="K290" s="120"/>
      <c r="L290" s="120"/>
      <c r="M290" s="120"/>
    </row>
    <row r="291">
      <c r="A291" s="119"/>
      <c r="B291" s="119"/>
      <c r="C291" s="119"/>
      <c r="D291" s="119"/>
      <c r="E291" s="119"/>
      <c r="F291" s="119"/>
      <c r="G291" s="119"/>
      <c r="H291" s="119"/>
      <c r="I291" s="133"/>
      <c r="J291" s="133"/>
      <c r="K291" s="133"/>
      <c r="L291" s="133"/>
      <c r="M291" s="133"/>
    </row>
    <row r="292">
      <c r="A292" s="119"/>
      <c r="B292" s="119"/>
      <c r="C292" s="119"/>
      <c r="D292" s="119"/>
      <c r="E292" s="119"/>
      <c r="F292" s="119"/>
      <c r="G292" s="119"/>
      <c r="H292" s="119"/>
      <c r="I292" s="120"/>
      <c r="J292" s="120"/>
      <c r="K292" s="120"/>
      <c r="L292" s="120"/>
      <c r="M292" s="120"/>
    </row>
    <row r="293">
      <c r="A293" s="119"/>
      <c r="B293" s="119"/>
      <c r="C293" s="119"/>
      <c r="D293" s="119"/>
      <c r="E293" s="119"/>
      <c r="F293" s="119"/>
      <c r="G293" s="119"/>
      <c r="H293" s="119"/>
      <c r="I293" s="133"/>
      <c r="J293" s="133"/>
      <c r="K293" s="133"/>
      <c r="L293" s="133"/>
      <c r="M293" s="133"/>
    </row>
    <row r="294">
      <c r="A294" s="119"/>
      <c r="B294" s="119"/>
      <c r="C294" s="119"/>
      <c r="D294" s="119"/>
      <c r="E294" s="119"/>
      <c r="F294" s="119"/>
      <c r="G294" s="119"/>
      <c r="H294" s="119"/>
      <c r="I294" s="120"/>
      <c r="J294" s="120"/>
      <c r="K294" s="120"/>
      <c r="L294" s="120"/>
      <c r="M294" s="120"/>
    </row>
    <row r="295">
      <c r="A295" s="119"/>
      <c r="B295" s="119"/>
      <c r="C295" s="119"/>
      <c r="D295" s="119"/>
      <c r="E295" s="119"/>
      <c r="F295" s="119"/>
      <c r="G295" s="119"/>
      <c r="H295" s="119"/>
      <c r="I295" s="133"/>
      <c r="J295" s="133"/>
      <c r="K295" s="133"/>
      <c r="L295" s="133"/>
      <c r="M295" s="133"/>
    </row>
    <row r="296">
      <c r="A296" s="119"/>
      <c r="B296" s="119"/>
      <c r="C296" s="119"/>
      <c r="D296" s="119"/>
      <c r="E296" s="119"/>
      <c r="F296" s="119"/>
      <c r="G296" s="119"/>
      <c r="H296" s="119"/>
      <c r="I296" s="120"/>
      <c r="J296" s="120"/>
      <c r="K296" s="120"/>
      <c r="L296" s="120"/>
      <c r="M296" s="120"/>
    </row>
    <row r="297">
      <c r="A297" s="119"/>
      <c r="B297" s="119"/>
      <c r="C297" s="119"/>
      <c r="D297" s="119"/>
      <c r="E297" s="119"/>
      <c r="F297" s="119"/>
      <c r="G297" s="119"/>
      <c r="H297" s="119"/>
      <c r="I297" s="133"/>
      <c r="J297" s="133"/>
      <c r="K297" s="133"/>
      <c r="L297" s="133"/>
      <c r="M297" s="133"/>
    </row>
    <row r="298">
      <c r="A298" s="119"/>
      <c r="B298" s="119"/>
      <c r="C298" s="119"/>
      <c r="D298" s="119"/>
      <c r="E298" s="119"/>
      <c r="F298" s="119"/>
      <c r="G298" s="119"/>
      <c r="H298" s="119"/>
      <c r="I298" s="120"/>
      <c r="J298" s="120"/>
      <c r="K298" s="120"/>
      <c r="L298" s="120"/>
      <c r="M298" s="120"/>
    </row>
    <row r="299">
      <c r="A299" s="119"/>
      <c r="B299" s="119"/>
      <c r="C299" s="119"/>
      <c r="D299" s="119"/>
      <c r="E299" s="119"/>
      <c r="F299" s="119"/>
      <c r="G299" s="119"/>
      <c r="H299" s="119"/>
      <c r="I299" s="133"/>
      <c r="J299" s="133"/>
      <c r="K299" s="133"/>
      <c r="L299" s="133"/>
      <c r="M299" s="133"/>
    </row>
    <row r="300">
      <c r="A300" s="119"/>
      <c r="B300" s="119"/>
      <c r="C300" s="119"/>
      <c r="D300" s="119"/>
      <c r="E300" s="119"/>
      <c r="F300" s="119"/>
      <c r="G300" s="119"/>
      <c r="H300" s="119"/>
      <c r="I300" s="120"/>
      <c r="J300" s="120"/>
      <c r="K300" s="120"/>
      <c r="L300" s="120"/>
      <c r="M300" s="120"/>
    </row>
    <row r="301">
      <c r="A301" s="119"/>
      <c r="B301" s="119"/>
      <c r="C301" s="119"/>
      <c r="D301" s="119"/>
      <c r="E301" s="119"/>
      <c r="F301" s="119"/>
      <c r="G301" s="119"/>
      <c r="H301" s="119"/>
      <c r="I301" s="133"/>
      <c r="J301" s="133"/>
      <c r="K301" s="133"/>
      <c r="L301" s="133"/>
      <c r="M301" s="133"/>
    </row>
    <row r="302">
      <c r="A302" s="119"/>
      <c r="B302" s="119"/>
      <c r="C302" s="119"/>
      <c r="D302" s="119"/>
      <c r="E302" s="119"/>
      <c r="F302" s="119"/>
      <c r="G302" s="119"/>
      <c r="H302" s="119"/>
      <c r="I302" s="120"/>
      <c r="J302" s="120"/>
      <c r="K302" s="120"/>
      <c r="L302" s="120"/>
      <c r="M302" s="120"/>
    </row>
    <row r="303">
      <c r="A303" s="119"/>
      <c r="B303" s="119"/>
      <c r="C303" s="119"/>
      <c r="D303" s="119"/>
      <c r="E303" s="119"/>
      <c r="F303" s="119"/>
      <c r="G303" s="119"/>
      <c r="H303" s="119"/>
      <c r="I303" s="133"/>
      <c r="J303" s="133"/>
      <c r="K303" s="133"/>
      <c r="L303" s="133"/>
      <c r="M303" s="133"/>
    </row>
    <row r="304">
      <c r="A304" s="119"/>
      <c r="B304" s="119"/>
      <c r="C304" s="119"/>
      <c r="D304" s="119"/>
      <c r="E304" s="119"/>
      <c r="F304" s="119"/>
      <c r="G304" s="119"/>
      <c r="H304" s="119"/>
      <c r="I304" s="120"/>
      <c r="J304" s="120"/>
      <c r="K304" s="120"/>
      <c r="L304" s="120"/>
      <c r="M304" s="120"/>
    </row>
    <row r="305">
      <c r="A305" s="119"/>
      <c r="B305" s="119"/>
      <c r="C305" s="119"/>
      <c r="D305" s="119"/>
      <c r="E305" s="119"/>
      <c r="F305" s="119"/>
      <c r="G305" s="119"/>
      <c r="H305" s="119"/>
      <c r="I305" s="133"/>
      <c r="J305" s="133"/>
      <c r="K305" s="133"/>
      <c r="L305" s="133"/>
      <c r="M305" s="133"/>
    </row>
    <row r="306">
      <c r="A306" s="119"/>
      <c r="B306" s="119"/>
      <c r="C306" s="119"/>
      <c r="D306" s="119"/>
      <c r="E306" s="119"/>
      <c r="F306" s="119"/>
      <c r="G306" s="119"/>
      <c r="H306" s="119"/>
      <c r="I306" s="120"/>
      <c r="J306" s="120"/>
      <c r="K306" s="120"/>
      <c r="L306" s="120"/>
      <c r="M306" s="120"/>
    </row>
    <row r="307">
      <c r="A307" s="119"/>
      <c r="B307" s="119"/>
      <c r="C307" s="119"/>
      <c r="D307" s="119"/>
      <c r="E307" s="119"/>
      <c r="F307" s="119"/>
      <c r="G307" s="119"/>
      <c r="H307" s="119"/>
      <c r="I307" s="133"/>
      <c r="J307" s="133"/>
      <c r="K307" s="133"/>
      <c r="L307" s="133"/>
      <c r="M307" s="133"/>
    </row>
    <row r="308">
      <c r="A308" s="119"/>
      <c r="B308" s="119"/>
      <c r="C308" s="119"/>
      <c r="D308" s="119"/>
      <c r="E308" s="119"/>
      <c r="F308" s="119"/>
      <c r="G308" s="119"/>
      <c r="H308" s="119"/>
      <c r="I308" s="120"/>
      <c r="J308" s="120"/>
      <c r="K308" s="120"/>
      <c r="L308" s="120"/>
      <c r="M308" s="120"/>
    </row>
    <row r="309">
      <c r="A309" s="119"/>
      <c r="B309" s="119"/>
      <c r="C309" s="119"/>
      <c r="D309" s="119"/>
      <c r="E309" s="119"/>
      <c r="F309" s="119"/>
      <c r="G309" s="119"/>
      <c r="H309" s="119"/>
      <c r="I309" s="133"/>
      <c r="J309" s="133"/>
      <c r="K309" s="133"/>
      <c r="L309" s="133"/>
      <c r="M309" s="133"/>
    </row>
    <row r="310">
      <c r="A310" s="119"/>
      <c r="B310" s="119"/>
      <c r="C310" s="119"/>
      <c r="D310" s="119"/>
      <c r="E310" s="119"/>
      <c r="F310" s="119"/>
      <c r="G310" s="119"/>
      <c r="H310" s="119"/>
      <c r="I310" s="120"/>
      <c r="J310" s="120"/>
      <c r="K310" s="120"/>
      <c r="L310" s="120"/>
      <c r="M310" s="120"/>
    </row>
    <row r="311">
      <c r="A311" s="119"/>
      <c r="B311" s="119"/>
      <c r="C311" s="119"/>
      <c r="D311" s="119"/>
      <c r="E311" s="119"/>
      <c r="F311" s="119"/>
      <c r="G311" s="119"/>
      <c r="H311" s="119"/>
      <c r="I311" s="133"/>
      <c r="J311" s="133"/>
      <c r="K311" s="133"/>
      <c r="L311" s="133"/>
      <c r="M311" s="133"/>
    </row>
    <row r="312">
      <c r="A312" s="119"/>
      <c r="B312" s="119"/>
      <c r="C312" s="119"/>
      <c r="D312" s="119"/>
      <c r="E312" s="119"/>
      <c r="F312" s="119"/>
      <c r="G312" s="119"/>
      <c r="H312" s="119"/>
      <c r="I312" s="120"/>
      <c r="J312" s="120"/>
      <c r="K312" s="120"/>
      <c r="L312" s="120"/>
      <c r="M312" s="120"/>
    </row>
    <row r="313">
      <c r="A313" s="119"/>
      <c r="B313" s="119"/>
      <c r="C313" s="119"/>
      <c r="D313" s="119"/>
      <c r="E313" s="119"/>
      <c r="F313" s="119"/>
      <c r="G313" s="119"/>
      <c r="H313" s="119"/>
      <c r="I313" s="133"/>
      <c r="J313" s="133"/>
      <c r="K313" s="133"/>
      <c r="L313" s="133"/>
      <c r="M313" s="133"/>
    </row>
    <row r="314">
      <c r="A314" s="119"/>
      <c r="B314" s="119"/>
      <c r="C314" s="119"/>
      <c r="D314" s="119"/>
      <c r="E314" s="119"/>
      <c r="F314" s="119"/>
      <c r="G314" s="119"/>
      <c r="H314" s="119"/>
      <c r="I314" s="120"/>
      <c r="J314" s="120"/>
      <c r="K314" s="120"/>
      <c r="L314" s="120"/>
      <c r="M314" s="120"/>
    </row>
    <row r="315">
      <c r="A315" s="119"/>
      <c r="B315" s="119"/>
      <c r="C315" s="119"/>
      <c r="D315" s="119"/>
      <c r="E315" s="119"/>
      <c r="F315" s="119"/>
      <c r="G315" s="119"/>
      <c r="H315" s="119"/>
      <c r="I315" s="133"/>
      <c r="J315" s="133"/>
      <c r="K315" s="133"/>
      <c r="L315" s="133"/>
      <c r="M315" s="133"/>
    </row>
    <row r="316">
      <c r="A316" s="119"/>
      <c r="B316" s="119"/>
      <c r="C316" s="119"/>
      <c r="D316" s="119"/>
      <c r="E316" s="119"/>
      <c r="F316" s="119"/>
      <c r="G316" s="119"/>
      <c r="H316" s="119"/>
      <c r="I316" s="120"/>
      <c r="J316" s="120"/>
      <c r="K316" s="120"/>
      <c r="L316" s="120"/>
      <c r="M316" s="120"/>
    </row>
    <row r="317">
      <c r="A317" s="119"/>
      <c r="B317" s="119"/>
      <c r="C317" s="119"/>
      <c r="D317" s="119"/>
      <c r="E317" s="119"/>
      <c r="F317" s="119"/>
      <c r="G317" s="119"/>
      <c r="H317" s="119"/>
      <c r="I317" s="133"/>
      <c r="J317" s="133"/>
      <c r="K317" s="133"/>
      <c r="L317" s="133"/>
      <c r="M317" s="133"/>
    </row>
    <row r="318">
      <c r="A318" s="119"/>
      <c r="B318" s="119"/>
      <c r="C318" s="119"/>
      <c r="D318" s="119"/>
      <c r="E318" s="119"/>
      <c r="F318" s="119"/>
      <c r="G318" s="119"/>
      <c r="H318" s="119"/>
      <c r="I318" s="120"/>
      <c r="J318" s="120"/>
      <c r="K318" s="120"/>
      <c r="L318" s="120"/>
      <c r="M318" s="120"/>
    </row>
    <row r="319">
      <c r="A319" s="119"/>
      <c r="B319" s="119"/>
      <c r="C319" s="119"/>
      <c r="D319" s="119"/>
      <c r="E319" s="119"/>
      <c r="F319" s="119"/>
      <c r="G319" s="119"/>
      <c r="H319" s="119"/>
      <c r="I319" s="133"/>
      <c r="J319" s="133"/>
      <c r="K319" s="133"/>
      <c r="L319" s="133"/>
      <c r="M319" s="133"/>
    </row>
    <row r="320">
      <c r="A320" s="119"/>
      <c r="B320" s="119"/>
      <c r="C320" s="119"/>
      <c r="D320" s="119"/>
      <c r="E320" s="119"/>
      <c r="F320" s="119"/>
      <c r="G320" s="119"/>
      <c r="H320" s="119"/>
      <c r="I320" s="120"/>
      <c r="J320" s="120"/>
      <c r="K320" s="120"/>
      <c r="L320" s="120"/>
      <c r="M320" s="120"/>
    </row>
    <row r="321">
      <c r="A321" s="119"/>
      <c r="B321" s="119"/>
      <c r="C321" s="119"/>
      <c r="D321" s="119"/>
      <c r="E321" s="119"/>
      <c r="F321" s="119"/>
      <c r="G321" s="119"/>
      <c r="H321" s="119"/>
      <c r="I321" s="133"/>
      <c r="J321" s="133"/>
      <c r="K321" s="133"/>
      <c r="L321" s="133"/>
      <c r="M321" s="133"/>
    </row>
    <row r="322">
      <c r="A322" s="119"/>
      <c r="B322" s="119"/>
      <c r="C322" s="119"/>
      <c r="D322" s="119"/>
      <c r="E322" s="119"/>
      <c r="F322" s="119"/>
      <c r="G322" s="119"/>
      <c r="H322" s="119"/>
      <c r="I322" s="120"/>
      <c r="J322" s="120"/>
      <c r="K322" s="120"/>
      <c r="L322" s="120"/>
      <c r="M322" s="120"/>
    </row>
    <row r="323">
      <c r="A323" s="119"/>
      <c r="B323" s="119"/>
      <c r="C323" s="119"/>
      <c r="D323" s="119"/>
      <c r="E323" s="119"/>
      <c r="F323" s="119"/>
      <c r="G323" s="119"/>
      <c r="H323" s="119"/>
      <c r="I323" s="133"/>
      <c r="J323" s="133"/>
      <c r="K323" s="133"/>
      <c r="L323" s="133"/>
      <c r="M323" s="133"/>
    </row>
    <row r="324">
      <c r="A324" s="119"/>
      <c r="B324" s="119"/>
      <c r="C324" s="119"/>
      <c r="D324" s="119"/>
      <c r="E324" s="119"/>
      <c r="F324" s="119"/>
      <c r="G324" s="119"/>
      <c r="H324" s="119"/>
      <c r="I324" s="120"/>
      <c r="J324" s="120"/>
      <c r="K324" s="120"/>
      <c r="L324" s="120"/>
      <c r="M324" s="120"/>
    </row>
    <row r="325">
      <c r="A325" s="119"/>
      <c r="B325" s="119"/>
      <c r="C325" s="119"/>
      <c r="D325" s="119"/>
      <c r="E325" s="119"/>
      <c r="F325" s="119"/>
      <c r="G325" s="119"/>
      <c r="H325" s="119"/>
      <c r="I325" s="133"/>
      <c r="J325" s="133"/>
      <c r="K325" s="133"/>
      <c r="L325" s="133"/>
      <c r="M325" s="133"/>
    </row>
    <row r="326">
      <c r="A326" s="119"/>
      <c r="B326" s="119"/>
      <c r="C326" s="119"/>
      <c r="D326" s="119"/>
      <c r="E326" s="119"/>
      <c r="F326" s="119"/>
      <c r="G326" s="119"/>
      <c r="H326" s="119"/>
      <c r="I326" s="120"/>
      <c r="J326" s="120"/>
      <c r="K326" s="120"/>
      <c r="L326" s="120"/>
      <c r="M326" s="120"/>
    </row>
    <row r="327">
      <c r="A327" s="119"/>
      <c r="B327" s="119"/>
      <c r="C327" s="119"/>
      <c r="D327" s="119"/>
      <c r="E327" s="119"/>
      <c r="F327" s="119"/>
      <c r="G327" s="119"/>
      <c r="H327" s="119"/>
      <c r="I327" s="133"/>
      <c r="J327" s="133"/>
      <c r="K327" s="133"/>
      <c r="L327" s="133"/>
      <c r="M327" s="133"/>
    </row>
    <row r="328">
      <c r="A328" s="119"/>
      <c r="B328" s="119"/>
      <c r="C328" s="119"/>
      <c r="D328" s="119"/>
      <c r="E328" s="119"/>
      <c r="F328" s="119"/>
      <c r="G328" s="119"/>
      <c r="H328" s="119"/>
      <c r="I328" s="120"/>
      <c r="J328" s="120"/>
      <c r="K328" s="120"/>
      <c r="L328" s="120"/>
      <c r="M328" s="120"/>
    </row>
    <row r="329">
      <c r="A329" s="119"/>
      <c r="B329" s="119"/>
      <c r="C329" s="119"/>
      <c r="D329" s="119"/>
      <c r="E329" s="119"/>
      <c r="F329" s="119"/>
      <c r="G329" s="119"/>
      <c r="H329" s="119"/>
      <c r="I329" s="133"/>
      <c r="J329" s="133"/>
      <c r="K329" s="133"/>
      <c r="L329" s="133"/>
      <c r="M329" s="133"/>
    </row>
    <row r="330">
      <c r="A330" s="119"/>
      <c r="B330" s="119"/>
      <c r="C330" s="119"/>
      <c r="D330" s="119"/>
      <c r="E330" s="119"/>
      <c r="F330" s="119"/>
      <c r="G330" s="119"/>
      <c r="H330" s="119"/>
      <c r="I330" s="120"/>
      <c r="J330" s="120"/>
      <c r="K330" s="120"/>
      <c r="L330" s="120"/>
      <c r="M330" s="120"/>
    </row>
    <row r="331">
      <c r="A331" s="119"/>
      <c r="B331" s="119"/>
      <c r="C331" s="119"/>
      <c r="D331" s="119"/>
      <c r="E331" s="119"/>
      <c r="F331" s="119"/>
      <c r="G331" s="119"/>
      <c r="H331" s="119"/>
      <c r="I331" s="133"/>
      <c r="J331" s="133"/>
      <c r="K331" s="133"/>
      <c r="L331" s="133"/>
      <c r="M331" s="133"/>
    </row>
    <row r="332">
      <c r="A332" s="119"/>
      <c r="B332" s="119"/>
      <c r="C332" s="119"/>
      <c r="D332" s="119"/>
      <c r="E332" s="119"/>
      <c r="F332" s="119"/>
      <c r="G332" s="119"/>
      <c r="H332" s="119"/>
      <c r="I332" s="120"/>
      <c r="J332" s="120"/>
      <c r="K332" s="120"/>
      <c r="L332" s="120"/>
      <c r="M332" s="120"/>
    </row>
    <row r="333">
      <c r="A333" s="119"/>
      <c r="B333" s="119"/>
      <c r="C333" s="119"/>
      <c r="D333" s="119"/>
      <c r="E333" s="119"/>
      <c r="F333" s="119"/>
      <c r="G333" s="119"/>
      <c r="H333" s="119"/>
      <c r="I333" s="133"/>
      <c r="J333" s="133"/>
      <c r="K333" s="133"/>
      <c r="L333" s="133"/>
      <c r="M333" s="133"/>
    </row>
    <row r="334">
      <c r="A334" s="119"/>
      <c r="B334" s="119"/>
      <c r="C334" s="119"/>
      <c r="D334" s="119"/>
      <c r="E334" s="119"/>
      <c r="F334" s="119"/>
      <c r="G334" s="119"/>
      <c r="H334" s="119"/>
      <c r="I334" s="120"/>
      <c r="J334" s="120"/>
      <c r="K334" s="120"/>
      <c r="L334" s="120"/>
      <c r="M334" s="120"/>
    </row>
    <row r="335">
      <c r="A335" s="119"/>
      <c r="B335" s="119"/>
      <c r="C335" s="119"/>
      <c r="D335" s="119"/>
      <c r="E335" s="119"/>
      <c r="F335" s="119"/>
      <c r="G335" s="119"/>
      <c r="H335" s="119"/>
      <c r="I335" s="133"/>
      <c r="J335" s="133"/>
      <c r="K335" s="133"/>
      <c r="L335" s="133"/>
      <c r="M335" s="133"/>
    </row>
    <row r="336">
      <c r="A336" s="119"/>
      <c r="B336" s="119"/>
      <c r="C336" s="119"/>
      <c r="D336" s="119"/>
      <c r="E336" s="119"/>
      <c r="F336" s="119"/>
      <c r="G336" s="119"/>
      <c r="H336" s="119"/>
      <c r="I336" s="120"/>
      <c r="J336" s="120"/>
      <c r="K336" s="120"/>
      <c r="L336" s="120"/>
      <c r="M336" s="120"/>
    </row>
    <row r="337">
      <c r="A337" s="119"/>
      <c r="B337" s="119"/>
      <c r="C337" s="119"/>
      <c r="D337" s="119"/>
      <c r="E337" s="119"/>
      <c r="F337" s="119"/>
      <c r="G337" s="119"/>
      <c r="H337" s="119"/>
      <c r="I337" s="133"/>
      <c r="J337" s="133"/>
      <c r="K337" s="133"/>
      <c r="L337" s="133"/>
      <c r="M337" s="133"/>
    </row>
    <row r="338">
      <c r="A338" s="119"/>
      <c r="B338" s="119"/>
      <c r="C338" s="119"/>
      <c r="D338" s="119"/>
      <c r="E338" s="119"/>
      <c r="F338" s="119"/>
      <c r="G338" s="119"/>
      <c r="H338" s="119"/>
      <c r="I338" s="120"/>
      <c r="J338" s="120"/>
      <c r="K338" s="120"/>
      <c r="L338" s="120"/>
      <c r="M338" s="120"/>
    </row>
    <row r="339">
      <c r="A339" s="119"/>
      <c r="B339" s="119"/>
      <c r="C339" s="119"/>
      <c r="D339" s="119"/>
      <c r="E339" s="119"/>
      <c r="F339" s="119"/>
      <c r="G339" s="119"/>
      <c r="H339" s="119"/>
      <c r="I339" s="133"/>
      <c r="J339" s="133"/>
      <c r="K339" s="133"/>
      <c r="L339" s="133"/>
      <c r="M339" s="133"/>
    </row>
    <row r="340">
      <c r="A340" s="119"/>
      <c r="B340" s="119"/>
      <c r="C340" s="119"/>
      <c r="D340" s="119"/>
      <c r="E340" s="119"/>
      <c r="F340" s="119"/>
      <c r="G340" s="119"/>
      <c r="H340" s="119"/>
      <c r="I340" s="120"/>
      <c r="J340" s="120"/>
      <c r="K340" s="120"/>
      <c r="L340" s="120"/>
      <c r="M340" s="120"/>
    </row>
    <row r="341">
      <c r="A341" s="119"/>
      <c r="B341" s="119"/>
      <c r="C341" s="119"/>
      <c r="D341" s="119"/>
      <c r="E341" s="119"/>
      <c r="F341" s="119"/>
      <c r="G341" s="119"/>
      <c r="H341" s="119"/>
      <c r="I341" s="133"/>
      <c r="J341" s="133"/>
      <c r="K341" s="133"/>
      <c r="L341" s="133"/>
      <c r="M341" s="133"/>
    </row>
    <row r="342">
      <c r="A342" s="119"/>
      <c r="B342" s="119"/>
      <c r="C342" s="119"/>
      <c r="D342" s="119"/>
      <c r="E342" s="119"/>
      <c r="F342" s="119"/>
      <c r="G342" s="119"/>
      <c r="H342" s="119"/>
      <c r="I342" s="120"/>
      <c r="J342" s="120"/>
      <c r="K342" s="120"/>
      <c r="L342" s="120"/>
      <c r="M342" s="120"/>
    </row>
    <row r="343">
      <c r="A343" s="119"/>
      <c r="B343" s="119"/>
      <c r="C343" s="119"/>
      <c r="D343" s="119"/>
      <c r="E343" s="119"/>
      <c r="F343" s="119"/>
      <c r="G343" s="119"/>
      <c r="H343" s="119"/>
      <c r="I343" s="133"/>
      <c r="J343" s="133"/>
      <c r="K343" s="133"/>
      <c r="L343" s="133"/>
      <c r="M343" s="133"/>
    </row>
    <row r="344">
      <c r="A344" s="119"/>
      <c r="B344" s="119"/>
      <c r="C344" s="119"/>
      <c r="D344" s="119"/>
      <c r="E344" s="119"/>
      <c r="F344" s="119"/>
      <c r="G344" s="119"/>
      <c r="H344" s="119"/>
      <c r="I344" s="120"/>
      <c r="J344" s="120"/>
      <c r="K344" s="120"/>
      <c r="L344" s="120"/>
      <c r="M344" s="120"/>
    </row>
    <row r="345">
      <c r="A345" s="119"/>
      <c r="B345" s="119"/>
      <c r="C345" s="119"/>
      <c r="D345" s="119"/>
      <c r="E345" s="119"/>
      <c r="F345" s="119"/>
      <c r="G345" s="119"/>
      <c r="H345" s="119"/>
      <c r="I345" s="133"/>
      <c r="J345" s="133"/>
      <c r="K345" s="133"/>
      <c r="L345" s="133"/>
      <c r="M345" s="133"/>
    </row>
    <row r="346">
      <c r="A346" s="119"/>
      <c r="B346" s="119"/>
      <c r="C346" s="119"/>
      <c r="D346" s="119"/>
      <c r="E346" s="119"/>
      <c r="F346" s="119"/>
      <c r="G346" s="119"/>
      <c r="H346" s="119"/>
      <c r="I346" s="120"/>
      <c r="J346" s="120"/>
      <c r="K346" s="120"/>
      <c r="L346" s="120"/>
      <c r="M346" s="120"/>
    </row>
    <row r="347">
      <c r="A347" s="119"/>
      <c r="B347" s="119"/>
      <c r="C347" s="119"/>
      <c r="D347" s="119"/>
      <c r="E347" s="119"/>
      <c r="F347" s="119"/>
      <c r="G347" s="119"/>
      <c r="H347" s="119"/>
      <c r="I347" s="133"/>
      <c r="J347" s="133"/>
      <c r="K347" s="133"/>
      <c r="L347" s="133"/>
      <c r="M347" s="133"/>
    </row>
    <row r="348">
      <c r="A348" s="119"/>
      <c r="B348" s="119"/>
      <c r="C348" s="119"/>
      <c r="D348" s="119"/>
      <c r="E348" s="119"/>
      <c r="F348" s="119"/>
      <c r="G348" s="119"/>
      <c r="H348" s="119"/>
      <c r="I348" s="120"/>
      <c r="J348" s="120"/>
      <c r="K348" s="120"/>
      <c r="L348" s="120"/>
      <c r="M348" s="120"/>
    </row>
    <row r="349">
      <c r="A349" s="119"/>
      <c r="B349" s="119"/>
      <c r="C349" s="119"/>
      <c r="D349" s="119"/>
      <c r="E349" s="119"/>
      <c r="F349" s="119"/>
      <c r="G349" s="119"/>
      <c r="H349" s="119"/>
      <c r="I349" s="133"/>
      <c r="J349" s="133"/>
      <c r="K349" s="133"/>
      <c r="L349" s="133"/>
      <c r="M349" s="133"/>
    </row>
    <row r="350">
      <c r="A350" s="119"/>
      <c r="B350" s="119"/>
      <c r="C350" s="119"/>
      <c r="D350" s="119"/>
      <c r="E350" s="119"/>
      <c r="F350" s="119"/>
      <c r="G350" s="119"/>
      <c r="H350" s="119"/>
      <c r="I350" s="120"/>
      <c r="J350" s="120"/>
      <c r="K350" s="120"/>
      <c r="L350" s="120"/>
      <c r="M350" s="120"/>
    </row>
    <row r="351">
      <c r="A351" s="119"/>
      <c r="B351" s="119"/>
      <c r="C351" s="119"/>
      <c r="D351" s="119"/>
      <c r="E351" s="119"/>
      <c r="F351" s="119"/>
      <c r="G351" s="119"/>
      <c r="H351" s="119"/>
      <c r="I351" s="133"/>
      <c r="J351" s="133"/>
      <c r="K351" s="133"/>
      <c r="L351" s="133"/>
      <c r="M351" s="133"/>
    </row>
    <row r="352">
      <c r="A352" s="119"/>
      <c r="B352" s="119"/>
      <c r="C352" s="119"/>
      <c r="D352" s="119"/>
      <c r="E352" s="119"/>
      <c r="F352" s="119"/>
      <c r="G352" s="119"/>
      <c r="H352" s="119"/>
      <c r="I352" s="120"/>
      <c r="J352" s="120"/>
      <c r="K352" s="120"/>
      <c r="L352" s="120"/>
      <c r="M352" s="120"/>
    </row>
    <row r="353">
      <c r="A353" s="119"/>
      <c r="B353" s="119"/>
      <c r="C353" s="119"/>
      <c r="D353" s="119"/>
      <c r="E353" s="119"/>
      <c r="F353" s="119"/>
      <c r="G353" s="119"/>
      <c r="H353" s="119"/>
      <c r="I353" s="133"/>
      <c r="J353" s="133"/>
      <c r="K353" s="133"/>
      <c r="L353" s="133"/>
      <c r="M353" s="133"/>
    </row>
    <row r="354">
      <c r="A354" s="119"/>
      <c r="B354" s="119"/>
      <c r="C354" s="119"/>
      <c r="D354" s="119"/>
      <c r="E354" s="119"/>
      <c r="F354" s="119"/>
      <c r="G354" s="119"/>
      <c r="H354" s="119"/>
      <c r="I354" s="120"/>
      <c r="J354" s="120"/>
      <c r="K354" s="120"/>
      <c r="L354" s="120"/>
      <c r="M354" s="120"/>
    </row>
    <row r="355">
      <c r="A355" s="119"/>
      <c r="B355" s="119"/>
      <c r="C355" s="119"/>
      <c r="D355" s="119"/>
      <c r="E355" s="119"/>
      <c r="F355" s="119"/>
      <c r="G355" s="119"/>
      <c r="H355" s="119"/>
      <c r="I355" s="133"/>
      <c r="J355" s="133"/>
      <c r="K355" s="133"/>
      <c r="L355" s="133"/>
      <c r="M355" s="133"/>
    </row>
    <row r="356">
      <c r="A356" s="119"/>
      <c r="B356" s="119"/>
      <c r="C356" s="119"/>
      <c r="D356" s="119"/>
      <c r="E356" s="119"/>
      <c r="F356" s="119"/>
      <c r="G356" s="119"/>
      <c r="H356" s="119"/>
      <c r="I356" s="120"/>
      <c r="J356" s="120"/>
      <c r="K356" s="120"/>
      <c r="L356" s="120"/>
      <c r="M356" s="120"/>
    </row>
    <row r="357">
      <c r="A357" s="119"/>
      <c r="B357" s="119"/>
      <c r="C357" s="119"/>
      <c r="D357" s="119"/>
      <c r="E357" s="119"/>
      <c r="F357" s="119"/>
      <c r="G357" s="119"/>
      <c r="H357" s="119"/>
      <c r="I357" s="133"/>
      <c r="J357" s="133"/>
      <c r="K357" s="133"/>
      <c r="L357" s="133"/>
      <c r="M357" s="133"/>
    </row>
    <row r="358">
      <c r="A358" s="119"/>
      <c r="B358" s="119"/>
      <c r="C358" s="119"/>
      <c r="D358" s="119"/>
      <c r="E358" s="119"/>
      <c r="F358" s="119"/>
      <c r="G358" s="119"/>
      <c r="H358" s="119"/>
      <c r="I358" s="120"/>
      <c r="J358" s="120"/>
      <c r="K358" s="120"/>
      <c r="L358" s="120"/>
      <c r="M358" s="120"/>
    </row>
    <row r="359">
      <c r="A359" s="119"/>
      <c r="B359" s="119"/>
      <c r="C359" s="119"/>
      <c r="D359" s="119"/>
      <c r="E359" s="119"/>
      <c r="F359" s="119"/>
      <c r="G359" s="119"/>
      <c r="H359" s="119"/>
      <c r="I359" s="133"/>
      <c r="J359" s="133"/>
      <c r="K359" s="133"/>
      <c r="L359" s="133"/>
      <c r="M359" s="133"/>
    </row>
    <row r="360">
      <c r="A360" s="119"/>
      <c r="B360" s="119"/>
      <c r="C360" s="119"/>
      <c r="D360" s="119"/>
      <c r="E360" s="119"/>
      <c r="F360" s="119"/>
      <c r="G360" s="119"/>
      <c r="H360" s="119"/>
      <c r="I360" s="120"/>
      <c r="J360" s="120"/>
      <c r="K360" s="120"/>
      <c r="L360" s="120"/>
      <c r="M360" s="120"/>
    </row>
    <row r="361">
      <c r="A361" s="119"/>
      <c r="B361" s="119"/>
      <c r="C361" s="119"/>
      <c r="D361" s="119"/>
      <c r="E361" s="119"/>
      <c r="F361" s="119"/>
      <c r="G361" s="119"/>
      <c r="H361" s="119"/>
      <c r="I361" s="133"/>
      <c r="J361" s="133"/>
      <c r="K361" s="133"/>
      <c r="L361" s="133"/>
      <c r="M361" s="133"/>
    </row>
    <row r="362">
      <c r="A362" s="119"/>
      <c r="B362" s="119"/>
      <c r="C362" s="119"/>
      <c r="D362" s="119"/>
      <c r="E362" s="119"/>
      <c r="F362" s="119"/>
      <c r="G362" s="119"/>
      <c r="H362" s="119"/>
      <c r="I362" s="120"/>
      <c r="J362" s="120"/>
      <c r="K362" s="120"/>
      <c r="L362" s="120"/>
      <c r="M362" s="120"/>
    </row>
    <row r="363">
      <c r="A363" s="119"/>
      <c r="B363" s="119"/>
      <c r="C363" s="119"/>
      <c r="D363" s="119"/>
      <c r="E363" s="119"/>
      <c r="F363" s="119"/>
      <c r="G363" s="119"/>
      <c r="H363" s="119"/>
      <c r="I363" s="133"/>
      <c r="J363" s="133"/>
      <c r="K363" s="133"/>
      <c r="L363" s="133"/>
      <c r="M363" s="133"/>
    </row>
    <row r="364">
      <c r="A364" s="119"/>
      <c r="B364" s="119"/>
      <c r="C364" s="119"/>
      <c r="D364" s="119"/>
      <c r="E364" s="119"/>
      <c r="F364" s="119"/>
      <c r="G364" s="119"/>
      <c r="H364" s="119"/>
      <c r="I364" s="120"/>
      <c r="J364" s="120"/>
      <c r="K364" s="120"/>
      <c r="L364" s="120"/>
      <c r="M364" s="120"/>
    </row>
    <row r="365">
      <c r="A365" s="119"/>
      <c r="B365" s="119"/>
      <c r="C365" s="119"/>
      <c r="D365" s="119"/>
      <c r="E365" s="119"/>
      <c r="F365" s="119"/>
      <c r="G365" s="119"/>
      <c r="H365" s="119"/>
      <c r="I365" s="133"/>
      <c r="J365" s="133"/>
      <c r="K365" s="133"/>
      <c r="L365" s="133"/>
      <c r="M365" s="133"/>
    </row>
    <row r="366">
      <c r="A366" s="119"/>
      <c r="B366" s="119"/>
      <c r="C366" s="119"/>
      <c r="D366" s="119"/>
      <c r="E366" s="119"/>
      <c r="F366" s="119"/>
      <c r="G366" s="119"/>
      <c r="H366" s="119"/>
      <c r="I366" s="120"/>
      <c r="J366" s="120"/>
      <c r="K366" s="120"/>
      <c r="L366" s="120"/>
      <c r="M366" s="120"/>
    </row>
    <row r="367">
      <c r="A367" s="119"/>
      <c r="B367" s="119"/>
      <c r="C367" s="119"/>
      <c r="D367" s="119"/>
      <c r="E367" s="119"/>
      <c r="F367" s="119"/>
      <c r="G367" s="119"/>
      <c r="H367" s="119"/>
      <c r="I367" s="133"/>
      <c r="J367" s="133"/>
      <c r="K367" s="133"/>
      <c r="L367" s="133"/>
      <c r="M367" s="133"/>
    </row>
    <row r="368">
      <c r="A368" s="119"/>
      <c r="B368" s="119"/>
      <c r="C368" s="119"/>
      <c r="D368" s="119"/>
      <c r="E368" s="119"/>
      <c r="F368" s="119"/>
      <c r="G368" s="119"/>
      <c r="H368" s="119"/>
      <c r="I368" s="120"/>
      <c r="J368" s="120"/>
      <c r="K368" s="120"/>
      <c r="L368" s="120"/>
      <c r="M368" s="120"/>
    </row>
    <row r="369">
      <c r="A369" s="119"/>
      <c r="B369" s="119"/>
      <c r="C369" s="119"/>
      <c r="D369" s="119"/>
      <c r="E369" s="119"/>
      <c r="F369" s="119"/>
      <c r="G369" s="119"/>
      <c r="H369" s="119"/>
      <c r="I369" s="133"/>
      <c r="J369" s="133"/>
      <c r="K369" s="133"/>
      <c r="L369" s="133"/>
      <c r="M369" s="133"/>
    </row>
    <row r="370">
      <c r="A370" s="119"/>
      <c r="B370" s="119"/>
      <c r="C370" s="119"/>
      <c r="D370" s="119"/>
      <c r="E370" s="119"/>
      <c r="F370" s="119"/>
      <c r="G370" s="119"/>
      <c r="H370" s="119"/>
      <c r="I370" s="120"/>
      <c r="J370" s="120"/>
      <c r="K370" s="120"/>
      <c r="L370" s="120"/>
      <c r="M370" s="120"/>
    </row>
    <row r="371">
      <c r="A371" s="119"/>
      <c r="B371" s="119"/>
      <c r="C371" s="119"/>
      <c r="D371" s="119"/>
      <c r="E371" s="119"/>
      <c r="F371" s="119"/>
      <c r="G371" s="119"/>
      <c r="H371" s="119"/>
      <c r="I371" s="133"/>
      <c r="J371" s="133"/>
      <c r="K371" s="133"/>
      <c r="L371" s="133"/>
      <c r="M371" s="133"/>
    </row>
    <row r="372">
      <c r="A372" s="119"/>
      <c r="B372" s="119"/>
      <c r="C372" s="119"/>
      <c r="D372" s="119"/>
      <c r="E372" s="119"/>
      <c r="F372" s="119"/>
      <c r="G372" s="119"/>
      <c r="H372" s="119"/>
      <c r="I372" s="120"/>
      <c r="J372" s="120"/>
      <c r="K372" s="120"/>
      <c r="L372" s="120"/>
      <c r="M372" s="120"/>
    </row>
    <row r="373">
      <c r="A373" s="119"/>
      <c r="B373" s="119"/>
      <c r="C373" s="119"/>
      <c r="D373" s="119"/>
      <c r="E373" s="119"/>
      <c r="F373" s="119"/>
      <c r="G373" s="119"/>
      <c r="H373" s="119"/>
      <c r="I373" s="133"/>
      <c r="J373" s="133"/>
      <c r="K373" s="133"/>
      <c r="L373" s="133"/>
      <c r="M373" s="133"/>
    </row>
    <row r="374">
      <c r="A374" s="119"/>
      <c r="B374" s="119"/>
      <c r="C374" s="119"/>
      <c r="D374" s="119"/>
      <c r="E374" s="119"/>
      <c r="F374" s="119"/>
      <c r="G374" s="119"/>
      <c r="H374" s="119"/>
      <c r="I374" s="120"/>
      <c r="J374" s="120"/>
      <c r="K374" s="120"/>
      <c r="L374" s="120"/>
      <c r="M374" s="120"/>
    </row>
    <row r="375">
      <c r="A375" s="119"/>
      <c r="B375" s="119"/>
      <c r="C375" s="119"/>
      <c r="D375" s="119"/>
      <c r="E375" s="119"/>
      <c r="F375" s="119"/>
      <c r="G375" s="119"/>
      <c r="H375" s="119"/>
      <c r="I375" s="133"/>
      <c r="J375" s="133"/>
      <c r="K375" s="133"/>
      <c r="L375" s="133"/>
      <c r="M375" s="133"/>
    </row>
    <row r="376">
      <c r="A376" s="119"/>
      <c r="B376" s="119"/>
      <c r="C376" s="119"/>
      <c r="D376" s="119"/>
      <c r="E376" s="119"/>
      <c r="F376" s="119"/>
      <c r="G376" s="119"/>
      <c r="H376" s="119"/>
      <c r="I376" s="120"/>
      <c r="J376" s="120"/>
      <c r="K376" s="120"/>
      <c r="L376" s="120"/>
      <c r="M376" s="120"/>
    </row>
    <row r="377">
      <c r="A377" s="119"/>
      <c r="B377" s="119"/>
      <c r="C377" s="119"/>
      <c r="D377" s="119"/>
      <c r="E377" s="119"/>
      <c r="F377" s="119"/>
      <c r="G377" s="119"/>
      <c r="H377" s="119"/>
      <c r="I377" s="133"/>
      <c r="J377" s="133"/>
      <c r="K377" s="133"/>
      <c r="L377" s="133"/>
      <c r="M377" s="133"/>
    </row>
    <row r="378">
      <c r="A378" s="119"/>
      <c r="B378" s="119"/>
      <c r="C378" s="119"/>
      <c r="D378" s="119"/>
      <c r="E378" s="119"/>
      <c r="F378" s="119"/>
      <c r="G378" s="119"/>
      <c r="H378" s="119"/>
      <c r="I378" s="120"/>
      <c r="J378" s="120"/>
      <c r="K378" s="120"/>
      <c r="L378" s="120"/>
      <c r="M378" s="120"/>
    </row>
    <row r="379">
      <c r="A379" s="119"/>
      <c r="B379" s="119"/>
      <c r="C379" s="119"/>
      <c r="D379" s="119"/>
      <c r="E379" s="119"/>
      <c r="F379" s="119"/>
      <c r="G379" s="119"/>
      <c r="H379" s="119"/>
      <c r="I379" s="133"/>
      <c r="J379" s="133"/>
      <c r="K379" s="133"/>
      <c r="L379" s="133"/>
      <c r="M379" s="133"/>
    </row>
    <row r="380">
      <c r="A380" s="119"/>
      <c r="B380" s="119"/>
      <c r="C380" s="119"/>
      <c r="D380" s="119"/>
      <c r="E380" s="119"/>
      <c r="F380" s="119"/>
      <c r="G380" s="119"/>
      <c r="H380" s="119"/>
      <c r="I380" s="120"/>
      <c r="J380" s="120"/>
      <c r="K380" s="120"/>
      <c r="L380" s="120"/>
      <c r="M380" s="120"/>
    </row>
    <row r="381">
      <c r="A381" s="119"/>
      <c r="B381" s="119"/>
      <c r="C381" s="119"/>
      <c r="D381" s="119"/>
      <c r="E381" s="119"/>
      <c r="F381" s="119"/>
      <c r="G381" s="119"/>
      <c r="H381" s="119"/>
      <c r="I381" s="133"/>
      <c r="J381" s="133"/>
      <c r="K381" s="133"/>
      <c r="L381" s="133"/>
      <c r="M381" s="133"/>
    </row>
    <row r="382">
      <c r="A382" s="119"/>
      <c r="B382" s="119"/>
      <c r="C382" s="119"/>
      <c r="D382" s="119"/>
      <c r="E382" s="119"/>
      <c r="F382" s="119"/>
      <c r="G382" s="119"/>
      <c r="H382" s="119"/>
      <c r="I382" s="120"/>
      <c r="J382" s="120"/>
      <c r="K382" s="120"/>
      <c r="L382" s="120"/>
      <c r="M382" s="120"/>
    </row>
    <row r="383">
      <c r="A383" s="119"/>
      <c r="B383" s="119"/>
      <c r="C383" s="119"/>
      <c r="D383" s="119"/>
      <c r="E383" s="119"/>
      <c r="F383" s="119"/>
      <c r="G383" s="119"/>
      <c r="H383" s="119"/>
      <c r="I383" s="133"/>
      <c r="J383" s="133"/>
      <c r="K383" s="133"/>
      <c r="L383" s="133"/>
      <c r="M383" s="133"/>
    </row>
    <row r="384">
      <c r="A384" s="119"/>
      <c r="B384" s="119"/>
      <c r="C384" s="119"/>
      <c r="D384" s="119"/>
      <c r="E384" s="119"/>
      <c r="F384" s="119"/>
      <c r="G384" s="119"/>
      <c r="H384" s="119"/>
      <c r="I384" s="120"/>
      <c r="J384" s="120"/>
      <c r="K384" s="120"/>
      <c r="L384" s="120"/>
      <c r="M384" s="120"/>
    </row>
    <row r="385">
      <c r="A385" s="119"/>
      <c r="B385" s="119"/>
      <c r="C385" s="119"/>
      <c r="D385" s="119"/>
      <c r="E385" s="119"/>
      <c r="F385" s="119"/>
      <c r="G385" s="119"/>
      <c r="H385" s="119"/>
      <c r="I385" s="133"/>
      <c r="J385" s="133"/>
      <c r="K385" s="133"/>
      <c r="L385" s="133"/>
      <c r="M385" s="133"/>
    </row>
    <row r="386">
      <c r="A386" s="119"/>
      <c r="B386" s="119"/>
      <c r="C386" s="119"/>
      <c r="D386" s="119"/>
      <c r="E386" s="119"/>
      <c r="F386" s="119"/>
      <c r="G386" s="119"/>
      <c r="H386" s="119"/>
      <c r="I386" s="120"/>
      <c r="J386" s="120"/>
      <c r="K386" s="120"/>
      <c r="L386" s="120"/>
      <c r="M386" s="120"/>
    </row>
    <row r="387">
      <c r="A387" s="119"/>
      <c r="B387" s="119"/>
      <c r="C387" s="119"/>
      <c r="D387" s="119"/>
      <c r="E387" s="119"/>
      <c r="F387" s="119"/>
      <c r="G387" s="119"/>
      <c r="H387" s="119"/>
      <c r="I387" s="133"/>
      <c r="J387" s="133"/>
      <c r="K387" s="133"/>
      <c r="L387" s="133"/>
      <c r="M387" s="133"/>
    </row>
    <row r="388">
      <c r="A388" s="119"/>
      <c r="B388" s="119"/>
      <c r="C388" s="119"/>
      <c r="D388" s="119"/>
      <c r="E388" s="119"/>
      <c r="F388" s="119"/>
      <c r="G388" s="119"/>
      <c r="H388" s="119"/>
      <c r="I388" s="120"/>
      <c r="J388" s="120"/>
      <c r="K388" s="120"/>
      <c r="L388" s="120"/>
      <c r="M388" s="120"/>
    </row>
    <row r="389">
      <c r="A389" s="119"/>
      <c r="B389" s="119"/>
      <c r="C389" s="119"/>
      <c r="D389" s="119"/>
      <c r="E389" s="119"/>
      <c r="F389" s="119"/>
      <c r="G389" s="119"/>
      <c r="H389" s="119"/>
      <c r="I389" s="133"/>
      <c r="J389" s="133"/>
      <c r="K389" s="133"/>
      <c r="L389" s="133"/>
      <c r="M389" s="133"/>
    </row>
    <row r="390">
      <c r="A390" s="119"/>
      <c r="B390" s="119"/>
      <c r="C390" s="119"/>
      <c r="D390" s="119"/>
      <c r="E390" s="119"/>
      <c r="F390" s="119"/>
      <c r="G390" s="119"/>
      <c r="H390" s="119"/>
      <c r="I390" s="120"/>
      <c r="J390" s="120"/>
      <c r="K390" s="120"/>
      <c r="L390" s="120"/>
      <c r="M390" s="120"/>
    </row>
    <row r="391">
      <c r="A391" s="119"/>
      <c r="B391" s="119"/>
      <c r="C391" s="119"/>
      <c r="D391" s="119"/>
      <c r="E391" s="119"/>
      <c r="F391" s="119"/>
      <c r="G391" s="119"/>
      <c r="H391" s="119"/>
      <c r="I391" s="133"/>
      <c r="J391" s="133"/>
      <c r="K391" s="133"/>
      <c r="L391" s="133"/>
      <c r="M391" s="133"/>
    </row>
    <row r="392">
      <c r="A392" s="119"/>
      <c r="B392" s="119"/>
      <c r="C392" s="119"/>
      <c r="D392" s="119"/>
      <c r="E392" s="119"/>
      <c r="F392" s="119"/>
      <c r="G392" s="119"/>
      <c r="H392" s="119"/>
      <c r="I392" s="120"/>
      <c r="J392" s="120"/>
      <c r="K392" s="120"/>
      <c r="L392" s="120"/>
      <c r="M392" s="120"/>
    </row>
    <row r="393">
      <c r="A393" s="119"/>
      <c r="B393" s="119"/>
      <c r="C393" s="119"/>
      <c r="D393" s="119"/>
      <c r="E393" s="119"/>
      <c r="F393" s="119"/>
      <c r="G393" s="119"/>
      <c r="H393" s="119"/>
      <c r="I393" s="133"/>
      <c r="J393" s="133"/>
      <c r="K393" s="133"/>
      <c r="L393" s="133"/>
      <c r="M393" s="133"/>
    </row>
    <row r="394">
      <c r="A394" s="119"/>
      <c r="B394" s="119"/>
      <c r="C394" s="119"/>
      <c r="D394" s="119"/>
      <c r="E394" s="119"/>
      <c r="F394" s="119"/>
      <c r="G394" s="119"/>
      <c r="H394" s="119"/>
      <c r="I394" s="120"/>
      <c r="J394" s="120"/>
      <c r="K394" s="120"/>
      <c r="L394" s="120"/>
      <c r="M394" s="120"/>
    </row>
    <row r="395">
      <c r="A395" s="119"/>
      <c r="B395" s="119"/>
      <c r="C395" s="119"/>
      <c r="D395" s="119"/>
      <c r="E395" s="119"/>
      <c r="F395" s="119"/>
      <c r="G395" s="119"/>
      <c r="H395" s="119"/>
      <c r="I395" s="133"/>
      <c r="J395" s="133"/>
      <c r="K395" s="133"/>
      <c r="L395" s="133"/>
      <c r="M395" s="133"/>
    </row>
    <row r="396">
      <c r="A396" s="119"/>
      <c r="B396" s="119"/>
      <c r="C396" s="119"/>
      <c r="D396" s="119"/>
      <c r="E396" s="119"/>
      <c r="F396" s="119"/>
      <c r="G396" s="119"/>
      <c r="H396" s="119"/>
      <c r="I396" s="120"/>
      <c r="J396" s="120"/>
      <c r="K396" s="120"/>
      <c r="L396" s="120"/>
      <c r="M396" s="120"/>
    </row>
    <row r="397">
      <c r="A397" s="119"/>
      <c r="B397" s="119"/>
      <c r="C397" s="119"/>
      <c r="D397" s="119"/>
      <c r="E397" s="119"/>
      <c r="F397" s="119"/>
      <c r="G397" s="119"/>
      <c r="H397" s="119"/>
      <c r="I397" s="133"/>
      <c r="J397" s="133"/>
      <c r="K397" s="133"/>
      <c r="L397" s="133"/>
      <c r="M397" s="133"/>
    </row>
    <row r="398">
      <c r="A398" s="119"/>
      <c r="B398" s="119"/>
      <c r="C398" s="119"/>
      <c r="D398" s="119"/>
      <c r="E398" s="119"/>
      <c r="F398" s="119"/>
      <c r="G398" s="119"/>
      <c r="H398" s="119"/>
      <c r="I398" s="120"/>
      <c r="J398" s="120"/>
      <c r="K398" s="120"/>
      <c r="L398" s="120"/>
      <c r="M398" s="120"/>
    </row>
    <row r="399">
      <c r="A399" s="119"/>
      <c r="B399" s="119"/>
      <c r="C399" s="119"/>
      <c r="D399" s="119"/>
      <c r="E399" s="119"/>
      <c r="F399" s="119"/>
      <c r="G399" s="119"/>
      <c r="H399" s="119"/>
      <c r="I399" s="133"/>
      <c r="J399" s="133"/>
      <c r="K399" s="133"/>
      <c r="L399" s="133"/>
      <c r="M399" s="133"/>
    </row>
    <row r="400">
      <c r="A400" s="119"/>
      <c r="B400" s="119"/>
      <c r="C400" s="119"/>
      <c r="D400" s="119"/>
      <c r="E400" s="119"/>
      <c r="F400" s="119"/>
      <c r="G400" s="119"/>
      <c r="H400" s="119"/>
      <c r="I400" s="120"/>
      <c r="J400" s="120"/>
      <c r="K400" s="120"/>
      <c r="L400" s="120"/>
      <c r="M400" s="120"/>
    </row>
    <row r="401">
      <c r="A401" s="119"/>
      <c r="B401" s="119"/>
      <c r="C401" s="119"/>
      <c r="D401" s="119"/>
      <c r="E401" s="119"/>
      <c r="F401" s="119"/>
      <c r="G401" s="119"/>
      <c r="H401" s="119"/>
      <c r="I401" s="133"/>
      <c r="J401" s="133"/>
      <c r="K401" s="133"/>
      <c r="L401" s="133"/>
      <c r="M401" s="133"/>
    </row>
    <row r="402">
      <c r="A402" s="119"/>
      <c r="B402" s="119"/>
      <c r="C402" s="119"/>
      <c r="D402" s="119"/>
      <c r="E402" s="119"/>
      <c r="F402" s="119"/>
      <c r="G402" s="119"/>
      <c r="H402" s="119"/>
      <c r="I402" s="120"/>
      <c r="J402" s="120"/>
      <c r="K402" s="120"/>
      <c r="L402" s="120"/>
      <c r="M402" s="120"/>
    </row>
    <row r="403">
      <c r="A403" s="119"/>
      <c r="B403" s="119"/>
      <c r="C403" s="119"/>
      <c r="D403" s="119"/>
      <c r="E403" s="119"/>
      <c r="F403" s="119"/>
      <c r="G403" s="119"/>
      <c r="H403" s="119"/>
      <c r="I403" s="133"/>
      <c r="J403" s="133"/>
      <c r="K403" s="133"/>
      <c r="L403" s="133"/>
      <c r="M403" s="133"/>
    </row>
    <row r="404">
      <c r="A404" s="119"/>
      <c r="B404" s="119"/>
      <c r="C404" s="119"/>
      <c r="D404" s="119"/>
      <c r="E404" s="119"/>
      <c r="F404" s="119"/>
      <c r="G404" s="119"/>
      <c r="H404" s="119"/>
      <c r="I404" s="120"/>
      <c r="J404" s="120"/>
      <c r="K404" s="120"/>
      <c r="L404" s="120"/>
      <c r="M404" s="120"/>
    </row>
    <row r="405">
      <c r="A405" s="119"/>
      <c r="B405" s="119"/>
      <c r="C405" s="119"/>
      <c r="D405" s="119"/>
      <c r="E405" s="119"/>
      <c r="F405" s="119"/>
      <c r="G405" s="119"/>
      <c r="H405" s="119"/>
      <c r="I405" s="133"/>
      <c r="J405" s="133"/>
      <c r="K405" s="133"/>
      <c r="L405" s="133"/>
      <c r="M405" s="133"/>
    </row>
    <row r="406">
      <c r="A406" s="119"/>
      <c r="B406" s="119"/>
      <c r="C406" s="119"/>
      <c r="D406" s="119"/>
      <c r="E406" s="119"/>
      <c r="F406" s="119"/>
      <c r="G406" s="119"/>
      <c r="H406" s="119"/>
      <c r="I406" s="120"/>
      <c r="J406" s="120"/>
      <c r="K406" s="120"/>
      <c r="L406" s="120"/>
      <c r="M406" s="120"/>
    </row>
    <row r="407">
      <c r="A407" s="119"/>
      <c r="B407" s="119"/>
      <c r="C407" s="119"/>
      <c r="D407" s="119"/>
      <c r="E407" s="119"/>
      <c r="F407" s="119"/>
      <c r="G407" s="119"/>
      <c r="H407" s="119"/>
      <c r="I407" s="133"/>
      <c r="J407" s="133"/>
      <c r="K407" s="133"/>
      <c r="L407" s="133"/>
      <c r="M407" s="133"/>
    </row>
    <row r="408">
      <c r="A408" s="119"/>
      <c r="B408" s="119"/>
      <c r="C408" s="119"/>
      <c r="D408" s="119"/>
      <c r="E408" s="119"/>
      <c r="F408" s="119"/>
      <c r="G408" s="119"/>
      <c r="H408" s="119"/>
      <c r="I408" s="120"/>
      <c r="J408" s="120"/>
      <c r="K408" s="120"/>
      <c r="L408" s="120"/>
      <c r="M408" s="120"/>
    </row>
    <row r="409">
      <c r="A409" s="119"/>
      <c r="B409" s="119"/>
      <c r="C409" s="119"/>
      <c r="D409" s="119"/>
      <c r="E409" s="119"/>
      <c r="F409" s="119"/>
      <c r="G409" s="119"/>
      <c r="H409" s="119"/>
      <c r="I409" s="133"/>
      <c r="J409" s="133"/>
      <c r="K409" s="133"/>
      <c r="L409" s="133"/>
      <c r="M409" s="133"/>
    </row>
    <row r="410">
      <c r="A410" s="119"/>
      <c r="B410" s="119"/>
      <c r="C410" s="119"/>
      <c r="D410" s="119"/>
      <c r="E410" s="119"/>
      <c r="F410" s="119"/>
      <c r="G410" s="119"/>
      <c r="H410" s="119"/>
      <c r="I410" s="120"/>
      <c r="J410" s="120"/>
      <c r="K410" s="120"/>
      <c r="L410" s="120"/>
      <c r="M410" s="120"/>
    </row>
    <row r="411">
      <c r="A411" s="119"/>
      <c r="B411" s="119"/>
      <c r="C411" s="119"/>
      <c r="D411" s="119"/>
      <c r="E411" s="119"/>
      <c r="F411" s="119"/>
      <c r="G411" s="119"/>
      <c r="H411" s="119"/>
      <c r="I411" s="133"/>
      <c r="J411" s="133"/>
      <c r="K411" s="133"/>
      <c r="L411" s="133"/>
      <c r="M411" s="133"/>
    </row>
    <row r="412">
      <c r="A412" s="119"/>
      <c r="B412" s="119"/>
      <c r="C412" s="119"/>
      <c r="D412" s="119"/>
      <c r="E412" s="119"/>
      <c r="F412" s="119"/>
      <c r="G412" s="119"/>
      <c r="H412" s="119"/>
      <c r="I412" s="120"/>
      <c r="J412" s="120"/>
      <c r="K412" s="120"/>
      <c r="L412" s="120"/>
      <c r="M412" s="120"/>
    </row>
    <row r="413">
      <c r="A413" s="119"/>
      <c r="B413" s="119"/>
      <c r="C413" s="119"/>
      <c r="D413" s="119"/>
      <c r="E413" s="119"/>
      <c r="F413" s="119"/>
      <c r="G413" s="119"/>
      <c r="H413" s="119"/>
      <c r="I413" s="133"/>
      <c r="J413" s="133"/>
      <c r="K413" s="133"/>
      <c r="L413" s="133"/>
      <c r="M413" s="133"/>
    </row>
    <row r="414">
      <c r="A414" s="119"/>
      <c r="B414" s="119"/>
      <c r="C414" s="119"/>
      <c r="D414" s="119"/>
      <c r="E414" s="119"/>
      <c r="F414" s="119"/>
      <c r="G414" s="119"/>
      <c r="H414" s="119"/>
      <c r="I414" s="120"/>
      <c r="J414" s="120"/>
      <c r="K414" s="120"/>
      <c r="L414" s="120"/>
      <c r="M414" s="120"/>
    </row>
    <row r="415">
      <c r="A415" s="119"/>
      <c r="B415" s="119"/>
      <c r="C415" s="119"/>
      <c r="D415" s="119"/>
      <c r="E415" s="119"/>
      <c r="F415" s="119"/>
      <c r="G415" s="119"/>
      <c r="H415" s="119"/>
      <c r="I415" s="133"/>
      <c r="J415" s="133"/>
      <c r="K415" s="133"/>
      <c r="L415" s="133"/>
      <c r="M415" s="133"/>
    </row>
    <row r="416">
      <c r="A416" s="119"/>
      <c r="B416" s="119"/>
      <c r="C416" s="119"/>
      <c r="D416" s="119"/>
      <c r="E416" s="119"/>
      <c r="F416" s="119"/>
      <c r="G416" s="119"/>
      <c r="H416" s="119"/>
      <c r="I416" s="120"/>
      <c r="J416" s="120"/>
      <c r="K416" s="120"/>
      <c r="L416" s="120"/>
      <c r="M416" s="120"/>
    </row>
    <row r="417">
      <c r="A417" s="119"/>
      <c r="B417" s="119"/>
      <c r="C417" s="119"/>
      <c r="D417" s="119"/>
      <c r="E417" s="119"/>
      <c r="F417" s="119"/>
      <c r="G417" s="119"/>
      <c r="H417" s="119"/>
      <c r="I417" s="133"/>
      <c r="J417" s="133"/>
      <c r="K417" s="133"/>
      <c r="L417" s="133"/>
      <c r="M417" s="133"/>
    </row>
    <row r="418">
      <c r="A418" s="119"/>
      <c r="B418" s="119"/>
      <c r="C418" s="119"/>
      <c r="D418" s="119"/>
      <c r="E418" s="119"/>
      <c r="F418" s="119"/>
      <c r="G418" s="119"/>
      <c r="H418" s="119"/>
      <c r="I418" s="120"/>
      <c r="J418" s="120"/>
      <c r="K418" s="120"/>
      <c r="L418" s="120"/>
      <c r="M418" s="120"/>
    </row>
    <row r="419">
      <c r="A419" s="119"/>
      <c r="B419" s="119"/>
      <c r="C419" s="119"/>
      <c r="D419" s="119"/>
      <c r="E419" s="119"/>
      <c r="F419" s="119"/>
      <c r="G419" s="119"/>
      <c r="H419" s="119"/>
      <c r="I419" s="133"/>
      <c r="J419" s="133"/>
      <c r="K419" s="133"/>
      <c r="L419" s="133"/>
      <c r="M419" s="133"/>
    </row>
    <row r="420">
      <c r="A420" s="119"/>
      <c r="B420" s="119"/>
      <c r="C420" s="119"/>
      <c r="D420" s="119"/>
      <c r="E420" s="119"/>
      <c r="F420" s="119"/>
      <c r="G420" s="119"/>
      <c r="H420" s="119"/>
      <c r="I420" s="120"/>
      <c r="J420" s="120"/>
      <c r="K420" s="120"/>
      <c r="L420" s="120"/>
      <c r="M420" s="120"/>
    </row>
    <row r="421">
      <c r="A421" s="119"/>
      <c r="B421" s="119"/>
      <c r="C421" s="119"/>
      <c r="D421" s="119"/>
      <c r="E421" s="119"/>
      <c r="F421" s="119"/>
      <c r="G421" s="119"/>
      <c r="H421" s="119"/>
      <c r="I421" s="133"/>
      <c r="J421" s="133"/>
      <c r="K421" s="133"/>
      <c r="L421" s="133"/>
      <c r="M421" s="133"/>
    </row>
    <row r="422">
      <c r="A422" s="119"/>
      <c r="B422" s="119"/>
      <c r="C422" s="119"/>
      <c r="D422" s="119"/>
      <c r="E422" s="119"/>
      <c r="F422" s="119"/>
      <c r="G422" s="119"/>
      <c r="H422" s="119"/>
      <c r="I422" s="120"/>
      <c r="J422" s="120"/>
      <c r="K422" s="120"/>
      <c r="L422" s="120"/>
      <c r="M422" s="120"/>
    </row>
    <row r="423">
      <c r="A423" s="119"/>
      <c r="B423" s="119"/>
      <c r="C423" s="119"/>
      <c r="D423" s="119"/>
      <c r="E423" s="119"/>
      <c r="F423" s="119"/>
      <c r="G423" s="119"/>
      <c r="H423" s="119"/>
      <c r="I423" s="133"/>
      <c r="J423" s="133"/>
      <c r="K423" s="133"/>
      <c r="L423" s="133"/>
      <c r="M423" s="133"/>
    </row>
    <row r="424">
      <c r="A424" s="119"/>
      <c r="B424" s="119"/>
      <c r="C424" s="119"/>
      <c r="D424" s="119"/>
      <c r="E424" s="119"/>
      <c r="F424" s="119"/>
      <c r="G424" s="119"/>
      <c r="H424" s="119"/>
      <c r="I424" s="120"/>
      <c r="J424" s="120"/>
      <c r="K424" s="120"/>
      <c r="L424" s="120"/>
      <c r="M424" s="120"/>
    </row>
    <row r="425">
      <c r="A425" s="119"/>
      <c r="B425" s="119"/>
      <c r="C425" s="119"/>
      <c r="D425" s="119"/>
      <c r="E425" s="119"/>
      <c r="F425" s="119"/>
      <c r="G425" s="119"/>
      <c r="H425" s="119"/>
      <c r="I425" s="133"/>
      <c r="J425" s="133"/>
      <c r="K425" s="133"/>
      <c r="L425" s="133"/>
      <c r="M425" s="133"/>
    </row>
    <row r="426">
      <c r="A426" s="119"/>
      <c r="B426" s="119"/>
      <c r="C426" s="119"/>
      <c r="D426" s="119"/>
      <c r="E426" s="119"/>
      <c r="F426" s="119"/>
      <c r="G426" s="119"/>
      <c r="H426" s="119"/>
      <c r="I426" s="120"/>
      <c r="J426" s="120"/>
      <c r="K426" s="120"/>
      <c r="L426" s="120"/>
      <c r="M426" s="120"/>
    </row>
    <row r="427">
      <c r="A427" s="119"/>
      <c r="B427" s="119"/>
      <c r="C427" s="119"/>
      <c r="D427" s="119"/>
      <c r="E427" s="119"/>
      <c r="F427" s="119"/>
      <c r="G427" s="119"/>
      <c r="H427" s="119"/>
      <c r="I427" s="133"/>
      <c r="J427" s="133"/>
      <c r="K427" s="133"/>
      <c r="L427" s="133"/>
      <c r="M427" s="133"/>
    </row>
    <row r="428">
      <c r="A428" s="119"/>
      <c r="B428" s="119"/>
      <c r="C428" s="119"/>
      <c r="D428" s="119"/>
      <c r="E428" s="119"/>
      <c r="F428" s="119"/>
      <c r="G428" s="119"/>
      <c r="H428" s="119"/>
      <c r="I428" s="120"/>
      <c r="J428" s="120"/>
      <c r="K428" s="120"/>
      <c r="L428" s="120"/>
      <c r="M428" s="120"/>
    </row>
    <row r="429">
      <c r="A429" s="119"/>
      <c r="B429" s="119"/>
      <c r="C429" s="119"/>
      <c r="D429" s="119"/>
      <c r="E429" s="119"/>
      <c r="F429" s="119"/>
      <c r="G429" s="119"/>
      <c r="H429" s="119"/>
      <c r="I429" s="133"/>
      <c r="J429" s="133"/>
      <c r="K429" s="133"/>
      <c r="L429" s="133"/>
      <c r="M429" s="133"/>
    </row>
    <row r="430">
      <c r="A430" s="119"/>
      <c r="B430" s="119"/>
      <c r="C430" s="119"/>
      <c r="D430" s="119"/>
      <c r="E430" s="119"/>
      <c r="F430" s="119"/>
      <c r="G430" s="119"/>
      <c r="H430" s="119"/>
      <c r="I430" s="120"/>
      <c r="J430" s="120"/>
      <c r="K430" s="120"/>
      <c r="L430" s="120"/>
      <c r="M430" s="120"/>
    </row>
    <row r="431">
      <c r="A431" s="119"/>
      <c r="B431" s="119"/>
      <c r="C431" s="119"/>
      <c r="D431" s="119"/>
      <c r="E431" s="119"/>
      <c r="F431" s="119"/>
      <c r="G431" s="119"/>
      <c r="H431" s="119"/>
      <c r="I431" s="133"/>
      <c r="J431" s="133"/>
      <c r="K431" s="133"/>
      <c r="L431" s="133"/>
      <c r="M431" s="133"/>
    </row>
    <row r="432">
      <c r="A432" s="119"/>
      <c r="B432" s="119"/>
      <c r="C432" s="119"/>
      <c r="D432" s="119"/>
      <c r="E432" s="119"/>
      <c r="F432" s="119"/>
      <c r="G432" s="119"/>
      <c r="H432" s="119"/>
      <c r="I432" s="120"/>
      <c r="J432" s="120"/>
      <c r="K432" s="120"/>
      <c r="L432" s="120"/>
      <c r="M432" s="120"/>
    </row>
    <row r="433">
      <c r="A433" s="119"/>
      <c r="B433" s="119"/>
      <c r="C433" s="119"/>
      <c r="D433" s="119"/>
      <c r="E433" s="119"/>
      <c r="F433" s="119"/>
      <c r="G433" s="119"/>
      <c r="H433" s="119"/>
      <c r="I433" s="133"/>
      <c r="J433" s="133"/>
      <c r="K433" s="133"/>
      <c r="L433" s="133"/>
      <c r="M433" s="133"/>
    </row>
    <row r="434">
      <c r="A434" s="119"/>
      <c r="B434" s="119"/>
      <c r="C434" s="119"/>
      <c r="D434" s="119"/>
      <c r="E434" s="119"/>
      <c r="F434" s="119"/>
      <c r="G434" s="119"/>
      <c r="H434" s="119"/>
      <c r="I434" s="120"/>
      <c r="J434" s="120"/>
      <c r="K434" s="120"/>
      <c r="L434" s="120"/>
      <c r="M434" s="120"/>
    </row>
    <row r="435">
      <c r="A435" s="119"/>
      <c r="B435" s="119"/>
      <c r="C435" s="119"/>
      <c r="D435" s="119"/>
      <c r="E435" s="119"/>
      <c r="F435" s="119"/>
      <c r="G435" s="119"/>
      <c r="H435" s="119"/>
      <c r="I435" s="133"/>
      <c r="J435" s="133"/>
      <c r="K435" s="133"/>
      <c r="L435" s="133"/>
      <c r="M435" s="133"/>
    </row>
    <row r="436">
      <c r="A436" s="119"/>
      <c r="B436" s="119"/>
      <c r="C436" s="119"/>
      <c r="D436" s="119"/>
      <c r="E436" s="119"/>
      <c r="F436" s="119"/>
      <c r="G436" s="119"/>
      <c r="H436" s="119"/>
      <c r="I436" s="120"/>
      <c r="J436" s="120"/>
      <c r="K436" s="120"/>
      <c r="L436" s="120"/>
      <c r="M436" s="120"/>
    </row>
    <row r="437">
      <c r="A437" s="119"/>
      <c r="B437" s="119"/>
      <c r="C437" s="119"/>
      <c r="D437" s="119"/>
      <c r="E437" s="119"/>
      <c r="F437" s="119"/>
      <c r="G437" s="119"/>
      <c r="H437" s="119"/>
      <c r="I437" s="133"/>
      <c r="J437" s="133"/>
      <c r="K437" s="133"/>
      <c r="L437" s="133"/>
      <c r="M437" s="133"/>
    </row>
    <row r="438">
      <c r="A438" s="119"/>
      <c r="B438" s="119"/>
      <c r="C438" s="119"/>
      <c r="D438" s="119"/>
      <c r="E438" s="119"/>
      <c r="F438" s="119"/>
      <c r="G438" s="119"/>
      <c r="H438" s="119"/>
      <c r="I438" s="120"/>
      <c r="J438" s="120"/>
      <c r="K438" s="120"/>
      <c r="L438" s="120"/>
      <c r="M438" s="120"/>
    </row>
    <row r="439">
      <c r="A439" s="119"/>
      <c r="B439" s="119"/>
      <c r="C439" s="119"/>
      <c r="D439" s="119"/>
      <c r="E439" s="119"/>
      <c r="F439" s="119"/>
      <c r="G439" s="119"/>
      <c r="H439" s="119"/>
      <c r="I439" s="133"/>
      <c r="J439" s="133"/>
      <c r="K439" s="133"/>
      <c r="L439" s="133"/>
      <c r="M439" s="133"/>
    </row>
    <row r="440">
      <c r="A440" s="119"/>
      <c r="B440" s="119"/>
      <c r="C440" s="119"/>
      <c r="D440" s="119"/>
      <c r="E440" s="119"/>
      <c r="F440" s="119"/>
      <c r="G440" s="119"/>
      <c r="H440" s="119"/>
      <c r="I440" s="120"/>
      <c r="J440" s="120"/>
      <c r="K440" s="120"/>
      <c r="L440" s="120"/>
      <c r="M440" s="120"/>
    </row>
    <row r="441">
      <c r="A441" s="119"/>
      <c r="B441" s="119"/>
      <c r="C441" s="119"/>
      <c r="D441" s="119"/>
      <c r="E441" s="119"/>
      <c r="F441" s="119"/>
      <c r="G441" s="119"/>
      <c r="H441" s="119"/>
      <c r="I441" s="133"/>
      <c r="J441" s="133"/>
      <c r="K441" s="133"/>
      <c r="L441" s="133"/>
      <c r="M441" s="133"/>
    </row>
    <row r="442">
      <c r="A442" s="119"/>
      <c r="B442" s="119"/>
      <c r="C442" s="119"/>
      <c r="D442" s="119"/>
      <c r="E442" s="119"/>
      <c r="F442" s="119"/>
      <c r="G442" s="119"/>
      <c r="H442" s="119"/>
      <c r="I442" s="120"/>
      <c r="J442" s="120"/>
      <c r="K442" s="120"/>
      <c r="L442" s="120"/>
      <c r="M442" s="120"/>
    </row>
    <row r="443">
      <c r="A443" s="119"/>
      <c r="B443" s="119"/>
      <c r="C443" s="119"/>
      <c r="D443" s="119"/>
      <c r="E443" s="119"/>
      <c r="F443" s="119"/>
      <c r="G443" s="119"/>
      <c r="H443" s="119"/>
      <c r="I443" s="133"/>
      <c r="J443" s="133"/>
      <c r="K443" s="133"/>
      <c r="L443" s="133"/>
      <c r="M443" s="133"/>
    </row>
    <row r="444">
      <c r="A444" s="119"/>
      <c r="B444" s="119"/>
      <c r="C444" s="119"/>
      <c r="D444" s="119"/>
      <c r="E444" s="119"/>
      <c r="F444" s="119"/>
      <c r="G444" s="119"/>
      <c r="H444" s="119"/>
      <c r="I444" s="120"/>
      <c r="J444" s="120"/>
      <c r="K444" s="120"/>
      <c r="L444" s="120"/>
      <c r="M444" s="120"/>
    </row>
    <row r="445">
      <c r="A445" s="119"/>
      <c r="B445" s="119"/>
      <c r="C445" s="119"/>
      <c r="D445" s="119"/>
      <c r="E445" s="119"/>
      <c r="F445" s="119"/>
      <c r="G445" s="119"/>
      <c r="H445" s="119"/>
      <c r="I445" s="133"/>
      <c r="J445" s="133"/>
      <c r="K445" s="133"/>
      <c r="L445" s="133"/>
      <c r="M445" s="133"/>
    </row>
    <row r="446">
      <c r="A446" s="119"/>
      <c r="B446" s="119"/>
      <c r="C446" s="119"/>
      <c r="D446" s="119"/>
      <c r="E446" s="119"/>
      <c r="F446" s="119"/>
      <c r="G446" s="119"/>
      <c r="H446" s="119"/>
      <c r="I446" s="120"/>
      <c r="J446" s="120"/>
      <c r="K446" s="120"/>
      <c r="L446" s="120"/>
      <c r="M446" s="120"/>
    </row>
    <row r="447">
      <c r="A447" s="119"/>
      <c r="B447" s="119"/>
      <c r="C447" s="119"/>
      <c r="D447" s="119"/>
      <c r="E447" s="119"/>
      <c r="F447" s="119"/>
      <c r="G447" s="119"/>
      <c r="H447" s="119"/>
      <c r="I447" s="133"/>
      <c r="J447" s="133"/>
      <c r="K447" s="133"/>
      <c r="L447" s="133"/>
      <c r="M447" s="133"/>
    </row>
    <row r="448">
      <c r="A448" s="119"/>
      <c r="B448" s="119"/>
      <c r="C448" s="119"/>
      <c r="D448" s="119"/>
      <c r="E448" s="119"/>
      <c r="F448" s="119"/>
      <c r="G448" s="119"/>
      <c r="H448" s="119"/>
      <c r="I448" s="120"/>
      <c r="J448" s="120"/>
      <c r="K448" s="120"/>
      <c r="L448" s="120"/>
      <c r="M448" s="120"/>
    </row>
    <row r="449">
      <c r="A449" s="119"/>
      <c r="B449" s="119"/>
      <c r="C449" s="119"/>
      <c r="D449" s="119"/>
      <c r="E449" s="119"/>
      <c r="F449" s="119"/>
      <c r="G449" s="119"/>
      <c r="H449" s="119"/>
      <c r="I449" s="133"/>
      <c r="J449" s="133"/>
      <c r="K449" s="133"/>
      <c r="L449" s="133"/>
      <c r="M449" s="133"/>
    </row>
    <row r="450">
      <c r="A450" s="119"/>
      <c r="B450" s="119"/>
      <c r="C450" s="119"/>
      <c r="D450" s="119"/>
      <c r="E450" s="119"/>
      <c r="F450" s="119"/>
      <c r="G450" s="119"/>
      <c r="H450" s="119"/>
      <c r="I450" s="120"/>
      <c r="J450" s="120"/>
      <c r="K450" s="120"/>
      <c r="L450" s="120"/>
      <c r="M450" s="120"/>
    </row>
    <row r="451">
      <c r="A451" s="119"/>
      <c r="B451" s="119"/>
      <c r="C451" s="119"/>
      <c r="D451" s="119"/>
      <c r="E451" s="119"/>
      <c r="F451" s="119"/>
      <c r="G451" s="119"/>
      <c r="H451" s="119"/>
      <c r="I451" s="133"/>
      <c r="J451" s="133"/>
      <c r="K451" s="133"/>
      <c r="L451" s="133"/>
      <c r="M451" s="133"/>
    </row>
    <row r="452">
      <c r="A452" s="119"/>
      <c r="B452" s="119"/>
      <c r="C452" s="119"/>
      <c r="D452" s="119"/>
      <c r="E452" s="119"/>
      <c r="F452" s="119"/>
      <c r="G452" s="119"/>
      <c r="H452" s="119"/>
      <c r="I452" s="120"/>
      <c r="J452" s="120"/>
      <c r="K452" s="120"/>
      <c r="L452" s="120"/>
      <c r="M452" s="120"/>
    </row>
    <row r="453">
      <c r="A453" s="119"/>
      <c r="B453" s="119"/>
      <c r="C453" s="119"/>
      <c r="D453" s="119"/>
      <c r="E453" s="119"/>
      <c r="F453" s="119"/>
      <c r="G453" s="119"/>
      <c r="H453" s="119"/>
      <c r="I453" s="133"/>
      <c r="J453" s="133"/>
      <c r="K453" s="133"/>
      <c r="L453" s="133"/>
      <c r="M453" s="133"/>
    </row>
    <row r="454">
      <c r="A454" s="119"/>
      <c r="B454" s="119"/>
      <c r="C454" s="119"/>
      <c r="D454" s="119"/>
      <c r="E454" s="119"/>
      <c r="F454" s="119"/>
      <c r="G454" s="119"/>
      <c r="H454" s="119"/>
      <c r="I454" s="120"/>
      <c r="J454" s="120"/>
      <c r="K454" s="120"/>
      <c r="L454" s="120"/>
      <c r="M454" s="120"/>
    </row>
    <row r="455">
      <c r="A455" s="119"/>
      <c r="B455" s="119"/>
      <c r="C455" s="119"/>
      <c r="D455" s="119"/>
      <c r="E455" s="119"/>
      <c r="F455" s="119"/>
      <c r="G455" s="119"/>
      <c r="H455" s="119"/>
      <c r="I455" s="133"/>
      <c r="J455" s="133"/>
      <c r="K455" s="133"/>
      <c r="L455" s="133"/>
      <c r="M455" s="133"/>
    </row>
    <row r="456">
      <c r="A456" s="119"/>
      <c r="B456" s="119"/>
      <c r="C456" s="119"/>
      <c r="D456" s="119"/>
      <c r="E456" s="119"/>
      <c r="F456" s="119"/>
      <c r="G456" s="119"/>
      <c r="H456" s="119"/>
      <c r="I456" s="120"/>
      <c r="J456" s="120"/>
      <c r="K456" s="120"/>
      <c r="L456" s="120"/>
      <c r="M456" s="120"/>
    </row>
    <row r="457">
      <c r="A457" s="119"/>
      <c r="B457" s="119"/>
      <c r="C457" s="119"/>
      <c r="D457" s="119"/>
      <c r="E457" s="119"/>
      <c r="F457" s="119"/>
      <c r="G457" s="119"/>
      <c r="H457" s="119"/>
      <c r="I457" s="133"/>
      <c r="J457" s="133"/>
      <c r="K457" s="133"/>
      <c r="L457" s="133"/>
      <c r="M457" s="133"/>
    </row>
    <row r="458">
      <c r="A458" s="119"/>
      <c r="B458" s="119"/>
      <c r="C458" s="119"/>
      <c r="D458" s="119"/>
      <c r="E458" s="119"/>
      <c r="F458" s="119"/>
      <c r="G458" s="119"/>
      <c r="H458" s="119"/>
      <c r="I458" s="120"/>
      <c r="J458" s="120"/>
      <c r="K458" s="120"/>
      <c r="L458" s="120"/>
      <c r="M458" s="120"/>
    </row>
    <row r="459">
      <c r="A459" s="119"/>
      <c r="B459" s="119"/>
      <c r="C459" s="119"/>
      <c r="D459" s="119"/>
      <c r="E459" s="119"/>
      <c r="F459" s="119"/>
      <c r="G459" s="119"/>
      <c r="H459" s="119"/>
      <c r="I459" s="133"/>
      <c r="J459" s="133"/>
      <c r="K459" s="133"/>
      <c r="L459" s="133"/>
      <c r="M459" s="133"/>
    </row>
    <row r="460">
      <c r="A460" s="119"/>
      <c r="B460" s="119"/>
      <c r="C460" s="119"/>
      <c r="D460" s="119"/>
      <c r="E460" s="119"/>
      <c r="F460" s="119"/>
      <c r="G460" s="119"/>
      <c r="H460" s="119"/>
      <c r="I460" s="120"/>
      <c r="J460" s="120"/>
      <c r="K460" s="120"/>
      <c r="L460" s="120"/>
      <c r="M460" s="120"/>
    </row>
    <row r="461">
      <c r="A461" s="119"/>
      <c r="B461" s="119"/>
      <c r="C461" s="119"/>
      <c r="D461" s="119"/>
      <c r="E461" s="119"/>
      <c r="F461" s="119"/>
      <c r="G461" s="119"/>
      <c r="H461" s="119"/>
      <c r="I461" s="133"/>
      <c r="J461" s="133"/>
      <c r="K461" s="133"/>
      <c r="L461" s="133"/>
      <c r="M461" s="133"/>
    </row>
    <row r="462">
      <c r="A462" s="119"/>
      <c r="B462" s="119"/>
      <c r="C462" s="119"/>
      <c r="D462" s="119"/>
      <c r="E462" s="119"/>
      <c r="F462" s="119"/>
      <c r="G462" s="119"/>
      <c r="H462" s="119"/>
      <c r="I462" s="120"/>
      <c r="J462" s="120"/>
      <c r="K462" s="120"/>
      <c r="L462" s="120"/>
      <c r="M462" s="120"/>
    </row>
    <row r="463">
      <c r="A463" s="119"/>
      <c r="B463" s="119"/>
      <c r="C463" s="119"/>
      <c r="D463" s="119"/>
      <c r="E463" s="119"/>
      <c r="F463" s="119"/>
      <c r="G463" s="119"/>
      <c r="H463" s="119"/>
      <c r="I463" s="133"/>
      <c r="J463" s="133"/>
      <c r="K463" s="133"/>
      <c r="L463" s="133"/>
      <c r="M463" s="133"/>
    </row>
    <row r="464">
      <c r="A464" s="119"/>
      <c r="B464" s="119"/>
      <c r="C464" s="119"/>
      <c r="D464" s="119"/>
      <c r="E464" s="119"/>
      <c r="F464" s="119"/>
      <c r="G464" s="119"/>
      <c r="H464" s="119"/>
      <c r="I464" s="120"/>
      <c r="J464" s="120"/>
      <c r="K464" s="120"/>
      <c r="L464" s="120"/>
      <c r="M464" s="120"/>
    </row>
    <row r="465">
      <c r="A465" s="119"/>
      <c r="B465" s="119"/>
      <c r="C465" s="119"/>
      <c r="D465" s="119"/>
      <c r="E465" s="119"/>
      <c r="F465" s="119"/>
      <c r="G465" s="119"/>
      <c r="H465" s="119"/>
      <c r="I465" s="133"/>
      <c r="J465" s="133"/>
      <c r="K465" s="133"/>
      <c r="L465" s="133"/>
      <c r="M465" s="133"/>
    </row>
    <row r="466">
      <c r="A466" s="119"/>
      <c r="B466" s="119"/>
      <c r="C466" s="119"/>
      <c r="D466" s="119"/>
      <c r="E466" s="119"/>
      <c r="F466" s="119"/>
      <c r="G466" s="119"/>
      <c r="H466" s="119"/>
      <c r="I466" s="120"/>
      <c r="J466" s="120"/>
      <c r="K466" s="120"/>
      <c r="L466" s="120"/>
      <c r="M466" s="120"/>
    </row>
    <row r="467">
      <c r="A467" s="119"/>
      <c r="B467" s="119"/>
      <c r="C467" s="119"/>
      <c r="D467" s="119"/>
      <c r="E467" s="119"/>
      <c r="F467" s="119"/>
      <c r="G467" s="119"/>
      <c r="H467" s="119"/>
      <c r="I467" s="133"/>
      <c r="J467" s="133"/>
      <c r="K467" s="133"/>
      <c r="L467" s="133"/>
      <c r="M467" s="133"/>
    </row>
    <row r="468">
      <c r="A468" s="119"/>
      <c r="B468" s="119"/>
      <c r="C468" s="119"/>
      <c r="D468" s="119"/>
      <c r="E468" s="119"/>
      <c r="F468" s="119"/>
      <c r="G468" s="119"/>
      <c r="H468" s="119"/>
      <c r="I468" s="120"/>
      <c r="J468" s="120"/>
      <c r="K468" s="120"/>
      <c r="L468" s="120"/>
      <c r="M468" s="120"/>
    </row>
    <row r="469">
      <c r="A469" s="119"/>
      <c r="B469" s="119"/>
      <c r="C469" s="119"/>
      <c r="D469" s="119"/>
      <c r="E469" s="119"/>
      <c r="F469" s="119"/>
      <c r="G469" s="119"/>
      <c r="H469" s="119"/>
      <c r="I469" s="133"/>
      <c r="J469" s="133"/>
      <c r="K469" s="133"/>
      <c r="L469" s="133"/>
      <c r="M469" s="133"/>
    </row>
    <row r="470">
      <c r="A470" s="119"/>
      <c r="B470" s="119"/>
      <c r="C470" s="119"/>
      <c r="D470" s="119"/>
      <c r="E470" s="119"/>
      <c r="F470" s="119"/>
      <c r="G470" s="119"/>
      <c r="H470" s="119"/>
      <c r="I470" s="120"/>
      <c r="J470" s="120"/>
      <c r="K470" s="120"/>
      <c r="L470" s="120"/>
      <c r="M470" s="120"/>
    </row>
    <row r="471">
      <c r="A471" s="119"/>
      <c r="B471" s="119"/>
      <c r="C471" s="119"/>
      <c r="D471" s="119"/>
      <c r="E471" s="119"/>
      <c r="F471" s="119"/>
      <c r="G471" s="119"/>
      <c r="H471" s="119"/>
      <c r="I471" s="133"/>
      <c r="J471" s="133"/>
      <c r="K471" s="133"/>
      <c r="L471" s="133"/>
      <c r="M471" s="133"/>
    </row>
    <row r="472">
      <c r="A472" s="119"/>
      <c r="B472" s="119"/>
      <c r="C472" s="119"/>
      <c r="D472" s="119"/>
      <c r="E472" s="119"/>
      <c r="F472" s="119"/>
      <c r="G472" s="119"/>
      <c r="H472" s="119"/>
      <c r="I472" s="120"/>
      <c r="J472" s="120"/>
      <c r="K472" s="120"/>
      <c r="L472" s="120"/>
      <c r="M472" s="120"/>
    </row>
    <row r="473">
      <c r="A473" s="119"/>
      <c r="B473" s="119"/>
      <c r="C473" s="119"/>
      <c r="D473" s="119"/>
      <c r="E473" s="119"/>
      <c r="F473" s="119"/>
      <c r="G473" s="119"/>
      <c r="H473" s="119"/>
      <c r="I473" s="133"/>
      <c r="J473" s="133"/>
      <c r="K473" s="133"/>
      <c r="L473" s="133"/>
      <c r="M473" s="133"/>
    </row>
    <row r="474">
      <c r="A474" s="119"/>
      <c r="B474" s="119"/>
      <c r="C474" s="119"/>
      <c r="D474" s="119"/>
      <c r="E474" s="119"/>
      <c r="F474" s="119"/>
      <c r="G474" s="119"/>
      <c r="H474" s="119"/>
      <c r="I474" s="120"/>
      <c r="J474" s="120"/>
      <c r="K474" s="120"/>
      <c r="L474" s="120"/>
      <c r="M474" s="120"/>
    </row>
    <row r="475">
      <c r="A475" s="119"/>
      <c r="B475" s="119"/>
      <c r="C475" s="119"/>
      <c r="D475" s="119"/>
      <c r="E475" s="119"/>
      <c r="F475" s="119"/>
      <c r="G475" s="119"/>
      <c r="H475" s="119"/>
      <c r="I475" s="133"/>
      <c r="J475" s="133"/>
      <c r="K475" s="133"/>
      <c r="L475" s="133"/>
      <c r="M475" s="133"/>
    </row>
    <row r="476">
      <c r="A476" s="119"/>
      <c r="B476" s="119"/>
      <c r="C476" s="119"/>
      <c r="D476" s="119"/>
      <c r="E476" s="119"/>
      <c r="F476" s="119"/>
      <c r="G476" s="119"/>
      <c r="H476" s="119"/>
      <c r="I476" s="120"/>
      <c r="J476" s="120"/>
      <c r="K476" s="120"/>
      <c r="L476" s="120"/>
      <c r="M476" s="120"/>
    </row>
    <row r="477">
      <c r="A477" s="119"/>
      <c r="B477" s="119"/>
      <c r="C477" s="119"/>
      <c r="D477" s="119"/>
      <c r="E477" s="119"/>
      <c r="F477" s="119"/>
      <c r="G477" s="119"/>
      <c r="H477" s="119"/>
      <c r="I477" s="133"/>
      <c r="J477" s="133"/>
      <c r="K477" s="133"/>
      <c r="L477" s="133"/>
      <c r="M477" s="133"/>
    </row>
    <row r="478">
      <c r="A478" s="119"/>
      <c r="B478" s="119"/>
      <c r="C478" s="119"/>
      <c r="D478" s="119"/>
      <c r="E478" s="119"/>
      <c r="F478" s="119"/>
      <c r="G478" s="119"/>
      <c r="H478" s="119"/>
      <c r="I478" s="120"/>
      <c r="J478" s="120"/>
      <c r="K478" s="120"/>
      <c r="L478" s="120"/>
      <c r="M478" s="120"/>
    </row>
    <row r="479">
      <c r="A479" s="119"/>
      <c r="B479" s="119"/>
      <c r="C479" s="119"/>
      <c r="D479" s="119"/>
      <c r="E479" s="119"/>
      <c r="F479" s="119"/>
      <c r="G479" s="119"/>
      <c r="H479" s="119"/>
      <c r="I479" s="133"/>
      <c r="J479" s="133"/>
      <c r="K479" s="133"/>
      <c r="L479" s="133"/>
      <c r="M479" s="133"/>
    </row>
    <row r="480">
      <c r="A480" s="119"/>
      <c r="B480" s="119"/>
      <c r="C480" s="119"/>
      <c r="D480" s="119"/>
      <c r="E480" s="119"/>
      <c r="F480" s="119"/>
      <c r="G480" s="119"/>
      <c r="H480" s="119"/>
      <c r="I480" s="120"/>
      <c r="J480" s="120"/>
      <c r="K480" s="120"/>
      <c r="L480" s="120"/>
      <c r="M480" s="120"/>
    </row>
    <row r="481">
      <c r="A481" s="119"/>
      <c r="B481" s="119"/>
      <c r="C481" s="119"/>
      <c r="D481" s="119"/>
      <c r="E481" s="119"/>
      <c r="F481" s="119"/>
      <c r="G481" s="119"/>
      <c r="H481" s="119"/>
      <c r="I481" s="133"/>
      <c r="J481" s="133"/>
      <c r="K481" s="133"/>
      <c r="L481" s="133"/>
      <c r="M481" s="133"/>
    </row>
    <row r="482">
      <c r="A482" s="119"/>
      <c r="B482" s="119"/>
      <c r="C482" s="119"/>
      <c r="D482" s="119"/>
      <c r="E482" s="119"/>
      <c r="F482" s="119"/>
      <c r="G482" s="119"/>
      <c r="H482" s="119"/>
      <c r="I482" s="120"/>
      <c r="J482" s="120"/>
      <c r="K482" s="120"/>
      <c r="L482" s="120"/>
      <c r="M482" s="120"/>
    </row>
    <row r="483">
      <c r="A483" s="119"/>
      <c r="B483" s="119"/>
      <c r="C483" s="119"/>
      <c r="D483" s="119"/>
      <c r="E483" s="119"/>
      <c r="F483" s="119"/>
      <c r="G483" s="119"/>
      <c r="H483" s="119"/>
      <c r="I483" s="133"/>
      <c r="J483" s="133"/>
      <c r="K483" s="133"/>
      <c r="L483" s="133"/>
      <c r="M483" s="133"/>
    </row>
    <row r="484">
      <c r="A484" s="119"/>
      <c r="B484" s="119"/>
      <c r="C484" s="119"/>
      <c r="D484" s="119"/>
      <c r="E484" s="119"/>
      <c r="F484" s="119"/>
      <c r="G484" s="119"/>
      <c r="H484" s="119"/>
      <c r="I484" s="120"/>
      <c r="J484" s="120"/>
      <c r="K484" s="120"/>
      <c r="L484" s="120"/>
      <c r="M484" s="120"/>
    </row>
    <row r="485">
      <c r="A485" s="119"/>
      <c r="B485" s="119"/>
      <c r="C485" s="119"/>
      <c r="D485" s="119"/>
      <c r="E485" s="119"/>
      <c r="F485" s="119"/>
      <c r="G485" s="119"/>
      <c r="H485" s="119"/>
      <c r="I485" s="133"/>
      <c r="J485" s="133"/>
      <c r="K485" s="133"/>
      <c r="L485" s="133"/>
      <c r="M485" s="133"/>
    </row>
    <row r="486">
      <c r="A486" s="119"/>
      <c r="B486" s="119"/>
      <c r="C486" s="119"/>
      <c r="D486" s="119"/>
      <c r="E486" s="119"/>
      <c r="F486" s="119"/>
      <c r="G486" s="119"/>
      <c r="H486" s="119"/>
      <c r="I486" s="120"/>
      <c r="J486" s="120"/>
      <c r="K486" s="120"/>
      <c r="L486" s="120"/>
      <c r="M486" s="120"/>
    </row>
    <row r="487">
      <c r="A487" s="119"/>
      <c r="B487" s="119"/>
      <c r="C487" s="119"/>
      <c r="D487" s="119"/>
      <c r="E487" s="119"/>
      <c r="F487" s="119"/>
      <c r="G487" s="119"/>
      <c r="H487" s="119"/>
      <c r="I487" s="133"/>
      <c r="J487" s="133"/>
      <c r="K487" s="133"/>
      <c r="L487" s="133"/>
      <c r="M487" s="133"/>
    </row>
    <row r="488">
      <c r="A488" s="119"/>
      <c r="B488" s="119"/>
      <c r="C488" s="119"/>
      <c r="D488" s="119"/>
      <c r="E488" s="119"/>
      <c r="F488" s="119"/>
      <c r="G488" s="119"/>
      <c r="H488" s="119"/>
      <c r="I488" s="120"/>
      <c r="J488" s="120"/>
      <c r="K488" s="120"/>
      <c r="L488" s="120"/>
      <c r="M488" s="120"/>
    </row>
    <row r="489">
      <c r="A489" s="119"/>
      <c r="B489" s="119"/>
      <c r="C489" s="119"/>
      <c r="D489" s="119"/>
      <c r="E489" s="119"/>
      <c r="F489" s="119"/>
      <c r="G489" s="119"/>
      <c r="H489" s="119"/>
      <c r="I489" s="133"/>
      <c r="J489" s="133"/>
      <c r="K489" s="133"/>
      <c r="L489" s="133"/>
      <c r="M489" s="133"/>
    </row>
    <row r="490">
      <c r="A490" s="119"/>
      <c r="B490" s="119"/>
      <c r="C490" s="119"/>
      <c r="D490" s="119"/>
      <c r="E490" s="119"/>
      <c r="F490" s="119"/>
      <c r="G490" s="119"/>
      <c r="H490" s="119"/>
      <c r="I490" s="120"/>
      <c r="J490" s="120"/>
      <c r="K490" s="120"/>
      <c r="L490" s="120"/>
      <c r="M490" s="120"/>
    </row>
    <row r="491">
      <c r="A491" s="119"/>
      <c r="B491" s="119"/>
      <c r="C491" s="119"/>
      <c r="D491" s="119"/>
      <c r="E491" s="119"/>
      <c r="F491" s="119"/>
      <c r="G491" s="119"/>
      <c r="H491" s="119"/>
      <c r="I491" s="133"/>
      <c r="J491" s="133"/>
      <c r="K491" s="133"/>
      <c r="L491" s="133"/>
      <c r="M491" s="133"/>
    </row>
    <row r="492">
      <c r="A492" s="119"/>
      <c r="B492" s="119"/>
      <c r="C492" s="119"/>
      <c r="D492" s="119"/>
      <c r="E492" s="119"/>
      <c r="F492" s="119"/>
      <c r="G492" s="119"/>
      <c r="H492" s="119"/>
      <c r="I492" s="120"/>
      <c r="J492" s="120"/>
      <c r="K492" s="120"/>
      <c r="L492" s="120"/>
      <c r="M492" s="120"/>
    </row>
    <row r="493">
      <c r="A493" s="119"/>
      <c r="B493" s="119"/>
      <c r="C493" s="119"/>
      <c r="D493" s="119"/>
      <c r="E493" s="119"/>
      <c r="F493" s="119"/>
      <c r="G493" s="119"/>
      <c r="H493" s="119"/>
      <c r="I493" s="133"/>
      <c r="J493" s="133"/>
      <c r="K493" s="133"/>
      <c r="L493" s="133"/>
      <c r="M493" s="133"/>
    </row>
    <row r="494">
      <c r="A494" s="119"/>
      <c r="B494" s="119"/>
      <c r="C494" s="119"/>
      <c r="D494" s="119"/>
      <c r="E494" s="119"/>
      <c r="F494" s="119"/>
      <c r="G494" s="119"/>
      <c r="H494" s="119"/>
      <c r="I494" s="120"/>
      <c r="J494" s="120"/>
      <c r="K494" s="120"/>
      <c r="L494" s="120"/>
      <c r="M494" s="120"/>
    </row>
    <row r="495">
      <c r="A495" s="119"/>
      <c r="B495" s="119"/>
      <c r="C495" s="119"/>
      <c r="D495" s="119"/>
      <c r="E495" s="119"/>
      <c r="F495" s="119"/>
      <c r="G495" s="119"/>
      <c r="H495" s="119"/>
      <c r="I495" s="133"/>
      <c r="J495" s="133"/>
      <c r="K495" s="133"/>
      <c r="L495" s="133"/>
      <c r="M495" s="133"/>
    </row>
    <row r="496">
      <c r="A496" s="119"/>
      <c r="B496" s="119"/>
      <c r="C496" s="119"/>
      <c r="D496" s="119"/>
      <c r="E496" s="119"/>
      <c r="F496" s="119"/>
      <c r="G496" s="119"/>
      <c r="H496" s="119"/>
      <c r="I496" s="120"/>
      <c r="J496" s="120"/>
      <c r="K496" s="120"/>
      <c r="L496" s="120"/>
      <c r="M496" s="120"/>
    </row>
    <row r="497">
      <c r="A497" s="119"/>
      <c r="B497" s="119"/>
      <c r="C497" s="119"/>
      <c r="D497" s="119"/>
      <c r="E497" s="119"/>
      <c r="F497" s="119"/>
      <c r="G497" s="119"/>
      <c r="H497" s="119"/>
      <c r="I497" s="133"/>
      <c r="J497" s="133"/>
      <c r="K497" s="133"/>
      <c r="L497" s="133"/>
      <c r="M497" s="133"/>
    </row>
    <row r="498">
      <c r="A498" s="119"/>
      <c r="B498" s="119"/>
      <c r="C498" s="119"/>
      <c r="D498" s="119"/>
      <c r="E498" s="119"/>
      <c r="F498" s="119"/>
      <c r="G498" s="119"/>
      <c r="H498" s="119"/>
      <c r="I498" s="120"/>
      <c r="J498" s="120"/>
      <c r="K498" s="120"/>
      <c r="L498" s="120"/>
      <c r="M498" s="120"/>
    </row>
    <row r="499">
      <c r="A499" s="119"/>
      <c r="B499" s="119"/>
      <c r="C499" s="119"/>
      <c r="D499" s="119"/>
      <c r="E499" s="119"/>
      <c r="F499" s="119"/>
      <c r="G499" s="119"/>
      <c r="H499" s="119"/>
      <c r="I499" s="133"/>
      <c r="J499" s="133"/>
      <c r="K499" s="133"/>
      <c r="L499" s="133"/>
      <c r="M499" s="133"/>
    </row>
    <row r="500">
      <c r="A500" s="119"/>
      <c r="B500" s="119"/>
      <c r="C500" s="119"/>
      <c r="D500" s="119"/>
      <c r="E500" s="119"/>
      <c r="F500" s="119"/>
      <c r="G500" s="119"/>
      <c r="H500" s="119"/>
      <c r="I500" s="120"/>
      <c r="J500" s="120"/>
      <c r="K500" s="120"/>
      <c r="L500" s="120"/>
      <c r="M500" s="120"/>
    </row>
    <row r="501">
      <c r="A501" s="119"/>
      <c r="B501" s="119"/>
      <c r="C501" s="119"/>
      <c r="D501" s="119"/>
      <c r="E501" s="119"/>
      <c r="F501" s="119"/>
      <c r="G501" s="119"/>
      <c r="H501" s="119"/>
      <c r="I501" s="133"/>
      <c r="J501" s="133"/>
      <c r="K501" s="133"/>
      <c r="L501" s="133"/>
      <c r="M501" s="133"/>
    </row>
    <row r="502">
      <c r="A502" s="119"/>
      <c r="B502" s="119"/>
      <c r="C502" s="119"/>
      <c r="D502" s="119"/>
      <c r="E502" s="119"/>
      <c r="F502" s="119"/>
      <c r="G502" s="119"/>
      <c r="H502" s="119"/>
      <c r="I502" s="120"/>
      <c r="J502" s="120"/>
      <c r="K502" s="120"/>
      <c r="L502" s="120"/>
      <c r="M502" s="120"/>
    </row>
    <row r="503">
      <c r="A503" s="119"/>
      <c r="B503" s="119"/>
      <c r="C503" s="119"/>
      <c r="D503" s="119"/>
      <c r="E503" s="119"/>
      <c r="F503" s="119"/>
      <c r="G503" s="119"/>
      <c r="H503" s="119"/>
      <c r="I503" s="133"/>
      <c r="J503" s="133"/>
      <c r="K503" s="133"/>
      <c r="L503" s="133"/>
      <c r="M503" s="133"/>
    </row>
    <row r="504">
      <c r="A504" s="119"/>
      <c r="B504" s="119"/>
      <c r="C504" s="119"/>
      <c r="D504" s="119"/>
      <c r="E504" s="119"/>
      <c r="F504" s="119"/>
      <c r="G504" s="119"/>
      <c r="H504" s="119"/>
      <c r="I504" s="120"/>
      <c r="J504" s="120"/>
      <c r="K504" s="120"/>
      <c r="L504" s="120"/>
      <c r="M504" s="120"/>
    </row>
    <row r="505">
      <c r="A505" s="119"/>
      <c r="B505" s="119"/>
      <c r="C505" s="119"/>
      <c r="D505" s="119"/>
      <c r="E505" s="119"/>
      <c r="F505" s="119"/>
      <c r="G505" s="119"/>
      <c r="H505" s="119"/>
      <c r="I505" s="133"/>
      <c r="J505" s="133"/>
      <c r="K505" s="133"/>
      <c r="L505" s="133"/>
      <c r="M505" s="133"/>
    </row>
    <row r="506">
      <c r="A506" s="119"/>
      <c r="B506" s="119"/>
      <c r="C506" s="119"/>
      <c r="D506" s="119"/>
      <c r="E506" s="119"/>
      <c r="F506" s="119"/>
      <c r="G506" s="119"/>
      <c r="H506" s="119"/>
      <c r="I506" s="120"/>
      <c r="J506" s="120"/>
      <c r="K506" s="120"/>
      <c r="L506" s="120"/>
      <c r="M506" s="120"/>
    </row>
    <row r="507">
      <c r="A507" s="119"/>
      <c r="B507" s="119"/>
      <c r="C507" s="119"/>
      <c r="D507" s="119"/>
      <c r="E507" s="119"/>
      <c r="F507" s="119"/>
      <c r="G507" s="119"/>
      <c r="H507" s="119"/>
      <c r="I507" s="133"/>
      <c r="J507" s="133"/>
      <c r="K507" s="133"/>
      <c r="L507" s="133"/>
      <c r="M507" s="133"/>
    </row>
    <row r="508">
      <c r="A508" s="119"/>
      <c r="B508" s="119"/>
      <c r="C508" s="119"/>
      <c r="D508" s="119"/>
      <c r="E508" s="119"/>
      <c r="F508" s="119"/>
      <c r="G508" s="119"/>
      <c r="H508" s="119"/>
      <c r="I508" s="120"/>
      <c r="J508" s="120"/>
      <c r="K508" s="120"/>
      <c r="L508" s="120"/>
      <c r="M508" s="120"/>
    </row>
    <row r="509">
      <c r="A509" s="119"/>
      <c r="B509" s="119"/>
      <c r="C509" s="119"/>
      <c r="D509" s="119"/>
      <c r="E509" s="119"/>
      <c r="F509" s="119"/>
      <c r="G509" s="119"/>
      <c r="H509" s="119"/>
      <c r="I509" s="133"/>
      <c r="J509" s="133"/>
      <c r="K509" s="133"/>
      <c r="L509" s="133"/>
      <c r="M509" s="133"/>
    </row>
    <row r="510">
      <c r="A510" s="119"/>
      <c r="B510" s="119"/>
      <c r="C510" s="119"/>
      <c r="D510" s="119"/>
      <c r="E510" s="119"/>
      <c r="F510" s="119"/>
      <c r="G510" s="119"/>
      <c r="H510" s="119"/>
      <c r="I510" s="120"/>
      <c r="J510" s="120"/>
      <c r="K510" s="120"/>
      <c r="L510" s="120"/>
      <c r="M510" s="120"/>
    </row>
    <row r="511">
      <c r="A511" s="119"/>
      <c r="B511" s="119"/>
      <c r="C511" s="119"/>
      <c r="D511" s="119"/>
      <c r="E511" s="119"/>
      <c r="F511" s="119"/>
      <c r="G511" s="119"/>
      <c r="H511" s="119"/>
      <c r="I511" s="133"/>
      <c r="J511" s="133"/>
      <c r="K511" s="133"/>
      <c r="L511" s="133"/>
      <c r="M511" s="133"/>
    </row>
    <row r="512">
      <c r="A512" s="119"/>
      <c r="B512" s="119"/>
      <c r="C512" s="119"/>
      <c r="D512" s="119"/>
      <c r="E512" s="119"/>
      <c r="F512" s="119"/>
      <c r="G512" s="119"/>
      <c r="H512" s="119"/>
      <c r="I512" s="120"/>
      <c r="J512" s="120"/>
      <c r="K512" s="120"/>
      <c r="L512" s="120"/>
      <c r="M512" s="120"/>
    </row>
    <row r="513">
      <c r="A513" s="119"/>
      <c r="B513" s="119"/>
      <c r="C513" s="119"/>
      <c r="D513" s="119"/>
      <c r="E513" s="119"/>
      <c r="F513" s="119"/>
      <c r="G513" s="119"/>
      <c r="H513" s="119"/>
      <c r="I513" s="133"/>
      <c r="J513" s="133"/>
      <c r="K513" s="133"/>
      <c r="L513" s="133"/>
      <c r="M513" s="133"/>
    </row>
    <row r="514">
      <c r="A514" s="119"/>
      <c r="B514" s="119"/>
      <c r="C514" s="119"/>
      <c r="D514" s="119"/>
      <c r="E514" s="119"/>
      <c r="F514" s="119"/>
      <c r="G514" s="119"/>
      <c r="H514" s="119"/>
      <c r="I514" s="120"/>
      <c r="J514" s="120"/>
      <c r="K514" s="120"/>
      <c r="L514" s="120"/>
      <c r="M514" s="120"/>
    </row>
    <row r="515">
      <c r="A515" s="119"/>
      <c r="B515" s="119"/>
      <c r="C515" s="119"/>
      <c r="D515" s="119"/>
      <c r="E515" s="119"/>
      <c r="F515" s="119"/>
      <c r="G515" s="119"/>
      <c r="H515" s="119"/>
      <c r="I515" s="133"/>
      <c r="J515" s="133"/>
      <c r="K515" s="133"/>
      <c r="L515" s="133"/>
      <c r="M515" s="133"/>
    </row>
    <row r="516">
      <c r="A516" s="119"/>
      <c r="B516" s="119"/>
      <c r="C516" s="119"/>
      <c r="D516" s="119"/>
      <c r="E516" s="119"/>
      <c r="F516" s="119"/>
      <c r="G516" s="119"/>
      <c r="H516" s="119"/>
      <c r="I516" s="120"/>
      <c r="J516" s="120"/>
      <c r="K516" s="120"/>
      <c r="L516" s="120"/>
      <c r="M516" s="120"/>
    </row>
    <row r="517">
      <c r="A517" s="119"/>
      <c r="B517" s="119"/>
      <c r="C517" s="119"/>
      <c r="D517" s="119"/>
      <c r="E517" s="119"/>
      <c r="F517" s="119"/>
      <c r="G517" s="119"/>
      <c r="H517" s="119"/>
      <c r="I517" s="133"/>
      <c r="J517" s="133"/>
      <c r="K517" s="133"/>
      <c r="L517" s="133"/>
      <c r="M517" s="133"/>
    </row>
    <row r="518">
      <c r="A518" s="119"/>
      <c r="B518" s="119"/>
      <c r="C518" s="119"/>
      <c r="D518" s="119"/>
      <c r="E518" s="119"/>
      <c r="F518" s="119"/>
      <c r="G518" s="119"/>
      <c r="H518" s="119"/>
      <c r="I518" s="120"/>
      <c r="J518" s="120"/>
      <c r="K518" s="120"/>
      <c r="L518" s="120"/>
      <c r="M518" s="120"/>
    </row>
    <row r="519">
      <c r="A519" s="119"/>
      <c r="B519" s="119"/>
      <c r="C519" s="119"/>
      <c r="D519" s="119"/>
      <c r="E519" s="119"/>
      <c r="F519" s="119"/>
      <c r="G519" s="119"/>
      <c r="H519" s="119"/>
      <c r="I519" s="133"/>
      <c r="J519" s="133"/>
      <c r="K519" s="133"/>
      <c r="L519" s="133"/>
      <c r="M519" s="133"/>
    </row>
    <row r="520">
      <c r="A520" s="119"/>
      <c r="B520" s="119"/>
      <c r="C520" s="119"/>
      <c r="D520" s="119"/>
      <c r="E520" s="119"/>
      <c r="F520" s="119"/>
      <c r="G520" s="119"/>
      <c r="H520" s="119"/>
      <c r="I520" s="120"/>
      <c r="J520" s="120"/>
      <c r="K520" s="120"/>
      <c r="L520" s="120"/>
      <c r="M520" s="120"/>
    </row>
    <row r="521">
      <c r="A521" s="119"/>
      <c r="B521" s="119"/>
      <c r="C521" s="119"/>
      <c r="D521" s="119"/>
      <c r="E521" s="119"/>
      <c r="F521" s="119"/>
      <c r="G521" s="119"/>
      <c r="H521" s="119"/>
      <c r="I521" s="133"/>
      <c r="J521" s="133"/>
      <c r="K521" s="133"/>
      <c r="L521" s="133"/>
      <c r="M521" s="133"/>
    </row>
    <row r="522">
      <c r="A522" s="119"/>
      <c r="B522" s="119"/>
      <c r="C522" s="119"/>
      <c r="D522" s="119"/>
      <c r="E522" s="119"/>
      <c r="F522" s="119"/>
      <c r="G522" s="119"/>
      <c r="H522" s="119"/>
      <c r="I522" s="120"/>
      <c r="J522" s="120"/>
      <c r="K522" s="120"/>
      <c r="L522" s="120"/>
      <c r="M522" s="120"/>
    </row>
    <row r="523">
      <c r="A523" s="119"/>
      <c r="B523" s="119"/>
      <c r="C523" s="119"/>
      <c r="D523" s="119"/>
      <c r="E523" s="119"/>
      <c r="F523" s="119"/>
      <c r="G523" s="119"/>
      <c r="H523" s="119"/>
      <c r="I523" s="133"/>
      <c r="J523" s="133"/>
      <c r="K523" s="133"/>
      <c r="L523" s="133"/>
      <c r="M523" s="133"/>
    </row>
    <row r="524">
      <c r="A524" s="119"/>
      <c r="B524" s="119"/>
      <c r="C524" s="119"/>
      <c r="D524" s="119"/>
      <c r="E524" s="119"/>
      <c r="F524" s="119"/>
      <c r="G524" s="119"/>
      <c r="H524" s="119"/>
      <c r="I524" s="120"/>
      <c r="J524" s="120"/>
      <c r="K524" s="120"/>
      <c r="L524" s="120"/>
      <c r="M524" s="120"/>
    </row>
    <row r="525">
      <c r="A525" s="119"/>
      <c r="B525" s="119"/>
      <c r="C525" s="119"/>
      <c r="D525" s="119"/>
      <c r="E525" s="119"/>
      <c r="F525" s="119"/>
      <c r="G525" s="119"/>
      <c r="H525" s="119"/>
      <c r="I525" s="133"/>
      <c r="J525" s="133"/>
      <c r="K525" s="133"/>
      <c r="L525" s="133"/>
      <c r="M525" s="133"/>
    </row>
    <row r="526">
      <c r="A526" s="119"/>
      <c r="B526" s="119"/>
      <c r="C526" s="119"/>
      <c r="D526" s="119"/>
      <c r="E526" s="119"/>
      <c r="F526" s="119"/>
      <c r="G526" s="119"/>
      <c r="H526" s="119"/>
      <c r="I526" s="120"/>
      <c r="J526" s="120"/>
      <c r="K526" s="120"/>
      <c r="L526" s="120"/>
      <c r="M526" s="120"/>
    </row>
    <row r="527">
      <c r="A527" s="119"/>
      <c r="B527" s="119"/>
      <c r="C527" s="119"/>
      <c r="D527" s="119"/>
      <c r="E527" s="119"/>
      <c r="F527" s="119"/>
      <c r="G527" s="119"/>
      <c r="H527" s="119"/>
      <c r="I527" s="133"/>
      <c r="J527" s="133"/>
      <c r="K527" s="133"/>
      <c r="L527" s="133"/>
      <c r="M527" s="133"/>
    </row>
    <row r="528">
      <c r="A528" s="119"/>
      <c r="B528" s="119"/>
      <c r="C528" s="119"/>
      <c r="D528" s="119"/>
      <c r="E528" s="119"/>
      <c r="F528" s="119"/>
      <c r="G528" s="119"/>
      <c r="H528" s="119"/>
      <c r="I528" s="120"/>
      <c r="J528" s="120"/>
      <c r="K528" s="120"/>
      <c r="L528" s="120"/>
      <c r="M528" s="120"/>
    </row>
    <row r="529">
      <c r="A529" s="119"/>
      <c r="B529" s="119"/>
      <c r="C529" s="119"/>
      <c r="D529" s="119"/>
      <c r="E529" s="119"/>
      <c r="F529" s="119"/>
      <c r="G529" s="119"/>
      <c r="H529" s="119"/>
      <c r="I529" s="133"/>
      <c r="J529" s="133"/>
      <c r="K529" s="133"/>
      <c r="L529" s="133"/>
      <c r="M529" s="133"/>
    </row>
    <row r="530">
      <c r="A530" s="119"/>
      <c r="B530" s="119"/>
      <c r="C530" s="119"/>
      <c r="D530" s="119"/>
      <c r="E530" s="119"/>
      <c r="F530" s="119"/>
      <c r="G530" s="119"/>
      <c r="H530" s="119"/>
      <c r="I530" s="120"/>
      <c r="J530" s="120"/>
      <c r="K530" s="120"/>
      <c r="L530" s="120"/>
      <c r="M530" s="120"/>
    </row>
    <row r="531">
      <c r="A531" s="119"/>
      <c r="B531" s="119"/>
      <c r="C531" s="119"/>
      <c r="D531" s="119"/>
      <c r="E531" s="119"/>
      <c r="F531" s="119"/>
      <c r="G531" s="119"/>
      <c r="H531" s="119"/>
      <c r="I531" s="133"/>
      <c r="J531" s="133"/>
      <c r="K531" s="133"/>
      <c r="L531" s="133"/>
      <c r="M531" s="133"/>
    </row>
    <row r="532">
      <c r="A532" s="119"/>
      <c r="B532" s="119"/>
      <c r="C532" s="119"/>
      <c r="D532" s="119"/>
      <c r="E532" s="119"/>
      <c r="F532" s="119"/>
      <c r="G532" s="119"/>
      <c r="H532" s="119"/>
      <c r="I532" s="120"/>
      <c r="J532" s="120"/>
      <c r="K532" s="120"/>
      <c r="L532" s="120"/>
      <c r="M532" s="120"/>
    </row>
    <row r="533">
      <c r="A533" s="119"/>
      <c r="B533" s="119"/>
      <c r="C533" s="119"/>
      <c r="D533" s="119"/>
      <c r="E533" s="119"/>
      <c r="F533" s="119"/>
      <c r="G533" s="119"/>
      <c r="H533" s="119"/>
      <c r="I533" s="133"/>
      <c r="J533" s="133"/>
      <c r="K533" s="133"/>
      <c r="L533" s="133"/>
      <c r="M533" s="133"/>
    </row>
    <row r="534">
      <c r="A534" s="119"/>
      <c r="B534" s="119"/>
      <c r="C534" s="119"/>
      <c r="D534" s="119"/>
      <c r="E534" s="119"/>
      <c r="F534" s="119"/>
      <c r="G534" s="119"/>
      <c r="H534" s="119"/>
      <c r="I534" s="120"/>
      <c r="J534" s="120"/>
      <c r="K534" s="120"/>
      <c r="L534" s="120"/>
      <c r="M534" s="120"/>
    </row>
    <row r="535">
      <c r="A535" s="119"/>
      <c r="B535" s="119"/>
      <c r="C535" s="119"/>
      <c r="D535" s="119"/>
      <c r="E535" s="119"/>
      <c r="F535" s="119"/>
      <c r="G535" s="119"/>
      <c r="H535" s="119"/>
      <c r="I535" s="133"/>
      <c r="J535" s="133"/>
      <c r="K535" s="133"/>
      <c r="L535" s="133"/>
      <c r="M535" s="133"/>
    </row>
    <row r="536">
      <c r="A536" s="119"/>
      <c r="B536" s="119"/>
      <c r="C536" s="119"/>
      <c r="D536" s="119"/>
      <c r="E536" s="119"/>
      <c r="F536" s="119"/>
      <c r="G536" s="119"/>
      <c r="H536" s="119"/>
      <c r="I536" s="120"/>
      <c r="J536" s="120"/>
      <c r="K536" s="120"/>
      <c r="L536" s="120"/>
      <c r="M536" s="120"/>
    </row>
    <row r="537">
      <c r="A537" s="119"/>
      <c r="B537" s="119"/>
      <c r="C537" s="119"/>
      <c r="D537" s="119"/>
      <c r="E537" s="119"/>
      <c r="F537" s="119"/>
      <c r="G537" s="119"/>
      <c r="H537" s="119"/>
      <c r="I537" s="133"/>
      <c r="J537" s="133"/>
      <c r="K537" s="133"/>
      <c r="L537" s="133"/>
      <c r="M537" s="133"/>
    </row>
    <row r="538">
      <c r="A538" s="119"/>
      <c r="B538" s="119"/>
      <c r="C538" s="119"/>
      <c r="D538" s="119"/>
      <c r="E538" s="119"/>
      <c r="F538" s="119"/>
      <c r="G538" s="119"/>
      <c r="H538" s="119"/>
      <c r="I538" s="120"/>
      <c r="J538" s="120"/>
      <c r="K538" s="120"/>
      <c r="L538" s="120"/>
      <c r="M538" s="120"/>
    </row>
    <row r="539">
      <c r="A539" s="119"/>
      <c r="B539" s="119"/>
      <c r="C539" s="119"/>
      <c r="D539" s="119"/>
      <c r="E539" s="119"/>
      <c r="F539" s="119"/>
      <c r="G539" s="119"/>
      <c r="H539" s="119"/>
      <c r="I539" s="133"/>
      <c r="J539" s="133"/>
      <c r="K539" s="133"/>
      <c r="L539" s="133"/>
      <c r="M539" s="133"/>
    </row>
    <row r="540">
      <c r="A540" s="119"/>
      <c r="B540" s="119"/>
      <c r="C540" s="119"/>
      <c r="D540" s="119"/>
      <c r="E540" s="119"/>
      <c r="F540" s="119"/>
      <c r="G540" s="119"/>
      <c r="H540" s="119"/>
      <c r="I540" s="120"/>
      <c r="J540" s="120"/>
      <c r="K540" s="120"/>
      <c r="L540" s="120"/>
      <c r="M540" s="120"/>
    </row>
    <row r="541">
      <c r="A541" s="119"/>
      <c r="B541" s="119"/>
      <c r="C541" s="119"/>
      <c r="D541" s="119"/>
      <c r="E541" s="119"/>
      <c r="F541" s="119"/>
      <c r="G541" s="119"/>
      <c r="H541" s="119"/>
      <c r="I541" s="133"/>
      <c r="J541" s="133"/>
      <c r="K541" s="133"/>
      <c r="L541" s="133"/>
      <c r="M541" s="133"/>
    </row>
    <row r="542">
      <c r="A542" s="119"/>
      <c r="B542" s="119"/>
      <c r="C542" s="119"/>
      <c r="D542" s="119"/>
      <c r="E542" s="119"/>
      <c r="F542" s="119"/>
      <c r="G542" s="119"/>
      <c r="H542" s="119"/>
      <c r="I542" s="120"/>
      <c r="J542" s="120"/>
      <c r="K542" s="120"/>
      <c r="L542" s="120"/>
      <c r="M542" s="120"/>
    </row>
    <row r="543">
      <c r="A543" s="119"/>
      <c r="B543" s="119"/>
      <c r="C543" s="119"/>
      <c r="D543" s="119"/>
      <c r="E543" s="119"/>
      <c r="F543" s="119"/>
      <c r="G543" s="119"/>
      <c r="H543" s="119"/>
      <c r="I543" s="133"/>
      <c r="J543" s="133"/>
      <c r="K543" s="133"/>
      <c r="L543" s="133"/>
      <c r="M543" s="133"/>
    </row>
    <row r="544">
      <c r="A544" s="119"/>
      <c r="B544" s="119"/>
      <c r="C544" s="119"/>
      <c r="D544" s="119"/>
      <c r="E544" s="119"/>
      <c r="F544" s="119"/>
      <c r="G544" s="119"/>
      <c r="H544" s="119"/>
      <c r="I544" s="120"/>
      <c r="J544" s="120"/>
      <c r="K544" s="120"/>
      <c r="L544" s="120"/>
      <c r="M544" s="120"/>
    </row>
    <row r="545">
      <c r="A545" s="119"/>
      <c r="B545" s="119"/>
      <c r="C545" s="119"/>
      <c r="D545" s="119"/>
      <c r="E545" s="119"/>
      <c r="F545" s="119"/>
      <c r="G545" s="119"/>
      <c r="H545" s="119"/>
      <c r="I545" s="133"/>
      <c r="J545" s="133"/>
      <c r="K545" s="133"/>
      <c r="L545" s="133"/>
      <c r="M545" s="133"/>
    </row>
    <row r="546">
      <c r="A546" s="119"/>
      <c r="B546" s="119"/>
      <c r="C546" s="119"/>
      <c r="D546" s="119"/>
      <c r="E546" s="119"/>
      <c r="F546" s="119"/>
      <c r="G546" s="119"/>
      <c r="H546" s="119"/>
      <c r="I546" s="120"/>
      <c r="J546" s="120"/>
      <c r="K546" s="120"/>
      <c r="L546" s="120"/>
      <c r="M546" s="120"/>
    </row>
    <row r="547">
      <c r="A547" s="119"/>
      <c r="B547" s="119"/>
      <c r="C547" s="119"/>
      <c r="D547" s="119"/>
      <c r="E547" s="119"/>
      <c r="F547" s="119"/>
      <c r="G547" s="119"/>
      <c r="H547" s="119"/>
      <c r="I547" s="133"/>
      <c r="J547" s="133"/>
      <c r="K547" s="133"/>
      <c r="L547" s="133"/>
      <c r="M547" s="133"/>
    </row>
    <row r="548">
      <c r="A548" s="119"/>
      <c r="B548" s="119"/>
      <c r="C548" s="119"/>
      <c r="D548" s="119"/>
      <c r="E548" s="119"/>
      <c r="F548" s="119"/>
      <c r="G548" s="119"/>
      <c r="H548" s="119"/>
      <c r="I548" s="120"/>
      <c r="J548" s="120"/>
      <c r="K548" s="120"/>
      <c r="L548" s="120"/>
      <c r="M548" s="120"/>
    </row>
    <row r="549">
      <c r="A549" s="119"/>
      <c r="B549" s="119"/>
      <c r="C549" s="119"/>
      <c r="D549" s="119"/>
      <c r="E549" s="119"/>
      <c r="F549" s="119"/>
      <c r="G549" s="119"/>
      <c r="H549" s="119"/>
      <c r="I549" s="133"/>
      <c r="J549" s="133"/>
      <c r="K549" s="133"/>
      <c r="L549" s="133"/>
      <c r="M549" s="133"/>
    </row>
    <row r="550">
      <c r="A550" s="119"/>
      <c r="B550" s="119"/>
      <c r="C550" s="119"/>
      <c r="D550" s="119"/>
      <c r="E550" s="119"/>
      <c r="F550" s="119"/>
      <c r="G550" s="119"/>
      <c r="H550" s="119"/>
      <c r="I550" s="120"/>
      <c r="J550" s="120"/>
      <c r="K550" s="120"/>
      <c r="L550" s="120"/>
      <c r="M550" s="120"/>
    </row>
    <row r="551">
      <c r="A551" s="119"/>
      <c r="B551" s="119"/>
      <c r="C551" s="119"/>
      <c r="D551" s="119"/>
      <c r="E551" s="119"/>
      <c r="F551" s="119"/>
      <c r="G551" s="119"/>
      <c r="H551" s="119"/>
      <c r="I551" s="133"/>
      <c r="J551" s="133"/>
      <c r="K551" s="133"/>
      <c r="L551" s="133"/>
      <c r="M551" s="133"/>
    </row>
    <row r="552">
      <c r="A552" s="119"/>
      <c r="B552" s="119"/>
      <c r="C552" s="119"/>
      <c r="D552" s="119"/>
      <c r="E552" s="119"/>
      <c r="F552" s="119"/>
      <c r="G552" s="119"/>
      <c r="H552" s="119"/>
      <c r="I552" s="120"/>
      <c r="J552" s="120"/>
      <c r="K552" s="120"/>
      <c r="L552" s="120"/>
      <c r="M552" s="120"/>
    </row>
    <row r="553">
      <c r="A553" s="119"/>
      <c r="B553" s="119"/>
      <c r="C553" s="119"/>
      <c r="D553" s="119"/>
      <c r="E553" s="119"/>
      <c r="F553" s="119"/>
      <c r="G553" s="119"/>
      <c r="H553" s="119"/>
      <c r="I553" s="133"/>
      <c r="J553" s="133"/>
      <c r="K553" s="133"/>
      <c r="L553" s="133"/>
      <c r="M553" s="133"/>
    </row>
    <row r="554">
      <c r="A554" s="119"/>
      <c r="B554" s="119"/>
      <c r="C554" s="119"/>
      <c r="D554" s="119"/>
      <c r="E554" s="119"/>
      <c r="F554" s="119"/>
      <c r="G554" s="119"/>
      <c r="H554" s="119"/>
      <c r="I554" s="120"/>
      <c r="J554" s="120"/>
      <c r="K554" s="120"/>
      <c r="L554" s="120"/>
      <c r="M554" s="120"/>
    </row>
    <row r="555">
      <c r="A555" s="119"/>
      <c r="B555" s="119"/>
      <c r="C555" s="119"/>
      <c r="D555" s="119"/>
      <c r="E555" s="119"/>
      <c r="F555" s="119"/>
      <c r="G555" s="119"/>
      <c r="H555" s="119"/>
      <c r="I555" s="133"/>
      <c r="J555" s="133"/>
      <c r="K555" s="133"/>
      <c r="L555" s="133"/>
      <c r="M555" s="133"/>
    </row>
    <row r="556">
      <c r="A556" s="119"/>
      <c r="B556" s="119"/>
      <c r="C556" s="119"/>
      <c r="D556" s="119"/>
      <c r="E556" s="119"/>
      <c r="F556" s="119"/>
      <c r="G556" s="119"/>
      <c r="H556" s="119"/>
      <c r="I556" s="120"/>
      <c r="J556" s="120"/>
      <c r="K556" s="120"/>
      <c r="L556" s="120"/>
      <c r="M556" s="120"/>
    </row>
    <row r="557">
      <c r="A557" s="119"/>
      <c r="B557" s="119"/>
      <c r="C557" s="119"/>
      <c r="D557" s="119"/>
      <c r="E557" s="119"/>
      <c r="F557" s="119"/>
      <c r="G557" s="119"/>
      <c r="H557" s="119"/>
      <c r="I557" s="133"/>
      <c r="J557" s="133"/>
      <c r="K557" s="133"/>
      <c r="L557" s="133"/>
      <c r="M557" s="133"/>
    </row>
    <row r="558">
      <c r="A558" s="119"/>
      <c r="B558" s="119"/>
      <c r="C558" s="119"/>
      <c r="D558" s="119"/>
      <c r="E558" s="119"/>
      <c r="F558" s="119"/>
      <c r="G558" s="119"/>
      <c r="H558" s="119"/>
      <c r="I558" s="120"/>
      <c r="J558" s="120"/>
      <c r="K558" s="120"/>
      <c r="L558" s="120"/>
      <c r="M558" s="120"/>
    </row>
    <row r="559">
      <c r="A559" s="119"/>
      <c r="B559" s="119"/>
      <c r="C559" s="119"/>
      <c r="D559" s="119"/>
      <c r="E559" s="119"/>
      <c r="F559" s="119"/>
      <c r="G559" s="119"/>
      <c r="H559" s="119"/>
      <c r="I559" s="133"/>
      <c r="J559" s="133"/>
      <c r="K559" s="133"/>
      <c r="L559" s="133"/>
      <c r="M559" s="133"/>
    </row>
    <row r="560">
      <c r="A560" s="119"/>
      <c r="B560" s="119"/>
      <c r="C560" s="119"/>
      <c r="D560" s="119"/>
      <c r="E560" s="119"/>
      <c r="F560" s="119"/>
      <c r="G560" s="119"/>
      <c r="H560" s="119"/>
      <c r="I560" s="120"/>
      <c r="J560" s="120"/>
      <c r="K560" s="120"/>
      <c r="L560" s="120"/>
      <c r="M560" s="120"/>
    </row>
    <row r="561">
      <c r="A561" s="119"/>
      <c r="B561" s="119"/>
      <c r="C561" s="119"/>
      <c r="D561" s="119"/>
      <c r="E561" s="119"/>
      <c r="F561" s="119"/>
      <c r="G561" s="119"/>
      <c r="H561" s="119"/>
      <c r="I561" s="133"/>
      <c r="J561" s="133"/>
      <c r="K561" s="133"/>
      <c r="L561" s="133"/>
      <c r="M561" s="133"/>
    </row>
    <row r="562">
      <c r="A562" s="119"/>
      <c r="B562" s="119"/>
      <c r="C562" s="119"/>
      <c r="D562" s="119"/>
      <c r="E562" s="119"/>
      <c r="F562" s="119"/>
      <c r="G562" s="119"/>
      <c r="H562" s="119"/>
      <c r="I562" s="120"/>
      <c r="J562" s="120"/>
      <c r="K562" s="120"/>
      <c r="L562" s="120"/>
      <c r="M562" s="120"/>
    </row>
    <row r="563">
      <c r="A563" s="119"/>
      <c r="B563" s="119"/>
      <c r="C563" s="119"/>
      <c r="D563" s="119"/>
      <c r="E563" s="119"/>
      <c r="F563" s="119"/>
      <c r="G563" s="119"/>
      <c r="H563" s="119"/>
      <c r="I563" s="133"/>
      <c r="J563" s="133"/>
      <c r="K563" s="133"/>
      <c r="L563" s="133"/>
      <c r="M563" s="133"/>
    </row>
    <row r="564">
      <c r="A564" s="119"/>
      <c r="B564" s="119"/>
      <c r="C564" s="119"/>
      <c r="D564" s="119"/>
      <c r="E564" s="119"/>
      <c r="F564" s="119"/>
      <c r="G564" s="119"/>
      <c r="H564" s="119"/>
      <c r="I564" s="120"/>
      <c r="J564" s="120"/>
      <c r="K564" s="120"/>
      <c r="L564" s="120"/>
      <c r="M564" s="120"/>
    </row>
    <row r="565">
      <c r="A565" s="119"/>
      <c r="B565" s="119"/>
      <c r="C565" s="119"/>
      <c r="D565" s="119"/>
      <c r="E565" s="119"/>
      <c r="F565" s="119"/>
      <c r="G565" s="119"/>
      <c r="H565" s="119"/>
      <c r="I565" s="133"/>
      <c r="J565" s="133"/>
      <c r="K565" s="133"/>
      <c r="L565" s="133"/>
      <c r="M565" s="133"/>
    </row>
    <row r="566">
      <c r="A566" s="119"/>
      <c r="B566" s="119"/>
      <c r="C566" s="119"/>
      <c r="D566" s="119"/>
      <c r="E566" s="119"/>
      <c r="F566" s="119"/>
      <c r="G566" s="119"/>
      <c r="H566" s="119"/>
      <c r="I566" s="120"/>
      <c r="J566" s="120"/>
      <c r="K566" s="120"/>
      <c r="L566" s="120"/>
      <c r="M566" s="120"/>
    </row>
    <row r="567">
      <c r="A567" s="119"/>
      <c r="B567" s="119"/>
      <c r="C567" s="119"/>
      <c r="D567" s="119"/>
      <c r="E567" s="119"/>
      <c r="F567" s="119"/>
      <c r="G567" s="119"/>
      <c r="H567" s="119"/>
      <c r="I567" s="133"/>
      <c r="J567" s="133"/>
      <c r="K567" s="133"/>
      <c r="L567" s="133"/>
      <c r="M567" s="133"/>
    </row>
    <row r="568">
      <c r="A568" s="119"/>
      <c r="B568" s="119"/>
      <c r="C568" s="119"/>
      <c r="D568" s="119"/>
      <c r="E568" s="119"/>
      <c r="F568" s="119"/>
      <c r="G568" s="119"/>
      <c r="H568" s="119"/>
      <c r="I568" s="120"/>
      <c r="J568" s="120"/>
      <c r="K568" s="120"/>
      <c r="L568" s="120"/>
      <c r="M568" s="120"/>
    </row>
    <row r="569">
      <c r="A569" s="119"/>
      <c r="B569" s="119"/>
      <c r="C569" s="119"/>
      <c r="D569" s="119"/>
      <c r="E569" s="119"/>
      <c r="F569" s="119"/>
      <c r="G569" s="119"/>
      <c r="H569" s="119"/>
      <c r="I569" s="133"/>
      <c r="J569" s="133"/>
      <c r="K569" s="133"/>
      <c r="L569" s="133"/>
      <c r="M569" s="133"/>
    </row>
    <row r="570">
      <c r="A570" s="119"/>
      <c r="B570" s="119"/>
      <c r="C570" s="119"/>
      <c r="D570" s="119"/>
      <c r="E570" s="119"/>
      <c r="F570" s="119"/>
      <c r="G570" s="119"/>
      <c r="H570" s="119"/>
      <c r="I570" s="120"/>
      <c r="J570" s="120"/>
      <c r="K570" s="120"/>
      <c r="L570" s="120"/>
      <c r="M570" s="120"/>
    </row>
    <row r="571">
      <c r="A571" s="119"/>
      <c r="B571" s="119"/>
      <c r="C571" s="119"/>
      <c r="D571" s="119"/>
      <c r="E571" s="119"/>
      <c r="F571" s="119"/>
      <c r="G571" s="119"/>
      <c r="H571" s="119"/>
      <c r="I571" s="133"/>
      <c r="J571" s="133"/>
      <c r="K571" s="133"/>
      <c r="L571" s="133"/>
      <c r="M571" s="133"/>
    </row>
    <row r="572">
      <c r="A572" s="119"/>
      <c r="B572" s="119"/>
      <c r="C572" s="119"/>
      <c r="D572" s="119"/>
      <c r="E572" s="119"/>
      <c r="F572" s="119"/>
      <c r="G572" s="119"/>
      <c r="H572" s="119"/>
      <c r="I572" s="120"/>
      <c r="J572" s="120"/>
      <c r="K572" s="120"/>
      <c r="L572" s="120"/>
      <c r="M572" s="120"/>
    </row>
    <row r="573">
      <c r="A573" s="119"/>
      <c r="B573" s="119"/>
      <c r="C573" s="119"/>
      <c r="D573" s="119"/>
      <c r="E573" s="119"/>
      <c r="F573" s="119"/>
      <c r="G573" s="119"/>
      <c r="H573" s="119"/>
      <c r="I573" s="133"/>
      <c r="J573" s="133"/>
      <c r="K573" s="133"/>
      <c r="L573" s="133"/>
      <c r="M573" s="133"/>
    </row>
    <row r="574">
      <c r="A574" s="119"/>
      <c r="B574" s="119"/>
      <c r="C574" s="119"/>
      <c r="D574" s="119"/>
      <c r="E574" s="119"/>
      <c r="F574" s="119"/>
      <c r="G574" s="119"/>
      <c r="H574" s="119"/>
      <c r="I574" s="120"/>
      <c r="J574" s="120"/>
      <c r="K574" s="120"/>
      <c r="L574" s="120"/>
      <c r="M574" s="120"/>
    </row>
    <row r="575">
      <c r="A575" s="119"/>
      <c r="B575" s="119"/>
      <c r="C575" s="119"/>
      <c r="D575" s="119"/>
      <c r="E575" s="119"/>
      <c r="F575" s="119"/>
      <c r="G575" s="119"/>
      <c r="H575" s="119"/>
      <c r="I575" s="133"/>
      <c r="J575" s="133"/>
      <c r="K575" s="133"/>
      <c r="L575" s="133"/>
      <c r="M575" s="133"/>
    </row>
    <row r="576">
      <c r="A576" s="119"/>
      <c r="B576" s="119"/>
      <c r="C576" s="119"/>
      <c r="D576" s="119"/>
      <c r="E576" s="119"/>
      <c r="F576" s="119"/>
      <c r="G576" s="119"/>
      <c r="H576" s="119"/>
      <c r="I576" s="120"/>
      <c r="J576" s="120"/>
      <c r="K576" s="120"/>
      <c r="L576" s="120"/>
      <c r="M576" s="120"/>
    </row>
    <row r="577">
      <c r="A577" s="119"/>
      <c r="B577" s="119"/>
      <c r="C577" s="119"/>
      <c r="D577" s="119"/>
      <c r="E577" s="119"/>
      <c r="F577" s="119"/>
      <c r="G577" s="119"/>
      <c r="H577" s="119"/>
      <c r="I577" s="133"/>
      <c r="J577" s="133"/>
      <c r="K577" s="133"/>
      <c r="L577" s="133"/>
      <c r="M577" s="133"/>
    </row>
    <row r="578">
      <c r="A578" s="119"/>
      <c r="B578" s="119"/>
      <c r="C578" s="119"/>
      <c r="D578" s="119"/>
      <c r="E578" s="119"/>
      <c r="F578" s="119"/>
      <c r="G578" s="119"/>
      <c r="H578" s="119"/>
      <c r="I578" s="120"/>
      <c r="J578" s="120"/>
      <c r="K578" s="120"/>
      <c r="L578" s="120"/>
      <c r="M578" s="120"/>
    </row>
    <row r="579">
      <c r="A579" s="119"/>
      <c r="B579" s="119"/>
      <c r="C579" s="119"/>
      <c r="D579" s="119"/>
      <c r="E579" s="119"/>
      <c r="F579" s="119"/>
      <c r="G579" s="119"/>
      <c r="H579" s="119"/>
      <c r="I579" s="133"/>
      <c r="J579" s="133"/>
      <c r="K579" s="133"/>
      <c r="L579" s="133"/>
      <c r="M579" s="133"/>
    </row>
    <row r="580">
      <c r="A580" s="119"/>
      <c r="B580" s="119"/>
      <c r="C580" s="119"/>
      <c r="D580" s="119"/>
      <c r="E580" s="119"/>
      <c r="F580" s="119"/>
      <c r="G580" s="119"/>
      <c r="H580" s="119"/>
      <c r="I580" s="120"/>
      <c r="J580" s="120"/>
      <c r="K580" s="120"/>
      <c r="L580" s="120"/>
      <c r="M580" s="120"/>
    </row>
    <row r="581">
      <c r="A581" s="119"/>
      <c r="B581" s="119"/>
      <c r="C581" s="119"/>
      <c r="D581" s="119"/>
      <c r="E581" s="119"/>
      <c r="F581" s="119"/>
      <c r="G581" s="119"/>
      <c r="H581" s="119"/>
      <c r="I581" s="133"/>
      <c r="J581" s="133"/>
      <c r="K581" s="133"/>
      <c r="L581" s="133"/>
      <c r="M581" s="133"/>
    </row>
    <row r="582">
      <c r="A582" s="119"/>
      <c r="B582" s="119"/>
      <c r="C582" s="119"/>
      <c r="D582" s="119"/>
      <c r="E582" s="119"/>
      <c r="F582" s="119"/>
      <c r="G582" s="119"/>
      <c r="H582" s="119"/>
      <c r="I582" s="120"/>
      <c r="J582" s="120"/>
      <c r="K582" s="120"/>
      <c r="L582" s="120"/>
      <c r="M582" s="120"/>
    </row>
    <row r="583">
      <c r="A583" s="119"/>
      <c r="B583" s="119"/>
      <c r="C583" s="119"/>
      <c r="D583" s="119"/>
      <c r="E583" s="119"/>
      <c r="F583" s="119"/>
      <c r="G583" s="119"/>
      <c r="H583" s="119"/>
      <c r="I583" s="133"/>
      <c r="J583" s="133"/>
      <c r="K583" s="133"/>
      <c r="L583" s="133"/>
      <c r="M583" s="133"/>
    </row>
    <row r="584">
      <c r="A584" s="119"/>
      <c r="B584" s="119"/>
      <c r="C584" s="119"/>
      <c r="D584" s="119"/>
      <c r="E584" s="119"/>
      <c r="F584" s="119"/>
      <c r="G584" s="119"/>
      <c r="H584" s="119"/>
      <c r="I584" s="120"/>
      <c r="J584" s="120"/>
      <c r="K584" s="120"/>
      <c r="L584" s="120"/>
      <c r="M584" s="120"/>
    </row>
    <row r="585">
      <c r="A585" s="119"/>
      <c r="B585" s="119"/>
      <c r="C585" s="119"/>
      <c r="D585" s="119"/>
      <c r="E585" s="119"/>
      <c r="F585" s="119"/>
      <c r="G585" s="119"/>
      <c r="H585" s="119"/>
      <c r="I585" s="133"/>
      <c r="J585" s="133"/>
      <c r="K585" s="133"/>
      <c r="L585" s="133"/>
      <c r="M585" s="133"/>
    </row>
    <row r="586">
      <c r="A586" s="119"/>
      <c r="B586" s="119"/>
      <c r="C586" s="119"/>
      <c r="D586" s="119"/>
      <c r="E586" s="119"/>
      <c r="F586" s="119"/>
      <c r="G586" s="119"/>
      <c r="H586" s="119"/>
      <c r="I586" s="120"/>
      <c r="J586" s="120"/>
      <c r="K586" s="120"/>
      <c r="L586" s="120"/>
      <c r="M586" s="120"/>
    </row>
    <row r="587">
      <c r="A587" s="119"/>
      <c r="B587" s="119"/>
      <c r="C587" s="119"/>
      <c r="D587" s="119"/>
      <c r="E587" s="119"/>
      <c r="F587" s="119"/>
      <c r="G587" s="119"/>
      <c r="H587" s="119"/>
      <c r="I587" s="133"/>
      <c r="J587" s="133"/>
      <c r="K587" s="133"/>
      <c r="L587" s="133"/>
      <c r="M587" s="133"/>
    </row>
    <row r="588">
      <c r="A588" s="119"/>
      <c r="B588" s="119"/>
      <c r="C588" s="119"/>
      <c r="D588" s="119"/>
      <c r="E588" s="119"/>
      <c r="F588" s="119"/>
      <c r="G588" s="119"/>
      <c r="H588" s="119"/>
      <c r="I588" s="120"/>
      <c r="J588" s="120"/>
      <c r="K588" s="120"/>
      <c r="L588" s="120"/>
      <c r="M588" s="120"/>
    </row>
    <row r="589">
      <c r="A589" s="119"/>
      <c r="B589" s="119"/>
      <c r="C589" s="119"/>
      <c r="D589" s="119"/>
      <c r="E589" s="119"/>
      <c r="F589" s="119"/>
      <c r="G589" s="119"/>
      <c r="H589" s="119"/>
      <c r="I589" s="133"/>
      <c r="J589" s="133"/>
      <c r="K589" s="133"/>
      <c r="L589" s="133"/>
      <c r="M589" s="133"/>
    </row>
    <row r="590">
      <c r="A590" s="119"/>
      <c r="B590" s="119"/>
      <c r="C590" s="119"/>
      <c r="D590" s="119"/>
      <c r="E590" s="119"/>
      <c r="F590" s="119"/>
      <c r="G590" s="119"/>
      <c r="H590" s="119"/>
      <c r="I590" s="120"/>
      <c r="J590" s="120"/>
      <c r="K590" s="120"/>
      <c r="L590" s="120"/>
      <c r="M590" s="120"/>
    </row>
    <row r="591">
      <c r="A591" s="119"/>
      <c r="B591" s="119"/>
      <c r="C591" s="119"/>
      <c r="D591" s="119"/>
      <c r="E591" s="119"/>
      <c r="F591" s="119"/>
      <c r="G591" s="119"/>
      <c r="H591" s="119"/>
      <c r="I591" s="133"/>
      <c r="J591" s="133"/>
      <c r="K591" s="133"/>
      <c r="L591" s="133"/>
      <c r="M591" s="133"/>
    </row>
    <row r="592">
      <c r="A592" s="119"/>
      <c r="B592" s="119"/>
      <c r="C592" s="119"/>
      <c r="D592" s="119"/>
      <c r="E592" s="119"/>
      <c r="F592" s="119"/>
      <c r="G592" s="119"/>
      <c r="H592" s="119"/>
      <c r="I592" s="120"/>
      <c r="J592" s="120"/>
      <c r="K592" s="120"/>
      <c r="L592" s="120"/>
      <c r="M592" s="120"/>
    </row>
    <row r="593">
      <c r="A593" s="119"/>
      <c r="B593" s="119"/>
      <c r="C593" s="119"/>
      <c r="D593" s="119"/>
      <c r="E593" s="119"/>
      <c r="F593" s="119"/>
      <c r="G593" s="119"/>
      <c r="H593" s="119"/>
      <c r="I593" s="133"/>
      <c r="J593" s="133"/>
      <c r="K593" s="133"/>
      <c r="L593" s="133"/>
      <c r="M593" s="133"/>
    </row>
    <row r="594">
      <c r="A594" s="119"/>
      <c r="B594" s="119"/>
      <c r="C594" s="119"/>
      <c r="D594" s="119"/>
      <c r="E594" s="119"/>
      <c r="F594" s="119"/>
      <c r="G594" s="119"/>
      <c r="H594" s="119"/>
      <c r="I594" s="120"/>
      <c r="J594" s="120"/>
      <c r="K594" s="120"/>
      <c r="L594" s="120"/>
      <c r="M594" s="120"/>
    </row>
    <row r="595">
      <c r="A595" s="119"/>
      <c r="B595" s="119"/>
      <c r="C595" s="119"/>
      <c r="D595" s="119"/>
      <c r="E595" s="119"/>
      <c r="F595" s="119"/>
      <c r="G595" s="119"/>
      <c r="H595" s="119"/>
      <c r="I595" s="133"/>
      <c r="J595" s="133"/>
      <c r="K595" s="133"/>
      <c r="L595" s="133"/>
      <c r="M595" s="133"/>
    </row>
    <row r="596">
      <c r="A596" s="119"/>
      <c r="B596" s="119"/>
      <c r="C596" s="119"/>
      <c r="D596" s="119"/>
      <c r="E596" s="119"/>
      <c r="F596" s="119"/>
      <c r="G596" s="119"/>
      <c r="H596" s="119"/>
      <c r="I596" s="120"/>
      <c r="J596" s="120"/>
      <c r="K596" s="120"/>
      <c r="L596" s="120"/>
      <c r="M596" s="120"/>
    </row>
    <row r="597">
      <c r="A597" s="119"/>
      <c r="B597" s="119"/>
      <c r="C597" s="119"/>
      <c r="D597" s="119"/>
      <c r="E597" s="119"/>
      <c r="F597" s="119"/>
      <c r="G597" s="119"/>
      <c r="H597" s="119"/>
      <c r="I597" s="133"/>
      <c r="J597" s="133"/>
      <c r="K597" s="133"/>
      <c r="L597" s="133"/>
      <c r="M597" s="133"/>
    </row>
    <row r="598">
      <c r="A598" s="119"/>
      <c r="B598" s="119"/>
      <c r="C598" s="119"/>
      <c r="D598" s="119"/>
      <c r="E598" s="119"/>
      <c r="F598" s="119"/>
      <c r="G598" s="119"/>
      <c r="H598" s="119"/>
      <c r="I598" s="120"/>
      <c r="J598" s="120"/>
      <c r="K598" s="120"/>
      <c r="L598" s="120"/>
      <c r="M598" s="120"/>
    </row>
    <row r="599">
      <c r="A599" s="119"/>
      <c r="B599" s="119"/>
      <c r="C599" s="119"/>
      <c r="D599" s="119"/>
      <c r="E599" s="119"/>
      <c r="F599" s="119"/>
      <c r="G599" s="119"/>
      <c r="H599" s="119"/>
      <c r="I599" s="133"/>
      <c r="J599" s="133"/>
      <c r="K599" s="133"/>
      <c r="L599" s="133"/>
      <c r="M599" s="133"/>
    </row>
    <row r="600">
      <c r="A600" s="119"/>
      <c r="B600" s="119"/>
      <c r="C600" s="119"/>
      <c r="D600" s="119"/>
      <c r="E600" s="119"/>
      <c r="F600" s="119"/>
      <c r="G600" s="119"/>
      <c r="H600" s="119"/>
      <c r="I600" s="120"/>
      <c r="J600" s="120"/>
      <c r="K600" s="120"/>
      <c r="L600" s="120"/>
      <c r="M600" s="120"/>
    </row>
    <row r="601">
      <c r="A601" s="119"/>
      <c r="B601" s="119"/>
      <c r="C601" s="119"/>
      <c r="D601" s="119"/>
      <c r="E601" s="119"/>
      <c r="F601" s="119"/>
      <c r="G601" s="119"/>
      <c r="H601" s="119"/>
      <c r="I601" s="133"/>
      <c r="J601" s="133"/>
      <c r="K601" s="133"/>
      <c r="L601" s="133"/>
      <c r="M601" s="133"/>
    </row>
    <row r="602">
      <c r="A602" s="119"/>
      <c r="B602" s="119"/>
      <c r="C602" s="119"/>
      <c r="D602" s="119"/>
      <c r="E602" s="119"/>
      <c r="F602" s="119"/>
      <c r="G602" s="119"/>
      <c r="H602" s="119"/>
      <c r="I602" s="120"/>
      <c r="J602" s="120"/>
      <c r="K602" s="120"/>
      <c r="L602" s="120"/>
      <c r="M602" s="120"/>
    </row>
    <row r="603">
      <c r="A603" s="119"/>
      <c r="B603" s="119"/>
      <c r="C603" s="119"/>
      <c r="D603" s="119"/>
      <c r="E603" s="119"/>
      <c r="F603" s="119"/>
      <c r="G603" s="119"/>
      <c r="H603" s="119"/>
      <c r="I603" s="133"/>
      <c r="J603" s="133"/>
      <c r="K603" s="133"/>
      <c r="L603" s="133"/>
      <c r="M603" s="133"/>
    </row>
    <row r="604">
      <c r="A604" s="119"/>
      <c r="B604" s="119"/>
      <c r="C604" s="119"/>
      <c r="D604" s="119"/>
      <c r="E604" s="119"/>
      <c r="F604" s="119"/>
      <c r="G604" s="119"/>
      <c r="H604" s="119"/>
      <c r="I604" s="120"/>
      <c r="J604" s="120"/>
      <c r="K604" s="120"/>
      <c r="L604" s="120"/>
      <c r="M604" s="120"/>
    </row>
    <row r="605">
      <c r="A605" s="119"/>
      <c r="B605" s="119"/>
      <c r="C605" s="119"/>
      <c r="D605" s="119"/>
      <c r="E605" s="119"/>
      <c r="F605" s="119"/>
      <c r="G605" s="119"/>
      <c r="H605" s="119"/>
      <c r="I605" s="133"/>
      <c r="J605" s="133"/>
      <c r="K605" s="133"/>
      <c r="L605" s="133"/>
      <c r="M605" s="133"/>
    </row>
    <row r="606">
      <c r="A606" s="119"/>
      <c r="B606" s="119"/>
      <c r="C606" s="119"/>
      <c r="D606" s="119"/>
      <c r="E606" s="119"/>
      <c r="F606" s="119"/>
      <c r="G606" s="119"/>
      <c r="H606" s="119"/>
      <c r="I606" s="120"/>
      <c r="J606" s="120"/>
      <c r="K606" s="120"/>
      <c r="L606" s="120"/>
      <c r="M606" s="120"/>
    </row>
    <row r="607">
      <c r="A607" s="119"/>
      <c r="B607" s="119"/>
      <c r="C607" s="119"/>
      <c r="D607" s="119"/>
      <c r="E607" s="119"/>
      <c r="F607" s="119"/>
      <c r="G607" s="119"/>
      <c r="H607" s="119"/>
      <c r="I607" s="133"/>
      <c r="J607" s="133"/>
      <c r="K607" s="133"/>
      <c r="L607" s="133"/>
      <c r="M607" s="133"/>
    </row>
    <row r="608">
      <c r="A608" s="119"/>
      <c r="B608" s="119"/>
      <c r="C608" s="119"/>
      <c r="D608" s="119"/>
      <c r="E608" s="119"/>
      <c r="F608" s="119"/>
      <c r="G608" s="119"/>
      <c r="H608" s="119"/>
      <c r="I608" s="120"/>
      <c r="J608" s="120"/>
      <c r="K608" s="120"/>
      <c r="L608" s="120"/>
      <c r="M608" s="120"/>
    </row>
    <row r="609">
      <c r="A609" s="119"/>
      <c r="B609" s="119"/>
      <c r="C609" s="119"/>
      <c r="D609" s="119"/>
      <c r="E609" s="119"/>
      <c r="F609" s="119"/>
      <c r="G609" s="119"/>
      <c r="H609" s="119"/>
      <c r="I609" s="133"/>
      <c r="J609" s="133"/>
      <c r="K609" s="133"/>
      <c r="L609" s="133"/>
      <c r="M609" s="133"/>
    </row>
    <row r="610">
      <c r="A610" s="119"/>
      <c r="B610" s="119"/>
      <c r="C610" s="119"/>
      <c r="D610" s="119"/>
      <c r="E610" s="119"/>
      <c r="F610" s="119"/>
      <c r="G610" s="119"/>
      <c r="H610" s="119"/>
      <c r="I610" s="120"/>
      <c r="J610" s="120"/>
      <c r="K610" s="120"/>
      <c r="L610" s="120"/>
      <c r="M610" s="120"/>
    </row>
    <row r="611">
      <c r="A611" s="119"/>
      <c r="B611" s="119"/>
      <c r="C611" s="119"/>
      <c r="D611" s="119"/>
      <c r="E611" s="119"/>
      <c r="F611" s="119"/>
      <c r="G611" s="119"/>
      <c r="H611" s="119"/>
      <c r="I611" s="133"/>
      <c r="J611" s="133"/>
      <c r="K611" s="133"/>
      <c r="L611" s="133"/>
      <c r="M611" s="133"/>
    </row>
    <row r="612">
      <c r="A612" s="119"/>
      <c r="B612" s="119"/>
      <c r="C612" s="119"/>
      <c r="D612" s="119"/>
      <c r="E612" s="119"/>
      <c r="F612" s="119"/>
      <c r="G612" s="119"/>
      <c r="H612" s="119"/>
      <c r="I612" s="120"/>
      <c r="J612" s="120"/>
      <c r="K612" s="120"/>
      <c r="L612" s="120"/>
      <c r="M612" s="120"/>
    </row>
    <row r="613">
      <c r="A613" s="119"/>
      <c r="B613" s="119"/>
      <c r="C613" s="119"/>
      <c r="D613" s="119"/>
      <c r="E613" s="119"/>
      <c r="F613" s="119"/>
      <c r="G613" s="119"/>
      <c r="H613" s="119"/>
      <c r="I613" s="133"/>
      <c r="J613" s="133"/>
      <c r="K613" s="133"/>
      <c r="L613" s="133"/>
      <c r="M613" s="133"/>
    </row>
    <row r="614">
      <c r="A614" s="119"/>
      <c r="B614" s="119"/>
      <c r="C614" s="119"/>
      <c r="D614" s="119"/>
      <c r="E614" s="119"/>
      <c r="F614" s="119"/>
      <c r="G614" s="119"/>
      <c r="H614" s="119"/>
      <c r="I614" s="120"/>
      <c r="J614" s="120"/>
      <c r="K614" s="120"/>
      <c r="L614" s="120"/>
      <c r="M614" s="120"/>
    </row>
    <row r="615">
      <c r="A615" s="119"/>
      <c r="B615" s="119"/>
      <c r="C615" s="119"/>
      <c r="D615" s="119"/>
      <c r="E615" s="119"/>
      <c r="F615" s="119"/>
      <c r="G615" s="119"/>
      <c r="H615" s="119"/>
      <c r="I615" s="133"/>
      <c r="J615" s="133"/>
      <c r="K615" s="133"/>
      <c r="L615" s="133"/>
      <c r="M615" s="133"/>
    </row>
    <row r="616">
      <c r="A616" s="119"/>
      <c r="B616" s="119"/>
      <c r="C616" s="119"/>
      <c r="D616" s="119"/>
      <c r="E616" s="119"/>
      <c r="F616" s="119"/>
      <c r="G616" s="119"/>
      <c r="H616" s="119"/>
      <c r="I616" s="120"/>
      <c r="J616" s="120"/>
      <c r="K616" s="120"/>
      <c r="L616" s="120"/>
      <c r="M616" s="120"/>
    </row>
    <row r="617">
      <c r="A617" s="119"/>
      <c r="B617" s="119"/>
      <c r="C617" s="119"/>
      <c r="D617" s="119"/>
      <c r="E617" s="119"/>
      <c r="F617" s="119"/>
      <c r="G617" s="119"/>
      <c r="H617" s="119"/>
      <c r="I617" s="133"/>
      <c r="J617" s="133"/>
      <c r="K617" s="133"/>
      <c r="L617" s="133"/>
      <c r="M617" s="133"/>
    </row>
    <row r="618">
      <c r="A618" s="119"/>
      <c r="B618" s="119"/>
      <c r="C618" s="119"/>
      <c r="D618" s="119"/>
      <c r="E618" s="119"/>
      <c r="F618" s="119"/>
      <c r="G618" s="119"/>
      <c r="H618" s="119"/>
      <c r="I618" s="120"/>
      <c r="J618" s="120"/>
      <c r="K618" s="120"/>
      <c r="L618" s="120"/>
      <c r="M618" s="120"/>
    </row>
    <row r="619">
      <c r="A619" s="119"/>
      <c r="B619" s="119"/>
      <c r="C619" s="119"/>
      <c r="D619" s="119"/>
      <c r="E619" s="119"/>
      <c r="F619" s="119"/>
      <c r="G619" s="119"/>
      <c r="H619" s="119"/>
      <c r="I619" s="133"/>
      <c r="J619" s="133"/>
      <c r="K619" s="133"/>
      <c r="L619" s="133"/>
      <c r="M619" s="133"/>
    </row>
    <row r="620">
      <c r="A620" s="119"/>
      <c r="B620" s="119"/>
      <c r="C620" s="119"/>
      <c r="D620" s="119"/>
      <c r="E620" s="119"/>
      <c r="F620" s="119"/>
      <c r="G620" s="119"/>
      <c r="H620" s="119"/>
      <c r="I620" s="120"/>
      <c r="J620" s="120"/>
      <c r="K620" s="120"/>
      <c r="L620" s="120"/>
      <c r="M620" s="120"/>
    </row>
    <row r="621">
      <c r="A621" s="119"/>
      <c r="B621" s="119"/>
      <c r="C621" s="119"/>
      <c r="D621" s="119"/>
      <c r="E621" s="119"/>
      <c r="F621" s="119"/>
      <c r="G621" s="119"/>
      <c r="H621" s="119"/>
      <c r="I621" s="133"/>
      <c r="J621" s="133"/>
      <c r="K621" s="133"/>
      <c r="L621" s="133"/>
      <c r="M621" s="133"/>
    </row>
    <row r="622">
      <c r="A622" s="119"/>
      <c r="B622" s="119"/>
      <c r="C622" s="119"/>
      <c r="D622" s="119"/>
      <c r="E622" s="119"/>
      <c r="F622" s="119"/>
      <c r="G622" s="119"/>
      <c r="H622" s="119"/>
      <c r="I622" s="120"/>
      <c r="J622" s="120"/>
      <c r="K622" s="120"/>
      <c r="L622" s="120"/>
      <c r="M622" s="120"/>
    </row>
    <row r="623">
      <c r="A623" s="119"/>
      <c r="B623" s="119"/>
      <c r="C623" s="119"/>
      <c r="D623" s="119"/>
      <c r="E623" s="119"/>
      <c r="F623" s="119"/>
      <c r="G623" s="119"/>
      <c r="H623" s="119"/>
      <c r="I623" s="133"/>
      <c r="J623" s="133"/>
      <c r="K623" s="133"/>
      <c r="L623" s="133"/>
      <c r="M623" s="133"/>
    </row>
    <row r="624">
      <c r="A624" s="119"/>
      <c r="B624" s="119"/>
      <c r="C624" s="119"/>
      <c r="D624" s="119"/>
      <c r="E624" s="119"/>
      <c r="F624" s="119"/>
      <c r="G624" s="119"/>
      <c r="H624" s="119"/>
      <c r="I624" s="120"/>
      <c r="J624" s="120"/>
      <c r="K624" s="120"/>
      <c r="L624" s="120"/>
      <c r="M624" s="120"/>
    </row>
    <row r="625">
      <c r="A625" s="119"/>
      <c r="B625" s="119"/>
      <c r="C625" s="119"/>
      <c r="D625" s="119"/>
      <c r="E625" s="119"/>
      <c r="F625" s="119"/>
      <c r="G625" s="119"/>
      <c r="H625" s="119"/>
      <c r="I625" s="133"/>
      <c r="J625" s="133"/>
      <c r="K625" s="133"/>
      <c r="L625" s="133"/>
      <c r="M625" s="133"/>
    </row>
    <row r="626">
      <c r="A626" s="119"/>
      <c r="B626" s="119"/>
      <c r="C626" s="119"/>
      <c r="D626" s="119"/>
      <c r="E626" s="119"/>
      <c r="F626" s="119"/>
      <c r="G626" s="119"/>
      <c r="H626" s="119"/>
      <c r="I626" s="120"/>
      <c r="J626" s="120"/>
      <c r="K626" s="120"/>
      <c r="L626" s="120"/>
      <c r="M626" s="120"/>
    </row>
    <row r="627">
      <c r="A627" s="119"/>
      <c r="B627" s="119"/>
      <c r="C627" s="119"/>
      <c r="D627" s="119"/>
      <c r="E627" s="119"/>
      <c r="F627" s="119"/>
      <c r="G627" s="119"/>
      <c r="H627" s="119"/>
      <c r="I627" s="133"/>
      <c r="J627" s="133"/>
      <c r="K627" s="133"/>
      <c r="L627" s="133"/>
      <c r="M627" s="133"/>
    </row>
    <row r="628">
      <c r="A628" s="119"/>
      <c r="B628" s="119"/>
      <c r="C628" s="119"/>
      <c r="D628" s="119"/>
      <c r="E628" s="119"/>
      <c r="F628" s="119"/>
      <c r="G628" s="119"/>
      <c r="H628" s="119"/>
      <c r="I628" s="120"/>
      <c r="J628" s="120"/>
      <c r="K628" s="120"/>
      <c r="L628" s="120"/>
      <c r="M628" s="120"/>
    </row>
    <row r="629">
      <c r="A629" s="119"/>
      <c r="B629" s="119"/>
      <c r="C629" s="119"/>
      <c r="D629" s="119"/>
      <c r="E629" s="119"/>
      <c r="F629" s="119"/>
      <c r="G629" s="119"/>
      <c r="H629" s="119"/>
      <c r="I629" s="133"/>
      <c r="J629" s="133"/>
      <c r="K629" s="133"/>
      <c r="L629" s="133"/>
      <c r="M629" s="133"/>
    </row>
    <row r="630">
      <c r="A630" s="119"/>
      <c r="B630" s="119"/>
      <c r="C630" s="119"/>
      <c r="D630" s="119"/>
      <c r="E630" s="119"/>
      <c r="F630" s="119"/>
      <c r="G630" s="119"/>
      <c r="H630" s="119"/>
      <c r="I630" s="120"/>
      <c r="J630" s="120"/>
      <c r="K630" s="120"/>
      <c r="L630" s="120"/>
      <c r="M630" s="120"/>
    </row>
    <row r="631">
      <c r="A631" s="119"/>
      <c r="B631" s="119"/>
      <c r="C631" s="119"/>
      <c r="D631" s="119"/>
      <c r="E631" s="119"/>
      <c r="F631" s="119"/>
      <c r="G631" s="119"/>
      <c r="H631" s="119"/>
      <c r="I631" s="133"/>
      <c r="J631" s="133"/>
      <c r="K631" s="133"/>
      <c r="L631" s="133"/>
      <c r="M631" s="133"/>
    </row>
    <row r="632">
      <c r="A632" s="119"/>
      <c r="B632" s="119"/>
      <c r="C632" s="119"/>
      <c r="D632" s="119"/>
      <c r="E632" s="119"/>
      <c r="F632" s="119"/>
      <c r="G632" s="119"/>
      <c r="H632" s="119"/>
      <c r="I632" s="120"/>
      <c r="J632" s="120"/>
      <c r="K632" s="120"/>
      <c r="L632" s="120"/>
      <c r="M632" s="120"/>
    </row>
    <row r="633">
      <c r="A633" s="119"/>
      <c r="B633" s="119"/>
      <c r="C633" s="119"/>
      <c r="D633" s="119"/>
      <c r="E633" s="119"/>
      <c r="F633" s="119"/>
      <c r="G633" s="119"/>
      <c r="H633" s="119"/>
      <c r="I633" s="133"/>
      <c r="J633" s="133"/>
      <c r="K633" s="133"/>
      <c r="L633" s="133"/>
      <c r="M633" s="133"/>
    </row>
    <row r="634">
      <c r="A634" s="119"/>
      <c r="B634" s="119"/>
      <c r="C634" s="119"/>
      <c r="D634" s="119"/>
      <c r="E634" s="119"/>
      <c r="F634" s="119"/>
      <c r="G634" s="119"/>
      <c r="H634" s="119"/>
      <c r="I634" s="120"/>
      <c r="J634" s="120"/>
      <c r="K634" s="120"/>
      <c r="L634" s="120"/>
      <c r="M634" s="120"/>
    </row>
    <row r="635">
      <c r="A635" s="119"/>
      <c r="B635" s="119"/>
      <c r="C635" s="119"/>
      <c r="D635" s="119"/>
      <c r="E635" s="119"/>
      <c r="F635" s="119"/>
      <c r="G635" s="119"/>
      <c r="H635" s="119"/>
      <c r="I635" s="133"/>
      <c r="J635" s="133"/>
      <c r="K635" s="133"/>
      <c r="L635" s="133"/>
      <c r="M635" s="133"/>
    </row>
    <row r="636">
      <c r="A636" s="119"/>
      <c r="B636" s="119"/>
      <c r="C636" s="119"/>
      <c r="D636" s="119"/>
      <c r="E636" s="119"/>
      <c r="F636" s="119"/>
      <c r="G636" s="119"/>
      <c r="H636" s="119"/>
      <c r="I636" s="120"/>
      <c r="J636" s="120"/>
      <c r="K636" s="120"/>
      <c r="L636" s="120"/>
      <c r="M636" s="120"/>
    </row>
    <row r="637">
      <c r="A637" s="119"/>
      <c r="B637" s="119"/>
      <c r="C637" s="119"/>
      <c r="D637" s="119"/>
      <c r="E637" s="119"/>
      <c r="F637" s="119"/>
      <c r="G637" s="119"/>
      <c r="H637" s="119"/>
      <c r="I637" s="133"/>
      <c r="J637" s="133"/>
      <c r="K637" s="133"/>
      <c r="L637" s="133"/>
      <c r="M637" s="133"/>
    </row>
    <row r="638">
      <c r="A638" s="119"/>
      <c r="B638" s="119"/>
      <c r="C638" s="119"/>
      <c r="D638" s="119"/>
      <c r="E638" s="119"/>
      <c r="F638" s="119"/>
      <c r="G638" s="119"/>
      <c r="H638" s="119"/>
      <c r="I638" s="120"/>
      <c r="J638" s="120"/>
      <c r="K638" s="120"/>
      <c r="L638" s="120"/>
      <c r="M638" s="120"/>
    </row>
    <row r="639">
      <c r="A639" s="119"/>
      <c r="B639" s="119"/>
      <c r="C639" s="119"/>
      <c r="D639" s="119"/>
      <c r="E639" s="119"/>
      <c r="F639" s="119"/>
      <c r="G639" s="119"/>
      <c r="H639" s="119"/>
      <c r="I639" s="133"/>
      <c r="J639" s="133"/>
      <c r="K639" s="133"/>
      <c r="L639" s="133"/>
      <c r="M639" s="133"/>
    </row>
    <row r="640">
      <c r="A640" s="119"/>
      <c r="B640" s="119"/>
      <c r="C640" s="119"/>
      <c r="D640" s="119"/>
      <c r="E640" s="119"/>
      <c r="F640" s="119"/>
      <c r="G640" s="119"/>
      <c r="H640" s="119"/>
      <c r="I640" s="120"/>
      <c r="J640" s="120"/>
      <c r="K640" s="120"/>
      <c r="L640" s="120"/>
      <c r="M640" s="120"/>
    </row>
    <row r="641">
      <c r="A641" s="119"/>
      <c r="B641" s="119"/>
      <c r="C641" s="119"/>
      <c r="D641" s="119"/>
      <c r="E641" s="119"/>
      <c r="F641" s="119"/>
      <c r="G641" s="119"/>
      <c r="H641" s="119"/>
      <c r="I641" s="133"/>
      <c r="J641" s="133"/>
      <c r="K641" s="133"/>
      <c r="L641" s="133"/>
      <c r="M641" s="133"/>
    </row>
    <row r="642">
      <c r="A642" s="119"/>
      <c r="B642" s="119"/>
      <c r="C642" s="119"/>
      <c r="D642" s="119"/>
      <c r="E642" s="119"/>
      <c r="F642" s="119"/>
      <c r="G642" s="119"/>
      <c r="H642" s="119"/>
      <c r="I642" s="120"/>
      <c r="J642" s="120"/>
      <c r="K642" s="120"/>
      <c r="L642" s="120"/>
      <c r="M642" s="120"/>
    </row>
    <row r="643">
      <c r="A643" s="119"/>
      <c r="B643" s="119"/>
      <c r="C643" s="119"/>
      <c r="D643" s="119"/>
      <c r="E643" s="119"/>
      <c r="F643" s="119"/>
      <c r="G643" s="119"/>
      <c r="H643" s="119"/>
      <c r="I643" s="133"/>
      <c r="J643" s="133"/>
      <c r="K643" s="133"/>
      <c r="L643" s="133"/>
      <c r="M643" s="133"/>
    </row>
    <row r="644">
      <c r="A644" s="119"/>
      <c r="B644" s="119"/>
      <c r="C644" s="119"/>
      <c r="D644" s="119"/>
      <c r="E644" s="119"/>
      <c r="F644" s="119"/>
      <c r="G644" s="119"/>
      <c r="H644" s="119"/>
      <c r="I644" s="120"/>
      <c r="J644" s="120"/>
      <c r="K644" s="120"/>
      <c r="L644" s="120"/>
      <c r="M644" s="120"/>
    </row>
    <row r="645">
      <c r="A645" s="119"/>
      <c r="B645" s="119"/>
      <c r="C645" s="119"/>
      <c r="D645" s="119"/>
      <c r="E645" s="119"/>
      <c r="F645" s="119"/>
      <c r="G645" s="119"/>
      <c r="H645" s="119"/>
      <c r="I645" s="133"/>
      <c r="J645" s="133"/>
      <c r="K645" s="133"/>
      <c r="L645" s="133"/>
      <c r="M645" s="133"/>
    </row>
    <row r="646">
      <c r="A646" s="119"/>
      <c r="B646" s="119"/>
      <c r="C646" s="119"/>
      <c r="D646" s="119"/>
      <c r="E646" s="119"/>
      <c r="F646" s="119"/>
      <c r="G646" s="119"/>
      <c r="H646" s="119"/>
      <c r="I646" s="120"/>
      <c r="J646" s="120"/>
      <c r="K646" s="120"/>
      <c r="L646" s="120"/>
      <c r="M646" s="120"/>
    </row>
    <row r="647">
      <c r="A647" s="119"/>
      <c r="B647" s="119"/>
      <c r="C647" s="119"/>
      <c r="D647" s="119"/>
      <c r="E647" s="119"/>
      <c r="F647" s="119"/>
      <c r="G647" s="119"/>
      <c r="H647" s="119"/>
      <c r="I647" s="133"/>
      <c r="J647" s="133"/>
      <c r="K647" s="133"/>
      <c r="L647" s="133"/>
      <c r="M647" s="133"/>
    </row>
    <row r="648">
      <c r="A648" s="119"/>
      <c r="B648" s="119"/>
      <c r="C648" s="119"/>
      <c r="D648" s="119"/>
      <c r="E648" s="119"/>
      <c r="F648" s="119"/>
      <c r="G648" s="119"/>
      <c r="H648" s="119"/>
      <c r="I648" s="120"/>
      <c r="J648" s="120"/>
      <c r="K648" s="120"/>
      <c r="L648" s="120"/>
      <c r="M648" s="120"/>
    </row>
    <row r="649">
      <c r="A649" s="119"/>
      <c r="B649" s="119"/>
      <c r="C649" s="119"/>
      <c r="D649" s="119"/>
      <c r="E649" s="119"/>
      <c r="F649" s="119"/>
      <c r="G649" s="119"/>
      <c r="H649" s="119"/>
      <c r="I649" s="133"/>
      <c r="J649" s="133"/>
      <c r="K649" s="133"/>
      <c r="L649" s="133"/>
      <c r="M649" s="133"/>
    </row>
    <row r="650">
      <c r="A650" s="119"/>
      <c r="B650" s="119"/>
      <c r="C650" s="119"/>
      <c r="D650" s="119"/>
      <c r="E650" s="119"/>
      <c r="F650" s="119"/>
      <c r="G650" s="119"/>
      <c r="H650" s="119"/>
      <c r="I650" s="120"/>
      <c r="J650" s="120"/>
      <c r="K650" s="120"/>
      <c r="L650" s="120"/>
      <c r="M650" s="120"/>
    </row>
    <row r="651">
      <c r="A651" s="119"/>
      <c r="B651" s="119"/>
      <c r="C651" s="119"/>
      <c r="D651" s="119"/>
      <c r="E651" s="119"/>
      <c r="F651" s="119"/>
      <c r="G651" s="119"/>
      <c r="H651" s="119"/>
      <c r="I651" s="133"/>
      <c r="J651" s="133"/>
      <c r="K651" s="133"/>
      <c r="L651" s="133"/>
      <c r="M651" s="133"/>
    </row>
    <row r="652">
      <c r="A652" s="119"/>
      <c r="B652" s="119"/>
      <c r="C652" s="119"/>
      <c r="D652" s="119"/>
      <c r="E652" s="119"/>
      <c r="F652" s="119"/>
      <c r="G652" s="119"/>
      <c r="H652" s="119"/>
      <c r="I652" s="120"/>
      <c r="J652" s="120"/>
      <c r="K652" s="120"/>
      <c r="L652" s="120"/>
      <c r="M652" s="120"/>
    </row>
    <row r="653">
      <c r="A653" s="119"/>
      <c r="B653" s="119"/>
      <c r="C653" s="119"/>
      <c r="D653" s="119"/>
      <c r="E653" s="119"/>
      <c r="F653" s="119"/>
      <c r="G653" s="119"/>
      <c r="H653" s="119"/>
      <c r="I653" s="133"/>
      <c r="J653" s="133"/>
      <c r="K653" s="133"/>
      <c r="L653" s="133"/>
      <c r="M653" s="133"/>
    </row>
    <row r="654">
      <c r="A654" s="119"/>
      <c r="B654" s="119"/>
      <c r="C654" s="119"/>
      <c r="D654" s="119"/>
      <c r="E654" s="119"/>
      <c r="F654" s="119"/>
      <c r="G654" s="119"/>
      <c r="H654" s="119"/>
      <c r="I654" s="120"/>
      <c r="J654" s="120"/>
      <c r="K654" s="120"/>
      <c r="L654" s="120"/>
      <c r="M654" s="120"/>
    </row>
    <row r="655">
      <c r="A655" s="119"/>
      <c r="B655" s="119"/>
      <c r="C655" s="119"/>
      <c r="D655" s="119"/>
      <c r="E655" s="119"/>
      <c r="F655" s="119"/>
      <c r="G655" s="119"/>
      <c r="H655" s="119"/>
      <c r="I655" s="133"/>
      <c r="J655" s="133"/>
      <c r="K655" s="133"/>
      <c r="L655" s="133"/>
      <c r="M655" s="133"/>
    </row>
    <row r="656">
      <c r="A656" s="119"/>
      <c r="B656" s="119"/>
      <c r="C656" s="119"/>
      <c r="D656" s="119"/>
      <c r="E656" s="119"/>
      <c r="F656" s="119"/>
      <c r="G656" s="119"/>
      <c r="H656" s="119"/>
      <c r="I656" s="120"/>
      <c r="J656" s="120"/>
      <c r="K656" s="120"/>
      <c r="L656" s="120"/>
      <c r="M656" s="120"/>
    </row>
    <row r="657">
      <c r="A657" s="119"/>
      <c r="B657" s="119"/>
      <c r="C657" s="119"/>
      <c r="D657" s="119"/>
      <c r="E657" s="119"/>
      <c r="F657" s="119"/>
      <c r="G657" s="119"/>
      <c r="H657" s="119"/>
      <c r="I657" s="133"/>
      <c r="J657" s="133"/>
      <c r="K657" s="133"/>
      <c r="L657" s="133"/>
      <c r="M657" s="133"/>
    </row>
    <row r="658">
      <c r="A658" s="119"/>
      <c r="B658" s="119"/>
      <c r="C658" s="119"/>
      <c r="D658" s="119"/>
      <c r="E658" s="119"/>
      <c r="F658" s="119"/>
      <c r="G658" s="119"/>
      <c r="H658" s="119"/>
      <c r="I658" s="120"/>
      <c r="J658" s="120"/>
      <c r="K658" s="120"/>
      <c r="L658" s="120"/>
      <c r="M658" s="120"/>
    </row>
    <row r="659">
      <c r="A659" s="119"/>
      <c r="B659" s="119"/>
      <c r="C659" s="119"/>
      <c r="D659" s="119"/>
      <c r="E659" s="119"/>
      <c r="F659" s="119"/>
      <c r="G659" s="119"/>
      <c r="H659" s="119"/>
      <c r="I659" s="133"/>
      <c r="J659" s="133"/>
      <c r="K659" s="133"/>
      <c r="L659" s="133"/>
      <c r="M659" s="133"/>
    </row>
    <row r="660">
      <c r="A660" s="119"/>
      <c r="B660" s="119"/>
      <c r="C660" s="119"/>
      <c r="D660" s="119"/>
      <c r="E660" s="119"/>
      <c r="F660" s="119"/>
      <c r="G660" s="119"/>
      <c r="H660" s="119"/>
      <c r="I660" s="120"/>
      <c r="J660" s="120"/>
      <c r="K660" s="120"/>
      <c r="L660" s="120"/>
      <c r="M660" s="120"/>
    </row>
    <row r="661">
      <c r="A661" s="119"/>
      <c r="B661" s="119"/>
      <c r="C661" s="119"/>
      <c r="D661" s="119"/>
      <c r="E661" s="119"/>
      <c r="F661" s="119"/>
      <c r="G661" s="119"/>
      <c r="H661" s="119"/>
      <c r="I661" s="133"/>
      <c r="J661" s="133"/>
      <c r="K661" s="133"/>
      <c r="L661" s="133"/>
      <c r="M661" s="133"/>
    </row>
    <row r="662">
      <c r="A662" s="119"/>
      <c r="B662" s="119"/>
      <c r="C662" s="119"/>
      <c r="D662" s="119"/>
      <c r="E662" s="119"/>
      <c r="F662" s="119"/>
      <c r="G662" s="119"/>
      <c r="H662" s="119"/>
      <c r="I662" s="120"/>
      <c r="J662" s="120"/>
      <c r="K662" s="120"/>
      <c r="L662" s="120"/>
      <c r="M662" s="120"/>
    </row>
    <row r="663">
      <c r="A663" s="119"/>
      <c r="B663" s="119"/>
      <c r="C663" s="119"/>
      <c r="D663" s="119"/>
      <c r="E663" s="119"/>
      <c r="F663" s="119"/>
      <c r="G663" s="119"/>
      <c r="H663" s="119"/>
      <c r="I663" s="133"/>
      <c r="J663" s="133"/>
      <c r="K663" s="133"/>
      <c r="L663" s="133"/>
      <c r="M663" s="133"/>
    </row>
    <row r="664">
      <c r="A664" s="119"/>
      <c r="B664" s="119"/>
      <c r="C664" s="119"/>
      <c r="D664" s="119"/>
      <c r="E664" s="119"/>
      <c r="F664" s="119"/>
      <c r="G664" s="119"/>
      <c r="H664" s="119"/>
      <c r="I664" s="120"/>
      <c r="J664" s="120"/>
      <c r="K664" s="120"/>
      <c r="L664" s="120"/>
      <c r="M664" s="120"/>
    </row>
    <row r="665">
      <c r="A665" s="119"/>
      <c r="B665" s="119"/>
      <c r="C665" s="119"/>
      <c r="D665" s="119"/>
      <c r="E665" s="119"/>
      <c r="F665" s="119"/>
      <c r="G665" s="119"/>
      <c r="H665" s="119"/>
      <c r="I665" s="133"/>
      <c r="J665" s="133"/>
      <c r="K665" s="133"/>
      <c r="L665" s="133"/>
      <c r="M665" s="133"/>
    </row>
    <row r="666">
      <c r="A666" s="119"/>
      <c r="B666" s="119"/>
      <c r="C666" s="119"/>
      <c r="D666" s="119"/>
      <c r="E666" s="119"/>
      <c r="F666" s="119"/>
      <c r="G666" s="119"/>
      <c r="H666" s="119"/>
      <c r="I666" s="120"/>
      <c r="J666" s="120"/>
      <c r="K666" s="120"/>
      <c r="L666" s="120"/>
      <c r="M666" s="120"/>
    </row>
    <row r="667">
      <c r="A667" s="119"/>
      <c r="B667" s="119"/>
      <c r="C667" s="119"/>
      <c r="D667" s="119"/>
      <c r="E667" s="119"/>
      <c r="F667" s="119"/>
      <c r="G667" s="119"/>
      <c r="H667" s="119"/>
      <c r="I667" s="133"/>
      <c r="J667" s="133"/>
      <c r="K667" s="133"/>
      <c r="L667" s="133"/>
      <c r="M667" s="133"/>
    </row>
    <row r="668">
      <c r="A668" s="119"/>
      <c r="B668" s="119"/>
      <c r="C668" s="119"/>
      <c r="D668" s="119"/>
      <c r="E668" s="119"/>
      <c r="F668" s="119"/>
      <c r="G668" s="119"/>
      <c r="H668" s="119"/>
      <c r="I668" s="120"/>
      <c r="J668" s="120"/>
      <c r="K668" s="120"/>
      <c r="L668" s="120"/>
      <c r="M668" s="120"/>
    </row>
    <row r="669">
      <c r="A669" s="119"/>
      <c r="B669" s="119"/>
      <c r="C669" s="119"/>
      <c r="D669" s="119"/>
      <c r="E669" s="119"/>
      <c r="F669" s="119"/>
      <c r="G669" s="119"/>
      <c r="H669" s="119"/>
      <c r="I669" s="133"/>
      <c r="J669" s="133"/>
      <c r="K669" s="133"/>
      <c r="L669" s="133"/>
      <c r="M669" s="133"/>
    </row>
    <row r="670">
      <c r="A670" s="119"/>
      <c r="B670" s="119"/>
      <c r="C670" s="119"/>
      <c r="D670" s="119"/>
      <c r="E670" s="119"/>
      <c r="F670" s="119"/>
      <c r="G670" s="119"/>
      <c r="H670" s="119"/>
      <c r="I670" s="120"/>
      <c r="J670" s="120"/>
      <c r="K670" s="120"/>
      <c r="L670" s="120"/>
      <c r="M670" s="120"/>
    </row>
    <row r="671">
      <c r="A671" s="119"/>
      <c r="B671" s="119"/>
      <c r="C671" s="119"/>
      <c r="D671" s="119"/>
      <c r="E671" s="119"/>
      <c r="F671" s="119"/>
      <c r="G671" s="119"/>
      <c r="H671" s="119"/>
      <c r="I671" s="133"/>
      <c r="J671" s="133"/>
      <c r="K671" s="133"/>
      <c r="L671" s="133"/>
      <c r="M671" s="133"/>
    </row>
    <row r="672">
      <c r="A672" s="119"/>
      <c r="B672" s="119"/>
      <c r="C672" s="119"/>
      <c r="D672" s="119"/>
      <c r="E672" s="119"/>
      <c r="F672" s="119"/>
      <c r="G672" s="119"/>
      <c r="H672" s="119"/>
      <c r="I672" s="120"/>
      <c r="J672" s="120"/>
      <c r="K672" s="120"/>
      <c r="L672" s="120"/>
      <c r="M672" s="120"/>
    </row>
    <row r="673">
      <c r="A673" s="119"/>
      <c r="B673" s="119"/>
      <c r="C673" s="119"/>
      <c r="D673" s="119"/>
      <c r="E673" s="119"/>
      <c r="F673" s="119"/>
      <c r="G673" s="119"/>
      <c r="H673" s="119"/>
      <c r="I673" s="133"/>
      <c r="J673" s="133"/>
      <c r="K673" s="133"/>
      <c r="L673" s="133"/>
      <c r="M673" s="133"/>
    </row>
    <row r="674">
      <c r="A674" s="119"/>
      <c r="B674" s="119"/>
      <c r="C674" s="119"/>
      <c r="D674" s="119"/>
      <c r="E674" s="119"/>
      <c r="F674" s="119"/>
      <c r="G674" s="119"/>
      <c r="H674" s="119"/>
      <c r="I674" s="120"/>
      <c r="J674" s="120"/>
      <c r="K674" s="120"/>
      <c r="L674" s="120"/>
      <c r="M674" s="120"/>
    </row>
    <row r="675">
      <c r="A675" s="119"/>
      <c r="B675" s="119"/>
      <c r="C675" s="119"/>
      <c r="D675" s="119"/>
      <c r="E675" s="119"/>
      <c r="F675" s="119"/>
      <c r="G675" s="119"/>
      <c r="H675" s="119"/>
      <c r="I675" s="133"/>
      <c r="J675" s="133"/>
      <c r="K675" s="133"/>
      <c r="L675" s="133"/>
      <c r="M675" s="133"/>
    </row>
    <row r="676">
      <c r="A676" s="119"/>
      <c r="B676" s="119"/>
      <c r="C676" s="119"/>
      <c r="D676" s="119"/>
      <c r="E676" s="119"/>
      <c r="F676" s="119"/>
      <c r="G676" s="119"/>
      <c r="H676" s="119"/>
      <c r="I676" s="120"/>
      <c r="J676" s="120"/>
      <c r="K676" s="120"/>
      <c r="L676" s="120"/>
      <c r="M676" s="120"/>
    </row>
    <row r="677">
      <c r="A677" s="119"/>
      <c r="B677" s="119"/>
      <c r="C677" s="119"/>
      <c r="D677" s="119"/>
      <c r="E677" s="119"/>
      <c r="F677" s="119"/>
      <c r="G677" s="119"/>
      <c r="H677" s="119"/>
      <c r="I677" s="133"/>
      <c r="J677" s="133"/>
      <c r="K677" s="133"/>
      <c r="L677" s="133"/>
      <c r="M677" s="133"/>
    </row>
    <row r="678">
      <c r="A678" s="119"/>
      <c r="B678" s="119"/>
      <c r="C678" s="119"/>
      <c r="D678" s="119"/>
      <c r="E678" s="119"/>
      <c r="F678" s="119"/>
      <c r="G678" s="119"/>
      <c r="H678" s="119"/>
      <c r="I678" s="120"/>
      <c r="J678" s="120"/>
      <c r="K678" s="120"/>
      <c r="L678" s="120"/>
      <c r="M678" s="120"/>
    </row>
    <row r="679">
      <c r="A679" s="119"/>
      <c r="B679" s="119"/>
      <c r="C679" s="119"/>
      <c r="D679" s="119"/>
      <c r="E679" s="119"/>
      <c r="F679" s="119"/>
      <c r="G679" s="119"/>
      <c r="H679" s="119"/>
      <c r="I679" s="133"/>
      <c r="J679" s="133"/>
      <c r="K679" s="133"/>
      <c r="L679" s="133"/>
      <c r="M679" s="133"/>
    </row>
    <row r="680">
      <c r="A680" s="119"/>
      <c r="B680" s="119"/>
      <c r="C680" s="119"/>
      <c r="D680" s="119"/>
      <c r="E680" s="119"/>
      <c r="F680" s="119"/>
      <c r="G680" s="119"/>
      <c r="H680" s="119"/>
      <c r="I680" s="120"/>
      <c r="J680" s="120"/>
      <c r="K680" s="120"/>
      <c r="L680" s="120"/>
      <c r="M680" s="120"/>
    </row>
    <row r="681">
      <c r="A681" s="119"/>
      <c r="B681" s="119"/>
      <c r="C681" s="119"/>
      <c r="D681" s="119"/>
      <c r="E681" s="119"/>
      <c r="F681" s="119"/>
      <c r="G681" s="119"/>
      <c r="H681" s="119"/>
      <c r="I681" s="133"/>
      <c r="J681" s="133"/>
      <c r="K681" s="133"/>
      <c r="L681" s="133"/>
      <c r="M681" s="133"/>
    </row>
    <row r="682">
      <c r="A682" s="119"/>
      <c r="B682" s="119"/>
      <c r="C682" s="119"/>
      <c r="D682" s="119"/>
      <c r="E682" s="119"/>
      <c r="F682" s="119"/>
      <c r="G682" s="119"/>
      <c r="H682" s="119"/>
      <c r="I682" s="120"/>
      <c r="J682" s="120"/>
      <c r="K682" s="120"/>
      <c r="L682" s="120"/>
      <c r="M682" s="120"/>
    </row>
    <row r="683">
      <c r="A683" s="119"/>
      <c r="B683" s="119"/>
      <c r="C683" s="119"/>
      <c r="D683" s="119"/>
      <c r="E683" s="119"/>
      <c r="F683" s="119"/>
      <c r="G683" s="119"/>
      <c r="H683" s="119"/>
      <c r="I683" s="133"/>
      <c r="J683" s="133"/>
      <c r="K683" s="133"/>
      <c r="L683" s="133"/>
      <c r="M683" s="133"/>
    </row>
    <row r="684">
      <c r="A684" s="119"/>
      <c r="B684" s="119"/>
      <c r="C684" s="119"/>
      <c r="D684" s="119"/>
      <c r="E684" s="119"/>
      <c r="F684" s="119"/>
      <c r="G684" s="119"/>
      <c r="H684" s="119"/>
      <c r="I684" s="120"/>
      <c r="J684" s="120"/>
      <c r="K684" s="120"/>
      <c r="L684" s="120"/>
      <c r="M684" s="120"/>
    </row>
    <row r="685">
      <c r="A685" s="119"/>
      <c r="B685" s="119"/>
      <c r="C685" s="119"/>
      <c r="D685" s="119"/>
      <c r="E685" s="119"/>
      <c r="F685" s="119"/>
      <c r="G685" s="119"/>
      <c r="H685" s="119"/>
      <c r="I685" s="133"/>
      <c r="J685" s="133"/>
      <c r="K685" s="133"/>
      <c r="L685" s="133"/>
      <c r="M685" s="133"/>
    </row>
    <row r="686">
      <c r="A686" s="119"/>
      <c r="B686" s="119"/>
      <c r="C686" s="119"/>
      <c r="D686" s="119"/>
      <c r="E686" s="119"/>
      <c r="F686" s="119"/>
      <c r="G686" s="119"/>
      <c r="H686" s="119"/>
      <c r="I686" s="120"/>
      <c r="J686" s="120"/>
      <c r="K686" s="120"/>
      <c r="L686" s="120"/>
      <c r="M686" s="120"/>
    </row>
    <row r="687">
      <c r="A687" s="119"/>
      <c r="B687" s="119"/>
      <c r="C687" s="119"/>
      <c r="D687" s="119"/>
      <c r="E687" s="119"/>
      <c r="F687" s="119"/>
      <c r="G687" s="119"/>
      <c r="H687" s="119"/>
      <c r="I687" s="133"/>
      <c r="J687" s="133"/>
      <c r="K687" s="133"/>
      <c r="L687" s="133"/>
      <c r="M687" s="133"/>
    </row>
    <row r="688">
      <c r="A688" s="119"/>
      <c r="B688" s="119"/>
      <c r="C688" s="119"/>
      <c r="D688" s="119"/>
      <c r="E688" s="119"/>
      <c r="F688" s="119"/>
      <c r="G688" s="119"/>
      <c r="H688" s="119"/>
      <c r="I688" s="120"/>
      <c r="J688" s="120"/>
      <c r="K688" s="120"/>
      <c r="L688" s="120"/>
      <c r="M688" s="120"/>
    </row>
    <row r="689">
      <c r="A689" s="119"/>
      <c r="B689" s="119"/>
      <c r="C689" s="119"/>
      <c r="D689" s="119"/>
      <c r="E689" s="119"/>
      <c r="F689" s="119"/>
      <c r="G689" s="119"/>
      <c r="H689" s="119"/>
      <c r="I689" s="133"/>
      <c r="J689" s="133"/>
      <c r="K689" s="133"/>
      <c r="L689" s="133"/>
      <c r="M689" s="133"/>
    </row>
    <row r="690">
      <c r="A690" s="119"/>
      <c r="B690" s="119"/>
      <c r="C690" s="119"/>
      <c r="D690" s="119"/>
      <c r="E690" s="119"/>
      <c r="F690" s="119"/>
      <c r="G690" s="119"/>
      <c r="H690" s="119"/>
      <c r="I690" s="120"/>
      <c r="J690" s="120"/>
      <c r="K690" s="120"/>
      <c r="L690" s="120"/>
      <c r="M690" s="120"/>
    </row>
    <row r="691">
      <c r="A691" s="119"/>
      <c r="B691" s="119"/>
      <c r="C691" s="119"/>
      <c r="D691" s="119"/>
      <c r="E691" s="119"/>
      <c r="F691" s="119"/>
      <c r="G691" s="119"/>
      <c r="H691" s="119"/>
      <c r="I691" s="133"/>
      <c r="J691" s="133"/>
      <c r="K691" s="133"/>
      <c r="L691" s="133"/>
      <c r="M691" s="133"/>
    </row>
    <row r="692">
      <c r="A692" s="119"/>
      <c r="B692" s="119"/>
      <c r="C692" s="119"/>
      <c r="D692" s="119"/>
      <c r="E692" s="119"/>
      <c r="F692" s="119"/>
      <c r="G692" s="119"/>
      <c r="H692" s="119"/>
      <c r="I692" s="120"/>
      <c r="J692" s="120"/>
      <c r="K692" s="120"/>
      <c r="L692" s="120"/>
      <c r="M692" s="120"/>
    </row>
    <row r="693">
      <c r="A693" s="119"/>
      <c r="B693" s="119"/>
      <c r="C693" s="119"/>
      <c r="D693" s="119"/>
      <c r="E693" s="119"/>
      <c r="F693" s="119"/>
      <c r="G693" s="119"/>
      <c r="H693" s="119"/>
      <c r="I693" s="133"/>
      <c r="J693" s="133"/>
      <c r="K693" s="133"/>
      <c r="L693" s="133"/>
      <c r="M693" s="133"/>
    </row>
    <row r="694">
      <c r="A694" s="119"/>
      <c r="B694" s="119"/>
      <c r="C694" s="119"/>
      <c r="D694" s="119"/>
      <c r="E694" s="119"/>
      <c r="F694" s="119"/>
      <c r="G694" s="119"/>
      <c r="H694" s="119"/>
      <c r="I694" s="120"/>
      <c r="J694" s="120"/>
      <c r="K694" s="120"/>
      <c r="L694" s="120"/>
      <c r="M694" s="120"/>
    </row>
    <row r="695">
      <c r="A695" s="119"/>
      <c r="B695" s="119"/>
      <c r="C695" s="119"/>
      <c r="D695" s="119"/>
      <c r="E695" s="119"/>
      <c r="F695" s="119"/>
      <c r="G695" s="119"/>
      <c r="H695" s="119"/>
      <c r="I695" s="133"/>
      <c r="J695" s="133"/>
      <c r="K695" s="133"/>
      <c r="L695" s="133"/>
      <c r="M695" s="133"/>
    </row>
    <row r="696">
      <c r="A696" s="119"/>
      <c r="B696" s="119"/>
      <c r="C696" s="119"/>
      <c r="D696" s="119"/>
      <c r="E696" s="119"/>
      <c r="F696" s="119"/>
      <c r="G696" s="119"/>
      <c r="H696" s="119"/>
      <c r="I696" s="120"/>
      <c r="J696" s="120"/>
      <c r="K696" s="120"/>
      <c r="L696" s="120"/>
      <c r="M696" s="120"/>
    </row>
    <row r="697">
      <c r="A697" s="119"/>
      <c r="B697" s="119"/>
      <c r="C697" s="119"/>
      <c r="D697" s="119"/>
      <c r="E697" s="119"/>
      <c r="F697" s="119"/>
      <c r="G697" s="119"/>
      <c r="H697" s="119"/>
      <c r="I697" s="133"/>
      <c r="J697" s="133"/>
      <c r="K697" s="133"/>
      <c r="L697" s="133"/>
      <c r="M697" s="133"/>
    </row>
    <row r="698">
      <c r="A698" s="119"/>
      <c r="B698" s="119"/>
      <c r="C698" s="119"/>
      <c r="D698" s="119"/>
      <c r="E698" s="119"/>
      <c r="F698" s="119"/>
      <c r="G698" s="119"/>
      <c r="H698" s="119"/>
      <c r="I698" s="120"/>
      <c r="J698" s="120"/>
      <c r="K698" s="120"/>
      <c r="L698" s="120"/>
      <c r="M698" s="120"/>
    </row>
    <row r="699">
      <c r="A699" s="119"/>
      <c r="B699" s="119"/>
      <c r="C699" s="119"/>
      <c r="D699" s="119"/>
      <c r="E699" s="119"/>
      <c r="F699" s="119"/>
      <c r="G699" s="119"/>
      <c r="H699" s="119"/>
      <c r="I699" s="133"/>
      <c r="J699" s="133"/>
      <c r="K699" s="133"/>
      <c r="L699" s="133"/>
      <c r="M699" s="133"/>
    </row>
    <row r="700">
      <c r="A700" s="119"/>
      <c r="B700" s="119"/>
      <c r="C700" s="119"/>
      <c r="D700" s="119"/>
      <c r="E700" s="119"/>
      <c r="F700" s="119"/>
      <c r="G700" s="119"/>
      <c r="H700" s="119"/>
      <c r="I700" s="120"/>
      <c r="J700" s="120"/>
      <c r="K700" s="120"/>
      <c r="L700" s="120"/>
      <c r="M700" s="120"/>
    </row>
    <row r="701">
      <c r="A701" s="119"/>
      <c r="B701" s="119"/>
      <c r="C701" s="119"/>
      <c r="D701" s="119"/>
      <c r="E701" s="119"/>
      <c r="F701" s="119"/>
      <c r="G701" s="119"/>
      <c r="H701" s="119"/>
      <c r="I701" s="133"/>
      <c r="J701" s="133"/>
      <c r="K701" s="133"/>
      <c r="L701" s="133"/>
      <c r="M701" s="133"/>
    </row>
    <row r="702">
      <c r="A702" s="119"/>
      <c r="B702" s="119"/>
      <c r="C702" s="119"/>
      <c r="D702" s="119"/>
      <c r="E702" s="119"/>
      <c r="F702" s="119"/>
      <c r="G702" s="119"/>
      <c r="H702" s="119"/>
      <c r="I702" s="120"/>
      <c r="J702" s="120"/>
      <c r="K702" s="120"/>
      <c r="L702" s="120"/>
      <c r="M702" s="120"/>
    </row>
    <row r="703">
      <c r="A703" s="119"/>
      <c r="B703" s="119"/>
      <c r="C703" s="119"/>
      <c r="D703" s="119"/>
      <c r="E703" s="119"/>
      <c r="F703" s="119"/>
      <c r="G703" s="119"/>
      <c r="H703" s="119"/>
      <c r="I703" s="133"/>
      <c r="J703" s="133"/>
      <c r="K703" s="133"/>
      <c r="L703" s="133"/>
      <c r="M703" s="133"/>
    </row>
    <row r="704">
      <c r="A704" s="119"/>
      <c r="B704" s="119"/>
      <c r="C704" s="119"/>
      <c r="D704" s="119"/>
      <c r="E704" s="119"/>
      <c r="F704" s="119"/>
      <c r="G704" s="119"/>
      <c r="H704" s="119"/>
      <c r="I704" s="120"/>
      <c r="J704" s="120"/>
      <c r="K704" s="120"/>
      <c r="L704" s="120"/>
      <c r="M704" s="120"/>
    </row>
    <row r="705">
      <c r="A705" s="119"/>
      <c r="B705" s="119"/>
      <c r="C705" s="119"/>
      <c r="D705" s="119"/>
      <c r="E705" s="119"/>
      <c r="F705" s="119"/>
      <c r="G705" s="119"/>
      <c r="H705" s="119"/>
      <c r="I705" s="133"/>
      <c r="J705" s="133"/>
      <c r="K705" s="133"/>
      <c r="L705" s="133"/>
      <c r="M705" s="133"/>
    </row>
    <row r="706">
      <c r="A706" s="119"/>
      <c r="B706" s="119"/>
      <c r="C706" s="119"/>
      <c r="D706" s="119"/>
      <c r="E706" s="119"/>
      <c r="F706" s="119"/>
      <c r="G706" s="119"/>
      <c r="H706" s="119"/>
      <c r="I706" s="120"/>
      <c r="J706" s="120"/>
      <c r="K706" s="120"/>
      <c r="L706" s="120"/>
      <c r="M706" s="120"/>
    </row>
    <row r="707">
      <c r="A707" s="119"/>
      <c r="B707" s="119"/>
      <c r="C707" s="119"/>
      <c r="D707" s="119"/>
      <c r="E707" s="119"/>
      <c r="F707" s="119"/>
      <c r="G707" s="119"/>
      <c r="H707" s="119"/>
      <c r="I707" s="133"/>
      <c r="J707" s="133"/>
      <c r="K707" s="133"/>
      <c r="L707" s="133"/>
      <c r="M707" s="133"/>
    </row>
    <row r="708">
      <c r="A708" s="119"/>
      <c r="B708" s="119"/>
      <c r="C708" s="119"/>
      <c r="D708" s="119"/>
      <c r="E708" s="119"/>
      <c r="F708" s="119"/>
      <c r="G708" s="119"/>
      <c r="H708" s="119"/>
      <c r="I708" s="120"/>
      <c r="J708" s="120"/>
      <c r="K708" s="120"/>
      <c r="L708" s="120"/>
      <c r="M708" s="120"/>
    </row>
    <row r="709">
      <c r="A709" s="119"/>
      <c r="B709" s="119"/>
      <c r="C709" s="119"/>
      <c r="D709" s="119"/>
      <c r="E709" s="119"/>
      <c r="F709" s="119"/>
      <c r="G709" s="119"/>
      <c r="H709" s="119"/>
      <c r="I709" s="133"/>
      <c r="J709" s="133"/>
      <c r="K709" s="133"/>
      <c r="L709" s="133"/>
      <c r="M709" s="133"/>
    </row>
    <row r="710">
      <c r="A710" s="119"/>
      <c r="B710" s="119"/>
      <c r="C710" s="119"/>
      <c r="D710" s="119"/>
      <c r="E710" s="119"/>
      <c r="F710" s="119"/>
      <c r="G710" s="119"/>
      <c r="H710" s="119"/>
      <c r="I710" s="120"/>
      <c r="J710" s="120"/>
      <c r="K710" s="120"/>
      <c r="L710" s="120"/>
      <c r="M710" s="120"/>
    </row>
    <row r="711">
      <c r="A711" s="119"/>
      <c r="B711" s="119"/>
      <c r="C711" s="119"/>
      <c r="D711" s="119"/>
      <c r="E711" s="119"/>
      <c r="F711" s="119"/>
      <c r="G711" s="119"/>
      <c r="H711" s="119"/>
      <c r="I711" s="133"/>
      <c r="J711" s="133"/>
      <c r="K711" s="133"/>
      <c r="L711" s="133"/>
      <c r="M711" s="133"/>
    </row>
    <row r="712">
      <c r="A712" s="119"/>
      <c r="B712" s="119"/>
      <c r="C712" s="119"/>
      <c r="D712" s="119"/>
      <c r="E712" s="119"/>
      <c r="F712" s="119"/>
      <c r="G712" s="119"/>
      <c r="H712" s="119"/>
      <c r="I712" s="120"/>
      <c r="J712" s="120"/>
      <c r="K712" s="120"/>
      <c r="L712" s="120"/>
      <c r="M712" s="120"/>
    </row>
    <row r="713">
      <c r="A713" s="119"/>
      <c r="B713" s="119"/>
      <c r="C713" s="119"/>
      <c r="D713" s="119"/>
      <c r="E713" s="119"/>
      <c r="F713" s="119"/>
      <c r="G713" s="119"/>
      <c r="H713" s="119"/>
      <c r="I713" s="133"/>
      <c r="J713" s="133"/>
      <c r="K713" s="133"/>
      <c r="L713" s="133"/>
      <c r="M713" s="133"/>
    </row>
    <row r="714">
      <c r="A714" s="119"/>
      <c r="B714" s="119"/>
      <c r="C714" s="119"/>
      <c r="D714" s="119"/>
      <c r="E714" s="119"/>
      <c r="F714" s="119"/>
      <c r="G714" s="119"/>
      <c r="H714" s="119"/>
      <c r="I714" s="120"/>
      <c r="J714" s="120"/>
      <c r="K714" s="120"/>
      <c r="L714" s="120"/>
      <c r="M714" s="120"/>
    </row>
    <row r="715">
      <c r="A715" s="119"/>
      <c r="B715" s="119"/>
      <c r="C715" s="119"/>
      <c r="D715" s="119"/>
      <c r="E715" s="119"/>
      <c r="F715" s="119"/>
      <c r="G715" s="119"/>
      <c r="H715" s="119"/>
      <c r="I715" s="133"/>
      <c r="J715" s="133"/>
      <c r="K715" s="133"/>
      <c r="L715" s="133"/>
      <c r="M715" s="133"/>
    </row>
    <row r="716">
      <c r="A716" s="119"/>
      <c r="B716" s="119"/>
      <c r="C716" s="119"/>
      <c r="D716" s="119"/>
      <c r="E716" s="119"/>
      <c r="F716" s="119"/>
      <c r="G716" s="119"/>
      <c r="H716" s="119"/>
      <c r="I716" s="120"/>
      <c r="J716" s="120"/>
      <c r="K716" s="120"/>
      <c r="L716" s="120"/>
      <c r="M716" s="120"/>
    </row>
    <row r="717">
      <c r="A717" s="119"/>
      <c r="B717" s="119"/>
      <c r="C717" s="119"/>
      <c r="D717" s="119"/>
      <c r="E717" s="119"/>
      <c r="F717" s="119"/>
      <c r="G717" s="119"/>
      <c r="H717" s="119"/>
      <c r="I717" s="133"/>
      <c r="J717" s="133"/>
      <c r="K717" s="133"/>
      <c r="L717" s="133"/>
      <c r="M717" s="133"/>
    </row>
    <row r="718">
      <c r="A718" s="119"/>
      <c r="B718" s="119"/>
      <c r="C718" s="119"/>
      <c r="D718" s="119"/>
      <c r="E718" s="119"/>
      <c r="F718" s="119"/>
      <c r="G718" s="119"/>
      <c r="H718" s="119"/>
      <c r="I718" s="120"/>
      <c r="J718" s="120"/>
      <c r="K718" s="120"/>
      <c r="L718" s="120"/>
      <c r="M718" s="120"/>
    </row>
    <row r="719">
      <c r="A719" s="119"/>
      <c r="B719" s="119"/>
      <c r="C719" s="119"/>
      <c r="D719" s="119"/>
      <c r="E719" s="119"/>
      <c r="F719" s="119"/>
      <c r="G719" s="119"/>
      <c r="H719" s="119"/>
      <c r="I719" s="133"/>
      <c r="J719" s="133"/>
      <c r="K719" s="133"/>
      <c r="L719" s="133"/>
      <c r="M719" s="133"/>
    </row>
    <row r="720">
      <c r="A720" s="119"/>
      <c r="B720" s="119"/>
      <c r="C720" s="119"/>
      <c r="D720" s="119"/>
      <c r="E720" s="119"/>
      <c r="F720" s="119"/>
      <c r="G720" s="119"/>
      <c r="H720" s="119"/>
      <c r="I720" s="120"/>
      <c r="J720" s="120"/>
      <c r="K720" s="120"/>
      <c r="L720" s="120"/>
      <c r="M720" s="120"/>
    </row>
    <row r="721">
      <c r="A721" s="119"/>
      <c r="B721" s="119"/>
      <c r="C721" s="119"/>
      <c r="D721" s="119"/>
      <c r="E721" s="119"/>
      <c r="F721" s="119"/>
      <c r="G721" s="119"/>
      <c r="H721" s="119"/>
      <c r="I721" s="133"/>
      <c r="J721" s="133"/>
      <c r="K721" s="133"/>
      <c r="L721" s="133"/>
      <c r="M721" s="133"/>
    </row>
    <row r="722">
      <c r="A722" s="119"/>
      <c r="B722" s="119"/>
      <c r="C722" s="119"/>
      <c r="D722" s="119"/>
      <c r="E722" s="119"/>
      <c r="F722" s="119"/>
      <c r="G722" s="119"/>
      <c r="H722" s="119"/>
      <c r="I722" s="120"/>
      <c r="J722" s="120"/>
      <c r="K722" s="120"/>
      <c r="L722" s="120"/>
      <c r="M722" s="120"/>
    </row>
    <row r="723">
      <c r="A723" s="119"/>
      <c r="B723" s="119"/>
      <c r="C723" s="119"/>
      <c r="D723" s="119"/>
      <c r="E723" s="119"/>
      <c r="F723" s="119"/>
      <c r="G723" s="119"/>
      <c r="H723" s="119"/>
      <c r="I723" s="133"/>
      <c r="J723" s="133"/>
      <c r="K723" s="133"/>
      <c r="L723" s="133"/>
      <c r="M723" s="133"/>
    </row>
    <row r="724">
      <c r="A724" s="119"/>
      <c r="B724" s="119"/>
      <c r="C724" s="119"/>
      <c r="D724" s="119"/>
      <c r="E724" s="119"/>
      <c r="F724" s="119"/>
      <c r="G724" s="119"/>
      <c r="H724" s="119"/>
      <c r="I724" s="120"/>
      <c r="J724" s="120"/>
      <c r="K724" s="120"/>
      <c r="L724" s="120"/>
      <c r="M724" s="120"/>
    </row>
    <row r="725">
      <c r="A725" s="119"/>
      <c r="B725" s="119"/>
      <c r="C725" s="119"/>
      <c r="D725" s="119"/>
      <c r="E725" s="119"/>
      <c r="F725" s="119"/>
      <c r="G725" s="119"/>
      <c r="H725" s="119"/>
      <c r="I725" s="133"/>
      <c r="J725" s="133"/>
      <c r="K725" s="133"/>
      <c r="L725" s="133"/>
      <c r="M725" s="133"/>
    </row>
    <row r="726">
      <c r="A726" s="119"/>
      <c r="B726" s="119"/>
      <c r="C726" s="119"/>
      <c r="D726" s="119"/>
      <c r="E726" s="119"/>
      <c r="F726" s="119"/>
      <c r="G726" s="119"/>
      <c r="H726" s="119"/>
      <c r="I726" s="120"/>
      <c r="J726" s="120"/>
      <c r="K726" s="120"/>
      <c r="L726" s="120"/>
      <c r="M726" s="120"/>
    </row>
    <row r="727">
      <c r="A727" s="119"/>
      <c r="B727" s="119"/>
      <c r="C727" s="119"/>
      <c r="D727" s="119"/>
      <c r="E727" s="119"/>
      <c r="F727" s="119"/>
      <c r="G727" s="119"/>
      <c r="H727" s="119"/>
      <c r="I727" s="133"/>
      <c r="J727" s="133"/>
      <c r="K727" s="133"/>
      <c r="L727" s="133"/>
      <c r="M727" s="133"/>
    </row>
    <row r="728">
      <c r="A728" s="119"/>
      <c r="B728" s="119"/>
      <c r="C728" s="119"/>
      <c r="D728" s="119"/>
      <c r="E728" s="119"/>
      <c r="F728" s="119"/>
      <c r="G728" s="119"/>
      <c r="H728" s="119"/>
      <c r="I728" s="120"/>
      <c r="J728" s="120"/>
      <c r="K728" s="120"/>
      <c r="L728" s="120"/>
      <c r="M728" s="120"/>
    </row>
    <row r="729">
      <c r="A729" s="119"/>
      <c r="B729" s="119"/>
      <c r="C729" s="119"/>
      <c r="D729" s="119"/>
      <c r="E729" s="119"/>
      <c r="F729" s="119"/>
      <c r="G729" s="119"/>
      <c r="H729" s="119"/>
      <c r="I729" s="133"/>
      <c r="J729" s="133"/>
      <c r="K729" s="133"/>
      <c r="L729" s="133"/>
      <c r="M729" s="133"/>
    </row>
    <row r="730">
      <c r="A730" s="119"/>
      <c r="B730" s="119"/>
      <c r="C730" s="119"/>
      <c r="D730" s="119"/>
      <c r="E730" s="119"/>
      <c r="F730" s="119"/>
      <c r="G730" s="119"/>
      <c r="H730" s="119"/>
      <c r="I730" s="120"/>
      <c r="J730" s="120"/>
      <c r="K730" s="120"/>
      <c r="L730" s="120"/>
      <c r="M730" s="120"/>
    </row>
    <row r="731">
      <c r="A731" s="119"/>
      <c r="B731" s="119"/>
      <c r="C731" s="119"/>
      <c r="D731" s="119"/>
      <c r="E731" s="119"/>
      <c r="F731" s="119"/>
      <c r="G731" s="119"/>
      <c r="H731" s="119"/>
      <c r="I731" s="133"/>
      <c r="J731" s="133"/>
      <c r="K731" s="133"/>
      <c r="L731" s="133"/>
      <c r="M731" s="133"/>
    </row>
    <row r="732">
      <c r="A732" s="119"/>
      <c r="B732" s="119"/>
      <c r="C732" s="119"/>
      <c r="D732" s="119"/>
      <c r="E732" s="119"/>
      <c r="F732" s="119"/>
      <c r="G732" s="119"/>
      <c r="H732" s="119"/>
      <c r="I732" s="120"/>
      <c r="J732" s="120"/>
      <c r="K732" s="120"/>
      <c r="L732" s="120"/>
      <c r="M732" s="120"/>
    </row>
    <row r="733">
      <c r="A733" s="119"/>
      <c r="B733" s="119"/>
      <c r="C733" s="119"/>
      <c r="D733" s="119"/>
      <c r="E733" s="119"/>
      <c r="F733" s="119"/>
      <c r="G733" s="119"/>
      <c r="H733" s="119"/>
      <c r="I733" s="133"/>
      <c r="J733" s="133"/>
      <c r="K733" s="133"/>
      <c r="L733" s="133"/>
      <c r="M733" s="133"/>
    </row>
    <row r="734">
      <c r="A734" s="119"/>
      <c r="B734" s="119"/>
      <c r="C734" s="119"/>
      <c r="D734" s="119"/>
      <c r="E734" s="119"/>
      <c r="F734" s="119"/>
      <c r="G734" s="119"/>
      <c r="H734" s="119"/>
      <c r="I734" s="120"/>
      <c r="J734" s="120"/>
      <c r="K734" s="120"/>
      <c r="L734" s="120"/>
      <c r="M734" s="120"/>
    </row>
    <row r="735">
      <c r="A735" s="119"/>
      <c r="B735" s="119"/>
      <c r="C735" s="119"/>
      <c r="D735" s="119"/>
      <c r="E735" s="119"/>
      <c r="F735" s="119"/>
      <c r="G735" s="119"/>
      <c r="H735" s="119"/>
      <c r="I735" s="133"/>
      <c r="J735" s="133"/>
      <c r="K735" s="133"/>
      <c r="L735" s="133"/>
      <c r="M735" s="133"/>
    </row>
    <row r="736">
      <c r="A736" s="119"/>
      <c r="B736" s="119"/>
      <c r="C736" s="119"/>
      <c r="D736" s="119"/>
      <c r="E736" s="119"/>
      <c r="F736" s="119"/>
      <c r="G736" s="119"/>
      <c r="H736" s="119"/>
      <c r="I736" s="120"/>
      <c r="J736" s="120"/>
      <c r="K736" s="120"/>
      <c r="L736" s="120"/>
      <c r="M736" s="120"/>
    </row>
    <row r="737">
      <c r="A737" s="119"/>
      <c r="B737" s="119"/>
      <c r="C737" s="119"/>
      <c r="D737" s="119"/>
      <c r="E737" s="119"/>
      <c r="F737" s="119"/>
      <c r="G737" s="119"/>
      <c r="H737" s="119"/>
      <c r="I737" s="133"/>
      <c r="J737" s="133"/>
      <c r="K737" s="133"/>
      <c r="L737" s="133"/>
      <c r="M737" s="133"/>
    </row>
    <row r="738">
      <c r="A738" s="119"/>
      <c r="B738" s="119"/>
      <c r="C738" s="119"/>
      <c r="D738" s="119"/>
      <c r="E738" s="119"/>
      <c r="F738" s="119"/>
      <c r="G738" s="119"/>
      <c r="H738" s="119"/>
      <c r="I738" s="120"/>
      <c r="J738" s="120"/>
      <c r="K738" s="120"/>
      <c r="L738" s="120"/>
      <c r="M738" s="120"/>
    </row>
    <row r="739">
      <c r="A739" s="119"/>
      <c r="B739" s="119"/>
      <c r="C739" s="119"/>
      <c r="D739" s="119"/>
      <c r="E739" s="119"/>
      <c r="F739" s="119"/>
      <c r="G739" s="119"/>
      <c r="H739" s="119"/>
      <c r="I739" s="133"/>
      <c r="J739" s="133"/>
      <c r="K739" s="133"/>
      <c r="L739" s="133"/>
      <c r="M739" s="133"/>
    </row>
    <row r="740">
      <c r="A740" s="119"/>
      <c r="B740" s="119"/>
      <c r="C740" s="119"/>
      <c r="D740" s="119"/>
      <c r="E740" s="119"/>
      <c r="F740" s="119"/>
      <c r="G740" s="119"/>
      <c r="H740" s="119"/>
      <c r="I740" s="120"/>
      <c r="J740" s="120"/>
      <c r="K740" s="120"/>
      <c r="L740" s="120"/>
      <c r="M740" s="120"/>
    </row>
    <row r="741">
      <c r="A741" s="119"/>
      <c r="B741" s="119"/>
      <c r="C741" s="119"/>
      <c r="D741" s="119"/>
      <c r="E741" s="119"/>
      <c r="F741" s="119"/>
      <c r="G741" s="119"/>
      <c r="H741" s="119"/>
      <c r="I741" s="133"/>
      <c r="J741" s="133"/>
      <c r="K741" s="133"/>
      <c r="L741" s="133"/>
      <c r="M741" s="133"/>
    </row>
    <row r="742">
      <c r="A742" s="119"/>
      <c r="B742" s="119"/>
      <c r="C742" s="119"/>
      <c r="D742" s="119"/>
      <c r="E742" s="119"/>
      <c r="F742" s="119"/>
      <c r="G742" s="119"/>
      <c r="H742" s="119"/>
      <c r="I742" s="120"/>
      <c r="J742" s="120"/>
      <c r="K742" s="120"/>
      <c r="L742" s="120"/>
      <c r="M742" s="120"/>
    </row>
    <row r="743">
      <c r="A743" s="119"/>
      <c r="B743" s="119"/>
      <c r="C743" s="119"/>
      <c r="D743" s="119"/>
      <c r="E743" s="119"/>
      <c r="F743" s="119"/>
      <c r="G743" s="119"/>
      <c r="H743" s="119"/>
      <c r="I743" s="133"/>
      <c r="J743" s="133"/>
      <c r="K743" s="133"/>
      <c r="L743" s="133"/>
      <c r="M743" s="133"/>
    </row>
    <row r="744">
      <c r="A744" s="119"/>
      <c r="B744" s="119"/>
      <c r="C744" s="119"/>
      <c r="D744" s="119"/>
      <c r="E744" s="119"/>
      <c r="F744" s="119"/>
      <c r="G744" s="119"/>
      <c r="H744" s="119"/>
      <c r="I744" s="120"/>
      <c r="J744" s="120"/>
      <c r="K744" s="120"/>
      <c r="L744" s="120"/>
      <c r="M744" s="120"/>
    </row>
    <row r="745">
      <c r="A745" s="119"/>
      <c r="B745" s="119"/>
      <c r="C745" s="119"/>
      <c r="D745" s="119"/>
      <c r="E745" s="119"/>
      <c r="F745" s="119"/>
      <c r="G745" s="119"/>
      <c r="H745" s="119"/>
      <c r="I745" s="133"/>
      <c r="J745" s="133"/>
      <c r="K745" s="133"/>
      <c r="L745" s="133"/>
      <c r="M745" s="133"/>
    </row>
    <row r="746">
      <c r="A746" s="119"/>
      <c r="B746" s="119"/>
      <c r="C746" s="119"/>
      <c r="D746" s="119"/>
      <c r="E746" s="119"/>
      <c r="F746" s="119"/>
      <c r="G746" s="119"/>
      <c r="H746" s="119"/>
      <c r="I746" s="120"/>
      <c r="J746" s="120"/>
      <c r="K746" s="120"/>
      <c r="L746" s="120"/>
      <c r="M746" s="120"/>
    </row>
    <row r="747">
      <c r="A747" s="119"/>
      <c r="B747" s="119"/>
      <c r="C747" s="119"/>
      <c r="D747" s="119"/>
      <c r="E747" s="119"/>
      <c r="F747" s="119"/>
      <c r="G747" s="119"/>
      <c r="H747" s="119"/>
      <c r="I747" s="133"/>
      <c r="J747" s="133"/>
      <c r="K747" s="133"/>
      <c r="L747" s="133"/>
      <c r="M747" s="133"/>
    </row>
    <row r="748">
      <c r="A748" s="119"/>
      <c r="B748" s="119"/>
      <c r="C748" s="119"/>
      <c r="D748" s="119"/>
      <c r="E748" s="119"/>
      <c r="F748" s="119"/>
      <c r="G748" s="119"/>
      <c r="H748" s="119"/>
      <c r="I748" s="120"/>
      <c r="J748" s="120"/>
      <c r="K748" s="120"/>
      <c r="L748" s="120"/>
      <c r="M748" s="120"/>
    </row>
    <row r="749">
      <c r="A749" s="119"/>
      <c r="B749" s="119"/>
      <c r="C749" s="119"/>
      <c r="D749" s="119"/>
      <c r="E749" s="119"/>
      <c r="F749" s="119"/>
      <c r="G749" s="119"/>
      <c r="H749" s="119"/>
      <c r="I749" s="133"/>
      <c r="J749" s="133"/>
      <c r="K749" s="133"/>
      <c r="L749" s="133"/>
      <c r="M749" s="133"/>
    </row>
    <row r="750">
      <c r="A750" s="119"/>
      <c r="B750" s="119"/>
      <c r="C750" s="119"/>
      <c r="D750" s="119"/>
      <c r="E750" s="119"/>
      <c r="F750" s="119"/>
      <c r="G750" s="119"/>
      <c r="H750" s="119"/>
      <c r="I750" s="120"/>
      <c r="J750" s="120"/>
      <c r="K750" s="120"/>
      <c r="L750" s="120"/>
      <c r="M750" s="120"/>
    </row>
    <row r="751">
      <c r="A751" s="119"/>
      <c r="B751" s="119"/>
      <c r="C751" s="119"/>
      <c r="D751" s="119"/>
      <c r="E751" s="119"/>
      <c r="F751" s="119"/>
      <c r="G751" s="119"/>
      <c r="H751" s="119"/>
      <c r="I751" s="133"/>
      <c r="J751" s="133"/>
      <c r="K751" s="133"/>
      <c r="L751" s="133"/>
      <c r="M751" s="133"/>
    </row>
    <row r="752">
      <c r="A752" s="119"/>
      <c r="B752" s="119"/>
      <c r="C752" s="119"/>
      <c r="D752" s="119"/>
      <c r="E752" s="119"/>
      <c r="F752" s="119"/>
      <c r="G752" s="119"/>
      <c r="H752" s="119"/>
      <c r="I752" s="120"/>
      <c r="J752" s="120"/>
      <c r="K752" s="120"/>
      <c r="L752" s="120"/>
      <c r="M752" s="120"/>
    </row>
    <row r="753">
      <c r="A753" s="119"/>
      <c r="B753" s="119"/>
      <c r="C753" s="119"/>
      <c r="D753" s="119"/>
      <c r="E753" s="119"/>
      <c r="F753" s="119"/>
      <c r="G753" s="119"/>
      <c r="H753" s="119"/>
      <c r="I753" s="133"/>
      <c r="J753" s="133"/>
      <c r="K753" s="133"/>
      <c r="L753" s="133"/>
      <c r="M753" s="133"/>
    </row>
    <row r="754">
      <c r="A754" s="119"/>
      <c r="B754" s="119"/>
      <c r="C754" s="119"/>
      <c r="D754" s="119"/>
      <c r="E754" s="119"/>
      <c r="F754" s="119"/>
      <c r="G754" s="119"/>
      <c r="H754" s="119"/>
      <c r="I754" s="120"/>
      <c r="J754" s="120"/>
      <c r="K754" s="120"/>
      <c r="L754" s="120"/>
      <c r="M754" s="120"/>
    </row>
    <row r="755">
      <c r="A755" s="119"/>
      <c r="B755" s="119"/>
      <c r="C755" s="119"/>
      <c r="D755" s="119"/>
      <c r="E755" s="119"/>
      <c r="F755" s="119"/>
      <c r="G755" s="119"/>
      <c r="H755" s="119"/>
      <c r="I755" s="133"/>
      <c r="J755" s="133"/>
      <c r="K755" s="133"/>
      <c r="L755" s="133"/>
      <c r="M755" s="133"/>
    </row>
    <row r="756">
      <c r="A756" s="119"/>
      <c r="B756" s="119"/>
      <c r="C756" s="119"/>
      <c r="D756" s="119"/>
      <c r="E756" s="119"/>
      <c r="F756" s="119"/>
      <c r="G756" s="119"/>
      <c r="H756" s="119"/>
      <c r="I756" s="120"/>
      <c r="J756" s="120"/>
      <c r="K756" s="120"/>
      <c r="L756" s="120"/>
      <c r="M756" s="120"/>
    </row>
    <row r="757">
      <c r="A757" s="119"/>
      <c r="B757" s="119"/>
      <c r="C757" s="119"/>
      <c r="D757" s="119"/>
      <c r="E757" s="119"/>
      <c r="F757" s="119"/>
      <c r="G757" s="119"/>
      <c r="H757" s="119"/>
      <c r="I757" s="133"/>
      <c r="J757" s="133"/>
      <c r="K757" s="133"/>
      <c r="L757" s="133"/>
      <c r="M757" s="133"/>
    </row>
    <row r="758">
      <c r="A758" s="119"/>
      <c r="B758" s="119"/>
      <c r="C758" s="119"/>
      <c r="D758" s="119"/>
      <c r="E758" s="119"/>
      <c r="F758" s="119"/>
      <c r="G758" s="119"/>
      <c r="H758" s="119"/>
      <c r="I758" s="120"/>
      <c r="J758" s="120"/>
      <c r="K758" s="120"/>
      <c r="L758" s="120"/>
      <c r="M758" s="120"/>
    </row>
    <row r="759">
      <c r="A759" s="119"/>
      <c r="B759" s="119"/>
      <c r="C759" s="119"/>
      <c r="D759" s="119"/>
      <c r="E759" s="119"/>
      <c r="F759" s="119"/>
      <c r="G759" s="119"/>
      <c r="H759" s="119"/>
      <c r="I759" s="133"/>
      <c r="J759" s="133"/>
      <c r="K759" s="133"/>
      <c r="L759" s="133"/>
      <c r="M759" s="133"/>
    </row>
    <row r="760">
      <c r="A760" s="119"/>
      <c r="B760" s="119"/>
      <c r="C760" s="119"/>
      <c r="D760" s="119"/>
      <c r="E760" s="119"/>
      <c r="F760" s="119"/>
      <c r="G760" s="119"/>
      <c r="H760" s="119"/>
      <c r="I760" s="120"/>
      <c r="J760" s="120"/>
      <c r="K760" s="120"/>
      <c r="L760" s="120"/>
      <c r="M760" s="120"/>
    </row>
    <row r="761">
      <c r="A761" s="119"/>
      <c r="B761" s="119"/>
      <c r="C761" s="119"/>
      <c r="D761" s="119"/>
      <c r="E761" s="119"/>
      <c r="F761" s="119"/>
      <c r="G761" s="119"/>
      <c r="H761" s="119"/>
      <c r="I761" s="133"/>
      <c r="J761" s="133"/>
      <c r="K761" s="133"/>
      <c r="L761" s="133"/>
      <c r="M761" s="133"/>
    </row>
    <row r="762">
      <c r="A762" s="119"/>
      <c r="B762" s="119"/>
      <c r="C762" s="119"/>
      <c r="D762" s="119"/>
      <c r="E762" s="119"/>
      <c r="F762" s="119"/>
      <c r="G762" s="119"/>
      <c r="H762" s="119"/>
      <c r="I762" s="120"/>
      <c r="J762" s="120"/>
      <c r="K762" s="120"/>
      <c r="L762" s="120"/>
      <c r="M762" s="120"/>
    </row>
    <row r="763">
      <c r="A763" s="119"/>
      <c r="B763" s="119"/>
      <c r="C763" s="119"/>
      <c r="D763" s="119"/>
      <c r="E763" s="119"/>
      <c r="F763" s="119"/>
      <c r="G763" s="119"/>
      <c r="H763" s="119"/>
      <c r="I763" s="133"/>
      <c r="J763" s="133"/>
      <c r="K763" s="133"/>
      <c r="L763" s="133"/>
      <c r="M763" s="133"/>
    </row>
    <row r="764">
      <c r="A764" s="119"/>
      <c r="B764" s="119"/>
      <c r="C764" s="119"/>
      <c r="D764" s="119"/>
      <c r="E764" s="119"/>
      <c r="F764" s="119"/>
      <c r="G764" s="119"/>
      <c r="H764" s="119"/>
      <c r="I764" s="120"/>
      <c r="J764" s="120"/>
      <c r="K764" s="120"/>
      <c r="L764" s="120"/>
      <c r="M764" s="120"/>
    </row>
    <row r="765">
      <c r="A765" s="119"/>
      <c r="B765" s="119"/>
      <c r="C765" s="119"/>
      <c r="D765" s="119"/>
      <c r="E765" s="119"/>
      <c r="F765" s="119"/>
      <c r="G765" s="119"/>
      <c r="H765" s="119"/>
      <c r="I765" s="133"/>
      <c r="J765" s="133"/>
      <c r="K765" s="133"/>
      <c r="L765" s="133"/>
      <c r="M765" s="133"/>
    </row>
    <row r="766">
      <c r="A766" s="119"/>
      <c r="B766" s="119"/>
      <c r="C766" s="119"/>
      <c r="D766" s="119"/>
      <c r="E766" s="119"/>
      <c r="F766" s="119"/>
      <c r="G766" s="119"/>
      <c r="H766" s="119"/>
      <c r="I766" s="120"/>
      <c r="J766" s="120"/>
      <c r="K766" s="120"/>
      <c r="L766" s="120"/>
      <c r="M766" s="120"/>
    </row>
    <row r="767">
      <c r="A767" s="119"/>
      <c r="B767" s="119"/>
      <c r="C767" s="119"/>
      <c r="D767" s="119"/>
      <c r="E767" s="119"/>
      <c r="F767" s="119"/>
      <c r="G767" s="119"/>
      <c r="H767" s="119"/>
      <c r="I767" s="133"/>
      <c r="J767" s="133"/>
      <c r="K767" s="133"/>
      <c r="L767" s="133"/>
      <c r="M767" s="133"/>
    </row>
    <row r="768">
      <c r="A768" s="119"/>
      <c r="B768" s="119"/>
      <c r="C768" s="119"/>
      <c r="D768" s="119"/>
      <c r="E768" s="119"/>
      <c r="F768" s="119"/>
      <c r="G768" s="119"/>
      <c r="H768" s="119"/>
      <c r="I768" s="120"/>
      <c r="J768" s="120"/>
      <c r="K768" s="120"/>
      <c r="L768" s="120"/>
      <c r="M768" s="120"/>
    </row>
    <row r="769">
      <c r="A769" s="119"/>
      <c r="B769" s="119"/>
      <c r="C769" s="119"/>
      <c r="D769" s="119"/>
      <c r="E769" s="119"/>
      <c r="F769" s="119"/>
      <c r="G769" s="119"/>
      <c r="H769" s="119"/>
      <c r="I769" s="133"/>
      <c r="J769" s="133"/>
      <c r="K769" s="133"/>
      <c r="L769" s="133"/>
      <c r="M769" s="133"/>
    </row>
    <row r="770">
      <c r="A770" s="119"/>
      <c r="B770" s="119"/>
      <c r="C770" s="119"/>
      <c r="D770" s="119"/>
      <c r="E770" s="119"/>
      <c r="F770" s="119"/>
      <c r="G770" s="119"/>
      <c r="H770" s="119"/>
      <c r="I770" s="120"/>
      <c r="J770" s="120"/>
      <c r="K770" s="120"/>
      <c r="L770" s="120"/>
      <c r="M770" s="120"/>
    </row>
    <row r="771">
      <c r="A771" s="119"/>
      <c r="B771" s="119"/>
      <c r="C771" s="119"/>
      <c r="D771" s="119"/>
      <c r="E771" s="119"/>
      <c r="F771" s="119"/>
      <c r="G771" s="119"/>
      <c r="H771" s="119"/>
      <c r="I771" s="133"/>
      <c r="J771" s="133"/>
      <c r="K771" s="133"/>
      <c r="L771" s="133"/>
      <c r="M771" s="133"/>
    </row>
    <row r="772">
      <c r="A772" s="119"/>
      <c r="B772" s="119"/>
      <c r="C772" s="119"/>
      <c r="D772" s="119"/>
      <c r="E772" s="119"/>
      <c r="F772" s="119"/>
      <c r="G772" s="119"/>
      <c r="H772" s="119"/>
      <c r="I772" s="120"/>
      <c r="J772" s="120"/>
      <c r="K772" s="120"/>
      <c r="L772" s="120"/>
      <c r="M772" s="120"/>
    </row>
    <row r="773">
      <c r="A773" s="119"/>
      <c r="B773" s="119"/>
      <c r="C773" s="119"/>
      <c r="D773" s="119"/>
      <c r="E773" s="119"/>
      <c r="F773" s="119"/>
      <c r="G773" s="119"/>
      <c r="H773" s="119"/>
      <c r="I773" s="133"/>
      <c r="J773" s="133"/>
      <c r="K773" s="133"/>
      <c r="L773" s="133"/>
      <c r="M773" s="133"/>
    </row>
    <row r="774">
      <c r="A774" s="119"/>
      <c r="B774" s="119"/>
      <c r="C774" s="119"/>
      <c r="D774" s="119"/>
      <c r="E774" s="119"/>
      <c r="F774" s="119"/>
      <c r="G774" s="119"/>
      <c r="H774" s="119"/>
      <c r="I774" s="120"/>
      <c r="J774" s="120"/>
      <c r="K774" s="120"/>
      <c r="L774" s="120"/>
      <c r="M774" s="120"/>
    </row>
    <row r="775">
      <c r="A775" s="119"/>
      <c r="B775" s="119"/>
      <c r="C775" s="119"/>
      <c r="D775" s="119"/>
      <c r="E775" s="119"/>
      <c r="F775" s="119"/>
      <c r="G775" s="119"/>
      <c r="H775" s="119"/>
      <c r="I775" s="133"/>
      <c r="J775" s="133"/>
      <c r="K775" s="133"/>
      <c r="L775" s="133"/>
      <c r="M775" s="133"/>
    </row>
    <row r="776">
      <c r="A776" s="119"/>
      <c r="B776" s="119"/>
      <c r="C776" s="119"/>
      <c r="D776" s="119"/>
      <c r="E776" s="119"/>
      <c r="F776" s="119"/>
      <c r="G776" s="119"/>
      <c r="H776" s="119"/>
      <c r="I776" s="120"/>
      <c r="J776" s="120"/>
      <c r="K776" s="120"/>
      <c r="L776" s="120"/>
      <c r="M776" s="120"/>
    </row>
    <row r="777">
      <c r="A777" s="119"/>
      <c r="B777" s="119"/>
      <c r="C777" s="119"/>
      <c r="D777" s="119"/>
      <c r="E777" s="119"/>
      <c r="F777" s="119"/>
      <c r="G777" s="119"/>
      <c r="H777" s="119"/>
      <c r="I777" s="133"/>
      <c r="J777" s="133"/>
      <c r="K777" s="133"/>
      <c r="L777" s="133"/>
      <c r="M777" s="133"/>
    </row>
    <row r="778">
      <c r="A778" s="119"/>
      <c r="B778" s="119"/>
      <c r="C778" s="119"/>
      <c r="D778" s="119"/>
      <c r="E778" s="119"/>
      <c r="F778" s="119"/>
      <c r="G778" s="119"/>
      <c r="H778" s="119"/>
      <c r="I778" s="120"/>
      <c r="J778" s="120"/>
      <c r="K778" s="120"/>
      <c r="L778" s="120"/>
      <c r="M778" s="120"/>
    </row>
    <row r="779">
      <c r="A779" s="119"/>
      <c r="B779" s="119"/>
      <c r="C779" s="119"/>
      <c r="D779" s="119"/>
      <c r="E779" s="119"/>
      <c r="F779" s="119"/>
      <c r="G779" s="119"/>
      <c r="H779" s="119"/>
      <c r="I779" s="133"/>
      <c r="J779" s="133"/>
      <c r="K779" s="133"/>
      <c r="L779" s="133"/>
      <c r="M779" s="133"/>
    </row>
    <row r="780">
      <c r="A780" s="119"/>
      <c r="B780" s="119"/>
      <c r="C780" s="119"/>
      <c r="D780" s="119"/>
      <c r="E780" s="119"/>
      <c r="F780" s="119"/>
      <c r="G780" s="119"/>
      <c r="H780" s="119"/>
      <c r="I780" s="120"/>
      <c r="J780" s="120"/>
      <c r="K780" s="120"/>
      <c r="L780" s="120"/>
      <c r="M780" s="120"/>
    </row>
    <row r="781">
      <c r="A781" s="119"/>
      <c r="B781" s="119"/>
      <c r="C781" s="119"/>
      <c r="D781" s="119"/>
      <c r="E781" s="119"/>
      <c r="F781" s="119"/>
      <c r="G781" s="119"/>
      <c r="H781" s="119"/>
      <c r="I781" s="133"/>
      <c r="J781" s="133"/>
      <c r="K781" s="133"/>
      <c r="L781" s="133"/>
      <c r="M781" s="133"/>
    </row>
    <row r="782">
      <c r="A782" s="119"/>
      <c r="B782" s="119"/>
      <c r="C782" s="119"/>
      <c r="D782" s="119"/>
      <c r="E782" s="119"/>
      <c r="F782" s="119"/>
      <c r="G782" s="119"/>
      <c r="H782" s="119"/>
      <c r="I782" s="120"/>
      <c r="J782" s="120"/>
      <c r="K782" s="120"/>
      <c r="L782" s="120"/>
      <c r="M782" s="120"/>
    </row>
    <row r="783">
      <c r="A783" s="119"/>
      <c r="B783" s="119"/>
      <c r="C783" s="119"/>
      <c r="D783" s="119"/>
      <c r="E783" s="119"/>
      <c r="F783" s="119"/>
      <c r="G783" s="119"/>
      <c r="H783" s="119"/>
      <c r="I783" s="133"/>
      <c r="J783" s="133"/>
      <c r="K783" s="133"/>
      <c r="L783" s="133"/>
      <c r="M783" s="133"/>
    </row>
    <row r="784">
      <c r="A784" s="119"/>
      <c r="B784" s="119"/>
      <c r="C784" s="119"/>
      <c r="D784" s="119"/>
      <c r="E784" s="119"/>
      <c r="F784" s="119"/>
      <c r="G784" s="119"/>
      <c r="H784" s="119"/>
      <c r="I784" s="120"/>
      <c r="J784" s="120"/>
      <c r="K784" s="120"/>
      <c r="L784" s="120"/>
      <c r="M784" s="120"/>
    </row>
    <row r="785">
      <c r="A785" s="119"/>
      <c r="B785" s="119"/>
      <c r="C785" s="119"/>
      <c r="D785" s="119"/>
      <c r="E785" s="119"/>
      <c r="F785" s="119"/>
      <c r="G785" s="119"/>
      <c r="H785" s="119"/>
      <c r="I785" s="133"/>
      <c r="J785" s="133"/>
      <c r="K785" s="133"/>
      <c r="L785" s="133"/>
      <c r="M785" s="133"/>
    </row>
    <row r="786">
      <c r="A786" s="119"/>
      <c r="B786" s="119"/>
      <c r="C786" s="119"/>
      <c r="D786" s="119"/>
      <c r="E786" s="119"/>
      <c r="F786" s="119"/>
      <c r="G786" s="119"/>
      <c r="H786" s="119"/>
      <c r="I786" s="120"/>
      <c r="J786" s="120"/>
      <c r="K786" s="120"/>
      <c r="L786" s="120"/>
      <c r="M786" s="120"/>
    </row>
    <row r="787">
      <c r="A787" s="119"/>
      <c r="B787" s="119"/>
      <c r="C787" s="119"/>
      <c r="D787" s="119"/>
      <c r="E787" s="119"/>
      <c r="F787" s="119"/>
      <c r="G787" s="119"/>
      <c r="H787" s="119"/>
      <c r="I787" s="133"/>
      <c r="J787" s="133"/>
      <c r="K787" s="133"/>
      <c r="L787" s="133"/>
      <c r="M787" s="133"/>
    </row>
    <row r="788">
      <c r="A788" s="119"/>
      <c r="B788" s="119"/>
      <c r="C788" s="119"/>
      <c r="D788" s="119"/>
      <c r="E788" s="119"/>
      <c r="F788" s="119"/>
      <c r="G788" s="119"/>
      <c r="H788" s="119"/>
      <c r="I788" s="120"/>
      <c r="J788" s="120"/>
      <c r="K788" s="120"/>
      <c r="L788" s="120"/>
      <c r="M788" s="120"/>
    </row>
    <row r="789">
      <c r="A789" s="119"/>
      <c r="B789" s="119"/>
      <c r="C789" s="119"/>
      <c r="D789" s="119"/>
      <c r="E789" s="119"/>
      <c r="F789" s="119"/>
      <c r="G789" s="119"/>
      <c r="H789" s="119"/>
      <c r="I789" s="133"/>
      <c r="J789" s="133"/>
      <c r="K789" s="133"/>
      <c r="L789" s="133"/>
      <c r="M789" s="133"/>
    </row>
    <row r="790">
      <c r="A790" s="119"/>
      <c r="B790" s="119"/>
      <c r="C790" s="119"/>
      <c r="D790" s="119"/>
      <c r="E790" s="119"/>
      <c r="F790" s="119"/>
      <c r="G790" s="119"/>
      <c r="H790" s="119"/>
      <c r="I790" s="120"/>
      <c r="J790" s="120"/>
      <c r="K790" s="120"/>
      <c r="L790" s="120"/>
      <c r="M790" s="120"/>
    </row>
    <row r="791">
      <c r="A791" s="119"/>
      <c r="B791" s="119"/>
      <c r="C791" s="119"/>
      <c r="D791" s="119"/>
      <c r="E791" s="119"/>
      <c r="F791" s="119"/>
      <c r="G791" s="119"/>
      <c r="H791" s="119"/>
      <c r="I791" s="133"/>
      <c r="J791" s="133"/>
      <c r="K791" s="133"/>
      <c r="L791" s="133"/>
      <c r="M791" s="133"/>
    </row>
    <row r="792">
      <c r="A792" s="119"/>
      <c r="B792" s="119"/>
      <c r="C792" s="119"/>
      <c r="D792" s="119"/>
      <c r="E792" s="119"/>
      <c r="F792" s="119"/>
      <c r="G792" s="119"/>
      <c r="H792" s="119"/>
      <c r="I792" s="120"/>
      <c r="J792" s="120"/>
      <c r="K792" s="120"/>
      <c r="L792" s="120"/>
      <c r="M792" s="120"/>
    </row>
    <row r="793">
      <c r="A793" s="119"/>
      <c r="B793" s="119"/>
      <c r="C793" s="119"/>
      <c r="D793" s="119"/>
      <c r="E793" s="119"/>
      <c r="F793" s="119"/>
      <c r="G793" s="119"/>
      <c r="H793" s="119"/>
      <c r="I793" s="133"/>
      <c r="J793" s="133"/>
      <c r="K793" s="133"/>
      <c r="L793" s="133"/>
      <c r="M793" s="133"/>
    </row>
    <row r="794">
      <c r="A794" s="119"/>
      <c r="B794" s="119"/>
      <c r="C794" s="119"/>
      <c r="D794" s="119"/>
      <c r="E794" s="119"/>
      <c r="F794" s="119"/>
      <c r="G794" s="119"/>
      <c r="H794" s="119"/>
      <c r="I794" s="120"/>
      <c r="J794" s="120"/>
      <c r="K794" s="120"/>
      <c r="L794" s="120"/>
      <c r="M794" s="120"/>
    </row>
    <row r="795">
      <c r="A795" s="119"/>
      <c r="B795" s="119"/>
      <c r="C795" s="119"/>
      <c r="D795" s="119"/>
      <c r="E795" s="119"/>
      <c r="F795" s="119"/>
      <c r="G795" s="119"/>
      <c r="H795" s="119"/>
      <c r="I795" s="133"/>
      <c r="J795" s="133"/>
      <c r="K795" s="133"/>
      <c r="L795" s="133"/>
      <c r="M795" s="133"/>
    </row>
    <row r="796">
      <c r="A796" s="119"/>
      <c r="B796" s="119"/>
      <c r="C796" s="119"/>
      <c r="D796" s="119"/>
      <c r="E796" s="119"/>
      <c r="F796" s="119"/>
      <c r="G796" s="119"/>
      <c r="H796" s="119"/>
      <c r="I796" s="120"/>
      <c r="J796" s="120"/>
      <c r="K796" s="120"/>
      <c r="L796" s="120"/>
      <c r="M796" s="120"/>
    </row>
    <row r="797">
      <c r="A797" s="119"/>
      <c r="B797" s="119"/>
      <c r="C797" s="119"/>
      <c r="D797" s="119"/>
      <c r="E797" s="119"/>
      <c r="F797" s="119"/>
      <c r="G797" s="119"/>
      <c r="H797" s="119"/>
      <c r="I797" s="133"/>
      <c r="J797" s="133"/>
      <c r="K797" s="133"/>
      <c r="L797" s="133"/>
      <c r="M797" s="133"/>
    </row>
    <row r="798">
      <c r="A798" s="119"/>
      <c r="B798" s="119"/>
      <c r="C798" s="119"/>
      <c r="D798" s="119"/>
      <c r="E798" s="119"/>
      <c r="F798" s="119"/>
      <c r="G798" s="119"/>
      <c r="H798" s="119"/>
      <c r="I798" s="120"/>
      <c r="J798" s="120"/>
      <c r="K798" s="120"/>
      <c r="L798" s="120"/>
      <c r="M798" s="120"/>
    </row>
    <row r="799">
      <c r="A799" s="119"/>
      <c r="B799" s="119"/>
      <c r="C799" s="119"/>
      <c r="D799" s="119"/>
      <c r="E799" s="119"/>
      <c r="F799" s="119"/>
      <c r="G799" s="119"/>
      <c r="H799" s="119"/>
      <c r="I799" s="133"/>
      <c r="J799" s="133"/>
      <c r="K799" s="133"/>
      <c r="L799" s="133"/>
      <c r="M799" s="133"/>
    </row>
    <row r="800">
      <c r="A800" s="119"/>
      <c r="B800" s="119"/>
      <c r="C800" s="119"/>
      <c r="D800" s="119"/>
      <c r="E800" s="119"/>
      <c r="F800" s="119"/>
      <c r="G800" s="119"/>
      <c r="H800" s="119"/>
      <c r="I800" s="120"/>
      <c r="J800" s="120"/>
      <c r="K800" s="120"/>
      <c r="L800" s="120"/>
      <c r="M800" s="120"/>
    </row>
    <row r="801">
      <c r="A801" s="119"/>
      <c r="B801" s="119"/>
      <c r="C801" s="119"/>
      <c r="D801" s="119"/>
      <c r="E801" s="119"/>
      <c r="F801" s="119"/>
      <c r="G801" s="119"/>
      <c r="H801" s="119"/>
      <c r="I801" s="133"/>
      <c r="J801" s="133"/>
      <c r="K801" s="133"/>
      <c r="L801" s="133"/>
      <c r="M801" s="133"/>
    </row>
    <row r="802">
      <c r="A802" s="119"/>
      <c r="B802" s="119"/>
      <c r="C802" s="119"/>
      <c r="D802" s="119"/>
      <c r="E802" s="119"/>
      <c r="F802" s="119"/>
      <c r="G802" s="119"/>
      <c r="H802" s="119"/>
      <c r="I802" s="120"/>
      <c r="J802" s="120"/>
      <c r="K802" s="120"/>
      <c r="L802" s="120"/>
      <c r="M802" s="120"/>
    </row>
    <row r="803">
      <c r="A803" s="119"/>
      <c r="B803" s="119"/>
      <c r="C803" s="119"/>
      <c r="D803" s="119"/>
      <c r="E803" s="119"/>
      <c r="F803" s="119"/>
      <c r="G803" s="119"/>
      <c r="H803" s="119"/>
      <c r="I803" s="133"/>
      <c r="J803" s="133"/>
      <c r="K803" s="133"/>
      <c r="L803" s="133"/>
      <c r="M803" s="133"/>
    </row>
    <row r="804">
      <c r="A804" s="119"/>
      <c r="B804" s="119"/>
      <c r="C804" s="119"/>
      <c r="D804" s="119"/>
      <c r="E804" s="119"/>
      <c r="F804" s="119"/>
      <c r="G804" s="119"/>
      <c r="H804" s="119"/>
      <c r="I804" s="120"/>
      <c r="J804" s="120"/>
      <c r="K804" s="120"/>
      <c r="L804" s="120"/>
      <c r="M804" s="120"/>
    </row>
    <row r="805">
      <c r="A805" s="119"/>
      <c r="B805" s="119"/>
      <c r="C805" s="119"/>
      <c r="D805" s="119"/>
      <c r="E805" s="119"/>
      <c r="F805" s="119"/>
      <c r="G805" s="119"/>
      <c r="H805" s="119"/>
      <c r="I805" s="133"/>
      <c r="J805" s="133"/>
      <c r="K805" s="133"/>
      <c r="L805" s="133"/>
      <c r="M805" s="133"/>
    </row>
    <row r="806">
      <c r="A806" s="119"/>
      <c r="B806" s="119"/>
      <c r="C806" s="119"/>
      <c r="D806" s="119"/>
      <c r="E806" s="119"/>
      <c r="F806" s="119"/>
      <c r="G806" s="119"/>
      <c r="H806" s="119"/>
      <c r="I806" s="120"/>
      <c r="J806" s="120"/>
      <c r="K806" s="120"/>
      <c r="L806" s="120"/>
      <c r="M806" s="120"/>
    </row>
    <row r="807">
      <c r="A807" s="119"/>
      <c r="B807" s="119"/>
      <c r="C807" s="119"/>
      <c r="D807" s="119"/>
      <c r="E807" s="119"/>
      <c r="F807" s="119"/>
      <c r="G807" s="119"/>
      <c r="H807" s="119"/>
      <c r="I807" s="133"/>
      <c r="J807" s="133"/>
      <c r="K807" s="133"/>
      <c r="L807" s="133"/>
      <c r="M807" s="133"/>
    </row>
    <row r="808">
      <c r="A808" s="119"/>
      <c r="B808" s="119"/>
      <c r="C808" s="119"/>
      <c r="D808" s="119"/>
      <c r="E808" s="119"/>
      <c r="F808" s="119"/>
      <c r="G808" s="119"/>
      <c r="H808" s="119"/>
      <c r="I808" s="120"/>
      <c r="J808" s="120"/>
      <c r="K808" s="120"/>
      <c r="L808" s="120"/>
      <c r="M808" s="120"/>
    </row>
    <row r="809">
      <c r="A809" s="119"/>
      <c r="B809" s="119"/>
      <c r="C809" s="119"/>
      <c r="D809" s="119"/>
      <c r="E809" s="119"/>
      <c r="F809" s="119"/>
      <c r="G809" s="119"/>
      <c r="H809" s="119"/>
      <c r="I809" s="133"/>
      <c r="J809" s="133"/>
      <c r="K809" s="133"/>
      <c r="L809" s="133"/>
      <c r="M809" s="133"/>
    </row>
    <row r="810">
      <c r="A810" s="119"/>
      <c r="B810" s="119"/>
      <c r="C810" s="119"/>
      <c r="D810" s="119"/>
      <c r="E810" s="119"/>
      <c r="F810" s="119"/>
      <c r="G810" s="119"/>
      <c r="H810" s="119"/>
      <c r="I810" s="120"/>
      <c r="J810" s="120"/>
      <c r="K810" s="120"/>
      <c r="L810" s="120"/>
      <c r="M810" s="120"/>
    </row>
    <row r="811">
      <c r="A811" s="119"/>
      <c r="B811" s="119"/>
      <c r="C811" s="119"/>
      <c r="D811" s="119"/>
      <c r="E811" s="119"/>
      <c r="F811" s="119"/>
      <c r="G811" s="119"/>
      <c r="H811" s="119"/>
      <c r="I811" s="133"/>
      <c r="J811" s="133"/>
      <c r="K811" s="133"/>
      <c r="L811" s="133"/>
      <c r="M811" s="133"/>
    </row>
    <row r="812">
      <c r="A812" s="119"/>
      <c r="B812" s="119"/>
      <c r="C812" s="119"/>
      <c r="D812" s="119"/>
      <c r="E812" s="119"/>
      <c r="F812" s="119"/>
      <c r="G812" s="119"/>
      <c r="H812" s="119"/>
      <c r="I812" s="120"/>
      <c r="J812" s="120"/>
      <c r="K812" s="120"/>
      <c r="L812" s="120"/>
      <c r="M812" s="120"/>
    </row>
    <row r="813">
      <c r="A813" s="119"/>
      <c r="B813" s="119"/>
      <c r="C813" s="119"/>
      <c r="D813" s="119"/>
      <c r="E813" s="119"/>
      <c r="F813" s="119"/>
      <c r="G813" s="119"/>
      <c r="H813" s="119"/>
      <c r="I813" s="133"/>
      <c r="J813" s="133"/>
      <c r="K813" s="133"/>
      <c r="L813" s="133"/>
      <c r="M813" s="133"/>
    </row>
    <row r="814">
      <c r="A814" s="119"/>
      <c r="B814" s="119"/>
      <c r="C814" s="119"/>
      <c r="D814" s="119"/>
      <c r="E814" s="119"/>
      <c r="F814" s="119"/>
      <c r="G814" s="119"/>
      <c r="H814" s="119"/>
      <c r="I814" s="120"/>
      <c r="J814" s="120"/>
      <c r="K814" s="120"/>
      <c r="L814" s="120"/>
      <c r="M814" s="120"/>
    </row>
    <row r="815">
      <c r="A815" s="119"/>
      <c r="B815" s="119"/>
      <c r="C815" s="119"/>
      <c r="D815" s="119"/>
      <c r="E815" s="119"/>
      <c r="F815" s="119"/>
      <c r="G815" s="119"/>
      <c r="H815" s="119"/>
      <c r="I815" s="133"/>
      <c r="J815" s="133"/>
      <c r="K815" s="133"/>
      <c r="L815" s="133"/>
      <c r="M815" s="133"/>
    </row>
    <row r="816">
      <c r="A816" s="119"/>
      <c r="B816" s="119"/>
      <c r="C816" s="119"/>
      <c r="D816" s="119"/>
      <c r="E816" s="119"/>
      <c r="F816" s="119"/>
      <c r="G816" s="119"/>
      <c r="H816" s="119"/>
      <c r="I816" s="120"/>
      <c r="J816" s="120"/>
      <c r="K816" s="120"/>
      <c r="L816" s="120"/>
      <c r="M816" s="120"/>
    </row>
    <row r="817">
      <c r="A817" s="119"/>
      <c r="B817" s="119"/>
      <c r="C817" s="119"/>
      <c r="D817" s="119"/>
      <c r="E817" s="119"/>
      <c r="F817" s="119"/>
      <c r="G817" s="119"/>
      <c r="H817" s="119"/>
      <c r="I817" s="133"/>
      <c r="J817" s="133"/>
      <c r="K817" s="133"/>
      <c r="L817" s="133"/>
      <c r="M817" s="133"/>
    </row>
    <row r="818">
      <c r="A818" s="119"/>
      <c r="B818" s="119"/>
      <c r="C818" s="119"/>
      <c r="D818" s="119"/>
      <c r="E818" s="119"/>
      <c r="F818" s="119"/>
      <c r="G818" s="119"/>
      <c r="H818" s="119"/>
      <c r="I818" s="120"/>
      <c r="J818" s="120"/>
      <c r="K818" s="120"/>
      <c r="L818" s="120"/>
      <c r="M818" s="120"/>
    </row>
    <row r="819">
      <c r="A819" s="119"/>
      <c r="B819" s="119"/>
      <c r="C819" s="119"/>
      <c r="D819" s="119"/>
      <c r="E819" s="119"/>
      <c r="F819" s="119"/>
      <c r="G819" s="119"/>
      <c r="H819" s="119"/>
      <c r="I819" s="133"/>
      <c r="J819" s="133"/>
      <c r="K819" s="133"/>
      <c r="L819" s="133"/>
      <c r="M819" s="133"/>
    </row>
    <row r="820">
      <c r="A820" s="119"/>
      <c r="B820" s="119"/>
      <c r="C820" s="119"/>
      <c r="D820" s="119"/>
      <c r="E820" s="119"/>
      <c r="F820" s="119"/>
      <c r="G820" s="119"/>
      <c r="H820" s="119"/>
      <c r="I820" s="120"/>
      <c r="J820" s="120"/>
      <c r="K820" s="120"/>
      <c r="L820" s="120"/>
      <c r="M820" s="120"/>
    </row>
    <row r="821">
      <c r="A821" s="119"/>
      <c r="B821" s="119"/>
      <c r="C821" s="119"/>
      <c r="D821" s="119"/>
      <c r="E821" s="119"/>
      <c r="F821" s="119"/>
      <c r="G821" s="119"/>
      <c r="H821" s="119"/>
      <c r="I821" s="133"/>
      <c r="J821" s="133"/>
      <c r="K821" s="133"/>
      <c r="L821" s="133"/>
      <c r="M821" s="133"/>
    </row>
    <row r="822">
      <c r="A822" s="119"/>
      <c r="B822" s="119"/>
      <c r="C822" s="119"/>
      <c r="D822" s="119"/>
      <c r="E822" s="119"/>
      <c r="F822" s="119"/>
      <c r="G822" s="119"/>
      <c r="H822" s="119"/>
      <c r="I822" s="120"/>
      <c r="J822" s="120"/>
      <c r="K822" s="120"/>
      <c r="L822" s="120"/>
      <c r="M822" s="120"/>
    </row>
    <row r="823">
      <c r="A823" s="119"/>
      <c r="B823" s="119"/>
      <c r="C823" s="119"/>
      <c r="D823" s="119"/>
      <c r="E823" s="119"/>
      <c r="F823" s="119"/>
      <c r="G823" s="119"/>
      <c r="H823" s="119"/>
      <c r="I823" s="133"/>
      <c r="J823" s="133"/>
      <c r="K823" s="133"/>
      <c r="L823" s="133"/>
      <c r="M823" s="133"/>
    </row>
    <row r="824">
      <c r="A824" s="119"/>
      <c r="B824" s="119"/>
      <c r="C824" s="119"/>
      <c r="D824" s="119"/>
      <c r="E824" s="119"/>
      <c r="F824" s="119"/>
      <c r="G824" s="119"/>
      <c r="H824" s="119"/>
      <c r="I824" s="120"/>
      <c r="J824" s="120"/>
      <c r="K824" s="120"/>
      <c r="L824" s="120"/>
      <c r="M824" s="120"/>
    </row>
    <row r="825">
      <c r="A825" s="119"/>
      <c r="B825" s="119"/>
      <c r="C825" s="119"/>
      <c r="D825" s="119"/>
      <c r="E825" s="119"/>
      <c r="F825" s="119"/>
      <c r="G825" s="119"/>
      <c r="H825" s="119"/>
      <c r="I825" s="133"/>
      <c r="J825" s="133"/>
      <c r="K825" s="133"/>
      <c r="L825" s="133"/>
      <c r="M825" s="133"/>
    </row>
    <row r="826">
      <c r="A826" s="119"/>
      <c r="B826" s="119"/>
      <c r="C826" s="119"/>
      <c r="D826" s="119"/>
      <c r="E826" s="119"/>
      <c r="F826" s="119"/>
      <c r="G826" s="119"/>
      <c r="H826" s="119"/>
      <c r="I826" s="120"/>
      <c r="J826" s="120"/>
      <c r="K826" s="120"/>
      <c r="L826" s="120"/>
      <c r="M826" s="120"/>
    </row>
    <row r="827">
      <c r="A827" s="119"/>
      <c r="B827" s="119"/>
      <c r="C827" s="119"/>
      <c r="D827" s="119"/>
      <c r="E827" s="119"/>
      <c r="F827" s="119"/>
      <c r="G827" s="119"/>
      <c r="H827" s="119"/>
      <c r="I827" s="133"/>
      <c r="J827" s="133"/>
      <c r="K827" s="133"/>
      <c r="L827" s="133"/>
      <c r="M827" s="133"/>
    </row>
    <row r="828">
      <c r="A828" s="119"/>
      <c r="B828" s="119"/>
      <c r="C828" s="119"/>
      <c r="D828" s="119"/>
      <c r="E828" s="119"/>
      <c r="F828" s="119"/>
      <c r="G828" s="119"/>
      <c r="H828" s="119"/>
      <c r="I828" s="120"/>
      <c r="J828" s="120"/>
      <c r="K828" s="120"/>
      <c r="L828" s="120"/>
      <c r="M828" s="120"/>
    </row>
    <row r="829">
      <c r="A829" s="119"/>
      <c r="B829" s="119"/>
      <c r="C829" s="119"/>
      <c r="D829" s="119"/>
      <c r="E829" s="119"/>
      <c r="F829" s="119"/>
      <c r="G829" s="119"/>
      <c r="H829" s="119"/>
      <c r="I829" s="133"/>
      <c r="J829" s="133"/>
      <c r="K829" s="133"/>
      <c r="L829" s="133"/>
      <c r="M829" s="133"/>
    </row>
    <row r="830">
      <c r="A830" s="119"/>
      <c r="B830" s="119"/>
      <c r="C830" s="119"/>
      <c r="D830" s="119"/>
      <c r="E830" s="119"/>
      <c r="F830" s="119"/>
      <c r="G830" s="119"/>
      <c r="H830" s="119"/>
      <c r="I830" s="120"/>
      <c r="J830" s="120"/>
      <c r="K830" s="120"/>
      <c r="L830" s="120"/>
      <c r="M830" s="120"/>
    </row>
    <row r="831">
      <c r="A831" s="119"/>
      <c r="B831" s="119"/>
      <c r="C831" s="119"/>
      <c r="D831" s="119"/>
      <c r="E831" s="119"/>
      <c r="F831" s="119"/>
      <c r="G831" s="119"/>
      <c r="H831" s="119"/>
      <c r="I831" s="133"/>
      <c r="J831" s="133"/>
      <c r="K831" s="133"/>
      <c r="L831" s="133"/>
      <c r="M831" s="133"/>
    </row>
    <row r="832">
      <c r="A832" s="119"/>
      <c r="B832" s="119"/>
      <c r="C832" s="119"/>
      <c r="D832" s="119"/>
      <c r="E832" s="119"/>
      <c r="F832" s="119"/>
      <c r="G832" s="119"/>
      <c r="H832" s="119"/>
      <c r="I832" s="120"/>
      <c r="J832" s="120"/>
      <c r="K832" s="120"/>
      <c r="L832" s="120"/>
      <c r="M832" s="120"/>
    </row>
    <row r="833">
      <c r="A833" s="119"/>
      <c r="B833" s="119"/>
      <c r="C833" s="119"/>
      <c r="D833" s="119"/>
      <c r="E833" s="119"/>
      <c r="F833" s="119"/>
      <c r="G833" s="119"/>
      <c r="H833" s="119"/>
      <c r="I833" s="133"/>
      <c r="J833" s="133"/>
      <c r="K833" s="133"/>
      <c r="L833" s="133"/>
      <c r="M833" s="133"/>
    </row>
    <row r="834">
      <c r="A834" s="119"/>
      <c r="B834" s="119"/>
      <c r="C834" s="119"/>
      <c r="D834" s="119"/>
      <c r="E834" s="119"/>
      <c r="F834" s="119"/>
      <c r="G834" s="119"/>
      <c r="H834" s="119"/>
      <c r="I834" s="120"/>
      <c r="J834" s="120"/>
      <c r="K834" s="120"/>
      <c r="L834" s="120"/>
      <c r="M834" s="120"/>
    </row>
    <row r="835">
      <c r="A835" s="119"/>
      <c r="B835" s="119"/>
      <c r="C835" s="119"/>
      <c r="D835" s="119"/>
      <c r="E835" s="119"/>
      <c r="F835" s="119"/>
      <c r="G835" s="119"/>
      <c r="H835" s="119"/>
      <c r="I835" s="133"/>
      <c r="J835" s="133"/>
      <c r="K835" s="133"/>
      <c r="L835" s="133"/>
      <c r="M835" s="133"/>
    </row>
    <row r="836">
      <c r="A836" s="119"/>
      <c r="B836" s="119"/>
      <c r="C836" s="119"/>
      <c r="D836" s="119"/>
      <c r="E836" s="119"/>
      <c r="F836" s="119"/>
      <c r="G836" s="119"/>
      <c r="H836" s="119"/>
      <c r="I836" s="120"/>
      <c r="J836" s="120"/>
      <c r="K836" s="120"/>
      <c r="L836" s="120"/>
      <c r="M836" s="120"/>
    </row>
    <row r="837">
      <c r="A837" s="119"/>
      <c r="B837" s="119"/>
      <c r="C837" s="119"/>
      <c r="D837" s="119"/>
      <c r="E837" s="119"/>
      <c r="F837" s="119"/>
      <c r="G837" s="119"/>
      <c r="H837" s="119"/>
      <c r="I837" s="133"/>
      <c r="J837" s="133"/>
      <c r="K837" s="133"/>
      <c r="L837" s="133"/>
      <c r="M837" s="133"/>
    </row>
    <row r="838">
      <c r="A838" s="119"/>
      <c r="B838" s="119"/>
      <c r="C838" s="119"/>
      <c r="D838" s="119"/>
      <c r="E838" s="119"/>
      <c r="F838" s="119"/>
      <c r="G838" s="119"/>
      <c r="H838" s="119"/>
      <c r="I838" s="120"/>
      <c r="J838" s="120"/>
      <c r="K838" s="120"/>
      <c r="L838" s="120"/>
      <c r="M838" s="120"/>
    </row>
    <row r="839">
      <c r="A839" s="119"/>
      <c r="B839" s="119"/>
      <c r="C839" s="119"/>
      <c r="D839" s="119"/>
      <c r="E839" s="119"/>
      <c r="F839" s="119"/>
      <c r="G839" s="119"/>
      <c r="H839" s="119"/>
      <c r="I839" s="133"/>
      <c r="J839" s="133"/>
      <c r="K839" s="133"/>
      <c r="L839" s="133"/>
      <c r="M839" s="133"/>
    </row>
    <row r="840">
      <c r="A840" s="119"/>
      <c r="B840" s="119"/>
      <c r="C840" s="119"/>
      <c r="D840" s="119"/>
      <c r="E840" s="119"/>
      <c r="F840" s="119"/>
      <c r="G840" s="119"/>
      <c r="H840" s="119"/>
      <c r="I840" s="120"/>
      <c r="J840" s="120"/>
      <c r="K840" s="120"/>
      <c r="L840" s="120"/>
      <c r="M840" s="120"/>
    </row>
    <row r="841">
      <c r="A841" s="119"/>
      <c r="B841" s="119"/>
      <c r="C841" s="119"/>
      <c r="D841" s="119"/>
      <c r="E841" s="119"/>
      <c r="F841" s="119"/>
      <c r="G841" s="119"/>
      <c r="H841" s="119"/>
      <c r="I841" s="133"/>
      <c r="J841" s="133"/>
      <c r="K841" s="133"/>
      <c r="L841" s="133"/>
      <c r="M841" s="133"/>
    </row>
    <row r="842">
      <c r="A842" s="119"/>
      <c r="B842" s="119"/>
      <c r="C842" s="119"/>
      <c r="D842" s="119"/>
      <c r="E842" s="119"/>
      <c r="F842" s="119"/>
      <c r="G842" s="119"/>
      <c r="H842" s="119"/>
      <c r="I842" s="120"/>
      <c r="J842" s="120"/>
      <c r="K842" s="120"/>
      <c r="L842" s="120"/>
      <c r="M842" s="120"/>
    </row>
    <row r="843">
      <c r="A843" s="119"/>
      <c r="B843" s="119"/>
      <c r="C843" s="119"/>
      <c r="D843" s="119"/>
      <c r="E843" s="119"/>
      <c r="F843" s="119"/>
      <c r="G843" s="119"/>
      <c r="H843" s="119"/>
      <c r="I843" s="133"/>
      <c r="J843" s="133"/>
      <c r="K843" s="133"/>
      <c r="L843" s="133"/>
      <c r="M843" s="133"/>
    </row>
    <row r="844">
      <c r="A844" s="119"/>
      <c r="B844" s="119"/>
      <c r="C844" s="119"/>
      <c r="D844" s="119"/>
      <c r="E844" s="119"/>
      <c r="F844" s="119"/>
      <c r="G844" s="119"/>
      <c r="H844" s="119"/>
      <c r="I844" s="120"/>
      <c r="J844" s="120"/>
      <c r="K844" s="120"/>
      <c r="L844" s="120"/>
      <c r="M844" s="120"/>
    </row>
    <row r="845">
      <c r="A845" s="119"/>
      <c r="B845" s="119"/>
      <c r="C845" s="119"/>
      <c r="D845" s="119"/>
      <c r="E845" s="119"/>
      <c r="F845" s="119"/>
      <c r="G845" s="119"/>
      <c r="H845" s="119"/>
      <c r="I845" s="133"/>
      <c r="J845" s="133"/>
      <c r="K845" s="133"/>
      <c r="L845" s="133"/>
      <c r="M845" s="133"/>
    </row>
    <row r="846">
      <c r="A846" s="119"/>
      <c r="B846" s="119"/>
      <c r="C846" s="119"/>
      <c r="D846" s="119"/>
      <c r="E846" s="119"/>
      <c r="F846" s="119"/>
      <c r="G846" s="119"/>
      <c r="H846" s="119"/>
      <c r="I846" s="120"/>
      <c r="J846" s="120"/>
      <c r="K846" s="120"/>
      <c r="L846" s="120"/>
      <c r="M846" s="120"/>
    </row>
    <row r="847">
      <c r="A847" s="119"/>
      <c r="B847" s="119"/>
      <c r="C847" s="119"/>
      <c r="D847" s="119"/>
      <c r="E847" s="119"/>
      <c r="F847" s="119"/>
      <c r="G847" s="119"/>
      <c r="H847" s="119"/>
      <c r="I847" s="133"/>
      <c r="J847" s="133"/>
      <c r="K847" s="133"/>
      <c r="L847" s="133"/>
      <c r="M847" s="133"/>
    </row>
    <row r="848">
      <c r="A848" s="119"/>
      <c r="B848" s="119"/>
      <c r="C848" s="119"/>
      <c r="D848" s="119"/>
      <c r="E848" s="119"/>
      <c r="F848" s="119"/>
      <c r="G848" s="119"/>
      <c r="H848" s="119"/>
      <c r="I848" s="120"/>
      <c r="J848" s="120"/>
      <c r="K848" s="120"/>
      <c r="L848" s="120"/>
      <c r="M848" s="120"/>
    </row>
    <row r="849">
      <c r="A849" s="119"/>
      <c r="B849" s="119"/>
      <c r="C849" s="119"/>
      <c r="D849" s="119"/>
      <c r="E849" s="119"/>
      <c r="F849" s="119"/>
      <c r="G849" s="119"/>
      <c r="H849" s="119"/>
      <c r="I849" s="133"/>
      <c r="J849" s="133"/>
      <c r="K849" s="133"/>
      <c r="L849" s="133"/>
      <c r="M849" s="133"/>
    </row>
    <row r="850">
      <c r="A850" s="119"/>
      <c r="B850" s="119"/>
      <c r="C850" s="119"/>
      <c r="D850" s="119"/>
      <c r="E850" s="119"/>
      <c r="F850" s="119"/>
      <c r="G850" s="119"/>
      <c r="H850" s="119"/>
      <c r="I850" s="120"/>
      <c r="J850" s="120"/>
      <c r="K850" s="120"/>
      <c r="L850" s="120"/>
      <c r="M850" s="120"/>
    </row>
    <row r="851">
      <c r="A851" s="119"/>
      <c r="B851" s="119"/>
      <c r="C851" s="119"/>
      <c r="D851" s="119"/>
      <c r="E851" s="119"/>
      <c r="F851" s="119"/>
      <c r="G851" s="119"/>
      <c r="H851" s="119"/>
      <c r="I851" s="133"/>
      <c r="J851" s="133"/>
      <c r="K851" s="133"/>
      <c r="L851" s="133"/>
      <c r="M851" s="133"/>
    </row>
    <row r="852">
      <c r="A852" s="119"/>
      <c r="B852" s="119"/>
      <c r="C852" s="119"/>
      <c r="D852" s="119"/>
      <c r="E852" s="119"/>
      <c r="F852" s="119"/>
      <c r="G852" s="119"/>
      <c r="H852" s="119"/>
      <c r="I852" s="120"/>
      <c r="J852" s="120"/>
      <c r="K852" s="120"/>
      <c r="L852" s="120"/>
      <c r="M852" s="120"/>
    </row>
    <row r="853">
      <c r="A853" s="119"/>
      <c r="B853" s="119"/>
      <c r="C853" s="119"/>
      <c r="D853" s="119"/>
      <c r="E853" s="119"/>
      <c r="F853" s="119"/>
      <c r="G853" s="119"/>
      <c r="H853" s="119"/>
      <c r="I853" s="133"/>
      <c r="J853" s="133"/>
      <c r="K853" s="133"/>
      <c r="L853" s="133"/>
      <c r="M853" s="133"/>
    </row>
    <row r="854">
      <c r="A854" s="119"/>
      <c r="B854" s="119"/>
      <c r="C854" s="119"/>
      <c r="D854" s="119"/>
      <c r="E854" s="119"/>
      <c r="F854" s="119"/>
      <c r="G854" s="119"/>
      <c r="H854" s="119"/>
      <c r="I854" s="120"/>
      <c r="J854" s="120"/>
      <c r="K854" s="120"/>
      <c r="L854" s="120"/>
      <c r="M854" s="120"/>
    </row>
    <row r="855">
      <c r="A855" s="119"/>
      <c r="B855" s="119"/>
      <c r="C855" s="119"/>
      <c r="D855" s="119"/>
      <c r="E855" s="119"/>
      <c r="F855" s="119"/>
      <c r="G855" s="119"/>
      <c r="H855" s="119"/>
      <c r="I855" s="133"/>
      <c r="J855" s="133"/>
      <c r="K855" s="133"/>
      <c r="L855" s="133"/>
      <c r="M855" s="133"/>
    </row>
    <row r="856">
      <c r="A856" s="119"/>
      <c r="B856" s="119"/>
      <c r="C856" s="119"/>
      <c r="D856" s="119"/>
      <c r="E856" s="119"/>
      <c r="F856" s="119"/>
      <c r="G856" s="119"/>
      <c r="H856" s="119"/>
      <c r="I856" s="120"/>
      <c r="J856" s="120"/>
      <c r="K856" s="120"/>
      <c r="L856" s="120"/>
      <c r="M856" s="120"/>
    </row>
    <row r="857">
      <c r="A857" s="119"/>
      <c r="B857" s="119"/>
      <c r="C857" s="119"/>
      <c r="D857" s="119"/>
      <c r="E857" s="119"/>
      <c r="F857" s="119"/>
      <c r="G857" s="119"/>
      <c r="H857" s="119"/>
      <c r="I857" s="133"/>
      <c r="J857" s="133"/>
      <c r="K857" s="133"/>
      <c r="L857" s="133"/>
      <c r="M857" s="133"/>
    </row>
    <row r="858">
      <c r="A858" s="119"/>
      <c r="B858" s="119"/>
      <c r="C858" s="119"/>
      <c r="D858" s="119"/>
      <c r="E858" s="119"/>
      <c r="F858" s="119"/>
      <c r="G858" s="119"/>
      <c r="H858" s="119"/>
      <c r="I858" s="120"/>
      <c r="J858" s="120"/>
      <c r="K858" s="120"/>
      <c r="L858" s="120"/>
      <c r="M858" s="120"/>
    </row>
    <row r="859">
      <c r="A859" s="119"/>
      <c r="B859" s="119"/>
      <c r="C859" s="119"/>
      <c r="D859" s="119"/>
      <c r="E859" s="119"/>
      <c r="F859" s="119"/>
      <c r="G859" s="119"/>
      <c r="H859" s="119"/>
      <c r="I859" s="133"/>
      <c r="J859" s="133"/>
      <c r="K859" s="133"/>
      <c r="L859" s="133"/>
      <c r="M859" s="133"/>
    </row>
    <row r="860">
      <c r="A860" s="119"/>
      <c r="B860" s="119"/>
      <c r="C860" s="119"/>
      <c r="D860" s="119"/>
      <c r="E860" s="119"/>
      <c r="F860" s="119"/>
      <c r="G860" s="119"/>
      <c r="H860" s="119"/>
      <c r="I860" s="120"/>
      <c r="J860" s="120"/>
      <c r="K860" s="120"/>
      <c r="L860" s="120"/>
      <c r="M860" s="120"/>
    </row>
    <row r="861">
      <c r="A861" s="119"/>
      <c r="B861" s="119"/>
      <c r="C861" s="119"/>
      <c r="D861" s="119"/>
      <c r="E861" s="119"/>
      <c r="F861" s="119"/>
      <c r="G861" s="119"/>
      <c r="H861" s="119"/>
      <c r="I861" s="133"/>
      <c r="J861" s="133"/>
      <c r="K861" s="133"/>
      <c r="L861" s="133"/>
      <c r="M861" s="133"/>
    </row>
    <row r="862">
      <c r="A862" s="119"/>
      <c r="B862" s="119"/>
      <c r="C862" s="119"/>
      <c r="D862" s="119"/>
      <c r="E862" s="119"/>
      <c r="F862" s="119"/>
      <c r="G862" s="119"/>
      <c r="H862" s="119"/>
      <c r="I862" s="120"/>
      <c r="J862" s="120"/>
      <c r="K862" s="120"/>
      <c r="L862" s="120"/>
      <c r="M862" s="120"/>
    </row>
    <row r="863">
      <c r="A863" s="119"/>
      <c r="B863" s="119"/>
      <c r="C863" s="119"/>
      <c r="D863" s="119"/>
      <c r="E863" s="119"/>
      <c r="F863" s="119"/>
      <c r="G863" s="119"/>
      <c r="H863" s="119"/>
      <c r="I863" s="133"/>
      <c r="J863" s="133"/>
      <c r="K863" s="133"/>
      <c r="L863" s="133"/>
      <c r="M863" s="133"/>
    </row>
    <row r="864">
      <c r="A864" s="119"/>
      <c r="B864" s="119"/>
      <c r="C864" s="119"/>
      <c r="D864" s="119"/>
      <c r="E864" s="119"/>
      <c r="F864" s="119"/>
      <c r="G864" s="119"/>
      <c r="H864" s="119"/>
      <c r="I864" s="120"/>
      <c r="J864" s="120"/>
      <c r="K864" s="120"/>
      <c r="L864" s="120"/>
      <c r="M864" s="120"/>
    </row>
    <row r="865">
      <c r="A865" s="119"/>
      <c r="B865" s="119"/>
      <c r="C865" s="119"/>
      <c r="D865" s="119"/>
      <c r="E865" s="119"/>
      <c r="F865" s="119"/>
      <c r="G865" s="119"/>
      <c r="H865" s="119"/>
      <c r="I865" s="133"/>
      <c r="J865" s="133"/>
      <c r="K865" s="133"/>
      <c r="L865" s="133"/>
      <c r="M865" s="133"/>
    </row>
    <row r="866">
      <c r="A866" s="119"/>
      <c r="B866" s="119"/>
      <c r="C866" s="119"/>
      <c r="D866" s="119"/>
      <c r="E866" s="119"/>
      <c r="F866" s="119"/>
      <c r="G866" s="119"/>
      <c r="H866" s="119"/>
      <c r="I866" s="120"/>
      <c r="J866" s="120"/>
      <c r="K866" s="120"/>
      <c r="L866" s="120"/>
      <c r="M866" s="120"/>
    </row>
    <row r="867">
      <c r="A867" s="119"/>
      <c r="B867" s="119"/>
      <c r="C867" s="119"/>
      <c r="D867" s="119"/>
      <c r="E867" s="119"/>
      <c r="F867" s="119"/>
      <c r="G867" s="119"/>
      <c r="H867" s="119"/>
      <c r="I867" s="133"/>
      <c r="J867" s="133"/>
      <c r="K867" s="133"/>
      <c r="L867" s="133"/>
      <c r="M867" s="133"/>
    </row>
    <row r="868">
      <c r="A868" s="119"/>
      <c r="B868" s="119"/>
      <c r="C868" s="119"/>
      <c r="D868" s="119"/>
      <c r="E868" s="119"/>
      <c r="F868" s="119"/>
      <c r="G868" s="119"/>
      <c r="H868" s="119"/>
      <c r="I868" s="120"/>
      <c r="J868" s="120"/>
      <c r="K868" s="120"/>
      <c r="L868" s="120"/>
      <c r="M868" s="120"/>
    </row>
    <row r="869">
      <c r="A869" s="119"/>
      <c r="B869" s="119"/>
      <c r="C869" s="119"/>
      <c r="D869" s="119"/>
      <c r="E869" s="119"/>
      <c r="F869" s="119"/>
      <c r="G869" s="119"/>
      <c r="H869" s="119"/>
      <c r="I869" s="133"/>
      <c r="J869" s="133"/>
      <c r="K869" s="133"/>
      <c r="L869" s="133"/>
      <c r="M869" s="133"/>
    </row>
    <row r="870">
      <c r="A870" s="119"/>
      <c r="B870" s="119"/>
      <c r="C870" s="119"/>
      <c r="D870" s="119"/>
      <c r="E870" s="119"/>
      <c r="F870" s="119"/>
      <c r="G870" s="119"/>
      <c r="H870" s="119"/>
      <c r="I870" s="120"/>
      <c r="J870" s="120"/>
      <c r="K870" s="120"/>
      <c r="L870" s="120"/>
      <c r="M870" s="120"/>
    </row>
    <row r="871">
      <c r="A871" s="119"/>
      <c r="B871" s="119"/>
      <c r="C871" s="119"/>
      <c r="D871" s="119"/>
      <c r="E871" s="119"/>
      <c r="F871" s="119"/>
      <c r="G871" s="119"/>
      <c r="H871" s="119"/>
      <c r="I871" s="133"/>
      <c r="J871" s="133"/>
      <c r="K871" s="133"/>
      <c r="L871" s="133"/>
      <c r="M871" s="133"/>
    </row>
    <row r="872">
      <c r="A872" s="119"/>
      <c r="B872" s="119"/>
      <c r="C872" s="119"/>
      <c r="D872" s="119"/>
      <c r="E872" s="119"/>
      <c r="F872" s="119"/>
      <c r="G872" s="119"/>
      <c r="H872" s="119"/>
      <c r="I872" s="120"/>
      <c r="J872" s="120"/>
      <c r="K872" s="120"/>
      <c r="L872" s="120"/>
      <c r="M872" s="120"/>
    </row>
    <row r="873">
      <c r="A873" s="119"/>
      <c r="B873" s="119"/>
      <c r="C873" s="119"/>
      <c r="D873" s="119"/>
      <c r="E873" s="119"/>
      <c r="F873" s="119"/>
      <c r="G873" s="119"/>
      <c r="H873" s="119"/>
      <c r="I873" s="133"/>
      <c r="J873" s="133"/>
      <c r="K873" s="133"/>
      <c r="L873" s="133"/>
      <c r="M873" s="133"/>
    </row>
    <row r="874">
      <c r="A874" s="119"/>
      <c r="B874" s="119"/>
      <c r="C874" s="119"/>
      <c r="D874" s="119"/>
      <c r="E874" s="119"/>
      <c r="F874" s="119"/>
      <c r="G874" s="119"/>
      <c r="H874" s="119"/>
      <c r="I874" s="120"/>
      <c r="J874" s="120"/>
      <c r="K874" s="120"/>
      <c r="L874" s="120"/>
      <c r="M874" s="120"/>
    </row>
    <row r="875">
      <c r="A875" s="119"/>
      <c r="B875" s="119"/>
      <c r="C875" s="119"/>
      <c r="D875" s="119"/>
      <c r="E875" s="119"/>
      <c r="F875" s="119"/>
      <c r="G875" s="119"/>
      <c r="H875" s="119"/>
      <c r="I875" s="133"/>
      <c r="J875" s="133"/>
      <c r="K875" s="133"/>
      <c r="L875" s="133"/>
      <c r="M875" s="133"/>
    </row>
    <row r="876">
      <c r="A876" s="119"/>
      <c r="B876" s="119"/>
      <c r="C876" s="119"/>
      <c r="D876" s="119"/>
      <c r="E876" s="119"/>
      <c r="F876" s="119"/>
      <c r="G876" s="119"/>
      <c r="H876" s="119"/>
      <c r="I876" s="120"/>
      <c r="J876" s="120"/>
      <c r="K876" s="120"/>
      <c r="L876" s="120"/>
      <c r="M876" s="120"/>
    </row>
    <row r="877">
      <c r="A877" s="119"/>
      <c r="B877" s="119"/>
      <c r="C877" s="119"/>
      <c r="D877" s="119"/>
      <c r="E877" s="119"/>
      <c r="F877" s="119"/>
      <c r="G877" s="119"/>
      <c r="H877" s="119"/>
      <c r="I877" s="133"/>
      <c r="J877" s="133"/>
      <c r="K877" s="133"/>
      <c r="L877" s="133"/>
      <c r="M877" s="133"/>
    </row>
    <row r="878">
      <c r="A878" s="119"/>
      <c r="B878" s="119"/>
      <c r="C878" s="119"/>
      <c r="D878" s="119"/>
      <c r="E878" s="119"/>
      <c r="F878" s="119"/>
      <c r="G878" s="119"/>
      <c r="H878" s="119"/>
      <c r="I878" s="120"/>
      <c r="J878" s="120"/>
      <c r="K878" s="120"/>
      <c r="L878" s="120"/>
      <c r="M878" s="120"/>
    </row>
    <row r="879">
      <c r="A879" s="119"/>
      <c r="B879" s="119"/>
      <c r="C879" s="119"/>
      <c r="D879" s="119"/>
      <c r="E879" s="119"/>
      <c r="F879" s="119"/>
      <c r="G879" s="119"/>
      <c r="H879" s="119"/>
      <c r="I879" s="133"/>
      <c r="J879" s="133"/>
      <c r="K879" s="133"/>
      <c r="L879" s="133"/>
      <c r="M879" s="133"/>
    </row>
    <row r="880">
      <c r="A880" s="119"/>
      <c r="B880" s="119"/>
      <c r="C880" s="119"/>
      <c r="D880" s="119"/>
      <c r="E880" s="119"/>
      <c r="F880" s="119"/>
      <c r="G880" s="119"/>
      <c r="H880" s="119"/>
      <c r="I880" s="120"/>
      <c r="J880" s="120"/>
      <c r="K880" s="120"/>
      <c r="L880" s="120"/>
      <c r="M880" s="120"/>
    </row>
    <row r="881">
      <c r="A881" s="119"/>
      <c r="B881" s="119"/>
      <c r="C881" s="119"/>
      <c r="D881" s="119"/>
      <c r="E881" s="119"/>
      <c r="F881" s="119"/>
      <c r="G881" s="119"/>
      <c r="H881" s="119"/>
      <c r="I881" s="133"/>
      <c r="J881" s="133"/>
      <c r="K881" s="133"/>
      <c r="L881" s="133"/>
      <c r="M881" s="133"/>
    </row>
    <row r="882">
      <c r="A882" s="119"/>
      <c r="B882" s="119"/>
      <c r="C882" s="119"/>
      <c r="D882" s="119"/>
      <c r="E882" s="119"/>
      <c r="F882" s="119"/>
      <c r="G882" s="119"/>
      <c r="H882" s="119"/>
      <c r="I882" s="120"/>
      <c r="J882" s="120"/>
      <c r="K882" s="120"/>
      <c r="L882" s="120"/>
      <c r="M882" s="120"/>
    </row>
    <row r="883">
      <c r="A883" s="119"/>
      <c r="B883" s="119"/>
      <c r="C883" s="119"/>
      <c r="D883" s="119"/>
      <c r="E883" s="119"/>
      <c r="F883" s="119"/>
      <c r="G883" s="119"/>
      <c r="H883" s="119"/>
      <c r="I883" s="133"/>
      <c r="J883" s="133"/>
      <c r="K883" s="133"/>
      <c r="L883" s="133"/>
      <c r="M883" s="133"/>
    </row>
    <row r="884">
      <c r="A884" s="119"/>
      <c r="B884" s="119"/>
      <c r="C884" s="119"/>
      <c r="D884" s="119"/>
      <c r="E884" s="119"/>
      <c r="F884" s="119"/>
      <c r="G884" s="119"/>
      <c r="H884" s="119"/>
      <c r="I884" s="120"/>
      <c r="J884" s="120"/>
      <c r="K884" s="120"/>
      <c r="L884" s="120"/>
      <c r="M884" s="120"/>
    </row>
    <row r="885">
      <c r="A885" s="119"/>
      <c r="B885" s="119"/>
      <c r="C885" s="119"/>
      <c r="D885" s="119"/>
      <c r="E885" s="119"/>
      <c r="F885" s="119"/>
      <c r="G885" s="119"/>
      <c r="H885" s="119"/>
      <c r="I885" s="133"/>
      <c r="J885" s="133"/>
      <c r="K885" s="133"/>
      <c r="L885" s="133"/>
      <c r="M885" s="133"/>
    </row>
    <row r="886">
      <c r="A886" s="119"/>
      <c r="B886" s="119"/>
      <c r="C886" s="119"/>
      <c r="D886" s="119"/>
      <c r="E886" s="119"/>
      <c r="F886" s="119"/>
      <c r="G886" s="119"/>
      <c r="H886" s="119"/>
      <c r="I886" s="120"/>
      <c r="J886" s="120"/>
      <c r="K886" s="120"/>
      <c r="L886" s="120"/>
      <c r="M886" s="120"/>
    </row>
    <row r="887">
      <c r="A887" s="119"/>
      <c r="B887" s="119"/>
      <c r="C887" s="119"/>
      <c r="D887" s="119"/>
      <c r="E887" s="119"/>
      <c r="F887" s="119"/>
      <c r="G887" s="119"/>
      <c r="H887" s="119"/>
      <c r="I887" s="133"/>
      <c r="J887" s="133"/>
      <c r="K887" s="133"/>
      <c r="L887" s="133"/>
      <c r="M887" s="133"/>
    </row>
    <row r="888">
      <c r="A888" s="119"/>
      <c r="B888" s="119"/>
      <c r="C888" s="119"/>
      <c r="D888" s="119"/>
      <c r="E888" s="119"/>
      <c r="F888" s="119"/>
      <c r="G888" s="119"/>
      <c r="H888" s="119"/>
      <c r="I888" s="120"/>
      <c r="J888" s="120"/>
      <c r="K888" s="120"/>
      <c r="L888" s="120"/>
      <c r="M888" s="120"/>
    </row>
    <row r="889">
      <c r="A889" s="119"/>
      <c r="B889" s="119"/>
      <c r="C889" s="119"/>
      <c r="D889" s="119"/>
      <c r="E889" s="119"/>
      <c r="F889" s="119"/>
      <c r="G889" s="119"/>
      <c r="H889" s="119"/>
      <c r="I889" s="133"/>
      <c r="J889" s="133"/>
      <c r="K889" s="133"/>
      <c r="L889" s="133"/>
      <c r="M889" s="133"/>
    </row>
    <row r="890">
      <c r="A890" s="119"/>
      <c r="B890" s="119"/>
      <c r="C890" s="119"/>
      <c r="D890" s="119"/>
      <c r="E890" s="119"/>
      <c r="F890" s="119"/>
      <c r="G890" s="119"/>
      <c r="H890" s="119"/>
      <c r="I890" s="120"/>
      <c r="J890" s="120"/>
      <c r="K890" s="120"/>
      <c r="L890" s="120"/>
      <c r="M890" s="120"/>
    </row>
    <row r="891">
      <c r="A891" s="119"/>
      <c r="B891" s="119"/>
      <c r="C891" s="119"/>
      <c r="D891" s="119"/>
      <c r="E891" s="119"/>
      <c r="F891" s="119"/>
      <c r="G891" s="119"/>
      <c r="H891" s="119"/>
      <c r="I891" s="133"/>
      <c r="J891" s="133"/>
      <c r="K891" s="133"/>
      <c r="L891" s="133"/>
      <c r="M891" s="133"/>
    </row>
    <row r="892">
      <c r="A892" s="119"/>
      <c r="B892" s="119"/>
      <c r="C892" s="119"/>
      <c r="D892" s="119"/>
      <c r="E892" s="119"/>
      <c r="F892" s="119"/>
      <c r="G892" s="119"/>
      <c r="H892" s="119"/>
      <c r="I892" s="120"/>
      <c r="J892" s="120"/>
      <c r="K892" s="120"/>
      <c r="L892" s="120"/>
      <c r="M892" s="120"/>
    </row>
    <row r="893">
      <c r="A893" s="119"/>
      <c r="B893" s="119"/>
      <c r="C893" s="119"/>
      <c r="D893" s="119"/>
      <c r="E893" s="119"/>
      <c r="F893" s="119"/>
      <c r="G893" s="119"/>
      <c r="H893" s="119"/>
      <c r="I893" s="133"/>
      <c r="J893" s="133"/>
      <c r="K893" s="133"/>
      <c r="L893" s="133"/>
      <c r="M893" s="133"/>
    </row>
    <row r="894">
      <c r="A894" s="119"/>
      <c r="B894" s="119"/>
      <c r="C894" s="119"/>
      <c r="D894" s="119"/>
      <c r="E894" s="119"/>
      <c r="F894" s="119"/>
      <c r="G894" s="119"/>
      <c r="H894" s="119"/>
      <c r="I894" s="120"/>
      <c r="J894" s="120"/>
      <c r="K894" s="120"/>
      <c r="L894" s="120"/>
      <c r="M894" s="120"/>
    </row>
    <row r="895">
      <c r="A895" s="119"/>
      <c r="B895" s="119"/>
      <c r="C895" s="119"/>
      <c r="D895" s="119"/>
      <c r="E895" s="119"/>
      <c r="F895" s="119"/>
      <c r="G895" s="119"/>
      <c r="H895" s="119"/>
      <c r="I895" s="133"/>
      <c r="J895" s="133"/>
      <c r="K895" s="133"/>
      <c r="L895" s="133"/>
      <c r="M895" s="133"/>
    </row>
    <row r="896">
      <c r="A896" s="119"/>
      <c r="B896" s="119"/>
      <c r="C896" s="119"/>
      <c r="D896" s="119"/>
      <c r="E896" s="119"/>
      <c r="F896" s="119"/>
      <c r="G896" s="119"/>
      <c r="H896" s="119"/>
      <c r="I896" s="120"/>
      <c r="J896" s="120"/>
      <c r="K896" s="120"/>
      <c r="L896" s="120"/>
      <c r="M896" s="120"/>
    </row>
    <row r="897">
      <c r="A897" s="119"/>
      <c r="B897" s="119"/>
      <c r="C897" s="119"/>
      <c r="D897" s="119"/>
      <c r="E897" s="119"/>
      <c r="F897" s="119"/>
      <c r="G897" s="119"/>
      <c r="H897" s="119"/>
      <c r="I897" s="133"/>
      <c r="J897" s="133"/>
      <c r="K897" s="133"/>
      <c r="L897" s="133"/>
      <c r="M897" s="133"/>
    </row>
    <row r="898">
      <c r="A898" s="119"/>
      <c r="B898" s="119"/>
      <c r="C898" s="119"/>
      <c r="D898" s="119"/>
      <c r="E898" s="119"/>
      <c r="F898" s="119"/>
      <c r="G898" s="119"/>
      <c r="H898" s="119"/>
      <c r="I898" s="120"/>
      <c r="J898" s="120"/>
      <c r="K898" s="120"/>
      <c r="L898" s="120"/>
      <c r="M898" s="120"/>
    </row>
    <row r="899">
      <c r="A899" s="119"/>
      <c r="B899" s="119"/>
      <c r="C899" s="119"/>
      <c r="D899" s="119"/>
      <c r="E899" s="119"/>
      <c r="F899" s="119"/>
      <c r="G899" s="119"/>
      <c r="H899" s="119"/>
      <c r="I899" s="133"/>
      <c r="J899" s="133"/>
      <c r="K899" s="133"/>
      <c r="L899" s="133"/>
      <c r="M899" s="133"/>
    </row>
    <row r="900">
      <c r="A900" s="119"/>
      <c r="B900" s="119"/>
      <c r="C900" s="119"/>
      <c r="D900" s="119"/>
      <c r="E900" s="119"/>
      <c r="F900" s="119"/>
      <c r="G900" s="119"/>
      <c r="H900" s="119"/>
      <c r="I900" s="120"/>
      <c r="J900" s="120"/>
      <c r="K900" s="120"/>
      <c r="L900" s="120"/>
      <c r="M900" s="120"/>
    </row>
    <row r="901">
      <c r="A901" s="119"/>
      <c r="B901" s="119"/>
      <c r="C901" s="119"/>
      <c r="D901" s="119"/>
      <c r="E901" s="119"/>
      <c r="F901" s="119"/>
      <c r="G901" s="119"/>
      <c r="H901" s="119"/>
      <c r="I901" s="133"/>
      <c r="J901" s="133"/>
      <c r="K901" s="133"/>
      <c r="L901" s="133"/>
      <c r="M901" s="133"/>
    </row>
    <row r="902">
      <c r="A902" s="119"/>
      <c r="B902" s="119"/>
      <c r="C902" s="119"/>
      <c r="D902" s="119"/>
      <c r="E902" s="119"/>
      <c r="F902" s="119"/>
      <c r="G902" s="119"/>
      <c r="H902" s="119"/>
      <c r="I902" s="120"/>
      <c r="J902" s="120"/>
      <c r="K902" s="120"/>
      <c r="L902" s="120"/>
      <c r="M902" s="120"/>
    </row>
    <row r="903">
      <c r="A903" s="119"/>
      <c r="B903" s="119"/>
      <c r="C903" s="119"/>
      <c r="D903" s="119"/>
      <c r="E903" s="119"/>
      <c r="F903" s="119"/>
      <c r="G903" s="119"/>
      <c r="H903" s="119"/>
      <c r="I903" s="133"/>
      <c r="J903" s="133"/>
      <c r="K903" s="133"/>
      <c r="L903" s="133"/>
      <c r="M903" s="133"/>
    </row>
    <row r="904">
      <c r="A904" s="119"/>
      <c r="B904" s="119"/>
      <c r="C904" s="119"/>
      <c r="D904" s="119"/>
      <c r="E904" s="119"/>
      <c r="F904" s="119"/>
      <c r="G904" s="119"/>
      <c r="H904" s="119"/>
      <c r="I904" s="120"/>
      <c r="J904" s="120"/>
      <c r="K904" s="120"/>
      <c r="L904" s="120"/>
      <c r="M904" s="120"/>
    </row>
    <row r="905">
      <c r="A905" s="119"/>
      <c r="B905" s="119"/>
      <c r="C905" s="119"/>
      <c r="D905" s="119"/>
      <c r="E905" s="119"/>
      <c r="F905" s="119"/>
      <c r="G905" s="119"/>
      <c r="H905" s="119"/>
      <c r="I905" s="133"/>
      <c r="J905" s="133"/>
      <c r="K905" s="133"/>
      <c r="L905" s="133"/>
      <c r="M905" s="133"/>
    </row>
    <row r="906">
      <c r="A906" s="119"/>
      <c r="B906" s="119"/>
      <c r="C906" s="119"/>
      <c r="D906" s="119"/>
      <c r="E906" s="119"/>
      <c r="F906" s="119"/>
      <c r="G906" s="119"/>
      <c r="H906" s="119"/>
      <c r="I906" s="120"/>
      <c r="J906" s="120"/>
      <c r="K906" s="120"/>
      <c r="L906" s="120"/>
      <c r="M906" s="120"/>
    </row>
    <row r="907">
      <c r="A907" s="119"/>
      <c r="B907" s="119"/>
      <c r="C907" s="119"/>
      <c r="D907" s="119"/>
      <c r="E907" s="119"/>
      <c r="F907" s="119"/>
      <c r="G907" s="119"/>
      <c r="H907" s="119"/>
      <c r="I907" s="133"/>
      <c r="J907" s="133"/>
      <c r="K907" s="133"/>
      <c r="L907" s="133"/>
      <c r="M907" s="133"/>
    </row>
    <row r="908">
      <c r="A908" s="119"/>
      <c r="B908" s="119"/>
      <c r="C908" s="119"/>
      <c r="D908" s="119"/>
      <c r="E908" s="119"/>
      <c r="F908" s="119"/>
      <c r="G908" s="119"/>
      <c r="H908" s="119"/>
      <c r="I908" s="120"/>
      <c r="J908" s="120"/>
      <c r="K908" s="120"/>
      <c r="L908" s="120"/>
      <c r="M908" s="120"/>
    </row>
    <row r="909">
      <c r="A909" s="119"/>
      <c r="B909" s="119"/>
      <c r="C909" s="119"/>
      <c r="D909" s="119"/>
      <c r="E909" s="119"/>
      <c r="F909" s="119"/>
      <c r="G909" s="119"/>
      <c r="H909" s="119"/>
      <c r="I909" s="133"/>
      <c r="J909" s="133"/>
      <c r="K909" s="133"/>
      <c r="L909" s="133"/>
      <c r="M909" s="133"/>
    </row>
    <row r="910">
      <c r="A910" s="119"/>
      <c r="B910" s="119"/>
      <c r="C910" s="119"/>
      <c r="D910" s="119"/>
      <c r="E910" s="119"/>
      <c r="F910" s="119"/>
      <c r="G910" s="119"/>
      <c r="H910" s="119"/>
      <c r="I910" s="120"/>
      <c r="J910" s="120"/>
      <c r="K910" s="120"/>
      <c r="L910" s="120"/>
      <c r="M910" s="120"/>
    </row>
    <row r="911">
      <c r="A911" s="119"/>
      <c r="B911" s="119"/>
      <c r="C911" s="119"/>
      <c r="D911" s="119"/>
      <c r="E911" s="119"/>
      <c r="F911" s="119"/>
      <c r="G911" s="119"/>
      <c r="H911" s="119"/>
      <c r="I911" s="133"/>
      <c r="J911" s="133"/>
      <c r="K911" s="133"/>
      <c r="L911" s="133"/>
      <c r="M911" s="133"/>
    </row>
    <row r="912">
      <c r="A912" s="119"/>
      <c r="B912" s="119"/>
      <c r="C912" s="119"/>
      <c r="D912" s="119"/>
      <c r="E912" s="119"/>
      <c r="F912" s="119"/>
      <c r="G912" s="119"/>
      <c r="H912" s="119"/>
      <c r="I912" s="120"/>
      <c r="J912" s="120"/>
      <c r="K912" s="120"/>
      <c r="L912" s="120"/>
      <c r="M912" s="120"/>
    </row>
    <row r="913">
      <c r="A913" s="119"/>
      <c r="B913" s="119"/>
      <c r="C913" s="119"/>
      <c r="D913" s="119"/>
      <c r="E913" s="119"/>
      <c r="F913" s="119"/>
      <c r="G913" s="119"/>
      <c r="H913" s="119"/>
      <c r="I913" s="133"/>
      <c r="J913" s="133"/>
      <c r="K913" s="133"/>
      <c r="L913" s="133"/>
      <c r="M913" s="133"/>
    </row>
    <row r="914">
      <c r="A914" s="119"/>
      <c r="B914" s="119"/>
      <c r="C914" s="119"/>
      <c r="D914" s="119"/>
      <c r="E914" s="119"/>
      <c r="F914" s="119"/>
      <c r="G914" s="119"/>
      <c r="H914" s="119"/>
      <c r="I914" s="120"/>
      <c r="J914" s="120"/>
      <c r="K914" s="120"/>
      <c r="L914" s="120"/>
      <c r="M914" s="120"/>
    </row>
    <row r="915">
      <c r="A915" s="119"/>
      <c r="B915" s="119"/>
      <c r="C915" s="119"/>
      <c r="D915" s="119"/>
      <c r="E915" s="119"/>
      <c r="F915" s="119"/>
      <c r="G915" s="119"/>
      <c r="H915" s="119"/>
      <c r="I915" s="133"/>
      <c r="J915" s="133"/>
      <c r="K915" s="133"/>
      <c r="L915" s="133"/>
      <c r="M915" s="133"/>
    </row>
    <row r="916">
      <c r="A916" s="119"/>
      <c r="B916" s="119"/>
      <c r="C916" s="119"/>
      <c r="D916" s="119"/>
      <c r="E916" s="119"/>
      <c r="F916" s="119"/>
      <c r="G916" s="119"/>
      <c r="H916" s="119"/>
      <c r="I916" s="120"/>
      <c r="J916" s="120"/>
      <c r="K916" s="120"/>
      <c r="L916" s="120"/>
      <c r="M916" s="120"/>
    </row>
    <row r="917">
      <c r="A917" s="119"/>
      <c r="B917" s="119"/>
      <c r="C917" s="119"/>
      <c r="D917" s="119"/>
      <c r="E917" s="119"/>
      <c r="F917" s="119"/>
      <c r="G917" s="119"/>
      <c r="H917" s="119"/>
      <c r="I917" s="133"/>
      <c r="J917" s="133"/>
      <c r="K917" s="133"/>
      <c r="L917" s="133"/>
      <c r="M917" s="133"/>
    </row>
    <row r="918">
      <c r="A918" s="119"/>
      <c r="B918" s="119"/>
      <c r="C918" s="119"/>
      <c r="D918" s="119"/>
      <c r="E918" s="119"/>
      <c r="F918" s="119"/>
      <c r="G918" s="119"/>
      <c r="H918" s="119"/>
      <c r="I918" s="120"/>
      <c r="J918" s="120"/>
      <c r="K918" s="120"/>
      <c r="L918" s="120"/>
      <c r="M918" s="120"/>
    </row>
    <row r="919">
      <c r="A919" s="119"/>
      <c r="B919" s="119"/>
      <c r="C919" s="119"/>
      <c r="D919" s="119"/>
      <c r="E919" s="119"/>
      <c r="F919" s="119"/>
      <c r="G919" s="119"/>
      <c r="H919" s="119"/>
      <c r="I919" s="133"/>
      <c r="J919" s="133"/>
      <c r="K919" s="133"/>
      <c r="L919" s="133"/>
      <c r="M919" s="133"/>
    </row>
    <row r="920">
      <c r="A920" s="119"/>
      <c r="B920" s="119"/>
      <c r="C920" s="119"/>
      <c r="D920" s="119"/>
      <c r="E920" s="119"/>
      <c r="F920" s="119"/>
      <c r="G920" s="119"/>
      <c r="H920" s="119"/>
      <c r="I920" s="120"/>
      <c r="J920" s="120"/>
      <c r="K920" s="120"/>
      <c r="L920" s="120"/>
      <c r="M920" s="120"/>
    </row>
    <row r="921">
      <c r="A921" s="119"/>
      <c r="B921" s="119"/>
      <c r="C921" s="119"/>
      <c r="D921" s="119"/>
      <c r="E921" s="119"/>
      <c r="F921" s="119"/>
      <c r="G921" s="119"/>
      <c r="H921" s="119"/>
      <c r="I921" s="133"/>
      <c r="J921" s="133"/>
      <c r="K921" s="133"/>
      <c r="L921" s="133"/>
      <c r="M921" s="133"/>
    </row>
    <row r="922">
      <c r="A922" s="119"/>
      <c r="B922" s="119"/>
      <c r="C922" s="119"/>
      <c r="D922" s="119"/>
      <c r="E922" s="119"/>
      <c r="F922" s="119"/>
      <c r="G922" s="119"/>
      <c r="H922" s="119"/>
      <c r="I922" s="120"/>
      <c r="J922" s="120"/>
      <c r="K922" s="120"/>
      <c r="L922" s="120"/>
      <c r="M922" s="120"/>
    </row>
    <row r="923">
      <c r="A923" s="119"/>
      <c r="B923" s="119"/>
      <c r="C923" s="119"/>
      <c r="D923" s="119"/>
      <c r="E923" s="119"/>
      <c r="F923" s="119"/>
      <c r="G923" s="119"/>
      <c r="H923" s="119"/>
      <c r="I923" s="133"/>
      <c r="J923" s="133"/>
      <c r="K923" s="133"/>
      <c r="L923" s="133"/>
      <c r="M923" s="133"/>
    </row>
    <row r="924">
      <c r="A924" s="119"/>
      <c r="B924" s="119"/>
      <c r="C924" s="119"/>
      <c r="D924" s="119"/>
      <c r="E924" s="119"/>
      <c r="F924" s="119"/>
      <c r="G924" s="119"/>
      <c r="H924" s="119"/>
      <c r="I924" s="120"/>
      <c r="J924" s="120"/>
      <c r="K924" s="120"/>
      <c r="L924" s="120"/>
      <c r="M924" s="120"/>
    </row>
    <row r="925">
      <c r="A925" s="119"/>
      <c r="B925" s="119"/>
      <c r="C925" s="119"/>
      <c r="D925" s="119"/>
      <c r="E925" s="119"/>
      <c r="F925" s="119"/>
      <c r="G925" s="119"/>
      <c r="H925" s="119"/>
      <c r="I925" s="133"/>
      <c r="J925" s="133"/>
      <c r="K925" s="133"/>
      <c r="L925" s="133"/>
      <c r="M925" s="133"/>
    </row>
    <row r="926">
      <c r="A926" s="119"/>
      <c r="B926" s="119"/>
      <c r="C926" s="119"/>
      <c r="D926" s="119"/>
      <c r="E926" s="119"/>
      <c r="F926" s="119"/>
      <c r="G926" s="119"/>
      <c r="H926" s="119"/>
      <c r="I926" s="120"/>
      <c r="J926" s="120"/>
      <c r="K926" s="120"/>
      <c r="L926" s="120"/>
      <c r="M926" s="120"/>
    </row>
    <row r="927">
      <c r="A927" s="119"/>
      <c r="B927" s="119"/>
      <c r="C927" s="119"/>
      <c r="D927" s="119"/>
      <c r="E927" s="119"/>
      <c r="F927" s="119"/>
      <c r="G927" s="119"/>
      <c r="H927" s="119"/>
      <c r="I927" s="133"/>
      <c r="J927" s="133"/>
      <c r="K927" s="133"/>
      <c r="L927" s="133"/>
      <c r="M927" s="133"/>
    </row>
    <row r="928">
      <c r="A928" s="119"/>
      <c r="B928" s="119"/>
      <c r="C928" s="119"/>
      <c r="D928" s="119"/>
      <c r="E928" s="119"/>
      <c r="F928" s="119"/>
      <c r="G928" s="119"/>
      <c r="H928" s="119"/>
      <c r="I928" s="120"/>
      <c r="J928" s="120"/>
      <c r="K928" s="120"/>
      <c r="L928" s="120"/>
      <c r="M928" s="120"/>
    </row>
    <row r="929">
      <c r="A929" s="119"/>
      <c r="B929" s="119"/>
      <c r="C929" s="119"/>
      <c r="D929" s="119"/>
      <c r="E929" s="119"/>
      <c r="F929" s="119"/>
      <c r="G929" s="119"/>
      <c r="H929" s="119"/>
      <c r="I929" s="133"/>
      <c r="J929" s="133"/>
      <c r="K929" s="133"/>
      <c r="L929" s="133"/>
      <c r="M929" s="133"/>
    </row>
    <row r="930">
      <c r="A930" s="119"/>
      <c r="B930" s="119"/>
      <c r="C930" s="119"/>
      <c r="D930" s="119"/>
      <c r="E930" s="119"/>
      <c r="F930" s="119"/>
      <c r="G930" s="119"/>
      <c r="H930" s="119"/>
      <c r="I930" s="120"/>
      <c r="J930" s="120"/>
      <c r="K930" s="120"/>
      <c r="L930" s="120"/>
      <c r="M930" s="120"/>
    </row>
    <row r="931">
      <c r="A931" s="119"/>
      <c r="B931" s="119"/>
      <c r="C931" s="119"/>
      <c r="D931" s="119"/>
      <c r="E931" s="119"/>
      <c r="F931" s="119"/>
      <c r="G931" s="119"/>
      <c r="H931" s="119"/>
      <c r="I931" s="133"/>
      <c r="J931" s="133"/>
      <c r="K931" s="133"/>
      <c r="L931" s="133"/>
      <c r="M931" s="133"/>
    </row>
    <row r="932">
      <c r="A932" s="119"/>
      <c r="B932" s="119"/>
      <c r="C932" s="119"/>
      <c r="D932" s="119"/>
      <c r="E932" s="119"/>
      <c r="F932" s="119"/>
      <c r="G932" s="119"/>
      <c r="H932" s="119"/>
      <c r="I932" s="120"/>
      <c r="J932" s="120"/>
      <c r="K932" s="120"/>
      <c r="L932" s="120"/>
      <c r="M932" s="120"/>
    </row>
    <row r="933">
      <c r="A933" s="119"/>
      <c r="B933" s="119"/>
      <c r="C933" s="119"/>
      <c r="D933" s="119"/>
      <c r="E933" s="119"/>
      <c r="F933" s="119"/>
      <c r="G933" s="119"/>
      <c r="H933" s="119"/>
      <c r="I933" s="133"/>
      <c r="J933" s="133"/>
      <c r="K933" s="133"/>
      <c r="L933" s="133"/>
      <c r="M933" s="133"/>
    </row>
    <row r="934">
      <c r="A934" s="119"/>
      <c r="B934" s="119"/>
      <c r="C934" s="119"/>
      <c r="D934" s="119"/>
      <c r="E934" s="119"/>
      <c r="F934" s="119"/>
      <c r="G934" s="119"/>
      <c r="H934" s="119"/>
      <c r="I934" s="120"/>
      <c r="J934" s="120"/>
      <c r="K934" s="120"/>
      <c r="L934" s="120"/>
      <c r="M934" s="120"/>
    </row>
    <row r="935">
      <c r="A935" s="119"/>
      <c r="B935" s="119"/>
      <c r="C935" s="119"/>
      <c r="D935" s="119"/>
      <c r="E935" s="119"/>
      <c r="F935" s="119"/>
      <c r="G935" s="119"/>
      <c r="H935" s="119"/>
      <c r="I935" s="133"/>
      <c r="J935" s="133"/>
      <c r="K935" s="133"/>
      <c r="L935" s="133"/>
      <c r="M935" s="133"/>
    </row>
    <row r="936">
      <c r="A936" s="119"/>
      <c r="B936" s="119"/>
      <c r="C936" s="119"/>
      <c r="D936" s="119"/>
      <c r="E936" s="119"/>
      <c r="F936" s="119"/>
      <c r="G936" s="119"/>
      <c r="H936" s="119"/>
      <c r="I936" s="120"/>
      <c r="J936" s="120"/>
      <c r="K936" s="120"/>
      <c r="L936" s="120"/>
      <c r="M936" s="120"/>
    </row>
    <row r="937">
      <c r="A937" s="119"/>
      <c r="B937" s="119"/>
      <c r="C937" s="119"/>
      <c r="D937" s="119"/>
      <c r="E937" s="119"/>
      <c r="F937" s="119"/>
      <c r="G937" s="119"/>
      <c r="H937" s="119"/>
      <c r="I937" s="133"/>
      <c r="J937" s="133"/>
      <c r="K937" s="133"/>
      <c r="L937" s="133"/>
      <c r="M937" s="133"/>
    </row>
    <row r="938">
      <c r="A938" s="119"/>
      <c r="B938" s="119"/>
      <c r="C938" s="119"/>
      <c r="D938" s="119"/>
      <c r="E938" s="119"/>
      <c r="F938" s="119"/>
      <c r="G938" s="119"/>
      <c r="H938" s="119"/>
      <c r="I938" s="120"/>
      <c r="J938" s="120"/>
      <c r="K938" s="120"/>
      <c r="L938" s="120"/>
      <c r="M938" s="120"/>
    </row>
    <row r="939">
      <c r="A939" s="119"/>
      <c r="B939" s="119"/>
      <c r="C939" s="119"/>
      <c r="D939" s="119"/>
      <c r="E939" s="119"/>
      <c r="F939" s="119"/>
      <c r="G939" s="119"/>
      <c r="H939" s="119"/>
      <c r="I939" s="133"/>
      <c r="J939" s="133"/>
      <c r="K939" s="133"/>
      <c r="L939" s="133"/>
      <c r="M939" s="133"/>
    </row>
    <row r="940">
      <c r="A940" s="119"/>
      <c r="B940" s="119"/>
      <c r="C940" s="119"/>
      <c r="D940" s="119"/>
      <c r="E940" s="119"/>
      <c r="F940" s="119"/>
      <c r="G940" s="119"/>
      <c r="H940" s="119"/>
      <c r="I940" s="120"/>
      <c r="J940" s="120"/>
      <c r="K940" s="120"/>
      <c r="L940" s="120"/>
      <c r="M940" s="120"/>
    </row>
    <row r="941">
      <c r="A941" s="119"/>
      <c r="B941" s="119"/>
      <c r="C941" s="119"/>
      <c r="D941" s="119"/>
      <c r="E941" s="119"/>
      <c r="F941" s="119"/>
      <c r="G941" s="119"/>
      <c r="H941" s="119"/>
      <c r="I941" s="133"/>
      <c r="J941" s="133"/>
      <c r="K941" s="133"/>
      <c r="L941" s="133"/>
      <c r="M941" s="133"/>
    </row>
    <row r="942">
      <c r="A942" s="119"/>
      <c r="B942" s="119"/>
      <c r="C942" s="119"/>
      <c r="D942" s="119"/>
      <c r="E942" s="119"/>
      <c r="F942" s="119"/>
      <c r="G942" s="119"/>
      <c r="H942" s="119"/>
      <c r="I942" s="120"/>
      <c r="J942" s="120"/>
      <c r="K942" s="120"/>
      <c r="L942" s="120"/>
      <c r="M942" s="120"/>
    </row>
    <row r="943">
      <c r="A943" s="119"/>
      <c r="B943" s="119"/>
      <c r="C943" s="119"/>
      <c r="D943" s="119"/>
      <c r="E943" s="119"/>
      <c r="F943" s="119"/>
      <c r="G943" s="119"/>
      <c r="H943" s="119"/>
      <c r="I943" s="133"/>
      <c r="J943" s="133"/>
      <c r="K943" s="133"/>
      <c r="L943" s="133"/>
      <c r="M943" s="133"/>
    </row>
    <row r="944">
      <c r="A944" s="119"/>
      <c r="B944" s="119"/>
      <c r="C944" s="119"/>
      <c r="D944" s="119"/>
      <c r="E944" s="119"/>
      <c r="F944" s="119"/>
      <c r="G944" s="119"/>
      <c r="H944" s="119"/>
      <c r="I944" s="120"/>
      <c r="J944" s="120"/>
      <c r="K944" s="120"/>
      <c r="L944" s="120"/>
      <c r="M944" s="120"/>
    </row>
    <row r="945">
      <c r="A945" s="119"/>
      <c r="B945" s="119"/>
      <c r="C945" s="119"/>
      <c r="D945" s="119"/>
      <c r="E945" s="119"/>
      <c r="F945" s="119"/>
      <c r="G945" s="119"/>
      <c r="H945" s="119"/>
      <c r="I945" s="133"/>
      <c r="J945" s="133"/>
      <c r="K945" s="133"/>
      <c r="L945" s="133"/>
      <c r="M945" s="133"/>
    </row>
    <row r="946">
      <c r="A946" s="119"/>
      <c r="B946" s="119"/>
      <c r="C946" s="119"/>
      <c r="D946" s="119"/>
      <c r="E946" s="119"/>
      <c r="F946" s="119"/>
      <c r="G946" s="119"/>
      <c r="H946" s="119"/>
      <c r="I946" s="120"/>
      <c r="J946" s="120"/>
      <c r="K946" s="120"/>
      <c r="L946" s="120"/>
      <c r="M946" s="120"/>
    </row>
    <row r="947">
      <c r="A947" s="119"/>
      <c r="B947" s="119"/>
      <c r="C947" s="119"/>
      <c r="D947" s="119"/>
      <c r="E947" s="119"/>
      <c r="F947" s="119"/>
      <c r="G947" s="119"/>
      <c r="H947" s="119"/>
      <c r="I947" s="133"/>
      <c r="J947" s="133"/>
      <c r="K947" s="133"/>
      <c r="L947" s="133"/>
      <c r="M947" s="133"/>
    </row>
    <row r="948">
      <c r="A948" s="119"/>
      <c r="B948" s="119"/>
      <c r="C948" s="119"/>
      <c r="D948" s="119"/>
      <c r="E948" s="119"/>
      <c r="F948" s="119"/>
      <c r="G948" s="119"/>
      <c r="H948" s="119"/>
      <c r="I948" s="120"/>
      <c r="J948" s="120"/>
      <c r="K948" s="120"/>
      <c r="L948" s="120"/>
      <c r="M948" s="120"/>
    </row>
    <row r="949">
      <c r="A949" s="119"/>
      <c r="B949" s="119"/>
      <c r="C949" s="119"/>
      <c r="D949" s="119"/>
      <c r="E949" s="119"/>
      <c r="F949" s="119"/>
      <c r="G949" s="119"/>
      <c r="H949" s="119"/>
      <c r="I949" s="133"/>
      <c r="J949" s="133"/>
      <c r="K949" s="133"/>
      <c r="L949" s="133"/>
      <c r="M949" s="133"/>
    </row>
    <row r="950">
      <c r="A950" s="119"/>
      <c r="B950" s="119"/>
      <c r="C950" s="119"/>
      <c r="D950" s="119"/>
      <c r="E950" s="119"/>
      <c r="F950" s="119"/>
      <c r="G950" s="119"/>
      <c r="H950" s="119"/>
      <c r="I950" s="120"/>
      <c r="J950" s="120"/>
      <c r="K950" s="120"/>
      <c r="L950" s="120"/>
      <c r="M950" s="120"/>
    </row>
    <row r="951">
      <c r="A951" s="119"/>
      <c r="B951" s="119"/>
      <c r="C951" s="119"/>
      <c r="D951" s="119"/>
      <c r="E951" s="119"/>
      <c r="F951" s="119"/>
      <c r="G951" s="119"/>
      <c r="H951" s="119"/>
      <c r="I951" s="133"/>
      <c r="J951" s="133"/>
      <c r="K951" s="133"/>
      <c r="L951" s="133"/>
      <c r="M951" s="133"/>
    </row>
    <row r="952">
      <c r="A952" s="119"/>
      <c r="B952" s="119"/>
      <c r="C952" s="119"/>
      <c r="D952" s="119"/>
      <c r="E952" s="119"/>
      <c r="F952" s="119"/>
      <c r="G952" s="119"/>
      <c r="H952" s="119"/>
      <c r="I952" s="120"/>
      <c r="J952" s="120"/>
      <c r="K952" s="120"/>
      <c r="L952" s="120"/>
      <c r="M952" s="120"/>
    </row>
    <row r="953">
      <c r="A953" s="119"/>
      <c r="B953" s="119"/>
      <c r="C953" s="119"/>
      <c r="D953" s="119"/>
      <c r="E953" s="119"/>
      <c r="F953" s="119"/>
      <c r="G953" s="119"/>
      <c r="H953" s="119"/>
      <c r="I953" s="133"/>
      <c r="J953" s="133"/>
      <c r="K953" s="133"/>
      <c r="L953" s="133"/>
      <c r="M953" s="133"/>
    </row>
    <row r="954">
      <c r="A954" s="119"/>
      <c r="B954" s="119"/>
      <c r="C954" s="119"/>
      <c r="D954" s="119"/>
      <c r="E954" s="119"/>
      <c r="F954" s="119"/>
      <c r="G954" s="119"/>
      <c r="H954" s="119"/>
      <c r="I954" s="120"/>
      <c r="J954" s="120"/>
      <c r="K954" s="120"/>
      <c r="L954" s="120"/>
      <c r="M954" s="120"/>
    </row>
    <row r="955">
      <c r="A955" s="119"/>
      <c r="B955" s="119"/>
      <c r="C955" s="119"/>
      <c r="D955" s="119"/>
      <c r="E955" s="119"/>
      <c r="F955" s="119"/>
      <c r="G955" s="119"/>
      <c r="H955" s="119"/>
      <c r="I955" s="133"/>
      <c r="J955" s="133"/>
      <c r="K955" s="133"/>
      <c r="L955" s="133"/>
      <c r="M955" s="133"/>
    </row>
    <row r="956">
      <c r="A956" s="119"/>
      <c r="B956" s="119"/>
      <c r="C956" s="119"/>
      <c r="D956" s="119"/>
      <c r="E956" s="119"/>
      <c r="F956" s="119"/>
      <c r="G956" s="119"/>
      <c r="H956" s="119"/>
      <c r="I956" s="120"/>
      <c r="J956" s="120"/>
      <c r="K956" s="120"/>
      <c r="L956" s="120"/>
      <c r="M956" s="120"/>
    </row>
    <row r="957">
      <c r="A957" s="119"/>
      <c r="B957" s="119"/>
      <c r="C957" s="119"/>
      <c r="D957" s="119"/>
      <c r="E957" s="119"/>
      <c r="F957" s="119"/>
      <c r="G957" s="119"/>
      <c r="H957" s="119"/>
      <c r="I957" s="133"/>
      <c r="J957" s="133"/>
      <c r="K957" s="133"/>
      <c r="L957" s="133"/>
      <c r="M957" s="133"/>
    </row>
    <row r="958">
      <c r="A958" s="119"/>
      <c r="B958" s="119"/>
      <c r="C958" s="119"/>
      <c r="D958" s="119"/>
      <c r="E958" s="119"/>
      <c r="F958" s="119"/>
      <c r="G958" s="119"/>
      <c r="H958" s="119"/>
      <c r="I958" s="120"/>
      <c r="J958" s="120"/>
      <c r="K958" s="120"/>
      <c r="L958" s="120"/>
      <c r="M958" s="120"/>
    </row>
    <row r="959">
      <c r="A959" s="119"/>
      <c r="B959" s="119"/>
      <c r="C959" s="119"/>
      <c r="D959" s="119"/>
      <c r="E959" s="119"/>
      <c r="F959" s="119"/>
      <c r="G959" s="119"/>
      <c r="H959" s="119"/>
      <c r="I959" s="133"/>
      <c r="J959" s="133"/>
      <c r="K959" s="133"/>
      <c r="L959" s="133"/>
      <c r="M959" s="133"/>
    </row>
    <row r="960">
      <c r="A960" s="119"/>
      <c r="B960" s="119"/>
      <c r="C960" s="119"/>
      <c r="D960" s="119"/>
      <c r="E960" s="119"/>
      <c r="F960" s="119"/>
      <c r="G960" s="119"/>
      <c r="H960" s="119"/>
      <c r="I960" s="120"/>
      <c r="J960" s="120"/>
      <c r="K960" s="120"/>
      <c r="L960" s="120"/>
      <c r="M960" s="120"/>
    </row>
    <row r="961">
      <c r="A961" s="119"/>
      <c r="B961" s="119"/>
      <c r="C961" s="119"/>
      <c r="D961" s="119"/>
      <c r="E961" s="119"/>
      <c r="F961" s="119"/>
      <c r="G961" s="119"/>
      <c r="H961" s="119"/>
      <c r="I961" s="133"/>
      <c r="J961" s="133"/>
      <c r="K961" s="133"/>
      <c r="L961" s="133"/>
      <c r="M961" s="133"/>
    </row>
    <row r="962">
      <c r="A962" s="119"/>
      <c r="B962" s="119"/>
      <c r="C962" s="119"/>
      <c r="D962" s="119"/>
      <c r="E962" s="119"/>
      <c r="F962" s="119"/>
      <c r="G962" s="119"/>
      <c r="H962" s="119"/>
      <c r="I962" s="120"/>
      <c r="J962" s="120"/>
      <c r="K962" s="120"/>
      <c r="L962" s="120"/>
      <c r="M962" s="120"/>
    </row>
    <row r="963">
      <c r="A963" s="119"/>
      <c r="B963" s="119"/>
      <c r="C963" s="119"/>
      <c r="D963" s="119"/>
      <c r="E963" s="119"/>
      <c r="F963" s="119"/>
      <c r="G963" s="119"/>
      <c r="H963" s="119"/>
      <c r="I963" s="133"/>
      <c r="J963" s="133"/>
      <c r="K963" s="133"/>
      <c r="L963" s="133"/>
      <c r="M963" s="133"/>
    </row>
    <row r="964">
      <c r="A964" s="119"/>
      <c r="B964" s="119"/>
      <c r="C964" s="119"/>
      <c r="D964" s="119"/>
      <c r="E964" s="119"/>
      <c r="F964" s="119"/>
      <c r="G964" s="119"/>
      <c r="H964" s="119"/>
      <c r="I964" s="120"/>
      <c r="J964" s="120"/>
      <c r="K964" s="120"/>
      <c r="L964" s="120"/>
      <c r="M964" s="120"/>
    </row>
    <row r="965">
      <c r="A965" s="119"/>
      <c r="B965" s="119"/>
      <c r="C965" s="119"/>
      <c r="D965" s="119"/>
      <c r="E965" s="119"/>
      <c r="F965" s="119"/>
      <c r="G965" s="119"/>
      <c r="H965" s="119"/>
      <c r="I965" s="133"/>
      <c r="J965" s="133"/>
      <c r="K965" s="133"/>
      <c r="L965" s="133"/>
      <c r="M965" s="133"/>
    </row>
    <row r="966">
      <c r="A966" s="119"/>
      <c r="B966" s="119"/>
      <c r="C966" s="119"/>
      <c r="D966" s="119"/>
      <c r="E966" s="119"/>
      <c r="F966" s="119"/>
      <c r="G966" s="119"/>
      <c r="H966" s="119"/>
      <c r="I966" s="120"/>
      <c r="J966" s="120"/>
      <c r="K966" s="120"/>
      <c r="L966" s="120"/>
      <c r="M966" s="120"/>
    </row>
    <row r="967">
      <c r="A967" s="119"/>
      <c r="B967" s="119"/>
      <c r="C967" s="119"/>
      <c r="D967" s="119"/>
      <c r="E967" s="119"/>
      <c r="F967" s="119"/>
      <c r="G967" s="119"/>
      <c r="H967" s="119"/>
      <c r="I967" s="133"/>
      <c r="J967" s="133"/>
      <c r="K967" s="133"/>
      <c r="L967" s="133"/>
      <c r="M967" s="133"/>
    </row>
    <row r="968">
      <c r="A968" s="119"/>
      <c r="B968" s="119"/>
      <c r="C968" s="119"/>
      <c r="D968" s="119"/>
      <c r="E968" s="119"/>
      <c r="F968" s="119"/>
      <c r="G968" s="119"/>
      <c r="H968" s="119"/>
      <c r="I968" s="120"/>
      <c r="J968" s="120"/>
      <c r="K968" s="120"/>
      <c r="L968" s="120"/>
      <c r="M968" s="120"/>
    </row>
    <row r="969">
      <c r="A969" s="119"/>
      <c r="B969" s="119"/>
      <c r="C969" s="119"/>
      <c r="D969" s="119"/>
      <c r="E969" s="119"/>
      <c r="F969" s="119"/>
      <c r="G969" s="119"/>
      <c r="H969" s="119"/>
      <c r="I969" s="133"/>
      <c r="J969" s="133"/>
      <c r="K969" s="133"/>
      <c r="L969" s="133"/>
      <c r="M969" s="133"/>
    </row>
    <row r="970">
      <c r="A970" s="119"/>
      <c r="B970" s="119"/>
      <c r="C970" s="119"/>
      <c r="D970" s="119"/>
      <c r="E970" s="119"/>
      <c r="F970" s="119"/>
      <c r="G970" s="119"/>
      <c r="H970" s="119"/>
      <c r="I970" s="120"/>
      <c r="J970" s="120"/>
      <c r="K970" s="120"/>
      <c r="L970" s="120"/>
      <c r="M970" s="120"/>
    </row>
    <row r="971">
      <c r="A971" s="119"/>
      <c r="B971" s="119"/>
      <c r="C971" s="119"/>
      <c r="D971" s="119"/>
      <c r="E971" s="119"/>
      <c r="F971" s="119"/>
      <c r="G971" s="119"/>
      <c r="H971" s="119"/>
      <c r="I971" s="133"/>
      <c r="J971" s="133"/>
      <c r="K971" s="133"/>
      <c r="L971" s="133"/>
      <c r="M971" s="133"/>
    </row>
    <row r="972">
      <c r="A972" s="119"/>
      <c r="B972" s="119"/>
      <c r="C972" s="119"/>
      <c r="D972" s="119"/>
      <c r="E972" s="119"/>
      <c r="F972" s="119"/>
      <c r="G972" s="119"/>
      <c r="H972" s="119"/>
      <c r="I972" s="120"/>
      <c r="J972" s="120"/>
      <c r="K972" s="120"/>
      <c r="L972" s="120"/>
      <c r="M972" s="120"/>
    </row>
    <row r="973">
      <c r="A973" s="119"/>
      <c r="B973" s="119"/>
      <c r="C973" s="119"/>
      <c r="D973" s="119"/>
      <c r="E973" s="119"/>
      <c r="F973" s="119"/>
      <c r="G973" s="119"/>
      <c r="H973" s="119"/>
      <c r="I973" s="133"/>
      <c r="J973" s="133"/>
      <c r="K973" s="133"/>
      <c r="L973" s="133"/>
      <c r="M973" s="133"/>
    </row>
    <row r="974">
      <c r="A974" s="119"/>
      <c r="B974" s="119"/>
      <c r="C974" s="119"/>
      <c r="D974" s="119"/>
      <c r="E974" s="119"/>
      <c r="F974" s="119"/>
      <c r="G974" s="119"/>
      <c r="H974" s="119"/>
      <c r="I974" s="120"/>
      <c r="J974" s="120"/>
      <c r="K974" s="120"/>
      <c r="L974" s="120"/>
      <c r="M974" s="120"/>
    </row>
    <row r="975">
      <c r="A975" s="119"/>
      <c r="B975" s="119"/>
      <c r="C975" s="119"/>
      <c r="D975" s="119"/>
      <c r="E975" s="119"/>
      <c r="F975" s="119"/>
      <c r="G975" s="119"/>
      <c r="H975" s="119"/>
      <c r="I975" s="133"/>
      <c r="J975" s="133"/>
      <c r="K975" s="133"/>
      <c r="L975" s="133"/>
      <c r="M975" s="133"/>
    </row>
    <row r="976">
      <c r="A976" s="119"/>
      <c r="B976" s="119"/>
      <c r="C976" s="119"/>
      <c r="D976" s="119"/>
      <c r="E976" s="119"/>
      <c r="F976" s="119"/>
      <c r="G976" s="119"/>
      <c r="H976" s="119"/>
      <c r="I976" s="120"/>
      <c r="J976" s="120"/>
      <c r="K976" s="120"/>
      <c r="L976" s="120"/>
      <c r="M976" s="120"/>
    </row>
    <row r="977">
      <c r="A977" s="119"/>
      <c r="B977" s="119"/>
      <c r="C977" s="119"/>
      <c r="D977" s="119"/>
      <c r="E977" s="119"/>
      <c r="F977" s="119"/>
      <c r="G977" s="119"/>
      <c r="H977" s="119"/>
      <c r="I977" s="133"/>
      <c r="J977" s="133"/>
      <c r="K977" s="133"/>
      <c r="L977" s="133"/>
      <c r="M977" s="133"/>
    </row>
    <row r="978">
      <c r="A978" s="119"/>
      <c r="B978" s="119"/>
      <c r="C978" s="119"/>
      <c r="D978" s="119"/>
      <c r="E978" s="119"/>
      <c r="F978" s="119"/>
      <c r="G978" s="119"/>
      <c r="H978" s="119"/>
      <c r="I978" s="120"/>
      <c r="J978" s="120"/>
      <c r="K978" s="120"/>
      <c r="L978" s="120"/>
      <c r="M978" s="120"/>
    </row>
    <row r="979">
      <c r="A979" s="119"/>
      <c r="B979" s="119"/>
      <c r="C979" s="119"/>
      <c r="D979" s="119"/>
      <c r="E979" s="119"/>
      <c r="F979" s="119"/>
      <c r="G979" s="119"/>
      <c r="H979" s="119"/>
      <c r="I979" s="133"/>
      <c r="J979" s="133"/>
      <c r="K979" s="133"/>
      <c r="L979" s="133"/>
      <c r="M979" s="133"/>
    </row>
    <row r="980">
      <c r="A980" s="119"/>
      <c r="B980" s="119"/>
      <c r="C980" s="119"/>
      <c r="D980" s="119"/>
      <c r="E980" s="119"/>
      <c r="F980" s="119"/>
      <c r="G980" s="119"/>
      <c r="H980" s="119"/>
      <c r="I980" s="120"/>
      <c r="J980" s="120"/>
      <c r="K980" s="120"/>
      <c r="L980" s="120"/>
      <c r="M980" s="120"/>
    </row>
    <row r="981">
      <c r="A981" s="119"/>
      <c r="B981" s="119"/>
      <c r="C981" s="119"/>
      <c r="D981" s="119"/>
      <c r="E981" s="119"/>
      <c r="F981" s="119"/>
      <c r="G981" s="119"/>
      <c r="H981" s="119"/>
      <c r="I981" s="133"/>
      <c r="J981" s="133"/>
      <c r="K981" s="133"/>
      <c r="L981" s="133"/>
      <c r="M981" s="133"/>
    </row>
    <row r="982">
      <c r="A982" s="119"/>
      <c r="B982" s="119"/>
      <c r="C982" s="119"/>
      <c r="D982" s="119"/>
      <c r="E982" s="119"/>
      <c r="F982" s="119"/>
      <c r="G982" s="119"/>
      <c r="H982" s="119"/>
      <c r="I982" s="120"/>
      <c r="J982" s="120"/>
      <c r="K982" s="120"/>
      <c r="L982" s="120"/>
      <c r="M982" s="120"/>
    </row>
    <row r="983">
      <c r="A983" s="119"/>
      <c r="B983" s="119"/>
      <c r="C983" s="119"/>
      <c r="D983" s="119"/>
      <c r="E983" s="119"/>
      <c r="F983" s="119"/>
      <c r="G983" s="119"/>
      <c r="H983" s="119"/>
      <c r="I983" s="133"/>
      <c r="J983" s="133"/>
      <c r="K983" s="133"/>
      <c r="L983" s="133"/>
      <c r="M983" s="133"/>
    </row>
    <row r="984">
      <c r="A984" s="119"/>
      <c r="B984" s="119"/>
      <c r="C984" s="119"/>
      <c r="D984" s="119"/>
      <c r="E984" s="119"/>
      <c r="F984" s="119"/>
      <c r="G984" s="119"/>
      <c r="H984" s="119"/>
      <c r="I984" s="120"/>
      <c r="J984" s="120"/>
      <c r="K984" s="120"/>
      <c r="L984" s="120"/>
      <c r="M984" s="120"/>
    </row>
    <row r="985">
      <c r="A985" s="119"/>
      <c r="B985" s="119"/>
      <c r="C985" s="119"/>
      <c r="D985" s="119"/>
      <c r="E985" s="119"/>
      <c r="F985" s="119"/>
      <c r="G985" s="119"/>
      <c r="H985" s="119"/>
      <c r="I985" s="133"/>
      <c r="J985" s="133"/>
      <c r="K985" s="133"/>
      <c r="L985" s="133"/>
      <c r="M985" s="133"/>
    </row>
    <row r="986">
      <c r="A986" s="119"/>
      <c r="B986" s="119"/>
      <c r="C986" s="119"/>
      <c r="D986" s="119"/>
      <c r="E986" s="119"/>
      <c r="F986" s="119"/>
      <c r="G986" s="119"/>
      <c r="H986" s="119"/>
      <c r="I986" s="120"/>
      <c r="J986" s="120"/>
      <c r="K986" s="120"/>
      <c r="L986" s="120"/>
      <c r="M986" s="120"/>
    </row>
    <row r="987">
      <c r="A987" s="119"/>
      <c r="B987" s="119"/>
      <c r="C987" s="119"/>
      <c r="D987" s="119"/>
      <c r="E987" s="119"/>
      <c r="F987" s="119"/>
      <c r="G987" s="119"/>
      <c r="H987" s="119"/>
      <c r="I987" s="133"/>
      <c r="J987" s="133"/>
      <c r="K987" s="133"/>
      <c r="L987" s="133"/>
      <c r="M987" s="133"/>
    </row>
    <row r="988">
      <c r="A988" s="119"/>
      <c r="B988" s="119"/>
      <c r="C988" s="119"/>
      <c r="D988" s="119"/>
      <c r="E988" s="119"/>
      <c r="F988" s="119"/>
      <c r="G988" s="119"/>
      <c r="H988" s="119"/>
      <c r="I988" s="120"/>
      <c r="J988" s="120"/>
      <c r="K988" s="120"/>
      <c r="L988" s="120"/>
      <c r="M988" s="120"/>
    </row>
    <row r="989">
      <c r="A989" s="119"/>
      <c r="B989" s="119"/>
      <c r="C989" s="119"/>
      <c r="D989" s="119"/>
      <c r="E989" s="119"/>
      <c r="F989" s="119"/>
      <c r="G989" s="119"/>
      <c r="H989" s="119"/>
      <c r="I989" s="133"/>
      <c r="J989" s="133"/>
      <c r="K989" s="133"/>
      <c r="L989" s="133"/>
      <c r="M989" s="133"/>
    </row>
    <row r="990">
      <c r="A990" s="119"/>
      <c r="B990" s="119"/>
      <c r="C990" s="119"/>
      <c r="D990" s="119"/>
      <c r="E990" s="119"/>
      <c r="F990" s="119"/>
      <c r="G990" s="119"/>
      <c r="H990" s="119"/>
      <c r="I990" s="120"/>
      <c r="J990" s="120"/>
      <c r="K990" s="120"/>
      <c r="L990" s="120"/>
      <c r="M990" s="120"/>
    </row>
    <row r="991">
      <c r="A991" s="119"/>
      <c r="B991" s="119"/>
      <c r="C991" s="119"/>
      <c r="D991" s="119"/>
      <c r="E991" s="119"/>
      <c r="F991" s="119"/>
      <c r="G991" s="119"/>
      <c r="H991" s="119"/>
      <c r="I991" s="133"/>
      <c r="J991" s="133"/>
      <c r="K991" s="133"/>
      <c r="L991" s="133"/>
      <c r="M991" s="133"/>
    </row>
    <row r="992">
      <c r="A992" s="119"/>
      <c r="B992" s="119"/>
      <c r="C992" s="119"/>
      <c r="D992" s="119"/>
      <c r="E992" s="119"/>
      <c r="F992" s="119"/>
      <c r="G992" s="119"/>
      <c r="H992" s="119"/>
      <c r="I992" s="120"/>
      <c r="J992" s="120"/>
      <c r="K992" s="120"/>
      <c r="L992" s="120"/>
      <c r="M992" s="120"/>
    </row>
    <row r="993">
      <c r="A993" s="119"/>
      <c r="B993" s="119"/>
      <c r="C993" s="119"/>
      <c r="D993" s="119"/>
      <c r="E993" s="119"/>
      <c r="F993" s="119"/>
      <c r="G993" s="119"/>
      <c r="H993" s="119"/>
      <c r="I993" s="133"/>
      <c r="J993" s="133"/>
      <c r="K993" s="133"/>
      <c r="L993" s="133"/>
      <c r="M993" s="133"/>
    </row>
    <row r="994">
      <c r="A994" s="119"/>
      <c r="B994" s="119"/>
      <c r="C994" s="119"/>
      <c r="D994" s="119"/>
      <c r="E994" s="119"/>
      <c r="F994" s="119"/>
      <c r="G994" s="119"/>
      <c r="H994" s="119"/>
      <c r="I994" s="120"/>
      <c r="J994" s="120"/>
      <c r="K994" s="120"/>
      <c r="L994" s="120"/>
      <c r="M994" s="120"/>
    </row>
    <row r="995">
      <c r="A995" s="119"/>
      <c r="B995" s="119"/>
      <c r="C995" s="119"/>
      <c r="D995" s="119"/>
      <c r="E995" s="119"/>
      <c r="F995" s="119"/>
      <c r="G995" s="119"/>
      <c r="H995" s="119"/>
      <c r="I995" s="133"/>
      <c r="J995" s="133"/>
      <c r="K995" s="133"/>
      <c r="L995" s="133"/>
      <c r="M995" s="133"/>
    </row>
    <row r="996">
      <c r="A996" s="119"/>
      <c r="B996" s="119"/>
      <c r="C996" s="119"/>
      <c r="D996" s="119"/>
      <c r="E996" s="119"/>
      <c r="F996" s="119"/>
      <c r="G996" s="119"/>
      <c r="H996" s="119"/>
      <c r="I996" s="120"/>
      <c r="J996" s="120"/>
      <c r="K996" s="120"/>
      <c r="L996" s="120"/>
      <c r="M996" s="120"/>
    </row>
    <row r="997">
      <c r="A997" s="119"/>
      <c r="B997" s="119"/>
      <c r="C997" s="119"/>
      <c r="D997" s="119"/>
      <c r="E997" s="119"/>
      <c r="F997" s="119"/>
      <c r="G997" s="119"/>
      <c r="H997" s="119"/>
      <c r="I997" s="133"/>
      <c r="J997" s="133"/>
      <c r="K997" s="133"/>
      <c r="L997" s="133"/>
      <c r="M997" s="133"/>
    </row>
    <row r="998">
      <c r="A998" s="119"/>
      <c r="B998" s="119"/>
      <c r="C998" s="119"/>
      <c r="D998" s="119"/>
      <c r="E998" s="119"/>
      <c r="F998" s="119"/>
      <c r="G998" s="119"/>
      <c r="H998" s="119"/>
      <c r="I998" s="120"/>
      <c r="J998" s="120"/>
      <c r="K998" s="120"/>
      <c r="L998" s="120"/>
      <c r="M998" s="120"/>
    </row>
    <row r="999">
      <c r="A999" s="119"/>
      <c r="B999" s="119"/>
      <c r="C999" s="119"/>
      <c r="D999" s="119"/>
      <c r="E999" s="119"/>
      <c r="F999" s="119"/>
      <c r="G999" s="119"/>
      <c r="H999" s="119"/>
      <c r="I999" s="133"/>
      <c r="J999" s="133"/>
      <c r="K999" s="133"/>
      <c r="L999" s="133"/>
      <c r="M999" s="133"/>
    </row>
    <row r="1000">
      <c r="A1000" s="119"/>
      <c r="B1000" s="119"/>
      <c r="C1000" s="119"/>
      <c r="D1000" s="119"/>
      <c r="E1000" s="119"/>
      <c r="F1000" s="119"/>
      <c r="G1000" s="119"/>
      <c r="H1000" s="119"/>
      <c r="I1000" s="120"/>
      <c r="J1000" s="120"/>
      <c r="K1000" s="120"/>
      <c r="L1000" s="120"/>
      <c r="M1000" s="120"/>
    </row>
    <row r="1001">
      <c r="A1001" s="119"/>
      <c r="B1001" s="119"/>
      <c r="C1001" s="119"/>
      <c r="D1001" s="119"/>
      <c r="E1001" s="119"/>
      <c r="F1001" s="119"/>
      <c r="G1001" s="119"/>
      <c r="H1001" s="119"/>
      <c r="I1001" s="133"/>
      <c r="J1001" s="133"/>
      <c r="K1001" s="133"/>
      <c r="L1001" s="133"/>
      <c r="M1001" s="133"/>
    </row>
  </sheetData>
  <conditionalFormatting sqref="A1:A1001">
    <cfRule type="notContainsBlanks" dxfId="9" priority="1">
      <formula>LEN(TRIM(A1))&gt;0</formula>
    </cfRule>
  </conditionalFormatting>
  <conditionalFormatting sqref="B7:M8">
    <cfRule type="cellIs" dxfId="10" priority="2" operator="lessThan">
      <formula>1000</formula>
    </cfRule>
  </conditionalFormatting>
  <drawing r:id="rId1"/>
  <tableParts count="2">
    <tablePart r:id="rId4"/>
    <tablePart r:id="rId5"/>
  </tableParts>
</worksheet>
</file>