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.blum\Desktop\weight track\"/>
    </mc:Choice>
  </mc:AlternateContent>
  <bookViews>
    <workbookView xWindow="0" yWindow="0" windowWidth="15500" windowHeight="6960" xr2:uid="{00000000-000D-0000-FFFF-FFFF00000000}"/>
  </bookViews>
  <sheets>
    <sheet name="TDEE" sheetId="3" r:id="rId1"/>
  </sheets>
  <calcPr calcId="171027"/>
</workbook>
</file>

<file path=xl/calcChain.xml><?xml version="1.0" encoding="utf-8"?>
<calcChain xmlns="http://schemas.openxmlformats.org/spreadsheetml/2006/main">
  <c r="R122" i="3" l="1"/>
  <c r="R120" i="3"/>
  <c r="R118" i="3"/>
  <c r="R116" i="3"/>
  <c r="R114" i="3"/>
  <c r="R112" i="3"/>
  <c r="R110" i="3"/>
  <c r="R108" i="3"/>
  <c r="R106" i="3"/>
  <c r="R104" i="3"/>
  <c r="R102" i="3"/>
  <c r="R100" i="3"/>
  <c r="R98" i="3"/>
  <c r="R96" i="3"/>
  <c r="R94" i="3"/>
  <c r="R92" i="3"/>
  <c r="R90" i="3"/>
  <c r="R88" i="3"/>
  <c r="R86" i="3"/>
  <c r="R84" i="3"/>
  <c r="R82" i="3"/>
  <c r="R80" i="3"/>
  <c r="R78" i="3"/>
  <c r="R76" i="3"/>
  <c r="R74" i="3"/>
  <c r="R72" i="3"/>
  <c r="R70" i="3"/>
  <c r="R68" i="3"/>
  <c r="R66" i="3"/>
  <c r="R64" i="3"/>
  <c r="R62" i="3"/>
  <c r="R60" i="3"/>
  <c r="R58" i="3"/>
  <c r="R56" i="3"/>
  <c r="R54" i="3"/>
  <c r="R52" i="3"/>
  <c r="R50" i="3"/>
  <c r="R48" i="3"/>
  <c r="R46" i="3"/>
  <c r="R44" i="3"/>
  <c r="R42" i="3"/>
  <c r="R40" i="3"/>
  <c r="R38" i="3"/>
  <c r="R36" i="3"/>
  <c r="R34" i="3"/>
  <c r="R32" i="3"/>
  <c r="R30" i="3"/>
  <c r="R28" i="3"/>
  <c r="R26" i="3"/>
  <c r="R24" i="3"/>
  <c r="R22" i="3"/>
  <c r="R20" i="3"/>
  <c r="R18" i="3"/>
  <c r="R16" i="3"/>
  <c r="R14" i="3"/>
  <c r="R12" i="3"/>
  <c r="O4" i="3" l="1"/>
  <c r="T5" i="3" l="1"/>
  <c r="O5" i="3"/>
  <c r="AL117" i="3" l="1"/>
  <c r="AM117" i="3" s="1"/>
  <c r="AN117" i="3" s="1"/>
  <c r="AO117" i="3" s="1"/>
  <c r="AP117" i="3" s="1"/>
  <c r="AQ117" i="3" s="1"/>
  <c r="AR117" i="3" s="1"/>
  <c r="AL116" i="3"/>
  <c r="AM116" i="3" s="1"/>
  <c r="AN116" i="3" s="1"/>
  <c r="AO116" i="3" s="1"/>
  <c r="AP116" i="3" s="1"/>
  <c r="AQ116" i="3" s="1"/>
  <c r="AR116" i="3" s="1"/>
  <c r="AL109" i="3"/>
  <c r="AM109" i="3" s="1"/>
  <c r="AN109" i="3" s="1"/>
  <c r="AO109" i="3" s="1"/>
  <c r="AP109" i="3" s="1"/>
  <c r="AQ109" i="3" s="1"/>
  <c r="AR109" i="3" s="1"/>
  <c r="AL108" i="3"/>
  <c r="AM108" i="3" s="1"/>
  <c r="AN108" i="3" s="1"/>
  <c r="AO108" i="3" s="1"/>
  <c r="AP108" i="3" s="1"/>
  <c r="AQ108" i="3" s="1"/>
  <c r="AR108" i="3" s="1"/>
  <c r="AL101" i="3"/>
  <c r="AM101" i="3" s="1"/>
  <c r="AN101" i="3" s="1"/>
  <c r="AO101" i="3" s="1"/>
  <c r="AP101" i="3" s="1"/>
  <c r="AQ101" i="3" s="1"/>
  <c r="AR101" i="3" s="1"/>
  <c r="AL100" i="3"/>
  <c r="AM100" i="3" s="1"/>
  <c r="AN100" i="3" s="1"/>
  <c r="AO100" i="3" s="1"/>
  <c r="AP100" i="3" s="1"/>
  <c r="AQ100" i="3" s="1"/>
  <c r="AR100" i="3" s="1"/>
  <c r="AL93" i="3"/>
  <c r="AM93" i="3" s="1"/>
  <c r="AN93" i="3" s="1"/>
  <c r="AO93" i="3" s="1"/>
  <c r="AP93" i="3" s="1"/>
  <c r="AQ93" i="3" s="1"/>
  <c r="AR93" i="3" s="1"/>
  <c r="AL92" i="3"/>
  <c r="AM92" i="3" s="1"/>
  <c r="AN92" i="3" s="1"/>
  <c r="AO92" i="3" s="1"/>
  <c r="AP92" i="3" s="1"/>
  <c r="AQ92" i="3" s="1"/>
  <c r="AR92" i="3" s="1"/>
  <c r="AL91" i="3"/>
  <c r="AM91" i="3" s="1"/>
  <c r="AN91" i="3" s="1"/>
  <c r="AO91" i="3" s="1"/>
  <c r="AP91" i="3" s="1"/>
  <c r="AQ91" i="3" s="1"/>
  <c r="AR91" i="3" s="1"/>
  <c r="AL90" i="3"/>
  <c r="AM90" i="3" s="1"/>
  <c r="AN90" i="3" s="1"/>
  <c r="AO90" i="3" s="1"/>
  <c r="AP90" i="3" s="1"/>
  <c r="AQ90" i="3" s="1"/>
  <c r="AR90" i="3" s="1"/>
  <c r="AL89" i="3"/>
  <c r="AM89" i="3" s="1"/>
  <c r="AN89" i="3" s="1"/>
  <c r="AO89" i="3" s="1"/>
  <c r="AP89" i="3" s="1"/>
  <c r="AQ89" i="3" s="1"/>
  <c r="AR89" i="3" s="1"/>
  <c r="AL88" i="3"/>
  <c r="AM88" i="3" s="1"/>
  <c r="AN88" i="3" s="1"/>
  <c r="AO88" i="3" s="1"/>
  <c r="AP88" i="3" s="1"/>
  <c r="AQ88" i="3" s="1"/>
  <c r="AR88" i="3" s="1"/>
  <c r="AL87" i="3"/>
  <c r="AM87" i="3" s="1"/>
  <c r="AN87" i="3" s="1"/>
  <c r="AO87" i="3" s="1"/>
  <c r="AP87" i="3" s="1"/>
  <c r="AQ87" i="3" s="1"/>
  <c r="AR87" i="3" s="1"/>
  <c r="AL86" i="3"/>
  <c r="AM86" i="3" s="1"/>
  <c r="AN86" i="3" s="1"/>
  <c r="AO86" i="3" s="1"/>
  <c r="AP86" i="3" s="1"/>
  <c r="AQ86" i="3" s="1"/>
  <c r="AR86" i="3" s="1"/>
  <c r="AL85" i="3"/>
  <c r="AM85" i="3" s="1"/>
  <c r="AN85" i="3" s="1"/>
  <c r="AO85" i="3" s="1"/>
  <c r="AP85" i="3" s="1"/>
  <c r="AQ85" i="3" s="1"/>
  <c r="AR85" i="3" s="1"/>
  <c r="AL84" i="3"/>
  <c r="AM84" i="3" s="1"/>
  <c r="AN84" i="3" s="1"/>
  <c r="AO84" i="3" s="1"/>
  <c r="AP84" i="3" s="1"/>
  <c r="AQ84" i="3" s="1"/>
  <c r="AR84" i="3" s="1"/>
  <c r="AL83" i="3"/>
  <c r="AM83" i="3" s="1"/>
  <c r="AN83" i="3" s="1"/>
  <c r="AO83" i="3" s="1"/>
  <c r="AP83" i="3" s="1"/>
  <c r="AQ83" i="3" s="1"/>
  <c r="AR83" i="3" s="1"/>
  <c r="AL82" i="3"/>
  <c r="AM82" i="3" s="1"/>
  <c r="AN82" i="3" s="1"/>
  <c r="AO82" i="3" s="1"/>
  <c r="AP82" i="3" s="1"/>
  <c r="AQ82" i="3" s="1"/>
  <c r="AR82" i="3" s="1"/>
  <c r="AL81" i="3"/>
  <c r="AM81" i="3" s="1"/>
  <c r="AN81" i="3" s="1"/>
  <c r="AO81" i="3" s="1"/>
  <c r="AP81" i="3" s="1"/>
  <c r="AQ81" i="3" s="1"/>
  <c r="AR81" i="3" s="1"/>
  <c r="AL80" i="3"/>
  <c r="AM80" i="3" s="1"/>
  <c r="AN80" i="3" s="1"/>
  <c r="AO80" i="3" s="1"/>
  <c r="AP80" i="3" s="1"/>
  <c r="AQ80" i="3" s="1"/>
  <c r="AR80" i="3" s="1"/>
  <c r="AL79" i="3"/>
  <c r="AM79" i="3" s="1"/>
  <c r="AN79" i="3" s="1"/>
  <c r="AO79" i="3" s="1"/>
  <c r="AP79" i="3" s="1"/>
  <c r="AQ79" i="3" s="1"/>
  <c r="AR79" i="3" s="1"/>
  <c r="AL78" i="3"/>
  <c r="AM78" i="3" s="1"/>
  <c r="AN78" i="3" s="1"/>
  <c r="AO78" i="3" s="1"/>
  <c r="AP78" i="3" s="1"/>
  <c r="AQ78" i="3" s="1"/>
  <c r="AR78" i="3" s="1"/>
  <c r="AL77" i="3"/>
  <c r="AM77" i="3" s="1"/>
  <c r="AN77" i="3" s="1"/>
  <c r="AO77" i="3" s="1"/>
  <c r="AP77" i="3" s="1"/>
  <c r="AQ77" i="3" s="1"/>
  <c r="AR77" i="3" s="1"/>
  <c r="AL76" i="3"/>
  <c r="AM76" i="3" s="1"/>
  <c r="AN76" i="3" s="1"/>
  <c r="AO76" i="3" s="1"/>
  <c r="AP76" i="3" s="1"/>
  <c r="AQ76" i="3" s="1"/>
  <c r="AR76" i="3" s="1"/>
  <c r="AL74" i="3"/>
  <c r="AM74" i="3" s="1"/>
  <c r="AN74" i="3" s="1"/>
  <c r="AO74" i="3" s="1"/>
  <c r="AP74" i="3" s="1"/>
  <c r="AQ74" i="3" s="1"/>
  <c r="AR74" i="3" s="1"/>
  <c r="AL73" i="3"/>
  <c r="AM73" i="3" s="1"/>
  <c r="AN73" i="3" s="1"/>
  <c r="AO73" i="3" s="1"/>
  <c r="AP73" i="3" s="1"/>
  <c r="AQ73" i="3" s="1"/>
  <c r="AR73" i="3" s="1"/>
  <c r="AL72" i="3"/>
  <c r="AM72" i="3" s="1"/>
  <c r="AN72" i="3" s="1"/>
  <c r="AO72" i="3" s="1"/>
  <c r="AP72" i="3" s="1"/>
  <c r="AQ72" i="3" s="1"/>
  <c r="AR72" i="3" s="1"/>
  <c r="AL71" i="3"/>
  <c r="AM71" i="3" s="1"/>
  <c r="AN71" i="3" s="1"/>
  <c r="AO71" i="3" s="1"/>
  <c r="AP71" i="3" s="1"/>
  <c r="AQ71" i="3" s="1"/>
  <c r="AR71" i="3" s="1"/>
  <c r="AL70" i="3"/>
  <c r="AM70" i="3" s="1"/>
  <c r="AN70" i="3" s="1"/>
  <c r="AO70" i="3" s="1"/>
  <c r="AP70" i="3" s="1"/>
  <c r="AQ70" i="3" s="1"/>
  <c r="AR70" i="3" s="1"/>
  <c r="AL69" i="3"/>
  <c r="AM69" i="3" s="1"/>
  <c r="AN69" i="3" s="1"/>
  <c r="AO69" i="3" s="1"/>
  <c r="AP69" i="3" s="1"/>
  <c r="AQ69" i="3" s="1"/>
  <c r="AR69" i="3" s="1"/>
  <c r="AL68" i="3"/>
  <c r="AM68" i="3" s="1"/>
  <c r="AN68" i="3" s="1"/>
  <c r="AO68" i="3" s="1"/>
  <c r="AP68" i="3" s="1"/>
  <c r="AQ68" i="3" s="1"/>
  <c r="AR68" i="3" s="1"/>
  <c r="AL67" i="3"/>
  <c r="AM67" i="3" s="1"/>
  <c r="AN67" i="3" s="1"/>
  <c r="AO67" i="3" s="1"/>
  <c r="AP67" i="3" s="1"/>
  <c r="AQ67" i="3" s="1"/>
  <c r="AR67" i="3" s="1"/>
  <c r="AL66" i="3"/>
  <c r="AM66" i="3" s="1"/>
  <c r="AN66" i="3" s="1"/>
  <c r="AO66" i="3" s="1"/>
  <c r="AP66" i="3" s="1"/>
  <c r="AQ66" i="3" s="1"/>
  <c r="AR66" i="3" s="1"/>
  <c r="AL65" i="3"/>
  <c r="AM65" i="3" s="1"/>
  <c r="AN65" i="3" s="1"/>
  <c r="AO65" i="3" s="1"/>
  <c r="AP65" i="3" s="1"/>
  <c r="AQ65" i="3" s="1"/>
  <c r="AR65" i="3" s="1"/>
  <c r="AL64" i="3"/>
  <c r="AM64" i="3" s="1"/>
  <c r="AN64" i="3" s="1"/>
  <c r="AO64" i="3" s="1"/>
  <c r="AP64" i="3" s="1"/>
  <c r="AQ64" i="3" s="1"/>
  <c r="AR64" i="3" s="1"/>
  <c r="AL63" i="3"/>
  <c r="AM63" i="3" s="1"/>
  <c r="AN63" i="3" s="1"/>
  <c r="AO63" i="3" s="1"/>
  <c r="AP63" i="3" s="1"/>
  <c r="AQ63" i="3" s="1"/>
  <c r="AR63" i="3" s="1"/>
  <c r="AL62" i="3"/>
  <c r="AM62" i="3" s="1"/>
  <c r="AN62" i="3" s="1"/>
  <c r="AO62" i="3" s="1"/>
  <c r="AP62" i="3" s="1"/>
  <c r="AQ62" i="3" s="1"/>
  <c r="AR62" i="3" s="1"/>
  <c r="AL61" i="3"/>
  <c r="AM61" i="3" s="1"/>
  <c r="AN61" i="3" s="1"/>
  <c r="AO61" i="3" s="1"/>
  <c r="AP61" i="3" s="1"/>
  <c r="AQ61" i="3" s="1"/>
  <c r="AR61" i="3" s="1"/>
  <c r="AL60" i="3"/>
  <c r="AM60" i="3" s="1"/>
  <c r="AN60" i="3" s="1"/>
  <c r="AO60" i="3" s="1"/>
  <c r="AP60" i="3" s="1"/>
  <c r="AQ60" i="3" s="1"/>
  <c r="AR60" i="3" s="1"/>
  <c r="AL59" i="3"/>
  <c r="AM59" i="3" s="1"/>
  <c r="AN59" i="3" s="1"/>
  <c r="AO59" i="3" s="1"/>
  <c r="AP59" i="3" s="1"/>
  <c r="AQ59" i="3" s="1"/>
  <c r="AR59" i="3" s="1"/>
  <c r="AL58" i="3"/>
  <c r="AM58" i="3" s="1"/>
  <c r="AN58" i="3" s="1"/>
  <c r="AO58" i="3" s="1"/>
  <c r="AP58" i="3" s="1"/>
  <c r="AQ58" i="3" s="1"/>
  <c r="AR58" i="3" s="1"/>
  <c r="AL57" i="3"/>
  <c r="AM57" i="3" s="1"/>
  <c r="AN57" i="3" s="1"/>
  <c r="AO57" i="3" s="1"/>
  <c r="AP57" i="3" s="1"/>
  <c r="AQ57" i="3" s="1"/>
  <c r="AR57" i="3" s="1"/>
  <c r="AL56" i="3"/>
  <c r="AM56" i="3" s="1"/>
  <c r="AN56" i="3" s="1"/>
  <c r="AO56" i="3" s="1"/>
  <c r="AP56" i="3" s="1"/>
  <c r="AQ56" i="3" s="1"/>
  <c r="AR56" i="3" s="1"/>
  <c r="AL55" i="3"/>
  <c r="AM55" i="3" s="1"/>
  <c r="AN55" i="3" s="1"/>
  <c r="AO55" i="3" s="1"/>
  <c r="AP55" i="3" s="1"/>
  <c r="AQ55" i="3" s="1"/>
  <c r="AR55" i="3" s="1"/>
  <c r="AL54" i="3"/>
  <c r="AM54" i="3" s="1"/>
  <c r="AN54" i="3" s="1"/>
  <c r="AO54" i="3" s="1"/>
  <c r="AP54" i="3" s="1"/>
  <c r="AQ54" i="3" s="1"/>
  <c r="AR54" i="3" s="1"/>
  <c r="AL53" i="3"/>
  <c r="AM53" i="3" s="1"/>
  <c r="AN53" i="3" s="1"/>
  <c r="AO53" i="3" s="1"/>
  <c r="AP53" i="3" s="1"/>
  <c r="AQ53" i="3" s="1"/>
  <c r="AR53" i="3" s="1"/>
  <c r="AL52" i="3"/>
  <c r="AM52" i="3" s="1"/>
  <c r="AN52" i="3" s="1"/>
  <c r="AO52" i="3" s="1"/>
  <c r="AP52" i="3" s="1"/>
  <c r="AQ52" i="3" s="1"/>
  <c r="AR52" i="3" s="1"/>
  <c r="AL51" i="3"/>
  <c r="AM51" i="3" s="1"/>
  <c r="AN51" i="3" s="1"/>
  <c r="AO51" i="3" s="1"/>
  <c r="AP51" i="3" s="1"/>
  <c r="AQ51" i="3" s="1"/>
  <c r="AR51" i="3" s="1"/>
  <c r="AL50" i="3"/>
  <c r="AM50" i="3" s="1"/>
  <c r="AN50" i="3" s="1"/>
  <c r="AO50" i="3" s="1"/>
  <c r="AP50" i="3" s="1"/>
  <c r="AQ50" i="3" s="1"/>
  <c r="AR50" i="3" s="1"/>
  <c r="AL49" i="3"/>
  <c r="AM49" i="3" s="1"/>
  <c r="AN49" i="3" s="1"/>
  <c r="AO49" i="3" s="1"/>
  <c r="AP49" i="3" s="1"/>
  <c r="AQ49" i="3" s="1"/>
  <c r="AR49" i="3" s="1"/>
  <c r="AL48" i="3"/>
  <c r="AM48" i="3" s="1"/>
  <c r="AN48" i="3" s="1"/>
  <c r="AO48" i="3" s="1"/>
  <c r="AP48" i="3" s="1"/>
  <c r="AQ48" i="3" s="1"/>
  <c r="AR48" i="3" s="1"/>
  <c r="AL47" i="3"/>
  <c r="AM47" i="3" s="1"/>
  <c r="AN47" i="3" s="1"/>
  <c r="AO47" i="3" s="1"/>
  <c r="AP47" i="3" s="1"/>
  <c r="AQ47" i="3" s="1"/>
  <c r="AR47" i="3" s="1"/>
  <c r="AL46" i="3"/>
  <c r="AM46" i="3" s="1"/>
  <c r="AN46" i="3" s="1"/>
  <c r="AO46" i="3" s="1"/>
  <c r="AP46" i="3" s="1"/>
  <c r="AQ46" i="3" s="1"/>
  <c r="AR46" i="3" s="1"/>
  <c r="AL45" i="3"/>
  <c r="AM45" i="3" s="1"/>
  <c r="AN45" i="3" s="1"/>
  <c r="AO45" i="3" s="1"/>
  <c r="AP45" i="3" s="1"/>
  <c r="AQ45" i="3" s="1"/>
  <c r="AR45" i="3" s="1"/>
  <c r="AL44" i="3"/>
  <c r="AM44" i="3" s="1"/>
  <c r="AN44" i="3" s="1"/>
  <c r="AO44" i="3" s="1"/>
  <c r="AP44" i="3" s="1"/>
  <c r="AQ44" i="3" s="1"/>
  <c r="AR44" i="3" s="1"/>
  <c r="AL43" i="3"/>
  <c r="AM43" i="3" s="1"/>
  <c r="AN43" i="3" s="1"/>
  <c r="AO43" i="3" s="1"/>
  <c r="AP43" i="3" s="1"/>
  <c r="AQ43" i="3" s="1"/>
  <c r="AR43" i="3" s="1"/>
  <c r="AL42" i="3"/>
  <c r="AM42" i="3" s="1"/>
  <c r="AN42" i="3" s="1"/>
  <c r="AO42" i="3" s="1"/>
  <c r="AP42" i="3" s="1"/>
  <c r="AQ42" i="3" s="1"/>
  <c r="AR42" i="3" s="1"/>
  <c r="AL41" i="3"/>
  <c r="AM41" i="3" s="1"/>
  <c r="AN41" i="3" s="1"/>
  <c r="AO41" i="3" s="1"/>
  <c r="AP41" i="3" s="1"/>
  <c r="AQ41" i="3" s="1"/>
  <c r="AR41" i="3" s="1"/>
  <c r="AL40" i="3"/>
  <c r="AM40" i="3" s="1"/>
  <c r="AN40" i="3" s="1"/>
  <c r="AO40" i="3" s="1"/>
  <c r="AP40" i="3" s="1"/>
  <c r="AQ40" i="3" s="1"/>
  <c r="AR40" i="3" s="1"/>
  <c r="AL39" i="3"/>
  <c r="AM39" i="3" s="1"/>
  <c r="AN39" i="3" s="1"/>
  <c r="AO39" i="3" s="1"/>
  <c r="AP39" i="3" s="1"/>
  <c r="AQ39" i="3" s="1"/>
  <c r="AR39" i="3" s="1"/>
  <c r="AL38" i="3"/>
  <c r="AM38" i="3" s="1"/>
  <c r="AN38" i="3" s="1"/>
  <c r="AO38" i="3" s="1"/>
  <c r="AP38" i="3" s="1"/>
  <c r="AQ38" i="3" s="1"/>
  <c r="AR38" i="3" s="1"/>
  <c r="AL37" i="3"/>
  <c r="AM37" i="3" s="1"/>
  <c r="AN37" i="3" s="1"/>
  <c r="AO37" i="3" s="1"/>
  <c r="AP37" i="3" s="1"/>
  <c r="AQ37" i="3" s="1"/>
  <c r="AR37" i="3" s="1"/>
  <c r="AL36" i="3"/>
  <c r="AM36" i="3" s="1"/>
  <c r="AN36" i="3" s="1"/>
  <c r="AO36" i="3" s="1"/>
  <c r="AP36" i="3" s="1"/>
  <c r="AQ36" i="3" s="1"/>
  <c r="AR36" i="3" s="1"/>
  <c r="AL35" i="3"/>
  <c r="AM35" i="3" s="1"/>
  <c r="AN35" i="3" s="1"/>
  <c r="AO35" i="3" s="1"/>
  <c r="AP35" i="3" s="1"/>
  <c r="AQ35" i="3" s="1"/>
  <c r="AR35" i="3" s="1"/>
  <c r="AL34" i="3"/>
  <c r="AM34" i="3" s="1"/>
  <c r="AN34" i="3" s="1"/>
  <c r="AO34" i="3" s="1"/>
  <c r="AP34" i="3" s="1"/>
  <c r="AQ34" i="3" s="1"/>
  <c r="AR34" i="3" s="1"/>
  <c r="AL33" i="3"/>
  <c r="AM33" i="3" s="1"/>
  <c r="AN33" i="3" s="1"/>
  <c r="AO33" i="3" s="1"/>
  <c r="AP33" i="3" s="1"/>
  <c r="AQ33" i="3" s="1"/>
  <c r="AR33" i="3" s="1"/>
  <c r="AL32" i="3"/>
  <c r="AM32" i="3" s="1"/>
  <c r="AN32" i="3" s="1"/>
  <c r="AO32" i="3" s="1"/>
  <c r="AP32" i="3" s="1"/>
  <c r="AQ32" i="3" s="1"/>
  <c r="AR32" i="3" s="1"/>
  <c r="AL31" i="3"/>
  <c r="AM31" i="3" s="1"/>
  <c r="AN31" i="3" s="1"/>
  <c r="AO31" i="3" s="1"/>
  <c r="AP31" i="3" s="1"/>
  <c r="AQ31" i="3" s="1"/>
  <c r="AR31" i="3" s="1"/>
  <c r="AL30" i="3"/>
  <c r="AM30" i="3" s="1"/>
  <c r="AN30" i="3" s="1"/>
  <c r="AO30" i="3" s="1"/>
  <c r="AP30" i="3" s="1"/>
  <c r="AQ30" i="3" s="1"/>
  <c r="AR30" i="3" s="1"/>
  <c r="AL29" i="3"/>
  <c r="AM29" i="3" s="1"/>
  <c r="AN29" i="3" s="1"/>
  <c r="AO29" i="3" s="1"/>
  <c r="AP29" i="3" s="1"/>
  <c r="AQ29" i="3" s="1"/>
  <c r="AR29" i="3" s="1"/>
  <c r="AL28" i="3"/>
  <c r="AM28" i="3" s="1"/>
  <c r="AN28" i="3" s="1"/>
  <c r="AO28" i="3" s="1"/>
  <c r="AP28" i="3" s="1"/>
  <c r="AQ28" i="3" s="1"/>
  <c r="AR28" i="3" s="1"/>
  <c r="AL27" i="3"/>
  <c r="AM27" i="3" s="1"/>
  <c r="AN27" i="3" s="1"/>
  <c r="AO27" i="3" s="1"/>
  <c r="AP27" i="3" s="1"/>
  <c r="AQ27" i="3" s="1"/>
  <c r="AR27" i="3" s="1"/>
  <c r="AL26" i="3"/>
  <c r="AM26" i="3" s="1"/>
  <c r="AN26" i="3" s="1"/>
  <c r="AO26" i="3" s="1"/>
  <c r="AP26" i="3" s="1"/>
  <c r="AQ26" i="3" s="1"/>
  <c r="AR26" i="3" s="1"/>
  <c r="AL25" i="3"/>
  <c r="AM25" i="3" s="1"/>
  <c r="AN25" i="3" s="1"/>
  <c r="AO25" i="3" s="1"/>
  <c r="AP25" i="3" s="1"/>
  <c r="AQ25" i="3" s="1"/>
  <c r="AR25" i="3" s="1"/>
  <c r="AL24" i="3"/>
  <c r="AM24" i="3" s="1"/>
  <c r="AN24" i="3" s="1"/>
  <c r="AO24" i="3" s="1"/>
  <c r="AP24" i="3" s="1"/>
  <c r="AQ24" i="3" s="1"/>
  <c r="AR24" i="3" s="1"/>
  <c r="AL23" i="3"/>
  <c r="AM23" i="3" s="1"/>
  <c r="AN23" i="3" s="1"/>
  <c r="AO23" i="3" s="1"/>
  <c r="AP23" i="3" s="1"/>
  <c r="AQ23" i="3" s="1"/>
  <c r="AR23" i="3" s="1"/>
  <c r="AL22" i="3"/>
  <c r="AM22" i="3" s="1"/>
  <c r="AN22" i="3" s="1"/>
  <c r="AO22" i="3" s="1"/>
  <c r="AP22" i="3" s="1"/>
  <c r="AQ22" i="3" s="1"/>
  <c r="AR22" i="3" s="1"/>
  <c r="AL21" i="3"/>
  <c r="AM21" i="3" s="1"/>
  <c r="AN21" i="3" s="1"/>
  <c r="AO21" i="3" s="1"/>
  <c r="AP21" i="3" s="1"/>
  <c r="AQ21" i="3" s="1"/>
  <c r="AR21" i="3" s="1"/>
  <c r="AL19" i="3"/>
  <c r="AM19" i="3" s="1"/>
  <c r="AN19" i="3" s="1"/>
  <c r="AO19" i="3" s="1"/>
  <c r="AP19" i="3" s="1"/>
  <c r="AQ19" i="3" s="1"/>
  <c r="AR19" i="3" s="1"/>
  <c r="AL17" i="3"/>
  <c r="AM17" i="3" s="1"/>
  <c r="AN17" i="3" s="1"/>
  <c r="AO17" i="3" s="1"/>
  <c r="AP17" i="3" s="1"/>
  <c r="AQ17" i="3" s="1"/>
  <c r="AR17" i="3" s="1"/>
  <c r="AL16" i="3"/>
  <c r="AM16" i="3" s="1"/>
  <c r="AN16" i="3" s="1"/>
  <c r="AO16" i="3" s="1"/>
  <c r="AP16" i="3" s="1"/>
  <c r="AQ16" i="3" s="1"/>
  <c r="AR16" i="3" s="1"/>
  <c r="AL14" i="3"/>
  <c r="AL13" i="3"/>
  <c r="AM13" i="3" s="1"/>
  <c r="AN13" i="3" s="1"/>
  <c r="AO13" i="3" s="1"/>
  <c r="AP13" i="3" s="1"/>
  <c r="AQ13" i="3" s="1"/>
  <c r="AR13" i="3" s="1"/>
  <c r="AL12" i="3"/>
  <c r="AM12" i="3" s="1"/>
  <c r="AN12" i="3" s="1"/>
  <c r="AO12" i="3" s="1"/>
  <c r="AP12" i="3" s="1"/>
  <c r="AQ12" i="3" s="1"/>
  <c r="AR12" i="3" s="1"/>
  <c r="AG13" i="3"/>
  <c r="AM6" i="3"/>
  <c r="AV5" i="3" l="1"/>
  <c r="AW4" i="3"/>
  <c r="AW5" i="3"/>
  <c r="AG14" i="3" l="1"/>
  <c r="AG16" i="3" s="1"/>
  <c r="AJ11" i="3"/>
  <c r="AI11" i="3"/>
  <c r="AG17" i="3" l="1"/>
  <c r="AG18" i="3"/>
  <c r="AG20" i="3" s="1"/>
  <c r="AG15" i="3"/>
  <c r="AJ9" i="3"/>
  <c r="AJ12" i="3"/>
  <c r="AV4" i="3"/>
  <c r="AY13" i="3"/>
  <c r="AX13" i="3"/>
  <c r="AZ13" i="3" s="1"/>
  <c r="AX12" i="3"/>
  <c r="AZ12" i="3" s="1"/>
  <c r="AY12" i="3"/>
  <c r="AG21" i="3" l="1"/>
  <c r="AG22" i="3"/>
  <c r="AG19" i="3"/>
  <c r="AK12" i="3"/>
  <c r="AJ13" i="3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AJ24" i="3" s="1"/>
  <c r="AJ25" i="3" s="1"/>
  <c r="AJ26" i="3" s="1"/>
  <c r="AJ27" i="3" s="1"/>
  <c r="AJ28" i="3" s="1"/>
  <c r="AJ29" i="3" s="1"/>
  <c r="AJ30" i="3" s="1"/>
  <c r="AJ31" i="3" s="1"/>
  <c r="AJ32" i="3" s="1"/>
  <c r="AJ33" i="3" s="1"/>
  <c r="AJ34" i="3" s="1"/>
  <c r="AJ35" i="3" s="1"/>
  <c r="AJ36" i="3" s="1"/>
  <c r="AJ37" i="3" s="1"/>
  <c r="AJ38" i="3" s="1"/>
  <c r="AJ39" i="3" s="1"/>
  <c r="AJ40" i="3" s="1"/>
  <c r="AJ41" i="3" s="1"/>
  <c r="AJ42" i="3" s="1"/>
  <c r="AJ43" i="3" s="1"/>
  <c r="AJ44" i="3" s="1"/>
  <c r="AJ45" i="3" s="1"/>
  <c r="AJ46" i="3" s="1"/>
  <c r="AJ47" i="3" s="1"/>
  <c r="AJ48" i="3" s="1"/>
  <c r="AJ49" i="3" s="1"/>
  <c r="AJ50" i="3" s="1"/>
  <c r="AJ51" i="3" s="1"/>
  <c r="AJ52" i="3" s="1"/>
  <c r="AJ53" i="3" s="1"/>
  <c r="AJ54" i="3" s="1"/>
  <c r="AJ55" i="3" s="1"/>
  <c r="AJ56" i="3" s="1"/>
  <c r="AJ57" i="3" s="1"/>
  <c r="AJ58" i="3" s="1"/>
  <c r="AJ59" i="3" s="1"/>
  <c r="AJ60" i="3" s="1"/>
  <c r="AJ61" i="3" s="1"/>
  <c r="AJ62" i="3" s="1"/>
  <c r="AJ63" i="3" s="1"/>
  <c r="AJ64" i="3" s="1"/>
  <c r="AJ65" i="3" s="1"/>
  <c r="AJ66" i="3" s="1"/>
  <c r="AJ67" i="3" s="1"/>
  <c r="AJ68" i="3" s="1"/>
  <c r="AJ69" i="3" s="1"/>
  <c r="AJ70" i="3" s="1"/>
  <c r="AJ71" i="3" s="1"/>
  <c r="AJ72" i="3" s="1"/>
  <c r="AJ73" i="3" s="1"/>
  <c r="AJ74" i="3" s="1"/>
  <c r="AJ75" i="3" s="1"/>
  <c r="AJ76" i="3" s="1"/>
  <c r="AW6" i="3"/>
  <c r="AW7" i="3" s="1"/>
  <c r="AI5" i="3" s="1"/>
  <c r="AI134" i="3"/>
  <c r="AI136" i="3" s="1"/>
  <c r="AI138" i="3" s="1"/>
  <c r="AI140" i="3" s="1"/>
  <c r="AI142" i="3" s="1"/>
  <c r="AV6" i="3"/>
  <c r="AG24" i="3" l="1"/>
  <c r="AG23" i="3"/>
  <c r="AJ77" i="3"/>
  <c r="AJ78" i="3" s="1"/>
  <c r="AV7" i="3"/>
  <c r="F9" i="3" s="1"/>
  <c r="AG25" i="3" l="1"/>
  <c r="AG26" i="3"/>
  <c r="AJ79" i="3"/>
  <c r="AJ80" i="3" s="1"/>
  <c r="H4" i="3"/>
  <c r="AG28" i="3" l="1"/>
  <c r="AG27" i="3"/>
  <c r="AJ81" i="3"/>
  <c r="AJ82" i="3" s="1"/>
  <c r="C13" i="3"/>
  <c r="C15" i="3" s="1"/>
  <c r="C17" i="3" s="1"/>
  <c r="C19" i="3" s="1"/>
  <c r="C21" i="3" s="1"/>
  <c r="C23" i="3" s="1"/>
  <c r="C25" i="3" s="1"/>
  <c r="C27" i="3" s="1"/>
  <c r="C29" i="3" s="1"/>
  <c r="C31" i="3" s="1"/>
  <c r="C33" i="3" s="1"/>
  <c r="C35" i="3" s="1"/>
  <c r="C37" i="3" s="1"/>
  <c r="C39" i="3" s="1"/>
  <c r="C41" i="3" s="1"/>
  <c r="C43" i="3" s="1"/>
  <c r="C45" i="3" s="1"/>
  <c r="C47" i="3" s="1"/>
  <c r="C49" i="3" s="1"/>
  <c r="C51" i="3" s="1"/>
  <c r="C53" i="3" s="1"/>
  <c r="C55" i="3" s="1"/>
  <c r="C57" i="3" s="1"/>
  <c r="C59" i="3" s="1"/>
  <c r="C61" i="3" s="1"/>
  <c r="C63" i="3" s="1"/>
  <c r="C65" i="3" s="1"/>
  <c r="C67" i="3" s="1"/>
  <c r="C69" i="3" s="1"/>
  <c r="C71" i="3" s="1"/>
  <c r="C73" i="3" s="1"/>
  <c r="C75" i="3" s="1"/>
  <c r="C77" i="3" s="1"/>
  <c r="C79" i="3" s="1"/>
  <c r="C81" i="3" s="1"/>
  <c r="C83" i="3" s="1"/>
  <c r="C85" i="3" s="1"/>
  <c r="C87" i="3" s="1"/>
  <c r="C89" i="3" s="1"/>
  <c r="C91" i="3" s="1"/>
  <c r="C93" i="3" s="1"/>
  <c r="C95" i="3" s="1"/>
  <c r="C97" i="3" s="1"/>
  <c r="C99" i="3" s="1"/>
  <c r="C101" i="3" s="1"/>
  <c r="C103" i="3" s="1"/>
  <c r="C105" i="3" s="1"/>
  <c r="C107" i="3" s="1"/>
  <c r="C109" i="3" s="1"/>
  <c r="C111" i="3" s="1"/>
  <c r="C113" i="3" s="1"/>
  <c r="C115" i="3" s="1"/>
  <c r="C117" i="3" s="1"/>
  <c r="C119" i="3" s="1"/>
  <c r="C121" i="3" s="1"/>
  <c r="C123" i="3" s="1"/>
  <c r="C12" i="3"/>
  <c r="C14" i="3" s="1"/>
  <c r="C16" i="3" s="1"/>
  <c r="C18" i="3" s="1"/>
  <c r="C20" i="3" s="1"/>
  <c r="C22" i="3" s="1"/>
  <c r="C24" i="3" s="1"/>
  <c r="C26" i="3" s="1"/>
  <c r="C28" i="3" s="1"/>
  <c r="C30" i="3" s="1"/>
  <c r="C32" i="3" s="1"/>
  <c r="C34" i="3" s="1"/>
  <c r="C36" i="3" s="1"/>
  <c r="C38" i="3" s="1"/>
  <c r="C40" i="3" s="1"/>
  <c r="C42" i="3" s="1"/>
  <c r="C44" i="3" s="1"/>
  <c r="C46" i="3" s="1"/>
  <c r="C48" i="3" s="1"/>
  <c r="C50" i="3" s="1"/>
  <c r="C52" i="3" s="1"/>
  <c r="C54" i="3" s="1"/>
  <c r="C56" i="3" s="1"/>
  <c r="C58" i="3" s="1"/>
  <c r="C60" i="3" s="1"/>
  <c r="C62" i="3" s="1"/>
  <c r="C64" i="3" s="1"/>
  <c r="C66" i="3" s="1"/>
  <c r="C68" i="3" s="1"/>
  <c r="C70" i="3" s="1"/>
  <c r="C72" i="3" s="1"/>
  <c r="C74" i="3" s="1"/>
  <c r="C76" i="3" s="1"/>
  <c r="C78" i="3" s="1"/>
  <c r="C80" i="3" s="1"/>
  <c r="C82" i="3" s="1"/>
  <c r="C84" i="3" s="1"/>
  <c r="C86" i="3" s="1"/>
  <c r="C88" i="3" s="1"/>
  <c r="C90" i="3" s="1"/>
  <c r="C92" i="3" s="1"/>
  <c r="C94" i="3" s="1"/>
  <c r="C96" i="3" s="1"/>
  <c r="C98" i="3" s="1"/>
  <c r="C100" i="3" s="1"/>
  <c r="C102" i="3" s="1"/>
  <c r="C104" i="3" s="1"/>
  <c r="C106" i="3" s="1"/>
  <c r="C108" i="3" s="1"/>
  <c r="C110" i="3" s="1"/>
  <c r="C112" i="3" s="1"/>
  <c r="C114" i="3" s="1"/>
  <c r="C116" i="3" s="1"/>
  <c r="C118" i="3" s="1"/>
  <c r="C120" i="3" s="1"/>
  <c r="C122" i="3" s="1"/>
  <c r="B12" i="3"/>
  <c r="B14" i="3" s="1"/>
  <c r="B16" i="3" s="1"/>
  <c r="B18" i="3" s="1"/>
  <c r="B20" i="3" s="1"/>
  <c r="B22" i="3" s="1"/>
  <c r="B24" i="3" s="1"/>
  <c r="B26" i="3" s="1"/>
  <c r="B28" i="3" s="1"/>
  <c r="B30" i="3" s="1"/>
  <c r="B32" i="3" s="1"/>
  <c r="B34" i="3" s="1"/>
  <c r="B36" i="3" s="1"/>
  <c r="B38" i="3" s="1"/>
  <c r="B40" i="3" s="1"/>
  <c r="B42" i="3" s="1"/>
  <c r="B44" i="3" s="1"/>
  <c r="B46" i="3" s="1"/>
  <c r="B48" i="3" s="1"/>
  <c r="B50" i="3" s="1"/>
  <c r="B52" i="3" s="1"/>
  <c r="B54" i="3" s="1"/>
  <c r="B56" i="3" s="1"/>
  <c r="B58" i="3" s="1"/>
  <c r="B60" i="3" s="1"/>
  <c r="B62" i="3" s="1"/>
  <c r="B64" i="3" s="1"/>
  <c r="B66" i="3" s="1"/>
  <c r="B68" i="3" s="1"/>
  <c r="B70" i="3" s="1"/>
  <c r="B72" i="3" s="1"/>
  <c r="B74" i="3" s="1"/>
  <c r="B76" i="3" s="1"/>
  <c r="B78" i="3" s="1"/>
  <c r="B80" i="3" s="1"/>
  <c r="B82" i="3" s="1"/>
  <c r="B84" i="3" s="1"/>
  <c r="B86" i="3" s="1"/>
  <c r="B88" i="3" s="1"/>
  <c r="B90" i="3" s="1"/>
  <c r="B92" i="3" s="1"/>
  <c r="B94" i="3" s="1"/>
  <c r="B96" i="3" s="1"/>
  <c r="B98" i="3" s="1"/>
  <c r="B100" i="3" s="1"/>
  <c r="B102" i="3" s="1"/>
  <c r="B104" i="3" s="1"/>
  <c r="B106" i="3" s="1"/>
  <c r="B108" i="3" s="1"/>
  <c r="B110" i="3" s="1"/>
  <c r="B112" i="3" s="1"/>
  <c r="B114" i="3" s="1"/>
  <c r="B116" i="3" s="1"/>
  <c r="B118" i="3" s="1"/>
  <c r="B120" i="3" s="1"/>
  <c r="B122" i="3" s="1"/>
  <c r="G9" i="3"/>
  <c r="G8" i="3"/>
  <c r="G7" i="3"/>
  <c r="B7" i="3"/>
  <c r="B6" i="3"/>
  <c r="B5" i="3"/>
  <c r="G6" i="3" s="1"/>
  <c r="B4" i="3"/>
  <c r="AG29" i="3" l="1"/>
  <c r="AG30" i="3"/>
  <c r="AJ83" i="3"/>
  <c r="AJ84" i="3" s="1"/>
  <c r="AG32" i="3" l="1"/>
  <c r="AG31" i="3"/>
  <c r="AJ85" i="3"/>
  <c r="AJ86" i="3" s="1"/>
  <c r="AK14" i="3"/>
  <c r="AG34" i="3" l="1"/>
  <c r="AG33" i="3"/>
  <c r="AJ87" i="3"/>
  <c r="AJ88" i="3" s="1"/>
  <c r="AK13" i="3"/>
  <c r="AK16" i="3"/>
  <c r="AK15" i="3" s="1"/>
  <c r="AG36" i="3" l="1"/>
  <c r="AG35" i="3"/>
  <c r="AJ89" i="3"/>
  <c r="AJ90" i="3" s="1"/>
  <c r="AK18" i="3"/>
  <c r="AG38" i="3" l="1"/>
  <c r="AG37" i="3"/>
  <c r="AJ91" i="3"/>
  <c r="AJ92" i="3" s="1"/>
  <c r="AK17" i="3"/>
  <c r="AK20" i="3"/>
  <c r="AG40" i="3" l="1"/>
  <c r="AG39" i="3"/>
  <c r="AJ93" i="3"/>
  <c r="AJ94" i="3" s="1"/>
  <c r="AK22" i="3"/>
  <c r="AK24" i="3" s="1"/>
  <c r="AK19" i="3"/>
  <c r="AG41" i="3" l="1"/>
  <c r="AG42" i="3"/>
  <c r="AK21" i="3"/>
  <c r="AJ95" i="3"/>
  <c r="AJ96" i="3" s="1"/>
  <c r="AK23" i="3"/>
  <c r="AK26" i="3"/>
  <c r="AG44" i="3" l="1"/>
  <c r="AG43" i="3"/>
  <c r="AJ97" i="3"/>
  <c r="AJ98" i="3" s="1"/>
  <c r="AK25" i="3"/>
  <c r="AK28" i="3"/>
  <c r="AG45" i="3" l="1"/>
  <c r="AG46" i="3"/>
  <c r="AJ99" i="3"/>
  <c r="AJ100" i="3" s="1"/>
  <c r="AK27" i="3"/>
  <c r="AK30" i="3"/>
  <c r="AG48" i="3" l="1"/>
  <c r="AG47" i="3"/>
  <c r="AJ101" i="3"/>
  <c r="AJ102" i="3" s="1"/>
  <c r="AK29" i="3"/>
  <c r="AK32" i="3"/>
  <c r="AG50" i="3" l="1"/>
  <c r="AG49" i="3"/>
  <c r="AJ103" i="3"/>
  <c r="AJ104" i="3" s="1"/>
  <c r="AK31" i="3"/>
  <c r="AK34" i="3"/>
  <c r="AG51" i="3" l="1"/>
  <c r="AG52" i="3"/>
  <c r="AJ105" i="3"/>
  <c r="AJ106" i="3" s="1"/>
  <c r="AK36" i="3"/>
  <c r="AK35" i="3" s="1"/>
  <c r="AK33" i="3"/>
  <c r="AG54" i="3" l="1"/>
  <c r="AG53" i="3"/>
  <c r="AJ107" i="3"/>
  <c r="AJ108" i="3" s="1"/>
  <c r="AK38" i="3"/>
  <c r="AK37" i="3" s="1"/>
  <c r="AG56" i="3" l="1"/>
  <c r="AG55" i="3"/>
  <c r="AJ109" i="3"/>
  <c r="AJ110" i="3" s="1"/>
  <c r="AK40" i="3"/>
  <c r="AK39" i="3" s="1"/>
  <c r="AG58" i="3" l="1"/>
  <c r="AG57" i="3"/>
  <c r="AJ111" i="3"/>
  <c r="AJ112" i="3" s="1"/>
  <c r="AK42" i="3"/>
  <c r="AK41" i="3" s="1"/>
  <c r="AG60" i="3" l="1"/>
  <c r="AG59" i="3"/>
  <c r="AJ113" i="3"/>
  <c r="AJ114" i="3" s="1"/>
  <c r="AK44" i="3"/>
  <c r="AK43" i="3" s="1"/>
  <c r="AG62" i="3" l="1"/>
  <c r="AG61" i="3"/>
  <c r="AJ115" i="3"/>
  <c r="AJ116" i="3" s="1"/>
  <c r="AK46" i="3"/>
  <c r="AK45" i="3" s="1"/>
  <c r="AG64" i="3" l="1"/>
  <c r="AG63" i="3"/>
  <c r="AJ117" i="3"/>
  <c r="AJ118" i="3" s="1"/>
  <c r="AK48" i="3"/>
  <c r="AK47" i="3" s="1"/>
  <c r="AG65" i="3" l="1"/>
  <c r="AG66" i="3"/>
  <c r="AJ119" i="3"/>
  <c r="AJ120" i="3" s="1"/>
  <c r="AK50" i="3"/>
  <c r="AK49" i="3" s="1"/>
  <c r="AG68" i="3" l="1"/>
  <c r="AG67" i="3"/>
  <c r="AJ121" i="3"/>
  <c r="AJ122" i="3" s="1"/>
  <c r="AK52" i="3"/>
  <c r="AK51" i="3" s="1"/>
  <c r="AG69" i="3" l="1"/>
  <c r="AG70" i="3"/>
  <c r="AJ123" i="3"/>
  <c r="AK54" i="3"/>
  <c r="AK53" i="3" s="1"/>
  <c r="AG72" i="3" l="1"/>
  <c r="AG71" i="3"/>
  <c r="AK56" i="3"/>
  <c r="AK55" i="3" s="1"/>
  <c r="AG73" i="3" l="1"/>
  <c r="AG74" i="3"/>
  <c r="AK58" i="3"/>
  <c r="AK57" i="3" s="1"/>
  <c r="AG76" i="3" l="1"/>
  <c r="AG75" i="3"/>
  <c r="AK60" i="3"/>
  <c r="AK59" i="3" s="1"/>
  <c r="AG78" i="3" l="1"/>
  <c r="AG77" i="3"/>
  <c r="AK62" i="3"/>
  <c r="AK61" i="3" s="1"/>
  <c r="AG80" i="3" l="1"/>
  <c r="AG79" i="3"/>
  <c r="AK64" i="3"/>
  <c r="AK63" i="3" s="1"/>
  <c r="AG82" i="3" l="1"/>
  <c r="AG81" i="3"/>
  <c r="AK66" i="3"/>
  <c r="AK65" i="3" s="1"/>
  <c r="AG84" i="3" l="1"/>
  <c r="AG83" i="3"/>
  <c r="AK68" i="3"/>
  <c r="AK67" i="3" s="1"/>
  <c r="AG85" i="3" l="1"/>
  <c r="AG86" i="3"/>
  <c r="AK70" i="3"/>
  <c r="AK69" i="3" s="1"/>
  <c r="AG87" i="3" l="1"/>
  <c r="AG88" i="3"/>
  <c r="AK72" i="3"/>
  <c r="AK71" i="3" s="1"/>
  <c r="AG90" i="3" l="1"/>
  <c r="AG89" i="3"/>
  <c r="AK74" i="3"/>
  <c r="AK73" i="3" s="1"/>
  <c r="AG92" i="3" l="1"/>
  <c r="AG91" i="3"/>
  <c r="AK76" i="3"/>
  <c r="AK75" i="3" s="1"/>
  <c r="AG94" i="3" l="1"/>
  <c r="AG93" i="3"/>
  <c r="AK78" i="3"/>
  <c r="AK77" i="3" s="1"/>
  <c r="AG96" i="3" l="1"/>
  <c r="AG95" i="3"/>
  <c r="AK80" i="3"/>
  <c r="AK79" i="3" s="1"/>
  <c r="AG98" i="3" l="1"/>
  <c r="AG97" i="3"/>
  <c r="AK82" i="3"/>
  <c r="AK81" i="3" s="1"/>
  <c r="AG99" i="3" l="1"/>
  <c r="AG100" i="3"/>
  <c r="AK84" i="3"/>
  <c r="AK83" i="3" s="1"/>
  <c r="AG102" i="3" l="1"/>
  <c r="AG101" i="3"/>
  <c r="AK86" i="3"/>
  <c r="AK85" i="3" s="1"/>
  <c r="AG104" i="3" l="1"/>
  <c r="AG103" i="3"/>
  <c r="AK88" i="3"/>
  <c r="AK87" i="3" s="1"/>
  <c r="AG105" i="3" l="1"/>
  <c r="AG106" i="3"/>
  <c r="AK90" i="3"/>
  <c r="AK89" i="3" s="1"/>
  <c r="AG108" i="3" l="1"/>
  <c r="AG107" i="3"/>
  <c r="AK92" i="3"/>
  <c r="AK91" i="3" s="1"/>
  <c r="AG109" i="3" l="1"/>
  <c r="AG110" i="3"/>
  <c r="AK94" i="3"/>
  <c r="AK93" i="3" s="1"/>
  <c r="AG112" i="3" l="1"/>
  <c r="AG111" i="3"/>
  <c r="AK96" i="3"/>
  <c r="AG114" i="3" l="1"/>
  <c r="AG113" i="3"/>
  <c r="AK98" i="3"/>
  <c r="AK95" i="3"/>
  <c r="AG116" i="3" l="1"/>
  <c r="AG115" i="3"/>
  <c r="AK100" i="3"/>
  <c r="AK99" i="3" s="1"/>
  <c r="AK97" i="3"/>
  <c r="AG118" i="3" l="1"/>
  <c r="AG117" i="3"/>
  <c r="AK102" i="3"/>
  <c r="AG119" i="3" l="1"/>
  <c r="AG120" i="3"/>
  <c r="AK104" i="3"/>
  <c r="AK101" i="3"/>
  <c r="AG122" i="3" l="1"/>
  <c r="AG123" i="3" s="1"/>
  <c r="AG121" i="3"/>
  <c r="AK106" i="3"/>
  <c r="AK105" i="3" s="1"/>
  <c r="AK103" i="3"/>
  <c r="AK108" i="3" l="1"/>
  <c r="AK110" i="3" l="1"/>
  <c r="AK109" i="3" s="1"/>
  <c r="AK107" i="3"/>
  <c r="AK112" i="3" l="1"/>
  <c r="AK111" i="3" s="1"/>
  <c r="AK114" i="3" l="1"/>
  <c r="AK113" i="3" s="1"/>
  <c r="AK116" i="3" l="1"/>
  <c r="AK118" i="3" l="1"/>
  <c r="AK117" i="3" s="1"/>
  <c r="AK115" i="3"/>
  <c r="AK120" i="3" l="1"/>
  <c r="AK122" i="3" s="1"/>
  <c r="AK121" i="3" s="1"/>
  <c r="AK119" i="3" l="1"/>
  <c r="AH21" i="3" l="1"/>
  <c r="AS21" i="3" l="1"/>
  <c r="K21" i="3" s="1"/>
  <c r="AH22" i="3" l="1"/>
  <c r="AS22" i="3" s="1"/>
  <c r="AH23" i="3"/>
  <c r="K22" i="3" l="1"/>
  <c r="AS23" i="3"/>
  <c r="K23" i="3" s="1"/>
  <c r="AH24" i="3"/>
  <c r="AS24" i="3" s="1"/>
  <c r="AT24" i="3" s="1"/>
  <c r="AH25" i="3"/>
  <c r="AH26" i="3"/>
  <c r="AS26" i="3" s="1"/>
  <c r="AH27" i="3"/>
  <c r="AS27" i="3" s="1"/>
  <c r="AH28" i="3"/>
  <c r="AH29" i="3"/>
  <c r="AH30" i="3"/>
  <c r="AH31" i="3"/>
  <c r="AH32" i="3"/>
  <c r="AH33" i="3"/>
  <c r="AS33" i="3" s="1"/>
  <c r="AT26" i="3" l="1"/>
  <c r="AS29" i="3"/>
  <c r="K29" i="3" s="1"/>
  <c r="AS28" i="3"/>
  <c r="AT28" i="3" s="1"/>
  <c r="K24" i="3"/>
  <c r="L24" i="3" s="1"/>
  <c r="K26" i="3"/>
  <c r="L26" i="3" s="1"/>
  <c r="AS32" i="3"/>
  <c r="AS25" i="3"/>
  <c r="K25" i="3" s="1"/>
  <c r="AS31" i="3"/>
  <c r="K31" i="3" s="1"/>
  <c r="K27" i="3"/>
  <c r="AS30" i="3"/>
  <c r="K33" i="3"/>
  <c r="AT32" i="3" l="1"/>
  <c r="AT30" i="3"/>
  <c r="K32" i="3"/>
  <c r="L32" i="3" s="1"/>
  <c r="K30" i="3"/>
  <c r="L30" i="3" s="1"/>
  <c r="K28" i="3"/>
  <c r="L28" i="3" s="1"/>
  <c r="AH34" i="3" l="1"/>
  <c r="AH35" i="3"/>
  <c r="AH36" i="3"/>
  <c r="AH37" i="3"/>
  <c r="AS37" i="3" s="1"/>
  <c r="AH38" i="3"/>
  <c r="AH39" i="3"/>
  <c r="AH40" i="3"/>
  <c r="AH41" i="3"/>
  <c r="AH42" i="3"/>
  <c r="AH43" i="3"/>
  <c r="AH44" i="3"/>
  <c r="AH45" i="3"/>
  <c r="AH46" i="3"/>
  <c r="AS46" i="3" s="1"/>
  <c r="AH47" i="3"/>
  <c r="AS47" i="3" s="1"/>
  <c r="AH48" i="3"/>
  <c r="AH49" i="3"/>
  <c r="AS49" i="3" s="1"/>
  <c r="AH50" i="3"/>
  <c r="AH51" i="3"/>
  <c r="AH52" i="3"/>
  <c r="AH53" i="3"/>
  <c r="AS53" i="3" s="1"/>
  <c r="AS45" i="3" l="1"/>
  <c r="K45" i="3" s="1"/>
  <c r="AS51" i="3"/>
  <c r="K51" i="3" s="1"/>
  <c r="AS34" i="3"/>
  <c r="AT34" i="3" s="1"/>
  <c r="AS40" i="3"/>
  <c r="AS42" i="3"/>
  <c r="AS36" i="3"/>
  <c r="AS44" i="3"/>
  <c r="AT44" i="3" s="1"/>
  <c r="AS38" i="3"/>
  <c r="K46" i="3"/>
  <c r="AS41" i="3"/>
  <c r="K41" i="3" s="1"/>
  <c r="K37" i="3"/>
  <c r="AS39" i="3"/>
  <c r="K39" i="3" s="1"/>
  <c r="AS43" i="3"/>
  <c r="K43" i="3" s="1"/>
  <c r="AS50" i="3"/>
  <c r="AT50" i="3" s="1"/>
  <c r="AS52" i="3"/>
  <c r="AT52" i="3" s="1"/>
  <c r="AS35" i="3"/>
  <c r="K35" i="3" s="1"/>
  <c r="AS48" i="3"/>
  <c r="AT48" i="3" s="1"/>
  <c r="K53" i="3"/>
  <c r="K49" i="3"/>
  <c r="K47" i="3"/>
  <c r="AT42" i="3" l="1"/>
  <c r="AT36" i="3"/>
  <c r="AT38" i="3"/>
  <c r="AT40" i="3"/>
  <c r="AT46" i="3"/>
  <c r="L46" i="3" s="1"/>
  <c r="K52" i="3"/>
  <c r="L52" i="3" s="1"/>
  <c r="K50" i="3"/>
  <c r="L50" i="3" s="1"/>
  <c r="K48" i="3"/>
  <c r="L48" i="3" s="1"/>
  <c r="K44" i="3"/>
  <c r="L44" i="3" s="1"/>
  <c r="K42" i="3"/>
  <c r="L42" i="3" s="1"/>
  <c r="K40" i="3"/>
  <c r="K38" i="3"/>
  <c r="L38" i="3" s="1"/>
  <c r="K36" i="3"/>
  <c r="K34" i="3"/>
  <c r="L34" i="3" s="1"/>
  <c r="L36" i="3" l="1"/>
  <c r="L40" i="3"/>
  <c r="AH54" i="3"/>
  <c r="AH55" i="3"/>
  <c r="AS55" i="3" s="1"/>
  <c r="AH56" i="3"/>
  <c r="AH57" i="3"/>
  <c r="AS57" i="3" s="1"/>
  <c r="AH58" i="3"/>
  <c r="AH59" i="3"/>
  <c r="AH60" i="3"/>
  <c r="AH61" i="3"/>
  <c r="AS61" i="3" s="1"/>
  <c r="AH62" i="3"/>
  <c r="AH63" i="3"/>
  <c r="AH64" i="3"/>
  <c r="AH65" i="3"/>
  <c r="AH66" i="3"/>
  <c r="AH67" i="3"/>
  <c r="AS67" i="3" s="1"/>
  <c r="AH68" i="3"/>
  <c r="AH69" i="3"/>
  <c r="AH70" i="3"/>
  <c r="AS70" i="3" s="1"/>
  <c r="AT70" i="3" s="1"/>
  <c r="AH71" i="3"/>
  <c r="AS71" i="3" s="1"/>
  <c r="AH72" i="3"/>
  <c r="AH73" i="3"/>
  <c r="AS73" i="3" s="1"/>
  <c r="AL75" i="3" s="1"/>
  <c r="AM75" i="3" s="1"/>
  <c r="AN75" i="3" s="1"/>
  <c r="AO75" i="3" s="1"/>
  <c r="AP75" i="3" s="1"/>
  <c r="AQ75" i="3" s="1"/>
  <c r="AR75" i="3" s="1"/>
  <c r="AH74" i="3"/>
  <c r="AH76" i="3"/>
  <c r="AH77" i="3"/>
  <c r="AS77" i="3" s="1"/>
  <c r="AH78" i="3"/>
  <c r="AH79" i="3"/>
  <c r="AH80" i="3"/>
  <c r="AH81" i="3"/>
  <c r="AH82" i="3"/>
  <c r="AH83" i="3"/>
  <c r="AH84" i="3"/>
  <c r="AH85" i="3"/>
  <c r="AH86" i="3"/>
  <c r="AH87" i="3"/>
  <c r="AS87" i="3" s="1"/>
  <c r="AH88" i="3"/>
  <c r="AH89" i="3"/>
  <c r="AH90" i="3"/>
  <c r="AH91" i="3"/>
  <c r="AH92" i="3"/>
  <c r="AH93" i="3"/>
  <c r="AH75" i="3" l="1"/>
  <c r="AS75" i="3" s="1"/>
  <c r="K75" i="3" s="1"/>
  <c r="AS78" i="3"/>
  <c r="AT78" i="3" s="1"/>
  <c r="AS62" i="3"/>
  <c r="AT62" i="3" s="1"/>
  <c r="AS56" i="3"/>
  <c r="AT56" i="3" s="1"/>
  <c r="AS60" i="3"/>
  <c r="AS54" i="3"/>
  <c r="AT54" i="3" s="1"/>
  <c r="AS64" i="3"/>
  <c r="AT64" i="3" s="1"/>
  <c r="AS84" i="3"/>
  <c r="AT84" i="3" s="1"/>
  <c r="AS66" i="3"/>
  <c r="AT66" i="3" s="1"/>
  <c r="AS88" i="3"/>
  <c r="AT88" i="3" s="1"/>
  <c r="AS68" i="3"/>
  <c r="AT68" i="3" s="1"/>
  <c r="AS92" i="3"/>
  <c r="AS86" i="3"/>
  <c r="AT86" i="3" s="1"/>
  <c r="AS80" i="3"/>
  <c r="AT80" i="3" s="1"/>
  <c r="K87" i="3"/>
  <c r="AS69" i="3"/>
  <c r="K69" i="3" s="1"/>
  <c r="AS93" i="3"/>
  <c r="AL95" i="3" s="1"/>
  <c r="AM95" i="3" s="1"/>
  <c r="AN95" i="3" s="1"/>
  <c r="AO95" i="3" s="1"/>
  <c r="AP95" i="3" s="1"/>
  <c r="AQ95" i="3" s="1"/>
  <c r="AR95" i="3" s="1"/>
  <c r="AS63" i="3"/>
  <c r="K63" i="3" s="1"/>
  <c r="K61" i="3"/>
  <c r="AS65" i="3"/>
  <c r="K65" i="3" s="1"/>
  <c r="K55" i="3"/>
  <c r="AS72" i="3"/>
  <c r="AT72" i="3" s="1"/>
  <c r="AS58" i="3"/>
  <c r="AS85" i="3"/>
  <c r="K85" i="3" s="1"/>
  <c r="AS79" i="3"/>
  <c r="K79" i="3" s="1"/>
  <c r="AS82" i="3"/>
  <c r="AT82" i="3" s="1"/>
  <c r="AS89" i="3"/>
  <c r="K89" i="3" s="1"/>
  <c r="AS74" i="3"/>
  <c r="AT74" i="3" s="1"/>
  <c r="AS59" i="3"/>
  <c r="K59" i="3" s="1"/>
  <c r="AS91" i="3"/>
  <c r="K91" i="3" s="1"/>
  <c r="AS76" i="3"/>
  <c r="AT76" i="3" s="1"/>
  <c r="K57" i="3"/>
  <c r="K70" i="3"/>
  <c r="AS83" i="3"/>
  <c r="K83" i="3" s="1"/>
  <c r="AS81" i="3"/>
  <c r="K81" i="3" s="1"/>
  <c r="K67" i="3"/>
  <c r="AS90" i="3"/>
  <c r="AT90" i="3" s="1"/>
  <c r="K77" i="3"/>
  <c r="K73" i="3"/>
  <c r="K71" i="3"/>
  <c r="AT58" i="3" l="1"/>
  <c r="AT60" i="3"/>
  <c r="K93" i="3"/>
  <c r="AT92" i="3"/>
  <c r="AL94" i="3"/>
  <c r="AM94" i="3" s="1"/>
  <c r="AN94" i="3" s="1"/>
  <c r="AO94" i="3" s="1"/>
  <c r="AP94" i="3" s="1"/>
  <c r="AQ94" i="3" s="1"/>
  <c r="AR94" i="3" s="1"/>
  <c r="K92" i="3"/>
  <c r="L92" i="3" s="1"/>
  <c r="K90" i="3"/>
  <c r="L90" i="3" s="1"/>
  <c r="K88" i="3"/>
  <c r="L88" i="3" s="1"/>
  <c r="K86" i="3"/>
  <c r="L86" i="3" s="1"/>
  <c r="K84" i="3"/>
  <c r="L84" i="3" s="1"/>
  <c r="K82" i="3"/>
  <c r="L82" i="3" s="1"/>
  <c r="K80" i="3"/>
  <c r="L80" i="3" s="1"/>
  <c r="K78" i="3"/>
  <c r="L78" i="3" s="1"/>
  <c r="K76" i="3"/>
  <c r="K74" i="3"/>
  <c r="L74" i="3" s="1"/>
  <c r="K72" i="3"/>
  <c r="L72" i="3" s="1"/>
  <c r="K68" i="3"/>
  <c r="L68" i="3" s="1"/>
  <c r="K66" i="3"/>
  <c r="L66" i="3" s="1"/>
  <c r="K64" i="3"/>
  <c r="L64" i="3" s="1"/>
  <c r="K62" i="3"/>
  <c r="L62" i="3" s="1"/>
  <c r="K60" i="3"/>
  <c r="K58" i="3"/>
  <c r="L58" i="3" s="1"/>
  <c r="K56" i="3"/>
  <c r="L56" i="3" s="1"/>
  <c r="K54" i="3"/>
  <c r="L54" i="3" s="1"/>
  <c r="L70" i="3"/>
  <c r="L76" i="3"/>
  <c r="L60" i="3" l="1"/>
  <c r="AH94" i="3"/>
  <c r="AH95" i="3"/>
  <c r="AS95" i="3" s="1"/>
  <c r="AL97" i="3" s="1"/>
  <c r="AM97" i="3" s="1"/>
  <c r="AN97" i="3" s="1"/>
  <c r="AO97" i="3" s="1"/>
  <c r="AP97" i="3" s="1"/>
  <c r="AQ97" i="3" s="1"/>
  <c r="AR97" i="3" s="1"/>
  <c r="AH100" i="3"/>
  <c r="AH101" i="3"/>
  <c r="AS101" i="3" s="1"/>
  <c r="AL103" i="3" s="1"/>
  <c r="AM103" i="3" s="1"/>
  <c r="AN103" i="3" s="1"/>
  <c r="AO103" i="3" s="1"/>
  <c r="AP103" i="3" s="1"/>
  <c r="AQ103" i="3" s="1"/>
  <c r="AR103" i="3" s="1"/>
  <c r="AH108" i="3"/>
  <c r="AH109" i="3"/>
  <c r="AH116" i="3"/>
  <c r="AH117" i="3"/>
  <c r="AS117" i="3" s="1"/>
  <c r="AL119" i="3" s="1"/>
  <c r="AM119" i="3" s="1"/>
  <c r="AN119" i="3" s="1"/>
  <c r="AO119" i="3" s="1"/>
  <c r="AP119" i="3" s="1"/>
  <c r="AQ119" i="3" s="1"/>
  <c r="AR119" i="3" s="1"/>
  <c r="AH97" i="3" l="1"/>
  <c r="AS97" i="3" s="1"/>
  <c r="AL99" i="3" s="1"/>
  <c r="AM99" i="3" s="1"/>
  <c r="AN99" i="3" s="1"/>
  <c r="AO99" i="3" s="1"/>
  <c r="AP99" i="3" s="1"/>
  <c r="AQ99" i="3" s="1"/>
  <c r="AR99" i="3" s="1"/>
  <c r="AH119" i="3"/>
  <c r="AS119" i="3" s="1"/>
  <c r="AL121" i="3" s="1"/>
  <c r="AH103" i="3"/>
  <c r="AS103" i="3" s="1"/>
  <c r="AL105" i="3" s="1"/>
  <c r="AS108" i="3"/>
  <c r="AS100" i="3"/>
  <c r="K100" i="3" s="1"/>
  <c r="AS94" i="3"/>
  <c r="K94" i="3" s="1"/>
  <c r="AS109" i="3"/>
  <c r="AL111" i="3" s="1"/>
  <c r="K101" i="3"/>
  <c r="K95" i="3"/>
  <c r="AS116" i="3"/>
  <c r="K117" i="3"/>
  <c r="K97" i="3" l="1"/>
  <c r="AH99" i="3"/>
  <c r="AT116" i="3"/>
  <c r="AL118" i="3"/>
  <c r="AM121" i="3"/>
  <c r="AN121" i="3" s="1"/>
  <c r="AO121" i="3" s="1"/>
  <c r="AP121" i="3" s="1"/>
  <c r="AQ121" i="3" s="1"/>
  <c r="AR121" i="3" s="1"/>
  <c r="K119" i="3"/>
  <c r="K116" i="3"/>
  <c r="L116" i="3" s="1"/>
  <c r="AT108" i="3"/>
  <c r="AL110" i="3"/>
  <c r="AM111" i="3"/>
  <c r="AN111" i="3" s="1"/>
  <c r="AO111" i="3" s="1"/>
  <c r="AP111" i="3" s="1"/>
  <c r="AQ111" i="3" s="1"/>
  <c r="AR111" i="3" s="1"/>
  <c r="K109" i="3"/>
  <c r="K108" i="3"/>
  <c r="L108" i="3" s="1"/>
  <c r="AM105" i="3"/>
  <c r="AN105" i="3" s="1"/>
  <c r="AO105" i="3" s="1"/>
  <c r="AP105" i="3" s="1"/>
  <c r="AQ105" i="3" s="1"/>
  <c r="AR105" i="3" s="1"/>
  <c r="AT100" i="3"/>
  <c r="L100" i="3" s="1"/>
  <c r="AL102" i="3"/>
  <c r="K103" i="3"/>
  <c r="AT94" i="3"/>
  <c r="L94" i="3" s="1"/>
  <c r="AL96" i="3"/>
  <c r="AH12" i="3"/>
  <c r="AH13" i="3"/>
  <c r="AS13" i="3" s="1"/>
  <c r="AL15" i="3" s="1"/>
  <c r="K99" i="3" l="1"/>
  <c r="AS99" i="3"/>
  <c r="AM118" i="3"/>
  <c r="AN118" i="3" s="1"/>
  <c r="AO118" i="3" s="1"/>
  <c r="AP118" i="3" s="1"/>
  <c r="AQ118" i="3" s="1"/>
  <c r="AR118" i="3" s="1"/>
  <c r="AH121" i="3"/>
  <c r="AH111" i="3"/>
  <c r="AM110" i="3"/>
  <c r="AN110" i="3" s="1"/>
  <c r="AO110" i="3" s="1"/>
  <c r="AP110" i="3" s="1"/>
  <c r="AQ110" i="3" s="1"/>
  <c r="AR110" i="3" s="1"/>
  <c r="AM102" i="3"/>
  <c r="AN102" i="3" s="1"/>
  <c r="AO102" i="3" s="1"/>
  <c r="AP102" i="3" s="1"/>
  <c r="AQ102" i="3" s="1"/>
  <c r="AR102" i="3" s="1"/>
  <c r="AH105" i="3"/>
  <c r="AM96" i="3"/>
  <c r="AN96" i="3" s="1"/>
  <c r="AO96" i="3" s="1"/>
  <c r="AP96" i="3" s="1"/>
  <c r="AQ96" i="3" s="1"/>
  <c r="AR96" i="3" s="1"/>
  <c r="AS12" i="3"/>
  <c r="AS121" i="3" l="1"/>
  <c r="AL123" i="3" s="1"/>
  <c r="K121" i="3"/>
  <c r="AH118" i="3"/>
  <c r="AH110" i="3"/>
  <c r="AS111" i="3"/>
  <c r="AL113" i="3" s="1"/>
  <c r="K111" i="3"/>
  <c r="AS105" i="3"/>
  <c r="AL107" i="3" s="1"/>
  <c r="AH102" i="3"/>
  <c r="AH96" i="3"/>
  <c r="K12" i="3"/>
  <c r="AT12" i="3"/>
  <c r="AI12" i="3"/>
  <c r="AS118" i="3" l="1"/>
  <c r="AM123" i="3"/>
  <c r="AN123" i="3" s="1"/>
  <c r="AO123" i="3" s="1"/>
  <c r="AP123" i="3" s="1"/>
  <c r="AQ123" i="3" s="1"/>
  <c r="AR123" i="3" s="1"/>
  <c r="AM113" i="3"/>
  <c r="AN113" i="3" s="1"/>
  <c r="AO113" i="3" s="1"/>
  <c r="AP113" i="3" s="1"/>
  <c r="AQ113" i="3" s="1"/>
  <c r="AR113" i="3" s="1"/>
  <c r="AS110" i="3"/>
  <c r="AM107" i="3"/>
  <c r="AN107" i="3" s="1"/>
  <c r="AO107" i="3" s="1"/>
  <c r="AP107" i="3" s="1"/>
  <c r="AQ107" i="3" s="1"/>
  <c r="AR107" i="3" s="1"/>
  <c r="K102" i="3"/>
  <c r="AS102" i="3"/>
  <c r="K105" i="3"/>
  <c r="AS96" i="3"/>
  <c r="AM14" i="3"/>
  <c r="AN14" i="3" s="1"/>
  <c r="AO14" i="3" s="1"/>
  <c r="AP14" i="3" s="1"/>
  <c r="AQ14" i="3" s="1"/>
  <c r="AR14" i="3" s="1"/>
  <c r="L12" i="3"/>
  <c r="AI13" i="3"/>
  <c r="AK11" i="3"/>
  <c r="AH123" i="3" l="1"/>
  <c r="AT118" i="3"/>
  <c r="AL120" i="3"/>
  <c r="K118" i="3"/>
  <c r="L118" i="3" s="1"/>
  <c r="AT110" i="3"/>
  <c r="AL112" i="3"/>
  <c r="K110" i="3"/>
  <c r="L110" i="3" s="1"/>
  <c r="AH113" i="3"/>
  <c r="AT102" i="3"/>
  <c r="L102" i="3" s="1"/>
  <c r="AL104" i="3"/>
  <c r="AH107" i="3"/>
  <c r="AT96" i="3"/>
  <c r="AL98" i="3"/>
  <c r="K96" i="3"/>
  <c r="L96" i="3" s="1"/>
  <c r="AH14" i="3"/>
  <c r="AM120" i="3" l="1"/>
  <c r="AN120" i="3" s="1"/>
  <c r="AO120" i="3" s="1"/>
  <c r="AP120" i="3" s="1"/>
  <c r="AQ120" i="3" s="1"/>
  <c r="AR120" i="3" s="1"/>
  <c r="AS123" i="3"/>
  <c r="K123" i="3" s="1"/>
  <c r="AS113" i="3"/>
  <c r="AL115" i="3" s="1"/>
  <c r="K113" i="3"/>
  <c r="AM112" i="3"/>
  <c r="AN112" i="3" s="1"/>
  <c r="AO112" i="3" s="1"/>
  <c r="AP112" i="3" s="1"/>
  <c r="AQ112" i="3" s="1"/>
  <c r="AR112" i="3" s="1"/>
  <c r="AS107" i="3"/>
  <c r="K107" i="3" s="1"/>
  <c r="AM104" i="3"/>
  <c r="AN104" i="3" s="1"/>
  <c r="AO104" i="3" s="1"/>
  <c r="AP104" i="3" s="1"/>
  <c r="AQ104" i="3" s="1"/>
  <c r="AR104" i="3" s="1"/>
  <c r="AM98" i="3"/>
  <c r="AN98" i="3" s="1"/>
  <c r="AO98" i="3" s="1"/>
  <c r="AP98" i="3" s="1"/>
  <c r="AQ98" i="3" s="1"/>
  <c r="AR98" i="3" s="1"/>
  <c r="AS14" i="3"/>
  <c r="K14" i="3" s="1"/>
  <c r="AH120" i="3" l="1"/>
  <c r="AH112" i="3"/>
  <c r="AM115" i="3"/>
  <c r="AN115" i="3" s="1"/>
  <c r="AO115" i="3" s="1"/>
  <c r="AP115" i="3" s="1"/>
  <c r="AQ115" i="3" s="1"/>
  <c r="AR115" i="3" s="1"/>
  <c r="AH104" i="3"/>
  <c r="AH98" i="3"/>
  <c r="AI14" i="3"/>
  <c r="AI15" i="3" s="1"/>
  <c r="AT14" i="3"/>
  <c r="L14" i="3" s="1"/>
  <c r="AS120" i="3" l="1"/>
  <c r="AH115" i="3"/>
  <c r="AS112" i="3"/>
  <c r="K112" i="3" s="1"/>
  <c r="AS104" i="3"/>
  <c r="AS98" i="3"/>
  <c r="AT98" i="3" s="1"/>
  <c r="AH16" i="3"/>
  <c r="AT120" i="3" l="1"/>
  <c r="AL122" i="3"/>
  <c r="K120" i="3"/>
  <c r="L120" i="3" s="1"/>
  <c r="AT112" i="3"/>
  <c r="L112" i="3" s="1"/>
  <c r="AL114" i="3"/>
  <c r="AS115" i="3"/>
  <c r="K115" i="3" s="1"/>
  <c r="AT104" i="3"/>
  <c r="AL106" i="3"/>
  <c r="K104" i="3"/>
  <c r="L104" i="3" s="1"/>
  <c r="K98" i="3"/>
  <c r="L98" i="3" s="1"/>
  <c r="AS16" i="3"/>
  <c r="K16" i="3" l="1"/>
  <c r="AI16" i="3" s="1"/>
  <c r="AI17" i="3" s="1"/>
  <c r="AL18" i="3"/>
  <c r="AM18" i="3" s="1"/>
  <c r="AN18" i="3" s="1"/>
  <c r="AO18" i="3" s="1"/>
  <c r="AP18" i="3" s="1"/>
  <c r="AQ18" i="3" s="1"/>
  <c r="AR18" i="3" s="1"/>
  <c r="AM122" i="3"/>
  <c r="AN122" i="3" s="1"/>
  <c r="AO122" i="3" s="1"/>
  <c r="AP122" i="3" s="1"/>
  <c r="AQ122" i="3" s="1"/>
  <c r="AR122" i="3" s="1"/>
  <c r="AM114" i="3"/>
  <c r="AN114" i="3" s="1"/>
  <c r="AO114" i="3" s="1"/>
  <c r="AP114" i="3" s="1"/>
  <c r="AQ114" i="3" s="1"/>
  <c r="AR114" i="3" s="1"/>
  <c r="AM106" i="3"/>
  <c r="AN106" i="3" s="1"/>
  <c r="AO106" i="3" s="1"/>
  <c r="AP106" i="3" s="1"/>
  <c r="AQ106" i="3" s="1"/>
  <c r="AR106" i="3" s="1"/>
  <c r="AT16" i="3"/>
  <c r="L16" i="3" l="1"/>
  <c r="AH122" i="3"/>
  <c r="AH114" i="3"/>
  <c r="AH106" i="3"/>
  <c r="AH18" i="3"/>
  <c r="AS122" i="3" l="1"/>
  <c r="AT122" i="3" s="1"/>
  <c r="AS114" i="3"/>
  <c r="AT114" i="3" s="1"/>
  <c r="AS106" i="3"/>
  <c r="AT106" i="3" s="1"/>
  <c r="AS18" i="3"/>
  <c r="AT18" i="3" l="1"/>
  <c r="AL20" i="3"/>
  <c r="K122" i="3"/>
  <c r="K114" i="3"/>
  <c r="L114" i="3" s="1"/>
  <c r="K106" i="3"/>
  <c r="L106" i="3" s="1"/>
  <c r="K18" i="3"/>
  <c r="L18" i="3" l="1"/>
  <c r="AM20" i="3"/>
  <c r="AN20" i="3" s="1"/>
  <c r="AO20" i="3" s="1"/>
  <c r="AP20" i="3" s="1"/>
  <c r="AQ20" i="3" s="1"/>
  <c r="AR20" i="3" s="1"/>
  <c r="AI18" i="3"/>
  <c r="AI19" i="3" s="1"/>
  <c r="L122" i="3"/>
  <c r="K124" i="3"/>
  <c r="AH20" i="3" l="1"/>
  <c r="AS20" i="3" l="1"/>
  <c r="AT20" i="3" l="1"/>
  <c r="AT22" i="3"/>
  <c r="L22" i="3" s="1"/>
  <c r="K20" i="3"/>
  <c r="L20" i="3" l="1"/>
  <c r="AI20" i="3"/>
  <c r="AI22" i="3" l="1"/>
  <c r="AI21" i="3"/>
  <c r="AI23" i="3" l="1"/>
  <c r="AI24" i="3"/>
  <c r="AI26" i="3" l="1"/>
  <c r="AI25" i="3"/>
  <c r="AI28" i="3" l="1"/>
  <c r="AI27" i="3"/>
  <c r="AI29" i="3" l="1"/>
  <c r="AI30" i="3"/>
  <c r="AI32" i="3" l="1"/>
  <c r="AI31" i="3"/>
  <c r="AI33" i="3" l="1"/>
  <c r="AI34" i="3"/>
  <c r="AI35" i="3" l="1"/>
  <c r="AI36" i="3"/>
  <c r="AI37" i="3" l="1"/>
  <c r="AI38" i="3"/>
  <c r="AI40" i="3" l="1"/>
  <c r="AI39" i="3"/>
  <c r="AI42" i="3" l="1"/>
  <c r="AI41" i="3"/>
  <c r="AI43" i="3" l="1"/>
  <c r="AI44" i="3"/>
  <c r="AI45" i="3" l="1"/>
  <c r="AI46" i="3"/>
  <c r="AI48" i="3" l="1"/>
  <c r="AI47" i="3"/>
  <c r="AI50" i="3" l="1"/>
  <c r="AI49" i="3"/>
  <c r="AI51" i="3" l="1"/>
  <c r="AI52" i="3"/>
  <c r="AI54" i="3" l="1"/>
  <c r="AI53" i="3"/>
  <c r="AI56" i="3" l="1"/>
  <c r="AI55" i="3"/>
  <c r="AI57" i="3" l="1"/>
  <c r="AI58" i="3"/>
  <c r="AI59" i="3" l="1"/>
  <c r="AI60" i="3"/>
  <c r="AI62" i="3" l="1"/>
  <c r="AI61" i="3"/>
  <c r="AI64" i="3" l="1"/>
  <c r="AI63" i="3"/>
  <c r="AI65" i="3" l="1"/>
  <c r="AI66" i="3"/>
  <c r="AI68" i="3" l="1"/>
  <c r="AI67" i="3"/>
  <c r="AI70" i="3" l="1"/>
  <c r="AI69" i="3"/>
  <c r="AI71" i="3" l="1"/>
  <c r="AI72" i="3"/>
  <c r="AI74" i="3" l="1"/>
  <c r="AI73" i="3"/>
  <c r="AI76" i="3" l="1"/>
  <c r="AI75" i="3"/>
  <c r="AI78" i="3" l="1"/>
  <c r="AI77" i="3"/>
  <c r="AI80" i="3" l="1"/>
  <c r="AI79" i="3"/>
  <c r="AI82" i="3" l="1"/>
  <c r="AI81" i="3"/>
  <c r="AI84" i="3" l="1"/>
  <c r="AI83" i="3"/>
  <c r="AI86" i="3" l="1"/>
  <c r="AI85" i="3"/>
  <c r="AI87" i="3" l="1"/>
  <c r="AI88" i="3"/>
  <c r="AI90" i="3" l="1"/>
  <c r="AI89" i="3"/>
  <c r="AI91" i="3" l="1"/>
  <c r="AI92" i="3"/>
  <c r="AI94" i="3" l="1"/>
  <c r="AI93" i="3"/>
  <c r="AI96" i="3" l="1"/>
  <c r="AI95" i="3"/>
  <c r="AI97" i="3" l="1"/>
  <c r="AI98" i="3"/>
  <c r="AV12" i="3"/>
  <c r="K13" i="3"/>
  <c r="AI99" i="3" l="1"/>
  <c r="AI100" i="3"/>
  <c r="AI101" i="3" s="1"/>
  <c r="AI102" i="3" s="1"/>
  <c r="AU12" i="3"/>
  <c r="M12" i="3" s="1"/>
  <c r="AM15" i="3"/>
  <c r="AN15" i="3" s="1"/>
  <c r="AO15" i="3" s="1"/>
  <c r="AP15" i="3" s="1"/>
  <c r="AQ15" i="3" s="1"/>
  <c r="AR15" i="3" s="1"/>
  <c r="AI104" i="3" l="1"/>
  <c r="AI103" i="3"/>
  <c r="AH15" i="3"/>
  <c r="AI105" i="3" l="1"/>
  <c r="AI106" i="3"/>
  <c r="AS15" i="3"/>
  <c r="AI108" i="3" l="1"/>
  <c r="AI107" i="3"/>
  <c r="K15" i="3"/>
  <c r="AV14" i="3" l="1"/>
  <c r="AU14" i="3" s="1"/>
  <c r="M14" i="3" s="1"/>
  <c r="AI110" i="3"/>
  <c r="AI109" i="3"/>
  <c r="AI111" i="3" l="1"/>
  <c r="AI112" i="3"/>
  <c r="AH17" i="3"/>
  <c r="AI114" i="3" l="1"/>
  <c r="AI113" i="3"/>
  <c r="AS17" i="3"/>
  <c r="K17" i="3" s="1"/>
  <c r="AV16" i="3" s="1"/>
  <c r="AI116" i="3" l="1"/>
  <c r="AI115" i="3"/>
  <c r="AI118" i="3" l="1"/>
  <c r="AI117" i="3"/>
  <c r="AH19" i="3"/>
  <c r="AI120" i="3" l="1"/>
  <c r="AI119" i="3"/>
  <c r="AS19" i="3"/>
  <c r="K19" i="3" s="1"/>
  <c r="AI121" i="3" l="1"/>
  <c r="AI122" i="3"/>
  <c r="AI123" i="3" s="1"/>
  <c r="AI124" i="3" s="1"/>
  <c r="L4" i="3" s="1"/>
  <c r="M4" i="3" l="1"/>
  <c r="B9" i="3"/>
  <c r="H3" i="3" s="1"/>
  <c r="L3" i="3" s="1"/>
  <c r="AF5" i="3"/>
  <c r="H5" i="3"/>
  <c r="H6" i="3" s="1"/>
  <c r="M6" i="3" s="1"/>
  <c r="L5" i="3"/>
  <c r="AF4" i="3"/>
  <c r="B8" i="3"/>
  <c r="M5" i="3" l="1"/>
  <c r="I9" i="3"/>
  <c r="AU16" i="3"/>
  <c r="M16" i="3" s="1"/>
  <c r="AV18" i="3" l="1"/>
  <c r="AU18" i="3" s="1"/>
  <c r="M18" i="3" s="1"/>
  <c r="AV20" i="3" l="1"/>
  <c r="AB14" i="3"/>
  <c r="V14" i="3"/>
  <c r="X14" i="3"/>
  <c r="V16" i="3"/>
  <c r="V17" i="3"/>
  <c r="AA14" i="3"/>
  <c r="AB16" i="3"/>
  <c r="AU20" i="3" l="1"/>
  <c r="M20" i="3" s="1"/>
  <c r="AA17" i="3"/>
  <c r="AC16" i="3"/>
  <c r="AC17" i="3"/>
  <c r="AV22" i="3" l="1"/>
  <c r="AU22" i="3" s="1"/>
  <c r="M22" i="3" s="1"/>
  <c r="AA18" i="3"/>
  <c r="V18" i="3"/>
  <c r="Z18" i="3"/>
  <c r="AV24" i="3" l="1"/>
  <c r="AU24" i="3" s="1"/>
  <c r="M24" i="3" s="1"/>
  <c r="AV26" i="3" l="1"/>
  <c r="AU26" i="3" s="1"/>
  <c r="M26" i="3" s="1"/>
  <c r="AV28" i="3" l="1"/>
  <c r="X22" i="3"/>
  <c r="AA22" i="3"/>
  <c r="AB22" i="3"/>
  <c r="V24" i="3"/>
  <c r="AB24" i="3"/>
  <c r="V25" i="3"/>
  <c r="V22" i="3"/>
  <c r="AA25" i="3" l="1"/>
  <c r="Z26" i="3" s="1"/>
  <c r="AC24" i="3"/>
  <c r="AC25" i="3"/>
  <c r="AU28" i="3"/>
  <c r="M28" i="3" s="1"/>
  <c r="AV30" i="3" l="1"/>
  <c r="AU30" i="3" s="1"/>
  <c r="M30" i="3" s="1"/>
  <c r="V26" i="3"/>
  <c r="AA26" i="3"/>
  <c r="AV32" i="3" l="1"/>
  <c r="AU32" i="3" s="1"/>
  <c r="M32" i="3" s="1"/>
  <c r="AV34" i="3" l="1"/>
  <c r="AU34" i="3" s="1"/>
  <c r="M34" i="3" s="1"/>
  <c r="AV36" i="3" l="1"/>
  <c r="V30" i="3"/>
  <c r="AB32" i="3"/>
  <c r="V33" i="3"/>
  <c r="X30" i="3"/>
  <c r="AA30" i="3"/>
  <c r="AB30" i="3"/>
  <c r="V32" i="3"/>
  <c r="AA33" i="3" l="1"/>
  <c r="V34" i="3" s="1"/>
  <c r="AC32" i="3"/>
  <c r="AC33" i="3"/>
  <c r="AU36" i="3"/>
  <c r="M36" i="3" s="1"/>
  <c r="AV38" i="3" l="1"/>
  <c r="AU38" i="3" s="1"/>
  <c r="M38" i="3" s="1"/>
  <c r="AA34" i="3"/>
  <c r="Z34" i="3"/>
  <c r="AV40" i="3" l="1"/>
  <c r="AU40" i="3" s="1"/>
  <c r="M40" i="3" s="1"/>
  <c r="AV42" i="3" l="1"/>
  <c r="AU42" i="3" s="1"/>
  <c r="M42" i="3" s="1"/>
  <c r="AV44" i="3" l="1"/>
  <c r="AB38" i="3"/>
  <c r="V40" i="3"/>
  <c r="V38" i="3"/>
  <c r="AB40" i="3"/>
  <c r="V41" i="3"/>
  <c r="X38" i="3"/>
  <c r="AA38" i="3"/>
  <c r="AA41" i="3" l="1"/>
  <c r="AA42" i="3" s="1"/>
  <c r="AU44" i="3"/>
  <c r="M44" i="3" s="1"/>
  <c r="AC40" i="3"/>
  <c r="AC41" i="3"/>
  <c r="V42" i="3" l="1"/>
  <c r="AV46" i="3"/>
  <c r="AU46" i="3" s="1"/>
  <c r="M46" i="3" s="1"/>
  <c r="Z42" i="3"/>
  <c r="AV48" i="3" l="1"/>
  <c r="AU48" i="3" s="1"/>
  <c r="M48" i="3" s="1"/>
  <c r="AV50" i="3" s="1"/>
  <c r="AU50" i="3" l="1"/>
  <c r="M50" i="3" s="1"/>
  <c r="AV52" i="3" l="1"/>
  <c r="AA46" i="3"/>
  <c r="AB46" i="3"/>
  <c r="V48" i="3"/>
  <c r="V46" i="3"/>
  <c r="AB48" i="3"/>
  <c r="V49" i="3"/>
  <c r="X46" i="3"/>
  <c r="AA49" i="3" l="1"/>
  <c r="Z50" i="3" s="1"/>
  <c r="AU52" i="3"/>
  <c r="M52" i="3" s="1"/>
  <c r="AC49" i="3"/>
  <c r="AC48" i="3"/>
  <c r="AV54" i="3" l="1"/>
  <c r="AU54" i="3" s="1"/>
  <c r="M54" i="3" s="1"/>
  <c r="V50" i="3"/>
  <c r="AA50" i="3"/>
  <c r="AV56" i="3" l="1"/>
  <c r="AU56" i="3" s="1"/>
  <c r="M56" i="3" s="1"/>
  <c r="AV58" i="3" s="1"/>
  <c r="AU58" i="3" l="1"/>
  <c r="M58" i="3" s="1"/>
  <c r="AV60" i="3" l="1"/>
  <c r="AV62" i="3" s="1"/>
  <c r="AV64" i="3" s="1"/>
  <c r="AV66" i="3" s="1"/>
  <c r="AV68" i="3" s="1"/>
  <c r="AV70" i="3" s="1"/>
  <c r="AV72" i="3" s="1"/>
  <c r="AV74" i="3" s="1"/>
  <c r="AV76" i="3" s="1"/>
  <c r="AV78" i="3" s="1"/>
  <c r="AV80" i="3" s="1"/>
  <c r="AV82" i="3" s="1"/>
  <c r="AV84" i="3" s="1"/>
  <c r="AV86" i="3" s="1"/>
  <c r="AV88" i="3" s="1"/>
  <c r="AV90" i="3" s="1"/>
  <c r="AV92" i="3" s="1"/>
  <c r="AV94" i="3" s="1"/>
  <c r="AV96" i="3" s="1"/>
  <c r="AV98" i="3" s="1"/>
  <c r="AV100" i="3" s="1"/>
  <c r="AV102" i="3" s="1"/>
  <c r="AV104" i="3" s="1"/>
  <c r="AV106" i="3" s="1"/>
  <c r="AV108" i="3" s="1"/>
  <c r="AV110" i="3" s="1"/>
  <c r="AV112" i="3" s="1"/>
  <c r="AV114" i="3" s="1"/>
  <c r="AV116" i="3" s="1"/>
  <c r="AV118" i="3" s="1"/>
  <c r="AV120" i="3" s="1"/>
  <c r="AV122" i="3" s="1"/>
  <c r="AV124" i="3" s="1"/>
  <c r="X54" i="3"/>
  <c r="AA54" i="3"/>
  <c r="AB54" i="3"/>
  <c r="V56" i="3"/>
  <c r="V54" i="3"/>
  <c r="AB56" i="3"/>
  <c r="V57" i="3"/>
  <c r="AA57" i="3" l="1"/>
  <c r="Z58" i="3" s="1"/>
  <c r="AC56" i="3"/>
  <c r="AC57" i="3"/>
  <c r="AU60" i="3"/>
  <c r="M60" i="3" s="1"/>
  <c r="V58" i="3" l="1"/>
  <c r="AA58" i="3"/>
  <c r="AU62" i="3"/>
  <c r="M62" i="3"/>
  <c r="M64" i="3" l="1"/>
  <c r="AU64" i="3"/>
  <c r="M66" i="3" l="1"/>
  <c r="AU66" i="3"/>
  <c r="V62" i="3" l="1"/>
  <c r="AB64" i="3"/>
  <c r="V65" i="3"/>
  <c r="AA65" i="3" s="1"/>
  <c r="X62" i="3"/>
  <c r="AA62" i="3"/>
  <c r="V64" i="3"/>
  <c r="AB62" i="3"/>
  <c r="M68" i="3"/>
  <c r="AU68" i="3"/>
  <c r="V66" i="3" l="1"/>
  <c r="Z66" i="3"/>
  <c r="AA66" i="3"/>
  <c r="M70" i="3"/>
  <c r="AU70" i="3"/>
  <c r="AC64" i="3"/>
  <c r="AC65" i="3"/>
  <c r="M72" i="3" l="1"/>
  <c r="AU72" i="3"/>
  <c r="M74" i="3" l="1"/>
  <c r="AU74" i="3"/>
  <c r="M76" i="3" l="1"/>
  <c r="AU76" i="3"/>
  <c r="AB70" i="3"/>
  <c r="V72" i="3"/>
  <c r="V70" i="3"/>
  <c r="AB72" i="3"/>
  <c r="V73" i="3"/>
  <c r="AA73" i="3" s="1"/>
  <c r="X70" i="3"/>
  <c r="AA70" i="3"/>
  <c r="M78" i="3" l="1"/>
  <c r="AU78" i="3"/>
  <c r="V74" i="3"/>
  <c r="Z74" i="3"/>
  <c r="AA74" i="3"/>
  <c r="AC72" i="3"/>
  <c r="AC73" i="3"/>
  <c r="M80" i="3" l="1"/>
  <c r="AU80" i="3"/>
  <c r="M82" i="3" l="1"/>
  <c r="AU82" i="3"/>
  <c r="AU84" i="3" l="1"/>
  <c r="M84" i="3"/>
  <c r="AA78" i="3"/>
  <c r="AB78" i="3"/>
  <c r="V80" i="3"/>
  <c r="V78" i="3"/>
  <c r="AB80" i="3"/>
  <c r="V81" i="3"/>
  <c r="AA81" i="3" s="1"/>
  <c r="X78" i="3"/>
  <c r="AA82" i="3" l="1"/>
  <c r="V82" i="3"/>
  <c r="Z82" i="3"/>
  <c r="AC81" i="3"/>
  <c r="AC80" i="3"/>
  <c r="M86" i="3"/>
  <c r="AU86" i="3"/>
  <c r="M88" i="3" l="1"/>
  <c r="AU88" i="3"/>
  <c r="M90" i="3" l="1"/>
  <c r="AU90" i="3"/>
  <c r="M92" i="3" l="1"/>
  <c r="AU92" i="3"/>
  <c r="X86" i="3"/>
  <c r="AA86" i="3"/>
  <c r="AB86" i="3"/>
  <c r="V88" i="3"/>
  <c r="V86" i="3"/>
  <c r="V89" i="3"/>
  <c r="AA89" i="3" s="1"/>
  <c r="AB88" i="3"/>
  <c r="AC88" i="3" l="1"/>
  <c r="AC89" i="3"/>
  <c r="AU94" i="3"/>
  <c r="M94" i="3"/>
  <c r="Z90" i="3"/>
  <c r="AA90" i="3"/>
  <c r="V90" i="3"/>
  <c r="M96" i="3" l="1"/>
  <c r="AU96" i="3"/>
  <c r="AU98" i="3" l="1"/>
  <c r="M98" i="3"/>
  <c r="V94" i="3" l="1"/>
  <c r="AB96" i="3"/>
  <c r="V97" i="3"/>
  <c r="AA97" i="3" s="1"/>
  <c r="X94" i="3"/>
  <c r="AA94" i="3"/>
  <c r="V96" i="3"/>
  <c r="AB94" i="3"/>
  <c r="M100" i="3"/>
  <c r="AU100" i="3"/>
  <c r="V98" i="3" l="1"/>
  <c r="Z98" i="3"/>
  <c r="AA98" i="3"/>
  <c r="M102" i="3"/>
  <c r="AU102" i="3"/>
  <c r="AC96" i="3"/>
  <c r="AC97" i="3"/>
  <c r="M104" i="3" l="1"/>
  <c r="AU104" i="3"/>
  <c r="M106" i="3" l="1"/>
  <c r="AU106" i="3"/>
  <c r="M108" i="3" l="1"/>
  <c r="AU108" i="3"/>
  <c r="AB102" i="3"/>
  <c r="V104" i="3"/>
  <c r="V102" i="3"/>
  <c r="AB104" i="3"/>
  <c r="V105" i="3"/>
  <c r="AA105" i="3" s="1"/>
  <c r="X102" i="3"/>
  <c r="AA102" i="3"/>
  <c r="M110" i="3" l="1"/>
  <c r="AU110" i="3"/>
  <c r="V106" i="3"/>
  <c r="Z106" i="3"/>
  <c r="AA106" i="3"/>
  <c r="AC104" i="3"/>
  <c r="AC105" i="3"/>
  <c r="M112" i="3" l="1"/>
  <c r="AU112" i="3"/>
  <c r="M114" i="3" l="1"/>
  <c r="AU114" i="3"/>
  <c r="AU116" i="3" l="1"/>
  <c r="M116" i="3"/>
  <c r="AA110" i="3"/>
  <c r="AB110" i="3"/>
  <c r="V112" i="3"/>
  <c r="V110" i="3"/>
  <c r="AB112" i="3"/>
  <c r="V113" i="3"/>
  <c r="AA113" i="3" s="1"/>
  <c r="X110" i="3"/>
  <c r="AC113" i="3" l="1"/>
  <c r="AC112" i="3"/>
  <c r="M118" i="3"/>
  <c r="AU118" i="3"/>
  <c r="AA114" i="3"/>
  <c r="V114" i="3"/>
  <c r="Z114" i="3"/>
  <c r="M120" i="3" l="1"/>
  <c r="AU120" i="3"/>
  <c r="M122" i="3" l="1"/>
  <c r="AU122" i="3"/>
  <c r="L6" i="3"/>
  <c r="L8" i="3" s="1"/>
  <c r="H9" i="3" l="1"/>
  <c r="L7" i="3" s="1"/>
  <c r="H8" i="3"/>
  <c r="M8" i="3"/>
  <c r="X118" i="3"/>
  <c r="AA118" i="3"/>
  <c r="AB118" i="3"/>
  <c r="V120" i="3"/>
  <c r="V118" i="3"/>
  <c r="AB120" i="3"/>
  <c r="V121" i="3"/>
  <c r="AA121" i="3" s="1"/>
  <c r="AA122" i="3" l="1"/>
  <c r="V122" i="3"/>
  <c r="Z122" i="3"/>
  <c r="AC120" i="3"/>
  <c r="AC121" i="3"/>
  <c r="H7" i="3"/>
</calcChain>
</file>

<file path=xl/sharedStrings.xml><?xml version="1.0" encoding="utf-8"?>
<sst xmlns="http://schemas.openxmlformats.org/spreadsheetml/2006/main" count="60" uniqueCount="49">
  <si>
    <t>Lb</t>
  </si>
  <si>
    <t>Kg</t>
  </si>
  <si>
    <t>TDEE!A1</t>
  </si>
  <si>
    <t xml:space="preserve"> - Choose - </t>
  </si>
  <si>
    <t>Cal.</t>
  </si>
  <si>
    <t>Kj</t>
  </si>
  <si>
    <t>Initial Inputs</t>
  </si>
  <si>
    <t>Current Body Stats</t>
  </si>
  <si>
    <t>Week</t>
  </si>
  <si>
    <t>Stats</t>
  </si>
  <si>
    <t>Wed.</t>
  </si>
  <si>
    <t>Thurs.</t>
  </si>
  <si>
    <t>Mon.</t>
  </si>
  <si>
    <t>Tues.</t>
  </si>
  <si>
    <t>Fri.</t>
  </si>
  <si>
    <t>Sat.</t>
  </si>
  <si>
    <t>Sun.</t>
  </si>
  <si>
    <t>Avg.</t>
  </si>
  <si>
    <t>∆</t>
  </si>
  <si>
    <t>TDEE</t>
  </si>
  <si>
    <t>tdee:</t>
  </si>
  <si>
    <t>weight:</t>
  </si>
  <si>
    <t>lb cal</t>
  </si>
  <si>
    <t>kg cal</t>
  </si>
  <si>
    <t>lb kj</t>
  </si>
  <si>
    <t>kg kj</t>
  </si>
  <si>
    <t>Input Start Date to Begin:</t>
  </si>
  <si>
    <t>current</t>
  </si>
  <si>
    <t>goal</t>
  </si>
  <si>
    <t>delta</t>
  </si>
  <si>
    <t>row count</t>
  </si>
  <si>
    <t>tdee</t>
  </si>
  <si>
    <t>variables</t>
  </si>
  <si>
    <t>units</t>
  </si>
  <si>
    <t>units/conversions</t>
  </si>
  <si>
    <t>WEEKS</t>
  </si>
  <si>
    <t>waist</t>
  </si>
  <si>
    <t>neck</t>
  </si>
  <si>
    <t>hip</t>
  </si>
  <si>
    <t>bf</t>
  </si>
  <si>
    <t>Inputs for body fat</t>
  </si>
  <si>
    <t xml:space="preserve">Gender? </t>
  </si>
  <si>
    <t>Inch</t>
  </si>
  <si>
    <t>cm</t>
  </si>
  <si>
    <t>Male</t>
  </si>
  <si>
    <t>Female</t>
  </si>
  <si>
    <t>Advanced: TDEE average adjustment</t>
  </si>
  <si>
    <t>wks</t>
  </si>
  <si>
    <t>Number of weeks for TDEE 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</si>
</sst>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[$-409]d\-mmm\-yy;@"/>
    <numFmt numFmtId="166" formatCode="[Red]#,##0.0;[Green]#,##0.0"/>
    <numFmt numFmtId="167" formatCode="&quot;~&quot;General"/>
    <numFmt numFmtId="168" formatCode="[$-409]dd\-mmm\-yy;@"/>
    <numFmt numFmtId="169" formatCode="#,##0.00_);[Red]\-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hair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hair">
        <color theme="1" tint="4.9989318521683403E-2"/>
      </bottom>
      <diagonal/>
    </border>
    <border>
      <left style="thin">
        <color theme="0" tint="-0.499984740745262"/>
      </left>
      <right/>
      <top style="hair">
        <color theme="1" tint="4.9989318521683403E-2"/>
      </top>
      <bottom style="hair">
        <color theme="1" tint="4.9989318521683403E-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/>
      <right/>
      <top style="hair">
        <color theme="1" tint="4.9989318521683403E-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3">
    <xf numFmtId="0" fontId="0" fillId="0" borderId="0" xfId="0"/>
    <xf numFmtId="0" fontId="0" fillId="3" borderId="0" xfId="0" applyFill="1"/>
    <xf numFmtId="0" fontId="1" fillId="3" borderId="0" xfId="1" applyFill="1"/>
    <xf numFmtId="0" fontId="0" fillId="3" borderId="0" xfId="0" applyFill="1" applyAlignment="1">
      <alignment horizontal="center"/>
    </xf>
    <xf numFmtId="0" fontId="0" fillId="2" borderId="11" xfId="0" applyFill="1" applyBorder="1" applyAlignment="1">
      <alignment horizontal="left"/>
    </xf>
    <xf numFmtId="0" fontId="0" fillId="4" borderId="18" xfId="0" applyFill="1" applyBorder="1" applyAlignment="1">
      <alignment horizontal="right"/>
    </xf>
    <xf numFmtId="0" fontId="0" fillId="4" borderId="19" xfId="0" applyFill="1" applyBorder="1" applyAlignment="1">
      <alignment horizontal="right"/>
    </xf>
    <xf numFmtId="0" fontId="0" fillId="4" borderId="10" xfId="0" applyFill="1" applyBorder="1" applyAlignment="1">
      <alignment horizontal="center"/>
    </xf>
    <xf numFmtId="0" fontId="0" fillId="2" borderId="23" xfId="0" applyFill="1" applyBorder="1" applyAlignment="1">
      <alignment horizontal="right"/>
    </xf>
    <xf numFmtId="0" fontId="0" fillId="2" borderId="13" xfId="0" applyFill="1" applyBorder="1" applyAlignment="1">
      <alignment horizontal="left"/>
    </xf>
    <xf numFmtId="0" fontId="0" fillId="2" borderId="35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164" fontId="0" fillId="2" borderId="21" xfId="0" applyNumberFormat="1" applyFill="1" applyBorder="1" applyAlignment="1">
      <alignment horizontal="right"/>
    </xf>
    <xf numFmtId="167" fontId="0" fillId="2" borderId="33" xfId="0" applyNumberFormat="1" applyFill="1" applyBorder="1" applyAlignment="1">
      <alignment horizontal="center"/>
    </xf>
    <xf numFmtId="0" fontId="0" fillId="2" borderId="42" xfId="0" applyFill="1" applyBorder="1" applyAlignment="1">
      <alignment horizontal="left"/>
    </xf>
    <xf numFmtId="164" fontId="0" fillId="2" borderId="34" xfId="0" applyNumberFormat="1" applyFill="1" applyBorder="1" applyAlignment="1">
      <alignment horizontal="center"/>
    </xf>
    <xf numFmtId="164" fontId="0" fillId="2" borderId="26" xfId="0" applyNumberForma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1" fontId="4" fillId="3" borderId="0" xfId="0" applyNumberFormat="1" applyFont="1" applyFill="1" applyBorder="1" applyAlignment="1">
      <alignment horizontal="center" vertical="center"/>
    </xf>
    <xf numFmtId="0" fontId="4" fillId="3" borderId="0" xfId="0" applyFont="1" applyFill="1"/>
    <xf numFmtId="0" fontId="0" fillId="4" borderId="6" xfId="0" applyFill="1" applyBorder="1" applyAlignment="1">
      <alignment horizontal="center"/>
    </xf>
    <xf numFmtId="1" fontId="0" fillId="2" borderId="36" xfId="0" applyNumberFormat="1" applyFill="1" applyBorder="1" applyAlignment="1">
      <alignment horizontal="center"/>
    </xf>
    <xf numFmtId="1" fontId="0" fillId="2" borderId="39" xfId="0" applyNumberFormat="1" applyFill="1" applyBorder="1" applyAlignment="1">
      <alignment horizontal="center"/>
    </xf>
    <xf numFmtId="1" fontId="0" fillId="2" borderId="38" xfId="0" applyNumberForma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 vertical="center"/>
    </xf>
    <xf numFmtId="164" fontId="4" fillId="3" borderId="0" xfId="0" applyNumberFormat="1" applyFont="1" applyFill="1" applyBorder="1" applyAlignment="1">
      <alignment horizontal="center"/>
    </xf>
    <xf numFmtId="164" fontId="4" fillId="3" borderId="0" xfId="0" applyNumberFormat="1" applyFont="1" applyFill="1" applyBorder="1" applyAlignment="1">
      <alignment horizontal="left"/>
    </xf>
    <xf numFmtId="164" fontId="4" fillId="3" borderId="0" xfId="0" applyNumberFormat="1" applyFont="1" applyFill="1" applyBorder="1" applyAlignment="1">
      <alignment horizontal="center" vertical="center"/>
    </xf>
    <xf numFmtId="164" fontId="3" fillId="3" borderId="0" xfId="0" applyNumberFormat="1" applyFont="1" applyFill="1" applyAlignment="1">
      <alignment horizontal="center"/>
    </xf>
    <xf numFmtId="0" fontId="0" fillId="4" borderId="6" xfId="0" applyFill="1" applyBorder="1" applyAlignment="1">
      <alignment horizontal="center"/>
    </xf>
    <xf numFmtId="0" fontId="6" fillId="3" borderId="0" xfId="0" applyFont="1" applyFill="1" applyAlignment="1">
      <alignment horizontal="left"/>
    </xf>
    <xf numFmtId="0" fontId="6" fillId="3" borderId="0" xfId="0" applyFont="1" applyFill="1"/>
    <xf numFmtId="0" fontId="9" fillId="3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3" borderId="0" xfId="0" applyFont="1" applyFill="1" applyBorder="1" applyAlignment="1" applyProtection="1">
      <alignment horizontal="left" vertical="center" wrapText="1"/>
    </xf>
    <xf numFmtId="0" fontId="4" fillId="3" borderId="0" xfId="0" applyFont="1" applyFill="1" applyBorder="1" applyAlignment="1" applyProtection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166" fontId="8" fillId="3" borderId="0" xfId="0" applyNumberFormat="1" applyFont="1" applyFill="1" applyBorder="1" applyAlignment="1" applyProtection="1">
      <alignment horizontal="left" vertical="center"/>
    </xf>
    <xf numFmtId="164" fontId="4" fillId="3" borderId="0" xfId="0" applyNumberFormat="1" applyFont="1" applyFill="1" applyBorder="1" applyAlignment="1">
      <alignment horizontal="left" vertical="center"/>
    </xf>
    <xf numFmtId="164" fontId="4" fillId="3" borderId="34" xfId="0" applyNumberFormat="1" applyFont="1" applyFill="1" applyBorder="1" applyAlignment="1">
      <alignment horizontal="left"/>
    </xf>
    <xf numFmtId="164" fontId="4" fillId="3" borderId="37" xfId="0" applyNumberFormat="1" applyFont="1" applyFill="1" applyBorder="1" applyAlignment="1">
      <alignment horizontal="left"/>
    </xf>
    <xf numFmtId="164" fontId="4" fillId="3" borderId="35" xfId="0" applyNumberFormat="1" applyFont="1" applyFill="1" applyBorder="1" applyAlignment="1">
      <alignment horizontal="left"/>
    </xf>
    <xf numFmtId="164" fontId="4" fillId="3" borderId="38" xfId="0" applyNumberFormat="1" applyFont="1" applyFill="1" applyBorder="1" applyAlignment="1">
      <alignment horizontal="left"/>
    </xf>
    <xf numFmtId="164" fontId="0" fillId="2" borderId="38" xfId="0" applyNumberFormat="1" applyFill="1" applyBorder="1" applyAlignment="1">
      <alignment horizontal="center"/>
    </xf>
    <xf numFmtId="164" fontId="0" fillId="2" borderId="37" xfId="0" applyNumberFormat="1" applyFill="1" applyBorder="1" applyAlignment="1">
      <alignment horizontal="center"/>
    </xf>
    <xf numFmtId="1" fontId="0" fillId="2" borderId="24" xfId="0" applyNumberFormat="1" applyFill="1" applyBorder="1" applyAlignment="1">
      <alignment horizontal="center"/>
    </xf>
    <xf numFmtId="164" fontId="4" fillId="3" borderId="36" xfId="0" applyNumberFormat="1" applyFont="1" applyFill="1" applyBorder="1" applyAlignment="1">
      <alignment horizontal="left"/>
    </xf>
    <xf numFmtId="164" fontId="4" fillId="3" borderId="24" xfId="0" applyNumberFormat="1" applyFont="1" applyFill="1" applyBorder="1" applyAlignment="1">
      <alignment horizontal="left"/>
    </xf>
    <xf numFmtId="164" fontId="4" fillId="3" borderId="25" xfId="0" applyNumberFormat="1" applyFont="1" applyFill="1" applyBorder="1" applyAlignment="1">
      <alignment horizontal="left"/>
    </xf>
    <xf numFmtId="164" fontId="4" fillId="3" borderId="28" xfId="0" applyNumberFormat="1" applyFont="1" applyFill="1" applyBorder="1" applyAlignment="1">
      <alignment horizontal="left"/>
    </xf>
    <xf numFmtId="0" fontId="7" fillId="2" borderId="33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9" fontId="0" fillId="2" borderId="45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0" fillId="2" borderId="29" xfId="0" applyFill="1" applyBorder="1" applyAlignment="1">
      <alignment horizontal="right" vertical="center"/>
    </xf>
    <xf numFmtId="0" fontId="0" fillId="2" borderId="30" xfId="0" applyFill="1" applyBorder="1" applyAlignment="1">
      <alignment horizontal="right" vertical="center"/>
    </xf>
    <xf numFmtId="0" fontId="0" fillId="2" borderId="44" xfId="0" applyFill="1" applyBorder="1" applyAlignment="1">
      <alignment horizontal="right" vertic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0" borderId="6" xfId="0" applyBorder="1" applyAlignment="1">
      <alignment horizontal="right"/>
    </xf>
    <xf numFmtId="2" fontId="0" fillId="2" borderId="0" xfId="0" applyNumberForma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" fontId="0" fillId="2" borderId="28" xfId="0" applyNumberFormat="1" applyFill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2" fontId="0" fillId="2" borderId="37" xfId="0" applyNumberFormat="1" applyFill="1" applyBorder="1" applyAlignment="1">
      <alignment horizontal="center" vertical="center"/>
    </xf>
    <xf numFmtId="1" fontId="0" fillId="2" borderId="35" xfId="0" applyNumberFormat="1" applyFill="1" applyBorder="1" applyAlignment="1">
      <alignment horizontal="center" vertical="center"/>
    </xf>
    <xf numFmtId="1" fontId="0" fillId="2" borderId="31" xfId="0" applyNumberFormat="1" applyFill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65" fontId="0" fillId="2" borderId="34" xfId="0" applyNumberFormat="1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165" fontId="0" fillId="2" borderId="26" xfId="0" applyNumberFormat="1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/>
    </xf>
    <xf numFmtId="0" fontId="0" fillId="2" borderId="29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165" fontId="0" fillId="2" borderId="30" xfId="0" applyNumberFormat="1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0" xfId="0" applyFill="1" applyBorder="1" applyAlignment="1">
      <alignment horizontal="right"/>
    </xf>
    <xf numFmtId="0" fontId="0" fillId="2" borderId="32" xfId="0" applyFill="1" applyBorder="1" applyAlignment="1">
      <alignment horizontal="right"/>
    </xf>
    <xf numFmtId="0" fontId="0" fillId="2" borderId="33" xfId="0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7" fillId="2" borderId="6" xfId="0" applyFont="1" applyFill="1" applyBorder="1" applyAlignment="1">
      <alignment horizontal="right"/>
    </xf>
    <xf numFmtId="0" fontId="0" fillId="5" borderId="29" xfId="0" applyFill="1" applyBorder="1" applyAlignment="1">
      <alignment horizontal="right" vertical="center"/>
    </xf>
    <xf numFmtId="0" fontId="0" fillId="5" borderId="30" xfId="0" applyFill="1" applyBorder="1" applyAlignment="1">
      <alignment horizontal="right" vertical="center"/>
    </xf>
    <xf numFmtId="0" fontId="0" fillId="5" borderId="44" xfId="0" applyFill="1" applyBorder="1" applyAlignment="1">
      <alignment horizontal="right" vertical="center"/>
    </xf>
    <xf numFmtId="0" fontId="0" fillId="4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8" fontId="0" fillId="4" borderId="17" xfId="0" applyNumberFormat="1" applyFill="1" applyBorder="1" applyAlignment="1">
      <alignment horizontal="center"/>
    </xf>
    <xf numFmtId="168" fontId="0" fillId="4" borderId="14" xfId="0" applyNumberFormat="1" applyFill="1" applyBorder="1" applyAlignment="1">
      <alignment horizont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right"/>
    </xf>
    <xf numFmtId="0" fontId="0" fillId="2" borderId="40" xfId="0" applyFill="1" applyBorder="1" applyAlignment="1">
      <alignment horizontal="right"/>
    </xf>
    <xf numFmtId="0" fontId="0" fillId="2" borderId="26" xfId="0" applyFill="1" applyBorder="1" applyAlignment="1">
      <alignment horizontal="right"/>
    </xf>
    <xf numFmtId="0" fontId="0" fillId="2" borderId="27" xfId="0" applyFill="1" applyBorder="1" applyAlignment="1">
      <alignment horizontal="right"/>
    </xf>
    <xf numFmtId="165" fontId="0" fillId="2" borderId="27" xfId="0" applyNumberFormat="1" applyFill="1" applyBorder="1" applyAlignment="1">
      <alignment horizontal="left"/>
    </xf>
    <xf numFmtId="0" fontId="0" fillId="2" borderId="43" xfId="0" applyFill="1" applyBorder="1" applyAlignment="1">
      <alignment horizontal="left"/>
    </xf>
    <xf numFmtId="0" fontId="0" fillId="2" borderId="21" xfId="0" applyFill="1" applyBorder="1" applyAlignment="1">
      <alignment horizontal="right"/>
    </xf>
    <xf numFmtId="0" fontId="0" fillId="2" borderId="22" xfId="0" applyFill="1" applyBorder="1" applyAlignment="1">
      <alignment horizontal="right"/>
    </xf>
    <xf numFmtId="0" fontId="0" fillId="2" borderId="22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169" fontId="7" fillId="2" borderId="30" xfId="0" applyNumberFormat="1" applyFont="1" applyFill="1" applyBorder="1" applyAlignment="1">
      <alignment horizontal="center" vertical="center"/>
    </xf>
    <xf numFmtId="169" fontId="7" fillId="0" borderId="33" xfId="0" applyNumberFormat="1" applyFont="1" applyBorder="1" applyAlignment="1">
      <alignment horizontal="center" vertical="center"/>
    </xf>
    <xf numFmtId="169" fontId="7" fillId="2" borderId="33" xfId="0" applyNumberFormat="1" applyFont="1" applyFill="1" applyBorder="1" applyAlignment="1">
      <alignment horizontal="center" vertical="center"/>
    </xf>
    <xf numFmtId="169" fontId="7" fillId="0" borderId="22" xfId="0" applyNumberFormat="1" applyFont="1" applyBorder="1" applyAlignment="1">
      <alignment horizontal="center" vertical="center"/>
    </xf>
    <xf numFmtId="0" fontId="4" fillId="2" borderId="38" xfId="0" applyNumberFormat="1" applyFont="1" applyFill="1" applyBorder="1" applyAlignment="1">
      <alignment horizontal="right" vertical="center"/>
    </xf>
    <xf numFmtId="0" fontId="0" fillId="0" borderId="0" xfId="0" applyNumberFormat="1" applyBorder="1" applyAlignment="1">
      <alignment horizontal="right" vertical="center"/>
    </xf>
    <xf numFmtId="1" fontId="4" fillId="2" borderId="38" xfId="0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64" fontId="4" fillId="2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4" fillId="2" borderId="0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1" fontId="8" fillId="2" borderId="34" xfId="0" applyNumberFormat="1" applyFont="1" applyFill="1" applyBorder="1" applyAlignment="1">
      <alignment horizontal="right" vertical="center"/>
    </xf>
    <xf numFmtId="0" fontId="7" fillId="0" borderId="37" xfId="0" applyFont="1" applyBorder="1" applyAlignment="1">
      <alignment horizontal="right" vertical="center"/>
    </xf>
    <xf numFmtId="0" fontId="7" fillId="0" borderId="38" xfId="0" applyFont="1" applyBorder="1" applyAlignment="1"/>
    <xf numFmtId="0" fontId="7" fillId="0" borderId="0" xfId="0" applyFont="1" applyBorder="1" applyAlignment="1"/>
    <xf numFmtId="165" fontId="8" fillId="2" borderId="37" xfId="0" applyNumberFormat="1" applyFont="1" applyFill="1" applyBorder="1" applyAlignment="1">
      <alignment horizontal="center" vertical="center"/>
    </xf>
    <xf numFmtId="165" fontId="7" fillId="0" borderId="37" xfId="0" applyNumberFormat="1" applyFont="1" applyBorder="1" applyAlignment="1">
      <alignment horizontal="center" vertical="center"/>
    </xf>
    <xf numFmtId="1" fontId="8" fillId="2" borderId="37" xfId="0" applyNumberFormat="1" applyFont="1" applyFill="1" applyBorder="1" applyAlignment="1">
      <alignment horizontal="center" vertical="center"/>
    </xf>
    <xf numFmtId="165" fontId="8" fillId="2" borderId="37" xfId="0" applyNumberFormat="1" applyFont="1" applyFill="1" applyBorder="1" applyAlignment="1">
      <alignment horizontal="left" vertical="center"/>
    </xf>
    <xf numFmtId="165" fontId="7" fillId="0" borderId="37" xfId="0" applyNumberFormat="1" applyFont="1" applyBorder="1" applyAlignment="1">
      <alignment horizontal="left" vertical="center"/>
    </xf>
    <xf numFmtId="0" fontId="7" fillId="0" borderId="37" xfId="0" applyFont="1" applyBorder="1" applyAlignment="1">
      <alignment vertical="center"/>
    </xf>
    <xf numFmtId="0" fontId="7" fillId="0" borderId="35" xfId="0" applyFont="1" applyBorder="1" applyAlignment="1">
      <alignment vertical="center"/>
    </xf>
    <xf numFmtId="0" fontId="7" fillId="0" borderId="28" xfId="0" applyFont="1" applyBorder="1" applyAlignment="1"/>
    <xf numFmtId="1" fontId="8" fillId="5" borderId="38" xfId="0" applyNumberFormat="1" applyFont="1" applyFill="1" applyBorder="1" applyAlignment="1">
      <alignment horizontal="right" vertical="center"/>
    </xf>
    <xf numFmtId="0" fontId="7" fillId="5" borderId="0" xfId="0" applyFont="1" applyFill="1" applyBorder="1" applyAlignment="1">
      <alignment horizontal="right" vertical="center"/>
    </xf>
    <xf numFmtId="0" fontId="7" fillId="5" borderId="36" xfId="0" applyFont="1" applyFill="1" applyBorder="1" applyAlignment="1"/>
    <xf numFmtId="0" fontId="7" fillId="5" borderId="24" xfId="0" applyFont="1" applyFill="1" applyBorder="1" applyAlignment="1"/>
    <xf numFmtId="164" fontId="8" fillId="5" borderId="0" xfId="0" applyNumberFormat="1" applyFont="1" applyFill="1" applyBorder="1" applyAlignment="1">
      <alignment horizontal="center" vertical="center"/>
    </xf>
    <xf numFmtId="164" fontId="7" fillId="5" borderId="24" xfId="0" applyNumberFormat="1" applyFont="1" applyFill="1" applyBorder="1" applyAlignment="1"/>
    <xf numFmtId="1" fontId="8" fillId="5" borderId="0" xfId="0" applyNumberFormat="1" applyFont="1" applyFill="1" applyBorder="1" applyAlignment="1">
      <alignment horizontal="left" vertical="center"/>
    </xf>
    <xf numFmtId="0" fontId="7" fillId="5" borderId="0" xfId="0" applyFont="1" applyFill="1" applyBorder="1" applyAlignment="1">
      <alignment horizontal="left"/>
    </xf>
    <xf numFmtId="0" fontId="7" fillId="5" borderId="28" xfId="0" applyFont="1" applyFill="1" applyBorder="1" applyAlignment="1">
      <alignment horizontal="left"/>
    </xf>
    <xf numFmtId="0" fontId="7" fillId="5" borderId="24" xfId="0" applyFont="1" applyFill="1" applyBorder="1" applyAlignment="1">
      <alignment horizontal="left"/>
    </xf>
    <xf numFmtId="0" fontId="7" fillId="5" borderId="25" xfId="0" applyFont="1" applyFill="1" applyBorder="1" applyAlignment="1">
      <alignment horizontal="left"/>
    </xf>
    <xf numFmtId="0" fontId="0" fillId="2" borderId="0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28" xfId="0" applyBorder="1" applyAlignment="1">
      <alignment vertical="center"/>
    </xf>
  </cellXfs>
  <cellStyles count="2">
    <cellStyle name="Hyperlink" xfId="1" builtinId="8"/>
    <cellStyle name="Normal" xfId="0" builtinId="0"/>
  </cellStyles>
  <dxfs count="39">
    <dxf>
      <font>
        <color theme="0" tint="-0.24994659260841701"/>
      </font>
    </dxf>
    <dxf>
      <font>
        <color theme="0" tint="-0.24994659260841701"/>
      </font>
    </dxf>
    <dxf>
      <font>
        <color theme="0" tint="-0.14996795556505021"/>
      </font>
    </dxf>
    <dxf>
      <font>
        <color theme="0" tint="-0.24994659260841701"/>
      </font>
    </dxf>
    <dxf>
      <font>
        <color theme="0" tint="-0.14996795556505021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8E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89130770418405"/>
          <c:y val="9.166163943292803E-2"/>
          <c:w val="0.78644125366682105"/>
          <c:h val="0.81667672113414391"/>
        </c:manualLayout>
      </c:layout>
      <c:lineChart>
        <c:grouping val="standard"/>
        <c:varyColors val="0"/>
        <c:ser>
          <c:idx val="0"/>
          <c:order val="0"/>
          <c:tx>
            <c:v>Weight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TDEE!$AI$11:$AI$124</c:f>
              <c:numCache>
                <c:formatCode>General</c:formatCode>
                <c:ptCount val="114"/>
                <c:pt idx="0">
                  <c:v>188.6</c:v>
                </c:pt>
                <c:pt idx="1">
                  <c:v>187.4</c:v>
                </c:pt>
                <c:pt idx="2">
                  <c:v>187.4</c:v>
                </c:pt>
                <c:pt idx="3">
                  <c:v>188.57142857142858</c:v>
                </c:pt>
                <c:pt idx="4">
                  <c:v>188.57142857142858</c:v>
                </c:pt>
                <c:pt idx="5">
                  <c:v>187.62857142857143</c:v>
                </c:pt>
                <c:pt idx="6">
                  <c:v>187.62857142857143</c:v>
                </c:pt>
                <c:pt idx="7">
                  <c:v>191.74285714285716</c:v>
                </c:pt>
                <c:pt idx="8">
                  <c:v>191.74285714285716</c:v>
                </c:pt>
                <c:pt idx="9">
                  <c:v>187.82857142857145</c:v>
                </c:pt>
                <c:pt idx="10">
                  <c:v>187.82857142857145</c:v>
                </c:pt>
                <c:pt idx="11">
                  <c:v>187.22857142857146</c:v>
                </c:pt>
                <c:pt idx="12">
                  <c:v>187.22857142857146</c:v>
                </c:pt>
                <c:pt idx="13">
                  <c:v>189.22857142857146</c:v>
                </c:pt>
                <c:pt idx="14">
                  <c:v>189.22857142857146</c:v>
                </c:pt>
                <c:pt idx="15">
                  <c:v>189.22857142857146</c:v>
                </c:pt>
                <c:pt idx="16">
                  <c:v>189.22857142857146</c:v>
                </c:pt>
                <c:pt idx="17">
                  <c:v>189.22857142857146</c:v>
                </c:pt>
                <c:pt idx="18">
                  <c:v>189.22857142857146</c:v>
                </c:pt>
                <c:pt idx="19">
                  <c:v>189.22857142857146</c:v>
                </c:pt>
                <c:pt idx="20">
                  <c:v>189.22857142857146</c:v>
                </c:pt>
                <c:pt idx="21">
                  <c:v>189.22857142857146</c:v>
                </c:pt>
                <c:pt idx="22">
                  <c:v>189.22857142857146</c:v>
                </c:pt>
                <c:pt idx="23">
                  <c:v>189.22857142857146</c:v>
                </c:pt>
                <c:pt idx="24">
                  <c:v>189.22857142857146</c:v>
                </c:pt>
                <c:pt idx="25">
                  <c:v>189.22857142857146</c:v>
                </c:pt>
                <c:pt idx="26">
                  <c:v>189.22857142857146</c:v>
                </c:pt>
                <c:pt idx="27">
                  <c:v>189.22857142857146</c:v>
                </c:pt>
                <c:pt idx="28">
                  <c:v>189.22857142857146</c:v>
                </c:pt>
                <c:pt idx="29">
                  <c:v>189.22857142857146</c:v>
                </c:pt>
                <c:pt idx="30">
                  <c:v>189.22857142857146</c:v>
                </c:pt>
                <c:pt idx="31">
                  <c:v>189.22857142857146</c:v>
                </c:pt>
                <c:pt idx="32">
                  <c:v>189.22857142857146</c:v>
                </c:pt>
                <c:pt idx="33">
                  <c:v>189.22857142857146</c:v>
                </c:pt>
                <c:pt idx="34">
                  <c:v>189.22857142857146</c:v>
                </c:pt>
                <c:pt idx="35">
                  <c:v>189.22857142857146</c:v>
                </c:pt>
                <c:pt idx="36">
                  <c:v>189.22857142857146</c:v>
                </c:pt>
                <c:pt idx="37">
                  <c:v>189.22857142857146</c:v>
                </c:pt>
                <c:pt idx="38">
                  <c:v>189.22857142857146</c:v>
                </c:pt>
                <c:pt idx="39">
                  <c:v>189.22857142857146</c:v>
                </c:pt>
                <c:pt idx="40">
                  <c:v>189.22857142857146</c:v>
                </c:pt>
                <c:pt idx="41">
                  <c:v>189.22857142857146</c:v>
                </c:pt>
                <c:pt idx="42">
                  <c:v>189.22857142857146</c:v>
                </c:pt>
                <c:pt idx="43">
                  <c:v>189.22857142857146</c:v>
                </c:pt>
                <c:pt idx="44">
                  <c:v>189.22857142857146</c:v>
                </c:pt>
                <c:pt idx="45">
                  <c:v>189.22857142857146</c:v>
                </c:pt>
                <c:pt idx="46">
                  <c:v>189.22857142857146</c:v>
                </c:pt>
                <c:pt idx="47">
                  <c:v>189.22857142857146</c:v>
                </c:pt>
                <c:pt idx="48">
                  <c:v>189.22857142857146</c:v>
                </c:pt>
                <c:pt idx="49">
                  <c:v>189.22857142857146</c:v>
                </c:pt>
                <c:pt idx="50">
                  <c:v>189.22857142857146</c:v>
                </c:pt>
                <c:pt idx="51">
                  <c:v>189.22857142857146</c:v>
                </c:pt>
                <c:pt idx="52">
                  <c:v>189.22857142857146</c:v>
                </c:pt>
                <c:pt idx="53">
                  <c:v>189.22857142857146</c:v>
                </c:pt>
                <c:pt idx="54">
                  <c:v>189.22857142857146</c:v>
                </c:pt>
                <c:pt idx="55">
                  <c:v>189.22857142857146</c:v>
                </c:pt>
                <c:pt idx="56">
                  <c:v>189.22857142857146</c:v>
                </c:pt>
                <c:pt idx="57">
                  <c:v>189.22857142857146</c:v>
                </c:pt>
                <c:pt idx="58">
                  <c:v>189.22857142857146</c:v>
                </c:pt>
                <c:pt idx="59">
                  <c:v>189.22857142857146</c:v>
                </c:pt>
                <c:pt idx="60">
                  <c:v>189.22857142857146</c:v>
                </c:pt>
                <c:pt idx="61">
                  <c:v>189.22857142857146</c:v>
                </c:pt>
                <c:pt idx="62">
                  <c:v>189.22857142857146</c:v>
                </c:pt>
                <c:pt idx="63">
                  <c:v>189.22857142857146</c:v>
                </c:pt>
                <c:pt idx="64">
                  <c:v>189.22857142857146</c:v>
                </c:pt>
                <c:pt idx="65">
                  <c:v>189.22857142857146</c:v>
                </c:pt>
                <c:pt idx="66">
                  <c:v>189.22857142857146</c:v>
                </c:pt>
                <c:pt idx="67">
                  <c:v>189.22857142857146</c:v>
                </c:pt>
                <c:pt idx="68">
                  <c:v>189.22857142857146</c:v>
                </c:pt>
                <c:pt idx="69">
                  <c:v>189.22857142857146</c:v>
                </c:pt>
                <c:pt idx="70">
                  <c:v>189.22857142857146</c:v>
                </c:pt>
                <c:pt idx="71">
                  <c:v>189.22857142857146</c:v>
                </c:pt>
                <c:pt idx="72">
                  <c:v>189.22857142857146</c:v>
                </c:pt>
                <c:pt idx="73">
                  <c:v>189.22857142857146</c:v>
                </c:pt>
                <c:pt idx="74">
                  <c:v>189.22857142857146</c:v>
                </c:pt>
                <c:pt idx="75">
                  <c:v>189.22857142857146</c:v>
                </c:pt>
                <c:pt idx="76">
                  <c:v>189.22857142857146</c:v>
                </c:pt>
                <c:pt idx="77">
                  <c:v>189.22857142857146</c:v>
                </c:pt>
                <c:pt idx="78">
                  <c:v>189.22857142857146</c:v>
                </c:pt>
                <c:pt idx="79">
                  <c:v>189.22857142857146</c:v>
                </c:pt>
                <c:pt idx="80">
                  <c:v>189.22857142857146</c:v>
                </c:pt>
                <c:pt idx="81">
                  <c:v>189.22857142857146</c:v>
                </c:pt>
                <c:pt idx="82">
                  <c:v>189.22857142857146</c:v>
                </c:pt>
                <c:pt idx="83">
                  <c:v>189.22857142857146</c:v>
                </c:pt>
                <c:pt idx="84">
                  <c:v>189.22857142857146</c:v>
                </c:pt>
                <c:pt idx="85">
                  <c:v>189.22857142857146</c:v>
                </c:pt>
                <c:pt idx="86">
                  <c:v>189.22857142857146</c:v>
                </c:pt>
                <c:pt idx="87">
                  <c:v>189.22857142857146</c:v>
                </c:pt>
                <c:pt idx="88">
                  <c:v>189.22857142857146</c:v>
                </c:pt>
                <c:pt idx="89">
                  <c:v>189.22857142857146</c:v>
                </c:pt>
                <c:pt idx="90">
                  <c:v>189.22857142857146</c:v>
                </c:pt>
                <c:pt idx="91">
                  <c:v>189.22857142857146</c:v>
                </c:pt>
                <c:pt idx="92">
                  <c:v>189.22857142857146</c:v>
                </c:pt>
                <c:pt idx="93">
                  <c:v>189.22857142857146</c:v>
                </c:pt>
                <c:pt idx="94">
                  <c:v>189.22857142857146</c:v>
                </c:pt>
                <c:pt idx="95">
                  <c:v>189.22857142857146</c:v>
                </c:pt>
                <c:pt idx="96">
                  <c:v>189.22857142857146</c:v>
                </c:pt>
                <c:pt idx="97">
                  <c:v>189.22857142857146</c:v>
                </c:pt>
                <c:pt idx="98">
                  <c:v>189.22857142857146</c:v>
                </c:pt>
                <c:pt idx="99">
                  <c:v>189.22857142857146</c:v>
                </c:pt>
                <c:pt idx="100">
                  <c:v>189.22857142857146</c:v>
                </c:pt>
                <c:pt idx="101">
                  <c:v>189.22857142857146</c:v>
                </c:pt>
                <c:pt idx="102">
                  <c:v>189.22857142857146</c:v>
                </c:pt>
                <c:pt idx="103">
                  <c:v>189.22857142857146</c:v>
                </c:pt>
                <c:pt idx="104">
                  <c:v>189.22857142857146</c:v>
                </c:pt>
                <c:pt idx="105">
                  <c:v>189.22857142857146</c:v>
                </c:pt>
                <c:pt idx="106">
                  <c:v>189.22857142857146</c:v>
                </c:pt>
                <c:pt idx="107">
                  <c:v>189.22857142857146</c:v>
                </c:pt>
                <c:pt idx="108">
                  <c:v>189.22857142857146</c:v>
                </c:pt>
                <c:pt idx="109">
                  <c:v>189.22857142857146</c:v>
                </c:pt>
                <c:pt idx="110">
                  <c:v>189.22857142857146</c:v>
                </c:pt>
                <c:pt idx="111">
                  <c:v>189.22857142857146</c:v>
                </c:pt>
                <c:pt idx="112">
                  <c:v>189.22857142857146</c:v>
                </c:pt>
                <c:pt idx="113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0-4794-9D45-29E69292BD00}"/>
            </c:ext>
          </c:extLst>
        </c:ser>
        <c:ser>
          <c:idx val="1"/>
          <c:order val="1"/>
          <c:tx>
            <c:v>Goal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TDEE!$AJ$11:$AJ$123</c:f>
              <c:numCache>
                <c:formatCode>General</c:formatCode>
                <c:ptCount val="113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183</c:v>
                </c:pt>
                <c:pt idx="4">
                  <c:v>183</c:v>
                </c:pt>
                <c:pt idx="5">
                  <c:v>183</c:v>
                </c:pt>
                <c:pt idx="6">
                  <c:v>183</c:v>
                </c:pt>
                <c:pt idx="7">
                  <c:v>183</c:v>
                </c:pt>
                <c:pt idx="8">
                  <c:v>183</c:v>
                </c:pt>
                <c:pt idx="9">
                  <c:v>183</c:v>
                </c:pt>
                <c:pt idx="10">
                  <c:v>183</c:v>
                </c:pt>
                <c:pt idx="11">
                  <c:v>183</c:v>
                </c:pt>
                <c:pt idx="12">
                  <c:v>183</c:v>
                </c:pt>
                <c:pt idx="13">
                  <c:v>183</c:v>
                </c:pt>
                <c:pt idx="14">
                  <c:v>183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183</c:v>
                </c:pt>
                <c:pt idx="23">
                  <c:v>183</c:v>
                </c:pt>
                <c:pt idx="24">
                  <c:v>183</c:v>
                </c:pt>
                <c:pt idx="25">
                  <c:v>183</c:v>
                </c:pt>
                <c:pt idx="26">
                  <c:v>183</c:v>
                </c:pt>
                <c:pt idx="27">
                  <c:v>183</c:v>
                </c:pt>
                <c:pt idx="28">
                  <c:v>183</c:v>
                </c:pt>
                <c:pt idx="29">
                  <c:v>183</c:v>
                </c:pt>
                <c:pt idx="30">
                  <c:v>183</c:v>
                </c:pt>
                <c:pt idx="31">
                  <c:v>183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183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  <c:pt idx="48">
                  <c:v>183</c:v>
                </c:pt>
                <c:pt idx="49">
                  <c:v>183</c:v>
                </c:pt>
                <c:pt idx="50">
                  <c:v>183</c:v>
                </c:pt>
                <c:pt idx="51">
                  <c:v>183</c:v>
                </c:pt>
                <c:pt idx="52">
                  <c:v>183</c:v>
                </c:pt>
                <c:pt idx="53">
                  <c:v>183</c:v>
                </c:pt>
                <c:pt idx="54">
                  <c:v>183</c:v>
                </c:pt>
                <c:pt idx="55">
                  <c:v>183</c:v>
                </c:pt>
                <c:pt idx="56">
                  <c:v>183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183</c:v>
                </c:pt>
                <c:pt idx="61">
                  <c:v>183</c:v>
                </c:pt>
                <c:pt idx="62">
                  <c:v>183</c:v>
                </c:pt>
                <c:pt idx="63">
                  <c:v>183</c:v>
                </c:pt>
                <c:pt idx="64">
                  <c:v>183</c:v>
                </c:pt>
                <c:pt idx="65">
                  <c:v>183</c:v>
                </c:pt>
                <c:pt idx="66">
                  <c:v>183</c:v>
                </c:pt>
                <c:pt idx="67">
                  <c:v>183</c:v>
                </c:pt>
                <c:pt idx="68">
                  <c:v>183</c:v>
                </c:pt>
                <c:pt idx="69">
                  <c:v>183</c:v>
                </c:pt>
                <c:pt idx="70">
                  <c:v>183</c:v>
                </c:pt>
                <c:pt idx="71">
                  <c:v>183</c:v>
                </c:pt>
                <c:pt idx="72">
                  <c:v>183</c:v>
                </c:pt>
                <c:pt idx="73">
                  <c:v>183</c:v>
                </c:pt>
                <c:pt idx="74">
                  <c:v>183</c:v>
                </c:pt>
                <c:pt idx="75">
                  <c:v>183</c:v>
                </c:pt>
                <c:pt idx="76">
                  <c:v>183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183</c:v>
                </c:pt>
                <c:pt idx="82">
                  <c:v>183</c:v>
                </c:pt>
                <c:pt idx="83">
                  <c:v>183</c:v>
                </c:pt>
                <c:pt idx="84">
                  <c:v>183</c:v>
                </c:pt>
                <c:pt idx="85">
                  <c:v>183</c:v>
                </c:pt>
                <c:pt idx="86">
                  <c:v>183</c:v>
                </c:pt>
                <c:pt idx="87">
                  <c:v>183</c:v>
                </c:pt>
                <c:pt idx="88">
                  <c:v>183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183</c:v>
                </c:pt>
                <c:pt idx="102">
                  <c:v>183</c:v>
                </c:pt>
                <c:pt idx="103">
                  <c:v>183</c:v>
                </c:pt>
                <c:pt idx="104">
                  <c:v>183</c:v>
                </c:pt>
                <c:pt idx="105">
                  <c:v>183</c:v>
                </c:pt>
                <c:pt idx="106">
                  <c:v>183</c:v>
                </c:pt>
                <c:pt idx="107">
                  <c:v>183</c:v>
                </c:pt>
                <c:pt idx="108">
                  <c:v>183</c:v>
                </c:pt>
                <c:pt idx="109">
                  <c:v>183</c:v>
                </c:pt>
                <c:pt idx="110">
                  <c:v>183</c:v>
                </c:pt>
                <c:pt idx="111">
                  <c:v>183</c:v>
                </c:pt>
                <c:pt idx="11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0-4794-9D45-29E69292BD00}"/>
            </c:ext>
          </c:extLst>
        </c:ser>
        <c:ser>
          <c:idx val="2"/>
          <c:order val="2"/>
          <c:tx>
            <c:v>Projected</c:v>
          </c:tx>
          <c:spPr>
            <a:ln w="28575"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TDEE!$AK$12:$AK$123</c:f>
              <c:numCache>
                <c:formatCode>General</c:formatCode>
                <c:ptCount val="112"/>
                <c:pt idx="0">
                  <c:v>186.6</c:v>
                </c:pt>
                <c:pt idx="1">
                  <c:v>185.6</c:v>
                </c:pt>
                <c:pt idx="2">
                  <c:v>184.6</c:v>
                </c:pt>
                <c:pt idx="3">
                  <c:v>183.6</c:v>
                </c:pt>
                <c:pt idx="4">
                  <c:v>182.6</c:v>
                </c:pt>
                <c:pt idx="5">
                  <c:v>182.8</c:v>
                </c:pt>
                <c:pt idx="6">
                  <c:v>183</c:v>
                </c:pt>
                <c:pt idx="7">
                  <c:v>183</c:v>
                </c:pt>
                <c:pt idx="8">
                  <c:v>183</c:v>
                </c:pt>
                <c:pt idx="9">
                  <c:v>183</c:v>
                </c:pt>
                <c:pt idx="10">
                  <c:v>183</c:v>
                </c:pt>
                <c:pt idx="11">
                  <c:v>183</c:v>
                </c:pt>
                <c:pt idx="12">
                  <c:v>183</c:v>
                </c:pt>
                <c:pt idx="13">
                  <c:v>183</c:v>
                </c:pt>
                <c:pt idx="14">
                  <c:v>183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183</c:v>
                </c:pt>
                <c:pt idx="23">
                  <c:v>183</c:v>
                </c:pt>
                <c:pt idx="24">
                  <c:v>183</c:v>
                </c:pt>
                <c:pt idx="25">
                  <c:v>183</c:v>
                </c:pt>
                <c:pt idx="26">
                  <c:v>183</c:v>
                </c:pt>
                <c:pt idx="27">
                  <c:v>183</c:v>
                </c:pt>
                <c:pt idx="28">
                  <c:v>183</c:v>
                </c:pt>
                <c:pt idx="29">
                  <c:v>183</c:v>
                </c:pt>
                <c:pt idx="30">
                  <c:v>183</c:v>
                </c:pt>
                <c:pt idx="31">
                  <c:v>183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183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  <c:pt idx="48">
                  <c:v>183</c:v>
                </c:pt>
                <c:pt idx="49">
                  <c:v>183</c:v>
                </c:pt>
                <c:pt idx="50">
                  <c:v>183</c:v>
                </c:pt>
                <c:pt idx="51">
                  <c:v>183</c:v>
                </c:pt>
                <c:pt idx="52">
                  <c:v>183</c:v>
                </c:pt>
                <c:pt idx="53">
                  <c:v>183</c:v>
                </c:pt>
                <c:pt idx="54">
                  <c:v>183</c:v>
                </c:pt>
                <c:pt idx="55">
                  <c:v>183</c:v>
                </c:pt>
                <c:pt idx="56">
                  <c:v>183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183</c:v>
                </c:pt>
                <c:pt idx="61">
                  <c:v>183</c:v>
                </c:pt>
                <c:pt idx="62">
                  <c:v>183</c:v>
                </c:pt>
                <c:pt idx="63">
                  <c:v>183</c:v>
                </c:pt>
                <c:pt idx="64">
                  <c:v>183</c:v>
                </c:pt>
                <c:pt idx="65">
                  <c:v>183</c:v>
                </c:pt>
                <c:pt idx="66">
                  <c:v>183</c:v>
                </c:pt>
                <c:pt idx="67">
                  <c:v>183</c:v>
                </c:pt>
                <c:pt idx="68">
                  <c:v>183</c:v>
                </c:pt>
                <c:pt idx="69">
                  <c:v>183</c:v>
                </c:pt>
                <c:pt idx="70">
                  <c:v>183</c:v>
                </c:pt>
                <c:pt idx="71">
                  <c:v>183</c:v>
                </c:pt>
                <c:pt idx="72">
                  <c:v>183</c:v>
                </c:pt>
                <c:pt idx="73">
                  <c:v>183</c:v>
                </c:pt>
                <c:pt idx="74">
                  <c:v>183</c:v>
                </c:pt>
                <c:pt idx="75">
                  <c:v>183</c:v>
                </c:pt>
                <c:pt idx="76">
                  <c:v>183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183</c:v>
                </c:pt>
                <c:pt idx="82">
                  <c:v>183</c:v>
                </c:pt>
                <c:pt idx="83">
                  <c:v>183</c:v>
                </c:pt>
                <c:pt idx="84">
                  <c:v>183</c:v>
                </c:pt>
                <c:pt idx="85">
                  <c:v>183</c:v>
                </c:pt>
                <c:pt idx="86">
                  <c:v>183</c:v>
                </c:pt>
                <c:pt idx="87">
                  <c:v>183</c:v>
                </c:pt>
                <c:pt idx="88">
                  <c:v>183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183</c:v>
                </c:pt>
                <c:pt idx="102">
                  <c:v>183</c:v>
                </c:pt>
                <c:pt idx="103">
                  <c:v>183</c:v>
                </c:pt>
                <c:pt idx="104">
                  <c:v>183</c:v>
                </c:pt>
                <c:pt idx="105">
                  <c:v>183</c:v>
                </c:pt>
                <c:pt idx="106">
                  <c:v>183</c:v>
                </c:pt>
                <c:pt idx="107">
                  <c:v>183</c:v>
                </c:pt>
                <c:pt idx="108">
                  <c:v>183</c:v>
                </c:pt>
                <c:pt idx="109">
                  <c:v>183</c:v>
                </c:pt>
                <c:pt idx="11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10-4794-9D45-29E69292B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16256"/>
        <c:axId val="94426240"/>
      </c:lineChart>
      <c:catAx>
        <c:axId val="94416256"/>
        <c:scaling>
          <c:orientation val="minMax"/>
        </c:scaling>
        <c:delete val="1"/>
        <c:axPos val="b"/>
        <c:majorTickMark val="none"/>
        <c:minorTickMark val="none"/>
        <c:tickLblPos val="nextTo"/>
        <c:crossAx val="94426240"/>
        <c:crosses val="autoZero"/>
        <c:auto val="1"/>
        <c:lblAlgn val="ctr"/>
        <c:lblOffset val="100"/>
        <c:noMultiLvlLbl val="0"/>
      </c:catAx>
      <c:valAx>
        <c:axId val="944262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4416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367955014526147"/>
          <c:y val="0.90862509753848342"/>
          <c:w val="0.82930333734246198"/>
          <c:h val="9.1374902461516638E-2"/>
        </c:manualLayout>
      </c:layout>
      <c:overlay val="0"/>
    </c:legend>
    <c:plotVisOnly val="0"/>
    <c:dispBlanksAs val="gap"/>
    <c:showDLblsOverMax val="0"/>
  </c:chart>
  <c:spPr>
    <a:solidFill>
      <a:schemeClr val="lt1"/>
    </a:solidFill>
    <a:ln w="9525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112059</xdr:colOff>
      <xdr:row>0</xdr:row>
      <xdr:rowOff>0</xdr:rowOff>
    </xdr:from>
    <xdr:to>
      <xdr:col>55</xdr:col>
      <xdr:colOff>537882</xdr:colOff>
      <xdr:row>10</xdr:row>
      <xdr:rowOff>103095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46"/>
  <sheetViews>
    <sheetView tabSelected="1" zoomScale="85" zoomScaleNormal="85" workbookViewId="0">
      <pane ySplit="11" topLeftCell="A12" activePane="bottomLeft" state="frozen"/>
      <selection pane="bottomLeft" activeCell="F26" sqref="F26"/>
    </sheetView>
  </sheetViews>
  <sheetFormatPr defaultColWidth="7.90625" defaultRowHeight="14.5" x14ac:dyDescent="0.35"/>
  <cols>
    <col min="1" max="1" width="8.26953125" style="1" customWidth="1"/>
    <col min="2" max="2" width="11.26953125" style="3" customWidth="1"/>
    <col min="3" max="12" width="7.90625" style="3"/>
    <col min="13" max="13" width="8.36328125" style="3" bestFit="1" customWidth="1"/>
    <col min="14" max="14" width="3.26953125" style="34" customWidth="1"/>
    <col min="15" max="15" width="6.08984375" style="34" customWidth="1"/>
    <col min="16" max="16" width="6.90625" style="34" customWidth="1"/>
    <col min="17" max="17" width="7.6328125" style="34" customWidth="1"/>
    <col min="18" max="18" width="9.08984375" style="34" customWidth="1"/>
    <col min="19" max="19" width="4.26953125" style="34" customWidth="1"/>
    <col min="20" max="20" width="3.26953125" style="34" customWidth="1"/>
    <col min="21" max="21" width="4.90625" style="34" customWidth="1"/>
    <col min="22" max="23" width="3.36328125" style="34" customWidth="1"/>
    <col min="24" max="24" width="4.90625" style="43" customWidth="1"/>
    <col min="25" max="25" width="2.36328125" style="34" customWidth="1"/>
    <col min="26" max="26" width="5.08984375" style="43" customWidth="1"/>
    <col min="27" max="27" width="2.6328125" style="34" customWidth="1"/>
    <col min="28" max="28" width="6.6328125" style="34" customWidth="1"/>
    <col min="29" max="29" width="7.7265625" style="34" customWidth="1"/>
    <col min="30" max="30" width="3.26953125" style="34" customWidth="1"/>
    <col min="31" max="31" width="8.6328125" style="44" customWidth="1"/>
    <col min="32" max="35" width="8.6328125" style="35" hidden="1" customWidth="1"/>
    <col min="36" max="42" width="8.6328125" style="44" hidden="1" customWidth="1"/>
    <col min="43" max="50" width="8.6328125" style="35" hidden="1" customWidth="1"/>
    <col min="51" max="51" width="8.6328125" style="51" hidden="1" customWidth="1"/>
    <col min="52" max="55" width="8.6328125" style="48" hidden="1" customWidth="1"/>
    <col min="56" max="56" width="8.6328125" style="48" customWidth="1"/>
    <col min="57" max="59" width="8.6328125" style="49" customWidth="1"/>
    <col min="60" max="61" width="7" style="37" customWidth="1"/>
    <col min="62" max="78" width="7.90625" style="37"/>
    <col min="79" max="16384" width="7.90625" style="1"/>
  </cols>
  <sheetData>
    <row r="1" spans="1:80" ht="4.5" customHeight="1" x14ac:dyDescent="0.35">
      <c r="A1" s="2"/>
      <c r="AX1" s="50" t="s">
        <v>2</v>
      </c>
      <c r="AY1" s="48"/>
    </row>
    <row r="2" spans="1:80" ht="15.5" x14ac:dyDescent="0.35">
      <c r="A2" s="2"/>
      <c r="B2" s="72" t="s">
        <v>6</v>
      </c>
      <c r="C2" s="73"/>
      <c r="D2" s="73"/>
      <c r="E2" s="73"/>
      <c r="F2" s="73"/>
      <c r="G2" s="96"/>
      <c r="H2" s="72" t="s">
        <v>7</v>
      </c>
      <c r="I2" s="73"/>
      <c r="J2" s="73"/>
      <c r="K2" s="73"/>
      <c r="L2" s="73"/>
      <c r="M2" s="96"/>
      <c r="O2" s="72" t="s">
        <v>40</v>
      </c>
      <c r="P2" s="73"/>
      <c r="Q2" s="73"/>
      <c r="R2" s="73"/>
      <c r="S2" s="73"/>
      <c r="T2" s="73"/>
      <c r="AE2" s="34"/>
      <c r="AF2" s="34"/>
      <c r="AG2" s="44"/>
      <c r="AJ2" s="35"/>
      <c r="AK2" s="35"/>
      <c r="AQ2" s="44"/>
      <c r="AR2" s="44"/>
      <c r="AY2" s="35"/>
      <c r="AZ2" s="50" t="s">
        <v>33</v>
      </c>
      <c r="BA2" s="50" t="s">
        <v>33</v>
      </c>
      <c r="BB2" s="50" t="s">
        <v>33</v>
      </c>
      <c r="BC2" s="48" t="s">
        <v>33</v>
      </c>
      <c r="BE2" s="48"/>
      <c r="BF2" s="48"/>
      <c r="BH2" s="49"/>
      <c r="BI2" s="49"/>
      <c r="CA2" s="37"/>
      <c r="CB2" s="37"/>
    </row>
    <row r="3" spans="1:80" ht="15.75" customHeight="1" x14ac:dyDescent="0.35">
      <c r="B3" s="106" t="s">
        <v>26</v>
      </c>
      <c r="C3" s="107"/>
      <c r="D3" s="107"/>
      <c r="E3" s="108"/>
      <c r="F3" s="111">
        <v>43047</v>
      </c>
      <c r="G3" s="112"/>
      <c r="H3" s="97" t="str">
        <f>IF(B9="","","Today's Date is:")</f>
        <v>Today's Date is:</v>
      </c>
      <c r="I3" s="98"/>
      <c r="J3" s="98"/>
      <c r="K3" s="98"/>
      <c r="L3" s="99">
        <f ca="1">IF(H3="","",TODAY())</f>
        <v>43089</v>
      </c>
      <c r="M3" s="100"/>
      <c r="O3" s="74" t="s">
        <v>41</v>
      </c>
      <c r="P3" s="75"/>
      <c r="Q3" s="75"/>
      <c r="R3" s="76"/>
      <c r="S3" s="77" t="s">
        <v>44</v>
      </c>
      <c r="T3" s="78"/>
      <c r="W3" s="43"/>
      <c r="X3" s="34"/>
      <c r="Y3" s="43"/>
      <c r="Z3" s="34"/>
      <c r="AE3" s="34"/>
      <c r="AF3" s="44" t="s">
        <v>35</v>
      </c>
      <c r="AJ3" s="35"/>
      <c r="AQ3" s="44"/>
      <c r="AV3" s="35" t="s">
        <v>32</v>
      </c>
      <c r="AW3" s="35" t="s">
        <v>32</v>
      </c>
      <c r="AY3" s="35"/>
      <c r="AZ3" s="51" t="s">
        <v>3</v>
      </c>
      <c r="BA3" s="51" t="s">
        <v>3</v>
      </c>
      <c r="BB3" s="51" t="s">
        <v>3</v>
      </c>
      <c r="BC3" s="48" t="s">
        <v>3</v>
      </c>
      <c r="BE3" s="48"/>
      <c r="BH3" s="49"/>
      <c r="CA3" s="37"/>
    </row>
    <row r="4" spans="1:80" x14ac:dyDescent="0.35">
      <c r="B4" s="79" t="str">
        <f>IF(F3="","","Weights in Lb or Kg?")</f>
        <v>Weights in Lb or Kg?</v>
      </c>
      <c r="C4" s="80"/>
      <c r="D4" s="80"/>
      <c r="E4" s="81"/>
      <c r="F4" s="77" t="s">
        <v>0</v>
      </c>
      <c r="G4" s="78"/>
      <c r="H4" s="79" t="str">
        <f>IF(F6="","","Your Current Weight is:")</f>
        <v>Your Current Weight is:</v>
      </c>
      <c r="I4" s="80"/>
      <c r="J4" s="80"/>
      <c r="K4" s="101"/>
      <c r="L4" s="68">
        <f>IF(F6="","",IF(AI124="",F6,AI124))</f>
        <v>189</v>
      </c>
      <c r="M4" s="4" t="str">
        <f>IF(L4="","",IF(F4="Lb","Lb",IF(F4="Kg","Kg","")))</f>
        <v>Lb</v>
      </c>
      <c r="N4" s="35"/>
      <c r="O4" s="79" t="str">
        <f>IF(S3=" - Choose - ","","Measurements in inch or cm?")</f>
        <v>Measurements in inch or cm?</v>
      </c>
      <c r="P4" s="80"/>
      <c r="Q4" s="80"/>
      <c r="R4" s="81"/>
      <c r="S4" s="77" t="s">
        <v>42</v>
      </c>
      <c r="T4" s="78"/>
      <c r="U4" s="35"/>
      <c r="V4" s="35"/>
      <c r="W4" s="44"/>
      <c r="X4" s="35"/>
      <c r="Y4" s="44"/>
      <c r="Z4" s="35"/>
      <c r="AA4" s="35"/>
      <c r="AB4" s="35"/>
      <c r="AC4" s="35"/>
      <c r="AD4" s="35"/>
      <c r="AE4" s="35"/>
      <c r="AF4" s="35">
        <f>CEILING((((F7-L4)/F8)),0.5)</f>
        <v>-3</v>
      </c>
      <c r="AJ4" s="35"/>
      <c r="AQ4" s="44"/>
      <c r="AV4" s="35">
        <f>IF($F$4="Lb",1,2)</f>
        <v>1</v>
      </c>
      <c r="AW4" s="35">
        <f>IF($F$4="Lb",1,2)</f>
        <v>1</v>
      </c>
      <c r="AY4" s="35"/>
      <c r="AZ4" s="51" t="s">
        <v>0</v>
      </c>
      <c r="BA4" s="51" t="s">
        <v>42</v>
      </c>
      <c r="BB4" s="51" t="s">
        <v>44</v>
      </c>
      <c r="BC4" s="48" t="s">
        <v>4</v>
      </c>
      <c r="BE4" s="48"/>
      <c r="BH4" s="49"/>
      <c r="CA4" s="37"/>
    </row>
    <row r="5" spans="1:80" x14ac:dyDescent="0.35">
      <c r="B5" s="79" t="str">
        <f>IF(F4=" - Choose - ","","Calories or KiloJoules?")</f>
        <v>Calories or KiloJoules?</v>
      </c>
      <c r="C5" s="81"/>
      <c r="D5" s="81"/>
      <c r="E5" s="81"/>
      <c r="F5" s="109" t="s">
        <v>4</v>
      </c>
      <c r="G5" s="110"/>
      <c r="H5" s="102" t="str">
        <f>IF(L4="","",IF(L4=F6,"Your weight hasn’t changed.",IF(L4&gt;F6,"You've Gained","You've Lost")))</f>
        <v>You've Gained</v>
      </c>
      <c r="I5" s="103"/>
      <c r="J5" s="103"/>
      <c r="K5" s="103"/>
      <c r="L5" s="68">
        <f>IF(L4="","",IF(F6=L4,"",IF(F6&lt;L4,L4-F6,F6-L4)))</f>
        <v>0.40000000000000568</v>
      </c>
      <c r="M5" s="4" t="str">
        <f>IF(L5="","",IF(H5="","",IF(F4="Lb","Lb",IF(F4="Kg","Kg",""))))</f>
        <v>Lb</v>
      </c>
      <c r="N5" s="35"/>
      <c r="O5" s="79" t="str">
        <f>IF(S4=" - Choose - ","","Height:")</f>
        <v>Height:</v>
      </c>
      <c r="P5" s="80"/>
      <c r="Q5" s="80"/>
      <c r="R5" s="80"/>
      <c r="S5" s="5">
        <v>66</v>
      </c>
      <c r="T5" s="4" t="str">
        <f>IF(O4="","",IF(S4="Inch","in",IF(S4="cm","cm","")))</f>
        <v>in</v>
      </c>
      <c r="U5" s="35"/>
      <c r="V5" s="35"/>
      <c r="W5" s="44"/>
      <c r="X5" s="35"/>
      <c r="Y5" s="44"/>
      <c r="Z5" s="35"/>
      <c r="AA5" s="35"/>
      <c r="AB5" s="35"/>
      <c r="AC5" s="35"/>
      <c r="AD5" s="35"/>
      <c r="AE5" s="35"/>
      <c r="AF5" s="35">
        <f>CEILING((((L4-F7)/F8)),0.5)</f>
        <v>3</v>
      </c>
      <c r="AI5" s="35">
        <f>MROUND(F6*AW7,5)</f>
        <v>2450</v>
      </c>
      <c r="AJ5" s="35"/>
      <c r="AQ5" s="44"/>
      <c r="AV5" s="35">
        <f>IF($F$5="Cal.",3,5)</f>
        <v>3</v>
      </c>
      <c r="AW5" s="35">
        <f>IF($F$5="Cal.",3,5)</f>
        <v>3</v>
      </c>
      <c r="AX5" s="52"/>
      <c r="AY5" s="52"/>
      <c r="AZ5" s="51" t="s">
        <v>1</v>
      </c>
      <c r="BA5" s="51" t="s">
        <v>43</v>
      </c>
      <c r="BB5" s="51" t="s">
        <v>45</v>
      </c>
      <c r="BC5" s="48" t="s">
        <v>5</v>
      </c>
      <c r="BE5" s="48"/>
      <c r="BH5" s="49"/>
      <c r="CA5" s="37"/>
    </row>
    <row r="6" spans="1:80" x14ac:dyDescent="0.35">
      <c r="B6" s="79" t="str">
        <f>IF(F5=" - Choose - ","","Starting Weight:")</f>
        <v>Starting Weight:</v>
      </c>
      <c r="C6" s="80"/>
      <c r="D6" s="80"/>
      <c r="E6" s="80"/>
      <c r="F6" s="5">
        <v>188.6</v>
      </c>
      <c r="G6" s="4" t="str">
        <f>IF(B5="","",IF(F4="Lb","Lb",IF(F4="Kg","Kg","")))</f>
        <v>Lb</v>
      </c>
      <c r="H6" s="102" t="str">
        <f>IF(H5="","","Your Current TDEE is:")</f>
        <v>Your Current TDEE is:</v>
      </c>
      <c r="I6" s="103"/>
      <c r="J6" s="103"/>
      <c r="K6" s="103"/>
      <c r="L6" s="30">
        <f ca="1">IF(F6="","",IF(AV124="",MROUND(F6*AW7,25),MROUND(AV124,25)))</f>
        <v>2675</v>
      </c>
      <c r="M6" s="4" t="str">
        <f>IF(H6="","",IF(F5="Cal.","Cal/Day",IF(F5="Kj","Kj/Day")))</f>
        <v>Cal/Day</v>
      </c>
      <c r="N6" s="35"/>
      <c r="O6" s="35"/>
      <c r="P6" s="35"/>
      <c r="Q6" s="44"/>
      <c r="R6" s="35"/>
      <c r="S6" s="35"/>
      <c r="T6" s="44"/>
      <c r="U6" s="35"/>
      <c r="V6" s="35"/>
      <c r="W6" s="44"/>
      <c r="X6" s="35"/>
      <c r="Y6" s="44"/>
      <c r="Z6" s="35"/>
      <c r="AA6" s="35"/>
      <c r="AB6" s="35"/>
      <c r="AC6" s="35"/>
      <c r="AD6" s="35"/>
      <c r="AE6" s="35"/>
      <c r="AF6" s="44"/>
      <c r="AJ6" s="35"/>
      <c r="AM6" s="44">
        <f>F6</f>
        <v>188.6</v>
      </c>
      <c r="AQ6" s="44"/>
      <c r="AV6" s="35">
        <f>SUM(AV4:AV5)</f>
        <v>4</v>
      </c>
      <c r="AW6" s="35">
        <f>SUM(AW4:AW5)</f>
        <v>4</v>
      </c>
      <c r="AY6" s="35"/>
      <c r="AZ6" s="51"/>
      <c r="BE6" s="48"/>
      <c r="BH6" s="49"/>
      <c r="CA6" s="37"/>
    </row>
    <row r="7" spans="1:80" ht="15.5" x14ac:dyDescent="0.35">
      <c r="B7" s="79" t="str">
        <f>IF(F6="","","Goal Weight:")</f>
        <v>Goal Weight:</v>
      </c>
      <c r="C7" s="80"/>
      <c r="D7" s="80"/>
      <c r="E7" s="80"/>
      <c r="F7" s="6">
        <v>183</v>
      </c>
      <c r="G7" s="4" t="str">
        <f>IF(F6="","",IF(F4="Lb","Lb",IF(F4="Kg","Kg","")))</f>
        <v>Lb</v>
      </c>
      <c r="H7" s="116" t="str">
        <f ca="1">IF(L8="","",IF(H9=0,"Congratulations","To Reach Your Goal weight by"))</f>
        <v>To Reach Your Goal weight by</v>
      </c>
      <c r="I7" s="117"/>
      <c r="J7" s="117"/>
      <c r="K7" s="117"/>
      <c r="L7" s="118">
        <f ca="1">IF(L8="","",IF(H9=0,"",L3+(H9*7)))</f>
        <v>43110</v>
      </c>
      <c r="M7" s="119"/>
      <c r="N7" s="35"/>
      <c r="O7" s="72" t="s">
        <v>46</v>
      </c>
      <c r="P7" s="73"/>
      <c r="Q7" s="73"/>
      <c r="R7" s="73"/>
      <c r="S7" s="73"/>
      <c r="T7" s="73"/>
      <c r="U7" s="35"/>
      <c r="V7" s="35"/>
      <c r="W7" s="44"/>
      <c r="X7" s="35"/>
      <c r="Y7" s="44"/>
      <c r="Z7" s="35"/>
      <c r="AA7" s="35"/>
      <c r="AB7" s="35"/>
      <c r="AC7" s="35"/>
      <c r="AD7" s="35"/>
      <c r="AE7" s="35"/>
      <c r="AF7" s="44"/>
      <c r="AJ7" s="35"/>
      <c r="AQ7" s="44"/>
      <c r="AV7" s="35">
        <f>IF(AV6=4,AW12,IF(AV6=5,AX12,IF(AV6=6,AY12,IF(AV6=7,AZ12,""))))</f>
        <v>3500</v>
      </c>
      <c r="AW7" s="35">
        <f>IF(AW6=4,AW13,IF(AW6=5,AX13,IF(AW6=6,AY13,IF(AW6=7,AZ13,""))))</f>
        <v>13</v>
      </c>
      <c r="AY7" s="35"/>
      <c r="AZ7" s="51"/>
      <c r="BE7" s="48"/>
      <c r="BH7" s="49"/>
      <c r="CA7" s="37"/>
    </row>
    <row r="8" spans="1:80" x14ac:dyDescent="0.35">
      <c r="B8" s="104" t="str">
        <f>IF(F7="","",IF(F7=F6,"",IF(F7=L4,"",IF(F7&gt;F6,"Goal Weight Gain per Week:","Goal Weight Loss per Week:"))))</f>
        <v>Goal Weight Loss per Week:</v>
      </c>
      <c r="C8" s="105"/>
      <c r="D8" s="105"/>
      <c r="E8" s="105"/>
      <c r="F8" s="6">
        <v>2</v>
      </c>
      <c r="G8" s="4" t="str">
        <f>IF(F7="","",IF(F4="Lb","Lb",IF(F4="Kg","Kg","")))</f>
        <v>Lb</v>
      </c>
      <c r="H8" s="114" t="str">
        <f ca="1">IF(L8="","","You will need to Eat")</f>
        <v>You will need to Eat</v>
      </c>
      <c r="I8" s="115"/>
      <c r="J8" s="115"/>
      <c r="K8" s="115"/>
      <c r="L8" s="22">
        <f ca="1">IF(F8="","",IF(F7=L4,L6,IF(F7&gt;L4,L6+F9,L6-F9)))</f>
        <v>1675</v>
      </c>
      <c r="M8" s="31" t="str">
        <f ca="1">IF(L8="","",IF(F5="Cal.","Cal/Day",IF(F5="Kj","Kj/Day","")))</f>
        <v>Cal/Day</v>
      </c>
      <c r="N8" s="35"/>
      <c r="O8" s="79" t="s">
        <v>48</v>
      </c>
      <c r="P8" s="80"/>
      <c r="Q8" s="80"/>
      <c r="R8" s="80"/>
      <c r="S8" s="5">
        <v>12</v>
      </c>
      <c r="T8" s="4" t="s">
        <v>47</v>
      </c>
      <c r="U8" s="35"/>
      <c r="V8" s="35"/>
      <c r="W8" s="44"/>
      <c r="X8" s="35"/>
      <c r="Y8" s="44"/>
      <c r="Z8" s="35"/>
      <c r="AA8" s="35"/>
      <c r="AB8" s="35"/>
      <c r="AC8" s="35"/>
      <c r="AD8" s="35"/>
      <c r="AE8" s="35"/>
      <c r="AF8" s="44"/>
      <c r="AJ8" s="35" t="s">
        <v>29</v>
      </c>
      <c r="AQ8" s="44"/>
      <c r="AY8" s="35"/>
      <c r="AZ8" s="51"/>
      <c r="BE8" s="48"/>
      <c r="BH8" s="49"/>
      <c r="CA8" s="37"/>
    </row>
    <row r="9" spans="1:80" x14ac:dyDescent="0.35">
      <c r="B9" s="120" t="str">
        <f>IF(F8="","",IF(F7=L4,"",IF(F7&gt;F6,"Target Daily Surplus:","Target Daily Deficit:")))</f>
        <v>Target Daily Deficit:</v>
      </c>
      <c r="C9" s="121"/>
      <c r="D9" s="121"/>
      <c r="E9" s="121"/>
      <c r="F9" s="8">
        <f>IF(F8="","",MROUND((F8*AV7)/7,5))</f>
        <v>1000</v>
      </c>
      <c r="G9" s="9" t="str">
        <f>IF(F8="","",IF(F5="Cal.","Cal.",IF(F5="Kj","Kj","")))</f>
        <v>Cal.</v>
      </c>
      <c r="H9" s="29">
        <f ca="1">IF(L8="","",IF(F6&lt;F7,AF4,AF5))</f>
        <v>3</v>
      </c>
      <c r="I9" s="122" t="str">
        <f>IF(H3="","","Weeks until you reach your goal weight")</f>
        <v>Weeks until you reach your goal weight</v>
      </c>
      <c r="J9" s="122"/>
      <c r="K9" s="122"/>
      <c r="L9" s="122"/>
      <c r="M9" s="123"/>
      <c r="N9" s="35"/>
      <c r="O9" s="35"/>
      <c r="P9" s="35"/>
      <c r="Q9" s="44"/>
      <c r="R9" s="35"/>
      <c r="S9" s="35"/>
      <c r="T9" s="44"/>
      <c r="U9" s="35"/>
      <c r="V9" s="35"/>
      <c r="W9" s="44"/>
      <c r="X9" s="35"/>
      <c r="Y9" s="44"/>
      <c r="Z9" s="35"/>
      <c r="AA9" s="35"/>
      <c r="AB9" s="35"/>
      <c r="AC9" s="35"/>
      <c r="AD9" s="35"/>
      <c r="AE9" s="35"/>
      <c r="AF9" s="44"/>
      <c r="AH9" s="35" t="s">
        <v>27</v>
      </c>
      <c r="AI9" s="35" t="s">
        <v>28</v>
      </c>
      <c r="AJ9" s="35">
        <f>IF(AI11&gt;AJ11,-F8,F8)</f>
        <v>-2</v>
      </c>
      <c r="AQ9" s="44"/>
      <c r="AU9" s="35" t="s">
        <v>31</v>
      </c>
      <c r="AV9" s="35" t="s">
        <v>34</v>
      </c>
      <c r="AX9" s="53"/>
      <c r="AY9" s="54"/>
      <c r="AZ9" s="51"/>
      <c r="BE9" s="48"/>
      <c r="BH9" s="49"/>
      <c r="CA9" s="37"/>
    </row>
    <row r="10" spans="1:80" ht="4.5" customHeight="1" x14ac:dyDescent="0.35">
      <c r="AE10" s="34"/>
      <c r="AF10" s="34"/>
      <c r="AG10" s="44"/>
      <c r="AJ10" s="35"/>
      <c r="AK10" s="35"/>
      <c r="AQ10" s="44"/>
      <c r="AR10" s="44"/>
      <c r="AY10" s="53"/>
      <c r="AZ10" s="55"/>
      <c r="BA10" s="51"/>
      <c r="BE10" s="48"/>
      <c r="BF10" s="48"/>
      <c r="BH10" s="49"/>
      <c r="BI10" s="49"/>
      <c r="CA10" s="37"/>
      <c r="CB10" s="37"/>
    </row>
    <row r="11" spans="1:80" x14ac:dyDescent="0.35">
      <c r="B11" s="12" t="s">
        <v>8</v>
      </c>
      <c r="C11" s="13" t="s">
        <v>9</v>
      </c>
      <c r="D11" s="13" t="s">
        <v>12</v>
      </c>
      <c r="E11" s="13" t="s">
        <v>13</v>
      </c>
      <c r="F11" s="13" t="s">
        <v>10</v>
      </c>
      <c r="G11" s="13" t="s">
        <v>11</v>
      </c>
      <c r="H11" s="13" t="s">
        <v>14</v>
      </c>
      <c r="I11" s="13" t="s">
        <v>15</v>
      </c>
      <c r="J11" s="13" t="s">
        <v>16</v>
      </c>
      <c r="K11" s="13" t="s">
        <v>17</v>
      </c>
      <c r="L11" s="25" t="s">
        <v>18</v>
      </c>
      <c r="M11" s="10" t="s">
        <v>19</v>
      </c>
      <c r="O11" s="13" t="s">
        <v>36</v>
      </c>
      <c r="P11" s="13" t="s">
        <v>37</v>
      </c>
      <c r="Q11" s="13" t="s">
        <v>38</v>
      </c>
      <c r="R11" s="13" t="s">
        <v>39</v>
      </c>
      <c r="S11" s="35"/>
      <c r="AE11" s="34"/>
      <c r="AF11" s="34"/>
      <c r="AG11" s="44"/>
      <c r="AH11" s="35" t="s">
        <v>30</v>
      </c>
      <c r="AI11" s="35">
        <f>F6</f>
        <v>188.6</v>
      </c>
      <c r="AJ11" s="35">
        <f>F7</f>
        <v>183</v>
      </c>
      <c r="AK11" s="35">
        <f>IF(F8="","",AI12)</f>
        <v>187.4</v>
      </c>
      <c r="AQ11" s="44"/>
      <c r="AR11" s="44"/>
      <c r="AW11" s="35" t="s">
        <v>22</v>
      </c>
      <c r="AX11" s="35" t="s">
        <v>23</v>
      </c>
      <c r="AY11" s="35" t="s">
        <v>24</v>
      </c>
      <c r="AZ11" s="35" t="s">
        <v>25</v>
      </c>
      <c r="BA11" s="51"/>
      <c r="BE11" s="48"/>
      <c r="BF11" s="48"/>
      <c r="BH11" s="49"/>
      <c r="BI11" s="49"/>
      <c r="CA11" s="37"/>
      <c r="CB11" s="37"/>
    </row>
    <row r="12" spans="1:80" x14ac:dyDescent="0.35">
      <c r="B12" s="92">
        <f>IF(F3="","",F3)</f>
        <v>43047</v>
      </c>
      <c r="C12" s="14" t="str">
        <f>IF(F4=" - Choose - ", "","Weight")</f>
        <v>Weight</v>
      </c>
      <c r="D12" s="15"/>
      <c r="E12" s="16"/>
      <c r="F12" s="16">
        <v>188.6</v>
      </c>
      <c r="G12" s="16">
        <v>188</v>
      </c>
      <c r="H12" s="16">
        <v>186</v>
      </c>
      <c r="I12" s="16"/>
      <c r="J12" s="23"/>
      <c r="K12" s="32">
        <f t="shared" ref="K12:K43" si="0">IF(AH12=0,"",AS12)</f>
        <v>187.4</v>
      </c>
      <c r="L12" s="124">
        <f>IF(K12="","",AT12)</f>
        <v>-1.1999999999999886</v>
      </c>
      <c r="M12" s="88">
        <f>IF(AV12="","",IF(L12="","",AU12))</f>
        <v>3225</v>
      </c>
      <c r="N12" s="36"/>
      <c r="O12" s="69">
        <v>33</v>
      </c>
      <c r="P12" s="69">
        <v>13</v>
      </c>
      <c r="Q12" s="69">
        <v>36</v>
      </c>
      <c r="R12" s="70">
        <f>IF(S$3="male",IF(S$4="cm",IF(OR(ISBLANK(O12),ISBLANK(P12)),"",ROUND(((86.01*LOG10(O12/2.54-P12/2.54))-(70.041*LOG10(S$5/2.54))+36.76),0)/100),IF(S$4="inch",IF(OR(ISBLANK(O12),ISBLANK(P12)),"",ROUND(((86.01*LOG10(O12-P12))-(70.041*LOG10(S$5))+36.76),0)/100),"")),IF(S$3="female",IF(S$4="cm",IF(OR(ISBLANK(O12),ISBLANK(P12),ISBLANK(Q12)),"",ROUND(((163.205*LOG10(O12/2.54+Q12/2.54-P12/2.54))-(97.684*LOG10(S$5/2.54))-78.387),0)/100),IF(S$4="inch",IF(OR(ISBLANK(O12),ISBLANK(P12),ISBLANK(Q12)),"",ROUND(((163.205*LOG10(O12+Q12-P12))-(97.684*LOG10(S$5))-78.387),0)/100),"")),""))</f>
        <v>0.21</v>
      </c>
      <c r="S12" s="36"/>
      <c r="T12" s="36"/>
      <c r="U12" s="36"/>
      <c r="V12" s="36"/>
      <c r="W12" s="36"/>
      <c r="X12" s="36"/>
      <c r="Y12" s="36"/>
      <c r="Z12" s="45"/>
      <c r="AA12" s="36"/>
      <c r="AB12" s="45"/>
      <c r="AC12" s="36"/>
      <c r="AD12" s="36"/>
      <c r="AE12" s="36"/>
      <c r="AF12" s="36"/>
      <c r="AG12" s="56">
        <v>1</v>
      </c>
      <c r="AH12" s="35">
        <f t="shared" ref="AH12:AH43" si="1">COUNT(AL12:AR12)</f>
        <v>7</v>
      </c>
      <c r="AI12" s="35">
        <f>IF(AS12="",AI11,K12)</f>
        <v>187.4</v>
      </c>
      <c r="AJ12" s="35">
        <f>AJ11</f>
        <v>183</v>
      </c>
      <c r="AK12" s="35">
        <f>IF(F8="","",IF($F$6&gt;$F$7,IF(AI11&gt;AJ12,AI11+$AJ$9,AJ12),IF($F$6&lt;$F$7,IF(AI11&lt;AJ12,AI11+AJ9,AJ12),AJ12)))</f>
        <v>186.6</v>
      </c>
      <c r="AL12" s="57">
        <f>IF(COUNT(D12:J12)&lt;1,"",IF(D12="",AM6,D12))</f>
        <v>188.6</v>
      </c>
      <c r="AM12" s="58">
        <f t="shared" ref="AM12:AM43" si="2">IF(E12="",AL12,E12)</f>
        <v>188.6</v>
      </c>
      <c r="AN12" s="58">
        <f t="shared" ref="AN12:AN43" si="3">IF(F12="",AM12,F12)</f>
        <v>188.6</v>
      </c>
      <c r="AO12" s="58">
        <f t="shared" ref="AO12:AO43" si="4">IF(G12="",AN12,G12)</f>
        <v>188</v>
      </c>
      <c r="AP12" s="58">
        <f t="shared" ref="AP12:AP43" si="5">IF(H12="",AO12,H12)</f>
        <v>186</v>
      </c>
      <c r="AQ12" s="58">
        <f t="shared" ref="AQ12:AQ43" si="6">IF(I12="",AP12,I12)</f>
        <v>186</v>
      </c>
      <c r="AR12" s="59">
        <f t="shared" ref="AR12:AR43" si="7">IF(J12="",AQ12,J12)</f>
        <v>186</v>
      </c>
      <c r="AS12" s="62">
        <f t="shared" ref="AS12:AS43" si="8">IF(AH12=0,"",SUM(AL12:AR12)/AH12)</f>
        <v>187.4</v>
      </c>
      <c r="AT12" s="86">
        <f>IF(AS12="","",AS12-AM6)</f>
        <v>-1.1999999999999886</v>
      </c>
      <c r="AU12" s="87">
        <f>IF(AV12="","",IF(AT12="","",MROUND(AV12,5)))</f>
        <v>3225</v>
      </c>
      <c r="AV12" s="35">
        <f>IF(AH12=0,$AI$5,IF(AH13=0,$AI$5,AS13+(((-AT12)*$AV$7)/AH13)))</f>
        <v>3225.4285714285661</v>
      </c>
      <c r="AW12" s="35">
        <v>3500</v>
      </c>
      <c r="AX12" s="35">
        <f>AW12*2.20462</f>
        <v>7716.1699999999992</v>
      </c>
      <c r="AY12" s="35">
        <f>AW12*4.184</f>
        <v>14644</v>
      </c>
      <c r="AZ12" s="35">
        <f>AX12*4.184</f>
        <v>32284.455279999998</v>
      </c>
      <c r="BA12" s="51"/>
      <c r="BE12" s="48"/>
      <c r="BF12" s="48"/>
      <c r="BH12" s="49"/>
      <c r="BI12" s="49"/>
      <c r="CA12" s="37"/>
      <c r="CB12" s="37"/>
    </row>
    <row r="13" spans="1:80" x14ac:dyDescent="0.35">
      <c r="B13" s="113"/>
      <c r="C13" s="20" t="str">
        <f>IF(F5=" - Choose - ","",F5)</f>
        <v>Cal.</v>
      </c>
      <c r="D13" s="17"/>
      <c r="E13" s="71"/>
      <c r="F13" s="71">
        <v>2460</v>
      </c>
      <c r="G13" s="71">
        <v>2618</v>
      </c>
      <c r="H13" s="71">
        <v>2800</v>
      </c>
      <c r="I13" s="71"/>
      <c r="J13" s="7"/>
      <c r="K13" s="40">
        <f t="shared" si="0"/>
        <v>2625.4285714285716</v>
      </c>
      <c r="L13" s="125"/>
      <c r="M13" s="89"/>
      <c r="N13" s="36"/>
      <c r="O13" s="36"/>
      <c r="P13" s="36"/>
      <c r="Q13" s="36"/>
      <c r="R13" s="36"/>
      <c r="S13" s="36"/>
      <c r="T13" s="36"/>
      <c r="U13" s="36"/>
      <c r="X13" s="34"/>
      <c r="AB13" s="43"/>
      <c r="AE13" s="34"/>
      <c r="AF13" s="36"/>
      <c r="AG13" s="56">
        <f>AG12+0.5</f>
        <v>1.5</v>
      </c>
      <c r="AH13" s="35">
        <f t="shared" si="1"/>
        <v>7</v>
      </c>
      <c r="AI13" s="35">
        <f>AI12</f>
        <v>187.4</v>
      </c>
      <c r="AJ13" s="35">
        <f t="shared" ref="AJ13:AJ43" si="9">AJ12</f>
        <v>183</v>
      </c>
      <c r="AK13" s="35">
        <f>IF($AJ$9=0,0,(AK12+AK14)/2)</f>
        <v>185.6</v>
      </c>
      <c r="AL13" s="64">
        <f>IF(COUNT(D13:J13)&lt;1,"",IF(D13="",AI5,D13))</f>
        <v>2450</v>
      </c>
      <c r="AM13" s="65">
        <f t="shared" si="2"/>
        <v>2450</v>
      </c>
      <c r="AN13" s="65">
        <f t="shared" si="3"/>
        <v>2460</v>
      </c>
      <c r="AO13" s="65">
        <f t="shared" si="4"/>
        <v>2618</v>
      </c>
      <c r="AP13" s="65">
        <f t="shared" si="5"/>
        <v>2800</v>
      </c>
      <c r="AQ13" s="65">
        <f t="shared" si="6"/>
        <v>2800</v>
      </c>
      <c r="AR13" s="66">
        <f t="shared" si="7"/>
        <v>2800</v>
      </c>
      <c r="AS13" s="63">
        <f t="shared" si="8"/>
        <v>2625.4285714285716</v>
      </c>
      <c r="AT13" s="83"/>
      <c r="AU13" s="85"/>
      <c r="AW13" s="35">
        <v>13</v>
      </c>
      <c r="AX13" s="35">
        <f>AW13*2.20462</f>
        <v>28.660059999999998</v>
      </c>
      <c r="AY13" s="35">
        <f>AW13*4.184</f>
        <v>54.392000000000003</v>
      </c>
      <c r="AZ13" s="35">
        <f>AX13*4.184</f>
        <v>119.91369103999999</v>
      </c>
      <c r="BA13" s="51"/>
      <c r="BE13" s="48"/>
      <c r="BF13" s="48"/>
      <c r="BH13" s="49"/>
      <c r="BI13" s="49"/>
      <c r="CA13" s="37"/>
      <c r="CB13" s="37"/>
    </row>
    <row r="14" spans="1:80" ht="15" customHeight="1" x14ac:dyDescent="0.35">
      <c r="B14" s="94">
        <f>IF(B12="","",B12+7)</f>
        <v>43054</v>
      </c>
      <c r="C14" s="21" t="str">
        <f t="shared" ref="C14:C77" si="10">C12</f>
        <v>Weight</v>
      </c>
      <c r="D14" s="17">
        <v>187.8</v>
      </c>
      <c r="E14" s="71">
        <v>187.6</v>
      </c>
      <c r="F14" s="71">
        <v>188</v>
      </c>
      <c r="G14" s="71">
        <v>188.4</v>
      </c>
      <c r="H14" s="71">
        <v>189.4</v>
      </c>
      <c r="I14" s="71"/>
      <c r="J14" s="7"/>
      <c r="K14" s="33">
        <f t="shared" si="0"/>
        <v>188.57142857142858</v>
      </c>
      <c r="L14" s="126">
        <f>IF(K14="","",AT14)</f>
        <v>1.1714285714285779</v>
      </c>
      <c r="M14" s="90">
        <f ca="1">IF(AV14="","",IF(L14="","",AU14))</f>
        <v>2720</v>
      </c>
      <c r="N14" s="36"/>
      <c r="O14" s="69"/>
      <c r="P14" s="69"/>
      <c r="Q14" s="69"/>
      <c r="R14" s="70" t="str">
        <f>IF(S$3="male",IF(S$4="cm",IF(OR(ISBLANK(O14),ISBLANK(P14)),"",ROUND(((86.01*LOG10(O14/2.54-P14/2.54))-(70.041*LOG10(S$5/2.54))+36.76),0)/100),IF(S$4="inch",IF(OR(ISBLANK(O14),ISBLANK(P14)),"",ROUND(((86.01*LOG10(O14-P14))-(70.041*LOG10(S$5))+36.76),0)/100),"")),IF(S$3="female",IF(S$4="cm",IF(OR(ISBLANK(O14),ISBLANK(P14),ISBLANK(Q14)),"",ROUND(((163.205*LOG10(O14/2.54+Q14/2.54-P14/2.54))-(97.684*LOG10(S$5/2.54))-78.387),0)/100),IF(S$4="inch",IF(OR(ISBLANK(O14),ISBLANK(P14),ISBLANK(Q14)),"",ROUND(((163.205*LOG10(O14+Q14-P14))-(97.684*LOG10(S$5))-78.387),0)/100),"")),""))</f>
        <v/>
      </c>
      <c r="S14" s="36"/>
      <c r="T14" s="36"/>
      <c r="U14" s="36"/>
      <c r="V14" s="137" t="str">
        <f ca="1">IF(M18="","","From")</f>
        <v>From</v>
      </c>
      <c r="W14" s="138"/>
      <c r="X14" s="141">
        <f ca="1">IF(M18="","",B12)</f>
        <v>43047</v>
      </c>
      <c r="Y14" s="142"/>
      <c r="Z14" s="142"/>
      <c r="AA14" s="143" t="str">
        <f ca="1">IF(M18="","","to")</f>
        <v>to</v>
      </c>
      <c r="AB14" s="144">
        <f ca="1">IF(M18="","",B18)</f>
        <v>43068</v>
      </c>
      <c r="AC14" s="145"/>
      <c r="AD14" s="146"/>
      <c r="AE14" s="147"/>
      <c r="AF14" s="36"/>
      <c r="AG14" s="56">
        <f>AG12+1</f>
        <v>2</v>
      </c>
      <c r="AH14" s="35">
        <f t="shared" si="1"/>
        <v>7</v>
      </c>
      <c r="AI14" s="35">
        <f>IF(K14="",AI12,K14)</f>
        <v>188.57142857142858</v>
      </c>
      <c r="AJ14" s="35">
        <f t="shared" si="9"/>
        <v>183</v>
      </c>
      <c r="AK14" s="35">
        <f>IF($F$6&gt;$F$7,IF(AK12&gt;AJ14,AK12+$AJ$9,AJ14),IF($F$6&lt;$F$7,IF(AK12&lt;AJ14,AK12+$AJ$9,AJ14),AJ14))</f>
        <v>184.6</v>
      </c>
      <c r="AL14" s="57">
        <f t="shared" ref="AL14:AL45" si="11">IF(COUNT(D14:J14)&lt;1,"",IF(D14="",AS12,D14))</f>
        <v>187.8</v>
      </c>
      <c r="AM14" s="58">
        <f t="shared" si="2"/>
        <v>187.6</v>
      </c>
      <c r="AN14" s="58">
        <f t="shared" si="3"/>
        <v>188</v>
      </c>
      <c r="AO14" s="58">
        <f t="shared" si="4"/>
        <v>188.4</v>
      </c>
      <c r="AP14" s="58">
        <f t="shared" si="5"/>
        <v>189.4</v>
      </c>
      <c r="AQ14" s="58">
        <f t="shared" si="6"/>
        <v>189.4</v>
      </c>
      <c r="AR14" s="59">
        <f t="shared" si="7"/>
        <v>189.4</v>
      </c>
      <c r="AS14" s="62">
        <f t="shared" si="8"/>
        <v>188.57142857142858</v>
      </c>
      <c r="AT14" s="86">
        <f>IF(AS14="","",AS14-AS12)</f>
        <v>1.1714285714285779</v>
      </c>
      <c r="AU14" s="87">
        <f ca="1">IF(AV14="","",IF(AT14="","",MROUND(AV14,5)))</f>
        <v>2720</v>
      </c>
      <c r="AV14" s="35">
        <f ca="1">IF(AH15&lt;7,AV12,IF(AH14&lt;7,AV12,((K15+(((-L14)*$AV$7)/AH15)))+SUM(OFFSET(IF(ROW()/2-5&gt;$S$8,INDEX(M:M,ROW()-(($S$8-1)*2)),$M$12),0,0,IF(ROW()/2-6&gt;($S$8-1),($S$8-1)*2,(ROW()/2-6)*2),1)))/IF(ROW()/2-5&gt;$S$8,$S$8,ROW()/2-5))</f>
        <v>2719.6428571428555</v>
      </c>
      <c r="AY14" s="35"/>
      <c r="AZ14" s="35"/>
      <c r="BA14" s="51"/>
      <c r="BE14" s="48"/>
      <c r="BF14" s="48"/>
      <c r="BH14" s="49"/>
      <c r="BI14" s="49"/>
      <c r="CA14" s="37"/>
      <c r="CB14" s="37"/>
    </row>
    <row r="15" spans="1:80" x14ac:dyDescent="0.35">
      <c r="B15" s="93"/>
      <c r="C15" s="22" t="str">
        <f t="shared" si="10"/>
        <v>Cal.</v>
      </c>
      <c r="D15" s="17">
        <v>2500</v>
      </c>
      <c r="E15" s="71">
        <v>2500</v>
      </c>
      <c r="F15" s="71">
        <v>2700</v>
      </c>
      <c r="G15" s="71">
        <v>3200</v>
      </c>
      <c r="H15" s="71">
        <v>2900</v>
      </c>
      <c r="I15" s="71"/>
      <c r="J15" s="7"/>
      <c r="K15" s="40">
        <f t="shared" si="0"/>
        <v>2800</v>
      </c>
      <c r="L15" s="125"/>
      <c r="M15" s="89"/>
      <c r="N15" s="36"/>
      <c r="O15" s="36"/>
      <c r="P15" s="36"/>
      <c r="Q15" s="36"/>
      <c r="R15" s="36"/>
      <c r="S15" s="36"/>
      <c r="T15" s="36"/>
      <c r="U15" s="36"/>
      <c r="V15" s="139"/>
      <c r="W15" s="140"/>
      <c r="X15" s="140"/>
      <c r="Y15" s="140"/>
      <c r="Z15" s="140"/>
      <c r="AA15" s="140"/>
      <c r="AB15" s="140"/>
      <c r="AC15" s="140"/>
      <c r="AD15" s="140"/>
      <c r="AE15" s="148"/>
      <c r="AF15" s="36"/>
      <c r="AG15" s="56">
        <f>AG14+0.5</f>
        <v>2.5</v>
      </c>
      <c r="AH15" s="35">
        <f t="shared" si="1"/>
        <v>7</v>
      </c>
      <c r="AI15" s="35">
        <f>AI14</f>
        <v>188.57142857142858</v>
      </c>
      <c r="AJ15" s="35">
        <f t="shared" si="9"/>
        <v>183</v>
      </c>
      <c r="AK15" s="35">
        <f>IF($AJ$9=0,0,(AK14+AK16)/2)</f>
        <v>183.6</v>
      </c>
      <c r="AL15" s="64">
        <f t="shared" si="11"/>
        <v>2500</v>
      </c>
      <c r="AM15" s="65">
        <f t="shared" si="2"/>
        <v>2500</v>
      </c>
      <c r="AN15" s="65">
        <f t="shared" si="3"/>
        <v>2700</v>
      </c>
      <c r="AO15" s="65">
        <f t="shared" si="4"/>
        <v>3200</v>
      </c>
      <c r="AP15" s="65">
        <f t="shared" si="5"/>
        <v>2900</v>
      </c>
      <c r="AQ15" s="65">
        <f t="shared" si="6"/>
        <v>2900</v>
      </c>
      <c r="AR15" s="66">
        <f t="shared" si="7"/>
        <v>2900</v>
      </c>
      <c r="AS15" s="63">
        <f t="shared" si="8"/>
        <v>2800</v>
      </c>
      <c r="AT15" s="83"/>
      <c r="AU15" s="85"/>
      <c r="AY15" s="35"/>
      <c r="AZ15" s="35"/>
      <c r="BA15" s="51"/>
      <c r="BE15" s="48"/>
      <c r="BF15" s="48"/>
      <c r="BH15" s="49"/>
      <c r="BI15" s="49"/>
      <c r="CA15" s="37"/>
      <c r="CB15" s="37"/>
    </row>
    <row r="16" spans="1:80" x14ac:dyDescent="0.35">
      <c r="B16" s="94">
        <f>IF(B14="","",B14+7)</f>
        <v>43061</v>
      </c>
      <c r="C16" s="21" t="str">
        <f t="shared" si="10"/>
        <v>Weight</v>
      </c>
      <c r="D16" s="17">
        <v>188.4</v>
      </c>
      <c r="E16" s="71">
        <v>187.5</v>
      </c>
      <c r="F16" s="71"/>
      <c r="G16" s="71"/>
      <c r="H16" s="71"/>
      <c r="I16" s="71"/>
      <c r="J16" s="7"/>
      <c r="K16" s="33">
        <f t="shared" si="0"/>
        <v>187.62857142857143</v>
      </c>
      <c r="L16" s="126">
        <f>IF(K16="","",AT16)</f>
        <v>-0.94285714285715017</v>
      </c>
      <c r="M16" s="90">
        <f ca="1">IF(AV16="","",IF(L16="","",AU16))</f>
        <v>3000</v>
      </c>
      <c r="N16" s="36"/>
      <c r="O16" s="69"/>
      <c r="P16" s="69"/>
      <c r="Q16" s="69"/>
      <c r="R16" s="70" t="str">
        <f>IF(S$3="male",IF(S$4="cm",IF(OR(ISBLANK(O16),ISBLANK(P16)),"",ROUND(((86.01*LOG10(O16/2.54-P16/2.54))-(70.041*LOG10(S$5/2.54))+36.76),0)/100),IF(S$4="inch",IF(OR(ISBLANK(O16),ISBLANK(P16)),"",ROUND(((86.01*LOG10(O16-P16))-(70.041*LOG10(S$5))+36.76),0)/100),"")),IF(S$3="female",IF(S$4="cm",IF(OR(ISBLANK(O16),ISBLANK(P16),ISBLANK(Q16)),"",ROUND(((163.205*LOG10(O16/2.54+Q16/2.54-P16/2.54))-(97.684*LOG10(S$5/2.54))-78.387),0)/100),IF(S$4="inch",IF(OR(ISBLANK(O16),ISBLANK(P16),ISBLANK(Q16)),"",ROUND(((163.205*LOG10(O16+Q16-P16))-(97.684*LOG10(S$5))-78.387),0)/100),"")),""))</f>
        <v/>
      </c>
      <c r="S16" s="36"/>
      <c r="T16" s="36"/>
      <c r="U16" s="36"/>
      <c r="V16" s="128" t="str">
        <f ca="1">IF(M18="","",IF(K18=F6,"No Weight Change",IF(K18&gt;F6,"You Gained:","You Lost:")))</f>
        <v>You Gained:</v>
      </c>
      <c r="W16" s="129"/>
      <c r="X16" s="129"/>
      <c r="Y16" s="129"/>
      <c r="Z16" s="129"/>
      <c r="AA16" s="129"/>
      <c r="AB16" s="42">
        <f ca="1">IF(M18="","",IF(K18=F6,"",IF(K18&gt;F6,K18-F6,F6-K18)))</f>
        <v>3.1428571428571672</v>
      </c>
      <c r="AC16" s="160" t="str">
        <f ca="1">IF(V16="","",IF(V16="No Weight Change","",IF(F4="Lb","Lb",IF(F4="Kg","Kg",""))))</f>
        <v>Lb</v>
      </c>
      <c r="AD16" s="161"/>
      <c r="AE16" s="162"/>
      <c r="AF16" s="36"/>
      <c r="AG16" s="56">
        <f>AG14+1</f>
        <v>3</v>
      </c>
      <c r="AH16" s="35">
        <f t="shared" si="1"/>
        <v>7</v>
      </c>
      <c r="AI16" s="35">
        <f>IF(K16="",AI14,K16)</f>
        <v>187.62857142857143</v>
      </c>
      <c r="AJ16" s="35">
        <f t="shared" si="9"/>
        <v>183</v>
      </c>
      <c r="AK16" s="35">
        <f>IF($F$6&gt;$F$7,IF(AK14&gt;AJ16,AK14+$AJ$9,AJ16),IF($F$6&lt;$F$7,IF(AK14&lt;AJ16,AK14+$AJ$9,AJ16),AJ16))</f>
        <v>182.6</v>
      </c>
      <c r="AL16" s="57">
        <f t="shared" si="11"/>
        <v>188.4</v>
      </c>
      <c r="AM16" s="58">
        <f t="shared" si="2"/>
        <v>187.5</v>
      </c>
      <c r="AN16" s="58">
        <f t="shared" si="3"/>
        <v>187.5</v>
      </c>
      <c r="AO16" s="58">
        <f t="shared" si="4"/>
        <v>187.5</v>
      </c>
      <c r="AP16" s="58">
        <f t="shared" si="5"/>
        <v>187.5</v>
      </c>
      <c r="AQ16" s="58">
        <f t="shared" si="6"/>
        <v>187.5</v>
      </c>
      <c r="AR16" s="59">
        <f t="shared" si="7"/>
        <v>187.5</v>
      </c>
      <c r="AS16" s="61">
        <f t="shared" si="8"/>
        <v>187.62857142857143</v>
      </c>
      <c r="AT16" s="82">
        <f>IF(AS16="","",AS16-AS14)</f>
        <v>-0.94285714285715017</v>
      </c>
      <c r="AU16" s="84">
        <f ca="1">IF(AV16="","",IF(AT16="","",MROUND(AV16,5)))</f>
        <v>3000</v>
      </c>
      <c r="AV16" s="35">
        <f ca="1">IF(AH17&lt;7,AV14,IF(AH16&lt;7,AV14,((K17+(((-L16)*$AV$7)/AH17)))+SUM(OFFSET(IF(ROW()/2-5&gt;$S$8,INDEX(M:M,ROW()-(($S$8-1)*2)),$M$12),0,0,IF(ROW()/2-6&gt;($S$8-1),($S$8-1)*2,(ROW()/2-6)*2),1)))/IF(ROW()/2-5&gt;$S$8,$S$8,ROW()/2-5))</f>
        <v>3000.7142857142867</v>
      </c>
      <c r="AY16" s="35"/>
      <c r="AZ16" s="35"/>
      <c r="BA16" s="51"/>
      <c r="BE16" s="48"/>
      <c r="BF16" s="48"/>
      <c r="BH16" s="49"/>
      <c r="BI16" s="49"/>
      <c r="CA16" s="37"/>
      <c r="CB16" s="37"/>
    </row>
    <row r="17" spans="2:80" x14ac:dyDescent="0.35">
      <c r="B17" s="93"/>
      <c r="C17" s="22" t="str">
        <f t="shared" si="10"/>
        <v>Cal.</v>
      </c>
      <c r="D17" s="17">
        <v>2500</v>
      </c>
      <c r="E17" s="71">
        <v>2600</v>
      </c>
      <c r="F17" s="71"/>
      <c r="G17" s="71"/>
      <c r="H17" s="71"/>
      <c r="I17" s="71"/>
      <c r="J17" s="7"/>
      <c r="K17" s="40">
        <f t="shared" si="0"/>
        <v>2585.7142857142858</v>
      </c>
      <c r="L17" s="125"/>
      <c r="M17" s="89"/>
      <c r="N17" s="36"/>
      <c r="O17" s="36"/>
      <c r="P17" s="36"/>
      <c r="Q17" s="36"/>
      <c r="R17" s="36"/>
      <c r="S17" s="36"/>
      <c r="T17" s="36"/>
      <c r="U17" s="36"/>
      <c r="V17" s="130" t="str">
        <f ca="1">IF(M18="","",IF(K18=F6,"","At a Rate Of"))</f>
        <v>At a Rate Of</v>
      </c>
      <c r="W17" s="131"/>
      <c r="X17" s="131"/>
      <c r="Y17" s="131"/>
      <c r="Z17" s="131"/>
      <c r="AA17" s="132">
        <f ca="1">IF(V17="","",AB16/4)</f>
        <v>0.7857142857142918</v>
      </c>
      <c r="AB17" s="133"/>
      <c r="AC17" s="134" t="str">
        <f ca="1">IF(V16="","",IF(V16="No Weight Change","",IF(F4="Lb","Lb/Wk",IF(F4="Kg","Kg/Wk",""))))</f>
        <v>Lb/Wk</v>
      </c>
      <c r="AD17" s="135"/>
      <c r="AE17" s="136"/>
      <c r="AF17" s="36"/>
      <c r="AG17" s="56">
        <f>AG16+0.5</f>
        <v>3.5</v>
      </c>
      <c r="AH17" s="35">
        <f t="shared" si="1"/>
        <v>7</v>
      </c>
      <c r="AI17" s="35">
        <f>AI16</f>
        <v>187.62857142857143</v>
      </c>
      <c r="AJ17" s="35">
        <f t="shared" si="9"/>
        <v>183</v>
      </c>
      <c r="AK17" s="35">
        <f>IF($AJ$9=0,0,(AK16+AK18)/2)</f>
        <v>182.8</v>
      </c>
      <c r="AL17" s="64">
        <f t="shared" si="11"/>
        <v>2500</v>
      </c>
      <c r="AM17" s="65">
        <f t="shared" si="2"/>
        <v>2600</v>
      </c>
      <c r="AN17" s="65">
        <f t="shared" si="3"/>
        <v>2600</v>
      </c>
      <c r="AO17" s="65">
        <f t="shared" si="4"/>
        <v>2600</v>
      </c>
      <c r="AP17" s="65">
        <f t="shared" si="5"/>
        <v>2600</v>
      </c>
      <c r="AQ17" s="65">
        <f t="shared" si="6"/>
        <v>2600</v>
      </c>
      <c r="AR17" s="66">
        <f t="shared" si="7"/>
        <v>2600</v>
      </c>
      <c r="AS17" s="39">
        <f t="shared" si="8"/>
        <v>2585.7142857142858</v>
      </c>
      <c r="AT17" s="83"/>
      <c r="AU17" s="85"/>
      <c r="AY17" s="35"/>
      <c r="AZ17" s="35"/>
      <c r="BA17" s="51"/>
      <c r="BE17" s="48"/>
      <c r="BF17" s="48"/>
      <c r="BH17" s="49"/>
      <c r="BI17" s="49"/>
      <c r="CA17" s="37"/>
      <c r="CB17" s="37"/>
    </row>
    <row r="18" spans="2:80" x14ac:dyDescent="0.35">
      <c r="B18" s="94">
        <f>IF(B16="","",B16+7)</f>
        <v>43068</v>
      </c>
      <c r="C18" s="21" t="str">
        <f t="shared" si="10"/>
        <v>Weight</v>
      </c>
      <c r="D18" s="17">
        <v>193.6</v>
      </c>
      <c r="E18" s="71">
        <v>192.6</v>
      </c>
      <c r="F18" s="71">
        <v>192.2</v>
      </c>
      <c r="G18" s="71">
        <v>189.6</v>
      </c>
      <c r="H18" s="71">
        <v>191.4</v>
      </c>
      <c r="I18" s="71"/>
      <c r="J18" s="7"/>
      <c r="K18" s="33">
        <f t="shared" si="0"/>
        <v>191.74285714285716</v>
      </c>
      <c r="L18" s="126">
        <f>IF(K18="","",AT18)</f>
        <v>4.1142857142857281</v>
      </c>
      <c r="M18" s="90">
        <f ca="1">IF(AV18="","",IF(L18="","",AU18))</f>
        <v>2280</v>
      </c>
      <c r="N18" s="36"/>
      <c r="O18" s="69"/>
      <c r="P18" s="69"/>
      <c r="Q18" s="69"/>
      <c r="R18" s="70" t="str">
        <f>IF(S$3="male",IF(S$4="cm",IF(OR(ISBLANK(O18),ISBLANK(P18)),"",ROUND(((86.01*LOG10(O18/2.54-P18/2.54))-(70.041*LOG10(S$5/2.54))+36.76),0)/100),IF(S$4="inch",IF(OR(ISBLANK(O18),ISBLANK(P18)),"",ROUND(((86.01*LOG10(O18-P18))-(70.041*LOG10(S$5))+36.76),0)/100),"")),IF(S$3="female",IF(S$4="cm",IF(OR(ISBLANK(O18),ISBLANK(P18),ISBLANK(Q18)),"",ROUND(((163.205*LOG10(O18/2.54+Q18/2.54-P18/2.54))-(97.684*LOG10(S$5/2.54))-78.387),0)/100),IF(S$4="inch",IF(OR(ISBLANK(O18),ISBLANK(P18),ISBLANK(Q18)),"",ROUND(((163.205*LOG10(O18+Q18-P18))-(97.684*LOG10(S$5))-78.387),0)/100),"")),""))</f>
        <v/>
      </c>
      <c r="S18" s="36"/>
      <c r="T18" s="36"/>
      <c r="U18" s="36"/>
      <c r="V18" s="149" t="str">
        <f ca="1">IF(AA17="","","You have")</f>
        <v>You have</v>
      </c>
      <c r="W18" s="150"/>
      <c r="X18" s="150"/>
      <c r="Y18" s="150"/>
      <c r="Z18" s="153">
        <f ca="1">IF(AA17="","",IF(K18&gt;F7,K18-F7,F7-K18))</f>
        <v>8.7428571428571615</v>
      </c>
      <c r="AA18" s="155" t="str">
        <f ca="1">IF(AA17="","",IF(AA17="No Weight Change","",IF(F4="Lb","Lb to go!",IF(F4="Kg","Kg to go!",""))))</f>
        <v>Lb to go!</v>
      </c>
      <c r="AB18" s="156"/>
      <c r="AC18" s="156"/>
      <c r="AD18" s="156"/>
      <c r="AE18" s="157"/>
      <c r="AF18" s="36"/>
      <c r="AG18" s="56">
        <f>AG16+1</f>
        <v>4</v>
      </c>
      <c r="AH18" s="35">
        <f t="shared" si="1"/>
        <v>7</v>
      </c>
      <c r="AI18" s="35">
        <f>IF(K18="",AI16,K18)</f>
        <v>191.74285714285716</v>
      </c>
      <c r="AJ18" s="35">
        <f t="shared" si="9"/>
        <v>183</v>
      </c>
      <c r="AK18" s="35">
        <f>IF($F$6&gt;$F$7,IF(AK16&gt;AJ18,AK16+$AJ$9,AJ18),IF($F$6&lt;$F$7,IF(AK16&lt;AJ18,AK16+$AJ$9,AJ18),AJ18))</f>
        <v>183</v>
      </c>
      <c r="AL18" s="57">
        <f t="shared" si="11"/>
        <v>193.6</v>
      </c>
      <c r="AM18" s="58">
        <f t="shared" si="2"/>
        <v>192.6</v>
      </c>
      <c r="AN18" s="58">
        <f t="shared" si="3"/>
        <v>192.2</v>
      </c>
      <c r="AO18" s="58">
        <f t="shared" si="4"/>
        <v>189.6</v>
      </c>
      <c r="AP18" s="58">
        <f t="shared" si="5"/>
        <v>191.4</v>
      </c>
      <c r="AQ18" s="58">
        <f t="shared" si="6"/>
        <v>191.4</v>
      </c>
      <c r="AR18" s="59">
        <f t="shared" si="7"/>
        <v>191.4</v>
      </c>
      <c r="AS18" s="61">
        <f t="shared" si="8"/>
        <v>191.74285714285716</v>
      </c>
      <c r="AT18" s="82">
        <f>IF(AS18="","",AS18-AS16)</f>
        <v>4.1142857142857281</v>
      </c>
      <c r="AU18" s="84">
        <f ca="1">IF(AV18="","",IF(AT18="","",MROUND(AV18,5)))</f>
        <v>2280</v>
      </c>
      <c r="AV18" s="35">
        <f ca="1">IF(AH19&lt;7,AV16,IF(AH18&lt;7,AV16,((K19+(((-L18)*$AV$7)/AH19)))+SUM(OFFSET(IF(ROW()/2-5&gt;$S$8,INDEX(M:M,ROW()-(($S$8-1)*2)),$M$12),0,0,IF(ROW()/2-6&gt;($S$8-1),($S$8-1)*2,(ROW()/2-6)*2),1)))/IF(ROW()/2-5&gt;$S$8,$S$8,ROW()/2-5))</f>
        <v>2278.5969387755085</v>
      </c>
      <c r="AY18" s="35"/>
      <c r="AZ18" s="35"/>
      <c r="BA18" s="51"/>
      <c r="BE18" s="48"/>
      <c r="BF18" s="48"/>
      <c r="BH18" s="49"/>
      <c r="BI18" s="49"/>
      <c r="CA18" s="37"/>
      <c r="CB18" s="37"/>
    </row>
    <row r="19" spans="2:80" x14ac:dyDescent="0.35">
      <c r="B19" s="113"/>
      <c r="C19" s="20" t="str">
        <f t="shared" si="10"/>
        <v>Cal.</v>
      </c>
      <c r="D19" s="18"/>
      <c r="E19" s="19">
        <v>2155</v>
      </c>
      <c r="F19" s="19">
        <v>2175</v>
      </c>
      <c r="G19" s="19">
        <v>2205</v>
      </c>
      <c r="H19" s="19">
        <v>2155</v>
      </c>
      <c r="I19" s="19"/>
      <c r="J19" s="24"/>
      <c r="K19" s="39">
        <f t="shared" si="0"/>
        <v>2226.5306122448978</v>
      </c>
      <c r="L19" s="127"/>
      <c r="M19" s="91"/>
      <c r="N19" s="36"/>
      <c r="O19" s="36"/>
      <c r="P19" s="36"/>
      <c r="Q19" s="36"/>
      <c r="R19" s="36"/>
      <c r="S19" s="36"/>
      <c r="T19" s="36"/>
      <c r="U19" s="36"/>
      <c r="V19" s="151"/>
      <c r="W19" s="152"/>
      <c r="X19" s="152"/>
      <c r="Y19" s="152"/>
      <c r="Z19" s="154"/>
      <c r="AA19" s="158"/>
      <c r="AB19" s="158"/>
      <c r="AC19" s="158"/>
      <c r="AD19" s="158"/>
      <c r="AE19" s="159"/>
      <c r="AF19" s="36"/>
      <c r="AG19" s="56">
        <f>AG18+0.5</f>
        <v>4.5</v>
      </c>
      <c r="AH19" s="35">
        <f t="shared" si="1"/>
        <v>7</v>
      </c>
      <c r="AI19" s="35">
        <f>AI18</f>
        <v>191.74285714285716</v>
      </c>
      <c r="AJ19" s="35">
        <f t="shared" si="9"/>
        <v>183</v>
      </c>
      <c r="AK19" s="35">
        <f>IF($AJ$9=0,0,(AK18+AK20)/2)</f>
        <v>183</v>
      </c>
      <c r="AL19" s="64">
        <f t="shared" si="11"/>
        <v>2585.7142857142858</v>
      </c>
      <c r="AM19" s="65">
        <f t="shared" si="2"/>
        <v>2155</v>
      </c>
      <c r="AN19" s="65">
        <f t="shared" si="3"/>
        <v>2175</v>
      </c>
      <c r="AO19" s="65">
        <f t="shared" si="4"/>
        <v>2205</v>
      </c>
      <c r="AP19" s="65">
        <f t="shared" si="5"/>
        <v>2155</v>
      </c>
      <c r="AQ19" s="65">
        <f t="shared" si="6"/>
        <v>2155</v>
      </c>
      <c r="AR19" s="66">
        <f t="shared" si="7"/>
        <v>2155</v>
      </c>
      <c r="AS19" s="39">
        <f t="shared" si="8"/>
        <v>2226.5306122448978</v>
      </c>
      <c r="AT19" s="83"/>
      <c r="AU19" s="85"/>
      <c r="AY19" s="35"/>
      <c r="AZ19" s="35"/>
      <c r="BA19" s="51"/>
      <c r="BE19" s="48"/>
      <c r="BF19" s="48"/>
      <c r="BH19" s="49"/>
      <c r="BI19" s="49"/>
      <c r="CA19" s="37"/>
      <c r="CB19" s="37"/>
    </row>
    <row r="20" spans="2:80" x14ac:dyDescent="0.35">
      <c r="B20" s="92">
        <f>IF(B18="","",B18+7)</f>
        <v>43075</v>
      </c>
      <c r="C20" s="10" t="str">
        <f t="shared" si="10"/>
        <v>Weight</v>
      </c>
      <c r="D20" s="15">
        <v>189.2</v>
      </c>
      <c r="E20" s="16">
        <v>188.4</v>
      </c>
      <c r="F20" s="16">
        <v>188.8</v>
      </c>
      <c r="G20" s="16">
        <v>187.4</v>
      </c>
      <c r="H20" s="16">
        <v>186.8</v>
      </c>
      <c r="I20" s="16">
        <v>186.4</v>
      </c>
      <c r="J20" s="23">
        <v>187.8</v>
      </c>
      <c r="K20" s="32">
        <f t="shared" si="0"/>
        <v>187.82857142857145</v>
      </c>
      <c r="L20" s="124">
        <f>IF(K20="","",AT20)</f>
        <v>-3.914285714285711</v>
      </c>
      <c r="M20" s="88">
        <f ca="1">IF(AV20="","",IF(L20="","",AU20))</f>
        <v>3105</v>
      </c>
      <c r="N20" s="36"/>
      <c r="O20" s="69">
        <v>36</v>
      </c>
      <c r="P20" s="69">
        <v>16</v>
      </c>
      <c r="Q20" s="69">
        <v>33</v>
      </c>
      <c r="R20" s="70">
        <f>IF(S$3="male",IF(S$4="cm",IF(OR(ISBLANK(O20),ISBLANK(P20)),"",ROUND(((86.01*LOG10(O20/2.54-P20/2.54))-(70.041*LOG10(S$5/2.54))+36.76),0)/100),IF(S$4="inch",IF(OR(ISBLANK(O20),ISBLANK(P20)),"",ROUND(((86.01*LOG10(O20-P20))-(70.041*LOG10(S$5))+36.76),0)/100),"")),IF(S$3="female",IF(S$4="cm",IF(OR(ISBLANK(O20),ISBLANK(P20),ISBLANK(Q20)),"",ROUND(((163.205*LOG10(O20/2.54+Q20/2.54-P20/2.54))-(97.684*LOG10(S$5/2.54))-78.387),0)/100),IF(S$4="inch",IF(OR(ISBLANK(O20),ISBLANK(P20),ISBLANK(Q20)),"",ROUND(((163.205*LOG10(O20+Q20-P20))-(97.684*LOG10(S$5))-78.387),0)/100),"")),""))</f>
        <v>0.21</v>
      </c>
      <c r="S20" s="36"/>
      <c r="T20" s="36"/>
      <c r="U20" s="36"/>
      <c r="V20" s="36"/>
      <c r="W20" s="36"/>
      <c r="X20" s="36"/>
      <c r="Y20" s="36"/>
      <c r="Z20" s="45"/>
      <c r="AA20" s="36"/>
      <c r="AB20" s="45"/>
      <c r="AC20" s="36"/>
      <c r="AD20" s="36"/>
      <c r="AE20" s="36"/>
      <c r="AF20" s="36"/>
      <c r="AG20" s="56">
        <f>AG18+1</f>
        <v>5</v>
      </c>
      <c r="AH20" s="35">
        <f t="shared" si="1"/>
        <v>7</v>
      </c>
      <c r="AI20" s="35">
        <f>IF(K20="",AI18,K20)</f>
        <v>187.82857142857145</v>
      </c>
      <c r="AJ20" s="35">
        <f t="shared" si="9"/>
        <v>183</v>
      </c>
      <c r="AK20" s="35">
        <f>IF($F$6&gt;$F$7,IF(AK18&gt;AJ20,AK18+$AJ$9,AJ20),IF($F$6&lt;$F$7,IF(AK18&lt;AJ20,AK18+$AJ$9,AJ20),AJ20))</f>
        <v>183</v>
      </c>
      <c r="AL20" s="57">
        <f t="shared" si="11"/>
        <v>189.2</v>
      </c>
      <c r="AM20" s="58">
        <f t="shared" si="2"/>
        <v>188.4</v>
      </c>
      <c r="AN20" s="58">
        <f t="shared" si="3"/>
        <v>188.8</v>
      </c>
      <c r="AO20" s="58">
        <f t="shared" si="4"/>
        <v>187.4</v>
      </c>
      <c r="AP20" s="58">
        <f t="shared" si="5"/>
        <v>186.8</v>
      </c>
      <c r="AQ20" s="58">
        <f t="shared" si="6"/>
        <v>186.4</v>
      </c>
      <c r="AR20" s="59">
        <f t="shared" si="7"/>
        <v>187.8</v>
      </c>
      <c r="AS20" s="61">
        <f t="shared" si="8"/>
        <v>187.82857142857145</v>
      </c>
      <c r="AT20" s="82">
        <f>IF(AS20="","",AS20-AS18)</f>
        <v>-3.914285714285711</v>
      </c>
      <c r="AU20" s="84">
        <f ca="1">IF(AV20="","",IF(AT20="","",MROUND(AV20,5)))</f>
        <v>3105</v>
      </c>
      <c r="AV20" s="35">
        <f ca="1">IF(AH21&lt;7,AV18,IF(AH20&lt;7,AV18,((K21+(((-L20)*$AV$7)/AH21)))+SUM(OFFSET(IF(ROW()/2-5&gt;$S$8,INDEX(M:M,ROW()-(($S$8-1)*2)),$M$12),0,0,IF(ROW()/2-6&gt;($S$8-1),($S$8-1)*2,(ROW()/2-6)*2),1)))/IF(ROW()/2-5&gt;$S$8,$S$8,ROW()/2-5))</f>
        <v>3103.3714285714282</v>
      </c>
      <c r="AY20" s="35"/>
      <c r="AZ20" s="35"/>
      <c r="BA20" s="51"/>
      <c r="BE20" s="48"/>
      <c r="BF20" s="48"/>
      <c r="BH20" s="49"/>
      <c r="BI20" s="49"/>
      <c r="CA20" s="37"/>
      <c r="CB20" s="37"/>
    </row>
    <row r="21" spans="2:80" x14ac:dyDescent="0.35">
      <c r="B21" s="93"/>
      <c r="C21" s="26" t="str">
        <f t="shared" si="10"/>
        <v>Cal.</v>
      </c>
      <c r="D21" s="17">
        <v>2120</v>
      </c>
      <c r="E21" s="71">
        <v>2312</v>
      </c>
      <c r="F21" s="71">
        <v>2190</v>
      </c>
      <c r="G21" s="71">
        <v>2110</v>
      </c>
      <c r="H21" s="71">
        <v>2120</v>
      </c>
      <c r="I21" s="71">
        <v>2491</v>
      </c>
      <c r="J21" s="7">
        <v>3000</v>
      </c>
      <c r="K21" s="40">
        <f t="shared" si="0"/>
        <v>2334.7142857142858</v>
      </c>
      <c r="L21" s="125"/>
      <c r="M21" s="89"/>
      <c r="N21" s="36"/>
      <c r="O21" s="36"/>
      <c r="P21" s="36"/>
      <c r="Q21" s="36"/>
      <c r="R21" s="36"/>
      <c r="S21" s="36"/>
      <c r="T21" s="36"/>
      <c r="U21" s="36"/>
      <c r="X21" s="34"/>
      <c r="AB21" s="43"/>
      <c r="AE21" s="34"/>
      <c r="AF21" s="36"/>
      <c r="AG21" s="56">
        <f>AG20+0.5</f>
        <v>5.5</v>
      </c>
      <c r="AH21" s="35">
        <f t="shared" si="1"/>
        <v>7</v>
      </c>
      <c r="AI21" s="35">
        <f>AI20</f>
        <v>187.82857142857145</v>
      </c>
      <c r="AJ21" s="35">
        <f t="shared" si="9"/>
        <v>183</v>
      </c>
      <c r="AK21" s="35">
        <f>IF($AJ$9=0,0,(AK20+AK22)/2)</f>
        <v>183</v>
      </c>
      <c r="AL21" s="64">
        <f t="shared" si="11"/>
        <v>2120</v>
      </c>
      <c r="AM21" s="65">
        <f t="shared" si="2"/>
        <v>2312</v>
      </c>
      <c r="AN21" s="65">
        <f t="shared" si="3"/>
        <v>2190</v>
      </c>
      <c r="AO21" s="65">
        <f t="shared" si="4"/>
        <v>2110</v>
      </c>
      <c r="AP21" s="65">
        <f t="shared" si="5"/>
        <v>2120</v>
      </c>
      <c r="AQ21" s="65">
        <f t="shared" si="6"/>
        <v>2491</v>
      </c>
      <c r="AR21" s="66">
        <f t="shared" si="7"/>
        <v>3000</v>
      </c>
      <c r="AS21" s="39">
        <f t="shared" si="8"/>
        <v>2334.7142857142858</v>
      </c>
      <c r="AT21" s="83"/>
      <c r="AU21" s="85"/>
      <c r="AY21" s="35"/>
      <c r="AZ21" s="35"/>
      <c r="BA21" s="51"/>
      <c r="BE21" s="48"/>
      <c r="BF21" s="48"/>
      <c r="BH21" s="49"/>
      <c r="BI21" s="49"/>
      <c r="CA21" s="37"/>
      <c r="CB21" s="37"/>
    </row>
    <row r="22" spans="2:80" x14ac:dyDescent="0.35">
      <c r="B22" s="94">
        <f>IF(B20="","",B20+7)</f>
        <v>43082</v>
      </c>
      <c r="C22" s="27" t="str">
        <f t="shared" si="10"/>
        <v>Weight</v>
      </c>
      <c r="D22" s="17">
        <v>189</v>
      </c>
      <c r="E22" s="71">
        <v>188</v>
      </c>
      <c r="F22" s="71">
        <v>187.8</v>
      </c>
      <c r="G22" s="71">
        <v>187.4</v>
      </c>
      <c r="H22" s="71">
        <v>186.6</v>
      </c>
      <c r="I22" s="71">
        <v>185.4</v>
      </c>
      <c r="J22" s="7">
        <v>186.4</v>
      </c>
      <c r="K22" s="33">
        <f t="shared" si="0"/>
        <v>187.22857142857146</v>
      </c>
      <c r="L22" s="126">
        <f>IF(K22="","",AT22)</f>
        <v>-0.59999999999999432</v>
      </c>
      <c r="M22" s="90">
        <f ca="1">IF(AV22="","",IF(L22="","",AU22))</f>
        <v>2865</v>
      </c>
      <c r="N22" s="36"/>
      <c r="O22" s="69"/>
      <c r="P22" s="69"/>
      <c r="Q22" s="69"/>
      <c r="R22" s="70" t="str">
        <f>IF(S$3="male",IF(S$4="cm",IF(OR(ISBLANK(O22),ISBLANK(P22)),"",ROUND(((86.01*LOG10(O22/2.54-P22/2.54))-(70.041*LOG10(S$5/2.54))+36.76),0)/100),IF(S$4="inch",IF(OR(ISBLANK(O22),ISBLANK(P22)),"",ROUND(((86.01*LOG10(O22-P22))-(70.041*LOG10(S$5))+36.76),0)/100),"")),IF(S$3="female",IF(S$4="cm",IF(OR(ISBLANK(O22),ISBLANK(P22),ISBLANK(Q22)),"",ROUND(((163.205*LOG10(O22/2.54+Q22/2.54-P22/2.54))-(97.684*LOG10(S$5/2.54))-78.387),0)/100),IF(S$4="inch",IF(OR(ISBLANK(O22),ISBLANK(P22),ISBLANK(Q22)),"",ROUND(((163.205*LOG10(O22+Q22-P22))-(97.684*LOG10(S$5))-78.387),0)/100),"")),""))</f>
        <v/>
      </c>
      <c r="S22" s="36"/>
      <c r="T22" s="36"/>
      <c r="U22" s="36"/>
      <c r="V22" s="137" t="str">
        <f ca="1">IF(M26="","","From")</f>
        <v/>
      </c>
      <c r="W22" s="138"/>
      <c r="X22" s="141" t="str">
        <f ca="1">IF(M26="","",B20)</f>
        <v/>
      </c>
      <c r="Y22" s="142"/>
      <c r="Z22" s="142"/>
      <c r="AA22" s="143" t="str">
        <f ca="1">IF(M26="","","to")</f>
        <v/>
      </c>
      <c r="AB22" s="144" t="str">
        <f ca="1">IF(M26="","",B26)</f>
        <v/>
      </c>
      <c r="AC22" s="145"/>
      <c r="AD22" s="146"/>
      <c r="AE22" s="147"/>
      <c r="AF22" s="36"/>
      <c r="AG22" s="56">
        <f>AG20+1</f>
        <v>6</v>
      </c>
      <c r="AH22" s="35">
        <f t="shared" si="1"/>
        <v>7</v>
      </c>
      <c r="AI22" s="35">
        <f>IF(K22="",AI20,K22)</f>
        <v>187.22857142857146</v>
      </c>
      <c r="AJ22" s="35">
        <f t="shared" si="9"/>
        <v>183</v>
      </c>
      <c r="AK22" s="35">
        <f>IF($F$6&gt;$F$7,IF(AK20&gt;AJ22,AK20+$AJ$9,AJ22),IF($F$6&lt;$F$7,IF(AK20&lt;AJ22,AK20+$AJ$9,AJ22),AJ22))</f>
        <v>183</v>
      </c>
      <c r="AL22" s="57">
        <f t="shared" si="11"/>
        <v>189</v>
      </c>
      <c r="AM22" s="58">
        <f t="shared" si="2"/>
        <v>188</v>
      </c>
      <c r="AN22" s="58">
        <f t="shared" si="3"/>
        <v>187.8</v>
      </c>
      <c r="AO22" s="58">
        <f t="shared" si="4"/>
        <v>187.4</v>
      </c>
      <c r="AP22" s="58">
        <f t="shared" si="5"/>
        <v>186.6</v>
      </c>
      <c r="AQ22" s="58">
        <f t="shared" si="6"/>
        <v>185.4</v>
      </c>
      <c r="AR22" s="59">
        <f t="shared" si="7"/>
        <v>186.4</v>
      </c>
      <c r="AS22" s="61">
        <f t="shared" si="8"/>
        <v>187.22857142857146</v>
      </c>
      <c r="AT22" s="82">
        <f>IF(AS22="","",AS22-AS20)</f>
        <v>-0.59999999999999432</v>
      </c>
      <c r="AU22" s="84">
        <f ca="1">IF(AV22="","",IF(AT22="","",MROUND(AV22,5)))</f>
        <v>2865</v>
      </c>
      <c r="AV22" s="35">
        <f ca="1">IF(AH23&lt;7,AV20,IF(AH22&lt;7,AV20,((K23+(((-L22)*$AV$7)/AH23)))+SUM(OFFSET(IF(ROW()/2-5&gt;$S$8,INDEX(M:M,ROW()-(($S$8-1)*2)),$M$12),0,0,IF(ROW()/2-6&gt;($S$8-1),($S$8-1)*2,(ROW()/2-6)*2),1)))/IF(ROW()/2-5&gt;$S$8,$S$8,ROW()/2-5))</f>
        <v>2864.6428571428569</v>
      </c>
      <c r="AY22" s="35"/>
      <c r="AZ22" s="35"/>
      <c r="BA22" s="51"/>
      <c r="BE22" s="48"/>
      <c r="BF22" s="48"/>
      <c r="BH22" s="49"/>
      <c r="BI22" s="49"/>
      <c r="CA22" s="37"/>
      <c r="CB22" s="37"/>
    </row>
    <row r="23" spans="2:80" x14ac:dyDescent="0.35">
      <c r="B23" s="93"/>
      <c r="C23" s="28" t="str">
        <f t="shared" si="10"/>
        <v>Cal.</v>
      </c>
      <c r="D23" s="17">
        <v>2175</v>
      </c>
      <c r="E23" s="71">
        <v>2210</v>
      </c>
      <c r="F23" s="71">
        <v>2200</v>
      </c>
      <c r="G23" s="71">
        <v>2220</v>
      </c>
      <c r="H23" s="71">
        <v>2600</v>
      </c>
      <c r="I23" s="71">
        <v>3000</v>
      </c>
      <c r="J23" s="7">
        <v>3500</v>
      </c>
      <c r="K23" s="40">
        <f t="shared" si="0"/>
        <v>2557.8571428571427</v>
      </c>
      <c r="L23" s="125"/>
      <c r="M23" s="89"/>
      <c r="N23" s="36"/>
      <c r="O23" s="36"/>
      <c r="P23" s="36"/>
      <c r="Q23" s="36"/>
      <c r="R23" s="36"/>
      <c r="S23" s="36"/>
      <c r="T23" s="36"/>
      <c r="U23" s="36"/>
      <c r="V23" s="139"/>
      <c r="W23" s="140"/>
      <c r="X23" s="140"/>
      <c r="Y23" s="140"/>
      <c r="Z23" s="140"/>
      <c r="AA23" s="140"/>
      <c r="AB23" s="140"/>
      <c r="AC23" s="140"/>
      <c r="AD23" s="140"/>
      <c r="AE23" s="148"/>
      <c r="AF23" s="34"/>
      <c r="AG23" s="56">
        <f>AG22+0.5</f>
        <v>6.5</v>
      </c>
      <c r="AH23" s="35">
        <f t="shared" si="1"/>
        <v>7</v>
      </c>
      <c r="AI23" s="35">
        <f>AI22</f>
        <v>187.22857142857146</v>
      </c>
      <c r="AJ23" s="35">
        <f t="shared" si="9"/>
        <v>183</v>
      </c>
      <c r="AK23" s="35">
        <f>IF($AJ$9=0,0,(AK22+AK24)/2)</f>
        <v>183</v>
      </c>
      <c r="AL23" s="64">
        <f t="shared" si="11"/>
        <v>2175</v>
      </c>
      <c r="AM23" s="65">
        <f t="shared" si="2"/>
        <v>2210</v>
      </c>
      <c r="AN23" s="65">
        <f t="shared" si="3"/>
        <v>2200</v>
      </c>
      <c r="AO23" s="65">
        <f t="shared" si="4"/>
        <v>2220</v>
      </c>
      <c r="AP23" s="65">
        <f t="shared" si="5"/>
        <v>2600</v>
      </c>
      <c r="AQ23" s="65">
        <f t="shared" si="6"/>
        <v>3000</v>
      </c>
      <c r="AR23" s="66">
        <f t="shared" si="7"/>
        <v>3500</v>
      </c>
      <c r="AS23" s="39">
        <f t="shared" si="8"/>
        <v>2557.8571428571427</v>
      </c>
      <c r="AT23" s="83"/>
      <c r="AU23" s="85"/>
      <c r="AY23" s="35"/>
      <c r="AZ23" s="35"/>
      <c r="BA23" s="51"/>
      <c r="BE23" s="48"/>
      <c r="BF23" s="48"/>
      <c r="BH23" s="49"/>
      <c r="BI23" s="49"/>
      <c r="CA23" s="37"/>
      <c r="CB23" s="37"/>
    </row>
    <row r="24" spans="2:80" x14ac:dyDescent="0.35">
      <c r="B24" s="94">
        <f>IF(B22="","",B22+7)</f>
        <v>43089</v>
      </c>
      <c r="C24" s="27" t="str">
        <f t="shared" si="10"/>
        <v>Weight</v>
      </c>
      <c r="D24" s="17">
        <v>188.4</v>
      </c>
      <c r="E24" s="71">
        <v>190.2</v>
      </c>
      <c r="F24" s="71">
        <v>189.2</v>
      </c>
      <c r="G24" s="71"/>
      <c r="H24" s="71"/>
      <c r="I24" s="71"/>
      <c r="J24" s="7"/>
      <c r="K24" s="33">
        <f t="shared" si="0"/>
        <v>189.22857142857146</v>
      </c>
      <c r="L24" s="126">
        <f>IF(K24="","",AT24)</f>
        <v>2</v>
      </c>
      <c r="M24" s="90">
        <f ca="1">IF(AV24="","",IF(L24="","",AU24))</f>
        <v>2685</v>
      </c>
      <c r="N24" s="36"/>
      <c r="O24" s="69"/>
      <c r="P24" s="69"/>
      <c r="Q24" s="69"/>
      <c r="R24" s="70" t="str">
        <f>IF(S$3="male",IF(S$4="cm",IF(OR(ISBLANK(O24),ISBLANK(P24)),"",ROUND(((86.01*LOG10(O24/2.54-P24/2.54))-(70.041*LOG10(S$5/2.54))+36.76),0)/100),IF(S$4="inch",IF(OR(ISBLANK(O24),ISBLANK(P24)),"",ROUND(((86.01*LOG10(O24-P24))-(70.041*LOG10(S$5))+36.76),0)/100),"")),IF(S$3="female",IF(S$4="cm",IF(OR(ISBLANK(O24),ISBLANK(P24),ISBLANK(Q24)),"",ROUND(((163.205*LOG10(O24/2.54+Q24/2.54-P24/2.54))-(97.684*LOG10(S$5/2.54))-78.387),0)/100),IF(S$4="inch",IF(OR(ISBLANK(O24),ISBLANK(P24),ISBLANK(Q24)),"",ROUND(((163.205*LOG10(O24+Q24-P24))-(97.684*LOG10(S$5))-78.387),0)/100),"")),""))</f>
        <v/>
      </c>
      <c r="S24" s="36"/>
      <c r="T24" s="36"/>
      <c r="U24" s="36"/>
      <c r="V24" s="128" t="str">
        <f ca="1">IF(M26="","",IF(K26=K18,"No Weight Change",IF(K26&gt;K18,"You Gained:","You Lost:")))</f>
        <v/>
      </c>
      <c r="W24" s="129"/>
      <c r="X24" s="129"/>
      <c r="Y24" s="129"/>
      <c r="Z24" s="129"/>
      <c r="AA24" s="129"/>
      <c r="AB24" s="42" t="str">
        <f ca="1">IF(M26="","",IF(K26=K18,"",IF(K26&gt;K18,K26-K18,K18-K26)))</f>
        <v/>
      </c>
      <c r="AC24" s="160" t="str">
        <f ca="1">IF(V24="","",IF(V24="No Weight Change","",IF($F$4="Lb","Lb",IF($F$4="Kg","Kg",""))))</f>
        <v/>
      </c>
      <c r="AD24" s="161"/>
      <c r="AE24" s="162"/>
      <c r="AF24" s="34"/>
      <c r="AG24" s="56">
        <f>AG22+1</f>
        <v>7</v>
      </c>
      <c r="AH24" s="35">
        <f t="shared" si="1"/>
        <v>7</v>
      </c>
      <c r="AI24" s="35">
        <f>IF(K24="",AI22,K24)</f>
        <v>189.22857142857146</v>
      </c>
      <c r="AJ24" s="35">
        <f t="shared" si="9"/>
        <v>183</v>
      </c>
      <c r="AK24" s="35">
        <f>IF($F$6&gt;$F$7,IF(AK22&gt;AJ24,AK22+$AJ$9,AJ24),IF($F$6&lt;$F$7,IF(AK22&lt;AJ24,AK22+$AJ$9,AJ24),AJ24))</f>
        <v>183</v>
      </c>
      <c r="AL24" s="57">
        <f t="shared" si="11"/>
        <v>188.4</v>
      </c>
      <c r="AM24" s="58">
        <f t="shared" si="2"/>
        <v>190.2</v>
      </c>
      <c r="AN24" s="58">
        <f t="shared" si="3"/>
        <v>189.2</v>
      </c>
      <c r="AO24" s="58">
        <f t="shared" si="4"/>
        <v>189.2</v>
      </c>
      <c r="AP24" s="58">
        <f t="shared" si="5"/>
        <v>189.2</v>
      </c>
      <c r="AQ24" s="58">
        <f t="shared" si="6"/>
        <v>189.2</v>
      </c>
      <c r="AR24" s="59">
        <f t="shared" si="7"/>
        <v>189.2</v>
      </c>
      <c r="AS24" s="61">
        <f t="shared" si="8"/>
        <v>189.22857142857146</v>
      </c>
      <c r="AT24" s="82">
        <f>IF(AS24="","",AS24-AS22)</f>
        <v>2</v>
      </c>
      <c r="AU24" s="84">
        <f ca="1">IF(AV24="","",IF(AT24="","",MROUND(AV24,5)))</f>
        <v>2685</v>
      </c>
      <c r="AV24" s="35">
        <f ca="1">IF(AH25&lt;7,AV22,IF(AH24&lt;7,AV22,((K25+(((-L24)*$AV$7)/AH25)))+SUM(OFFSET(IF(ROW()/2-5&gt;$S$8,INDEX(M:M,ROW()-(($S$8-1)*2)),$M$12),0,0,IF(ROW()/2-6&gt;($S$8-1),($S$8-1)*2,(ROW()/2-6)*2),1)))/IF(ROW()/2-5&gt;$S$8,$S$8,ROW()/2-5))</f>
        <v>2682.7551020408164</v>
      </c>
      <c r="AY24" s="35"/>
      <c r="AZ24" s="35"/>
      <c r="BA24" s="51"/>
      <c r="BE24" s="48"/>
      <c r="BF24" s="48"/>
      <c r="BH24" s="49"/>
      <c r="BI24" s="49"/>
      <c r="CA24" s="37"/>
      <c r="CB24" s="37"/>
    </row>
    <row r="25" spans="2:80" x14ac:dyDescent="0.35">
      <c r="B25" s="93"/>
      <c r="C25" s="28" t="str">
        <f t="shared" si="10"/>
        <v>Cal.</v>
      </c>
      <c r="D25" s="17">
        <v>4500</v>
      </c>
      <c r="E25" s="71">
        <v>2490</v>
      </c>
      <c r="F25" s="71">
        <v>2220</v>
      </c>
      <c r="G25" s="71"/>
      <c r="H25" s="71"/>
      <c r="I25" s="71"/>
      <c r="J25" s="7"/>
      <c r="K25" s="40">
        <f t="shared" si="0"/>
        <v>2584.2857142857142</v>
      </c>
      <c r="L25" s="125"/>
      <c r="M25" s="89"/>
      <c r="N25" s="36"/>
      <c r="O25" s="36"/>
      <c r="P25" s="36"/>
      <c r="Q25" s="36"/>
      <c r="R25" s="36"/>
      <c r="S25" s="36"/>
      <c r="T25" s="36"/>
      <c r="U25" s="36"/>
      <c r="V25" s="130" t="str">
        <f ca="1">IF(M26="","",IF(K26=K18,"","At a Rate Of"))</f>
        <v/>
      </c>
      <c r="W25" s="131"/>
      <c r="X25" s="131"/>
      <c r="Y25" s="131"/>
      <c r="Z25" s="131"/>
      <c r="AA25" s="132" t="str">
        <f ca="1">IF(V25="","",AB24/4)</f>
        <v/>
      </c>
      <c r="AB25" s="133"/>
      <c r="AC25" s="134" t="str">
        <f ca="1">IF(V24="","",IF(V24="No Weight Change","",IF($F$4="Lb","Lb/Wk",IF($F$4="Kg","Kg/Wk",""))))</f>
        <v/>
      </c>
      <c r="AD25" s="135"/>
      <c r="AE25" s="136"/>
      <c r="AF25" s="34"/>
      <c r="AG25" s="56">
        <f>AG24+0.5</f>
        <v>7.5</v>
      </c>
      <c r="AH25" s="35">
        <f t="shared" si="1"/>
        <v>7</v>
      </c>
      <c r="AI25" s="35">
        <f>AI24</f>
        <v>189.22857142857146</v>
      </c>
      <c r="AJ25" s="35">
        <f t="shared" si="9"/>
        <v>183</v>
      </c>
      <c r="AK25" s="35">
        <f>IF($AJ$9=0,0,(AK24+AK26)/2)</f>
        <v>183</v>
      </c>
      <c r="AL25" s="64">
        <f t="shared" si="11"/>
        <v>4500</v>
      </c>
      <c r="AM25" s="65">
        <f t="shared" si="2"/>
        <v>2490</v>
      </c>
      <c r="AN25" s="65">
        <f t="shared" si="3"/>
        <v>2220</v>
      </c>
      <c r="AO25" s="65">
        <f t="shared" si="4"/>
        <v>2220</v>
      </c>
      <c r="AP25" s="65">
        <f t="shared" si="5"/>
        <v>2220</v>
      </c>
      <c r="AQ25" s="65">
        <f t="shared" si="6"/>
        <v>2220</v>
      </c>
      <c r="AR25" s="66">
        <f t="shared" si="7"/>
        <v>2220</v>
      </c>
      <c r="AS25" s="39">
        <f t="shared" si="8"/>
        <v>2584.2857142857142</v>
      </c>
      <c r="AT25" s="83"/>
      <c r="AU25" s="85"/>
      <c r="AY25" s="35"/>
      <c r="AZ25" s="35"/>
      <c r="BA25" s="51"/>
      <c r="BE25" s="48"/>
      <c r="BF25" s="48"/>
      <c r="BH25" s="49"/>
      <c r="BI25" s="49"/>
      <c r="CA25" s="37"/>
      <c r="CB25" s="37"/>
    </row>
    <row r="26" spans="2:80" x14ac:dyDescent="0.35">
      <c r="B26" s="94">
        <f>IF(B24="","",B24+7)</f>
        <v>43096</v>
      </c>
      <c r="C26" s="27" t="str">
        <f t="shared" si="10"/>
        <v>Weight</v>
      </c>
      <c r="D26" s="17"/>
      <c r="E26" s="71"/>
      <c r="F26" s="71"/>
      <c r="G26" s="71"/>
      <c r="H26" s="71"/>
      <c r="I26" s="71"/>
      <c r="J26" s="7"/>
      <c r="K26" s="33" t="str">
        <f t="shared" si="0"/>
        <v/>
      </c>
      <c r="L26" s="126" t="str">
        <f>IF(K26="","",AT26)</f>
        <v/>
      </c>
      <c r="M26" s="90" t="str">
        <f ca="1">IF(AV26="","",IF(L26="","",AU26))</f>
        <v/>
      </c>
      <c r="N26" s="36"/>
      <c r="O26" s="69"/>
      <c r="P26" s="69"/>
      <c r="Q26" s="69"/>
      <c r="R26" s="70" t="str">
        <f>IF(S$3="male",IF(S$4="cm",IF(OR(ISBLANK(O26),ISBLANK(P26)),"",ROUND(((86.01*LOG10(O26/2.54-P26/2.54))-(70.041*LOG10(S$5/2.54))+36.76),0)/100),IF(S$4="inch",IF(OR(ISBLANK(O26),ISBLANK(P26)),"",ROUND(((86.01*LOG10(O26-P26))-(70.041*LOG10(S$5))+36.76),0)/100),"")),IF(S$3="female",IF(S$4="cm",IF(OR(ISBLANK(O26),ISBLANK(P26),ISBLANK(Q26)),"",ROUND(((163.205*LOG10(O26/2.54+Q26/2.54-P26/2.54))-(97.684*LOG10(S$5/2.54))-78.387),0)/100),IF(S$4="inch",IF(OR(ISBLANK(O26),ISBLANK(P26),ISBLANK(Q26)),"",ROUND(((163.205*LOG10(O26+Q26-P26))-(97.684*LOG10(S$5))-78.387),0)/100),"")),""))</f>
        <v/>
      </c>
      <c r="S26" s="36"/>
      <c r="T26" s="36"/>
      <c r="U26" s="36"/>
      <c r="V26" s="149" t="str">
        <f ca="1">IF(AA25="","","You have")</f>
        <v/>
      </c>
      <c r="W26" s="150"/>
      <c r="X26" s="150"/>
      <c r="Y26" s="150"/>
      <c r="Z26" s="153" t="str">
        <f ca="1">IF(AA25="","",IF(K26&gt;$F$7,K26-$F$7,$F$7-K26))</f>
        <v/>
      </c>
      <c r="AA26" s="155" t="str">
        <f ca="1">IF(AA25="","",IF(AA25="No Weight Change","",IF($F$4="Lb","Lb to go!",IF($F$4="Kg","Kg to go!",""))))</f>
        <v/>
      </c>
      <c r="AB26" s="156"/>
      <c r="AC26" s="156"/>
      <c r="AD26" s="156"/>
      <c r="AE26" s="157"/>
      <c r="AF26" s="36"/>
      <c r="AG26" s="56">
        <f>AG24+1</f>
        <v>8</v>
      </c>
      <c r="AH26" s="35">
        <f t="shared" si="1"/>
        <v>0</v>
      </c>
      <c r="AI26" s="35">
        <f>IF(K26="",AI24,K26)</f>
        <v>189.22857142857146</v>
      </c>
      <c r="AJ26" s="35">
        <f t="shared" si="9"/>
        <v>183</v>
      </c>
      <c r="AK26" s="35">
        <f>IF($F$6&gt;$F$7,IF(AK24&gt;AJ26,AK24+$AJ$9,AJ26),IF($F$6&lt;$F$7,IF(AK24&lt;AJ26,AK24+$AJ$9,AJ26),AJ26))</f>
        <v>183</v>
      </c>
      <c r="AL26" s="57" t="str">
        <f t="shared" si="11"/>
        <v/>
      </c>
      <c r="AM26" s="58" t="str">
        <f t="shared" si="2"/>
        <v/>
      </c>
      <c r="AN26" s="58" t="str">
        <f t="shared" si="3"/>
        <v/>
      </c>
      <c r="AO26" s="58" t="str">
        <f t="shared" si="4"/>
        <v/>
      </c>
      <c r="AP26" s="58" t="str">
        <f t="shared" si="5"/>
        <v/>
      </c>
      <c r="AQ26" s="58" t="str">
        <f t="shared" si="6"/>
        <v/>
      </c>
      <c r="AR26" s="59" t="str">
        <f t="shared" si="7"/>
        <v/>
      </c>
      <c r="AS26" s="61" t="str">
        <f t="shared" si="8"/>
        <v/>
      </c>
      <c r="AT26" s="82" t="str">
        <f>IF(AS26="","",AS26-AS24)</f>
        <v/>
      </c>
      <c r="AU26" s="84" t="str">
        <f ca="1">IF(AV26="","",IF(AT26="","",MROUND(AV26,5)))</f>
        <v/>
      </c>
      <c r="AV26" s="35">
        <f ca="1">IF(AH27&lt;7,AV24,IF(AH26&lt;7,AV24,((K27+(((-L26)*$AV$7)/AH27)))+SUM(OFFSET(IF(ROW()/2-5&gt;$S$8,INDEX(M:M,ROW()-(($S$8-1)*2)),$M$12),0,0,IF(ROW()/2-6&gt;($S$8-1),($S$8-1)*2,(ROW()/2-6)*2),1)))/IF(ROW()/2-5&gt;$S$8,$S$8,ROW()/2-5))</f>
        <v>2682.7551020408164</v>
      </c>
      <c r="AY26" s="35"/>
      <c r="AZ26" s="35"/>
      <c r="BA26" s="51"/>
      <c r="BE26" s="48"/>
      <c r="BF26" s="48"/>
      <c r="BH26" s="49"/>
      <c r="BI26" s="49"/>
      <c r="CA26" s="37"/>
      <c r="CB26" s="37"/>
    </row>
    <row r="27" spans="2:80" x14ac:dyDescent="0.35">
      <c r="B27" s="95"/>
      <c r="C27" s="11" t="str">
        <f t="shared" si="10"/>
        <v>Cal.</v>
      </c>
      <c r="D27" s="18"/>
      <c r="E27" s="19"/>
      <c r="F27" s="19"/>
      <c r="G27" s="19"/>
      <c r="H27" s="19"/>
      <c r="I27" s="19"/>
      <c r="J27" s="24"/>
      <c r="K27" s="39" t="str">
        <f t="shared" si="0"/>
        <v/>
      </c>
      <c r="L27" s="127"/>
      <c r="M27" s="91"/>
      <c r="N27" s="36"/>
      <c r="O27" s="36"/>
      <c r="P27" s="36"/>
      <c r="Q27" s="36"/>
      <c r="R27" s="36"/>
      <c r="S27" s="36"/>
      <c r="T27" s="36"/>
      <c r="U27" s="36"/>
      <c r="V27" s="151"/>
      <c r="W27" s="152"/>
      <c r="X27" s="152"/>
      <c r="Y27" s="152"/>
      <c r="Z27" s="154"/>
      <c r="AA27" s="158"/>
      <c r="AB27" s="158"/>
      <c r="AC27" s="158"/>
      <c r="AD27" s="158"/>
      <c r="AE27" s="159"/>
      <c r="AF27" s="36"/>
      <c r="AG27" s="56">
        <f>AG26+0.5</f>
        <v>8.5</v>
      </c>
      <c r="AH27" s="35">
        <f t="shared" si="1"/>
        <v>0</v>
      </c>
      <c r="AI27" s="35">
        <f>AI26</f>
        <v>189.22857142857146</v>
      </c>
      <c r="AJ27" s="35">
        <f t="shared" si="9"/>
        <v>183</v>
      </c>
      <c r="AK27" s="35">
        <f>IF($AJ$9=0,0,(AK26+AK28)/2)</f>
        <v>183</v>
      </c>
      <c r="AL27" s="64" t="str">
        <f t="shared" si="11"/>
        <v/>
      </c>
      <c r="AM27" s="65" t="str">
        <f t="shared" si="2"/>
        <v/>
      </c>
      <c r="AN27" s="65" t="str">
        <f t="shared" si="3"/>
        <v/>
      </c>
      <c r="AO27" s="65" t="str">
        <f t="shared" si="4"/>
        <v/>
      </c>
      <c r="AP27" s="65" t="str">
        <f t="shared" si="5"/>
        <v/>
      </c>
      <c r="AQ27" s="65" t="str">
        <f t="shared" si="6"/>
        <v/>
      </c>
      <c r="AR27" s="66" t="str">
        <f t="shared" si="7"/>
        <v/>
      </c>
      <c r="AS27" s="39" t="str">
        <f t="shared" si="8"/>
        <v/>
      </c>
      <c r="AT27" s="83"/>
      <c r="AU27" s="85"/>
      <c r="AY27" s="35"/>
      <c r="AZ27" s="35"/>
      <c r="BA27" s="51"/>
      <c r="BE27" s="48"/>
      <c r="BF27" s="48"/>
      <c r="BH27" s="49"/>
      <c r="BI27" s="49"/>
      <c r="CA27" s="37"/>
      <c r="CB27" s="37"/>
    </row>
    <row r="28" spans="2:80" x14ac:dyDescent="0.35">
      <c r="B28" s="92">
        <f>IF(B26="","",B26+7)</f>
        <v>43103</v>
      </c>
      <c r="C28" s="10" t="str">
        <f t="shared" si="10"/>
        <v>Weight</v>
      </c>
      <c r="D28" s="15"/>
      <c r="E28" s="16"/>
      <c r="F28" s="16"/>
      <c r="G28" s="16"/>
      <c r="H28" s="16"/>
      <c r="I28" s="16"/>
      <c r="J28" s="23"/>
      <c r="K28" s="32" t="str">
        <f t="shared" si="0"/>
        <v/>
      </c>
      <c r="L28" s="124" t="str">
        <f>IF(K28="","",AT28)</f>
        <v/>
      </c>
      <c r="M28" s="88" t="str">
        <f ca="1">IF(AV28="","",IF(L28="","",AU28))</f>
        <v/>
      </c>
      <c r="N28" s="36"/>
      <c r="O28" s="69"/>
      <c r="P28" s="69"/>
      <c r="Q28" s="69"/>
      <c r="R28" s="70" t="str">
        <f>IF(S$3="male",IF(S$4="cm",IF(OR(ISBLANK(O28),ISBLANK(P28)),"",ROUND(((86.01*LOG10(O28/2.54-P28/2.54))-(70.041*LOG10(S$5/2.54))+36.76),0)/100),IF(S$4="inch",IF(OR(ISBLANK(O28),ISBLANK(P28)),"",ROUND(((86.01*LOG10(O28-P28))-(70.041*LOG10(S$5))+36.76),0)/100),"")),IF(S$3="female",IF(S$4="cm",IF(OR(ISBLANK(O28),ISBLANK(P28),ISBLANK(Q28)),"",ROUND(((163.205*LOG10(O28/2.54+Q28/2.54-P28/2.54))-(97.684*LOG10(S$5/2.54))-78.387),0)/100),IF(S$4="inch",IF(OR(ISBLANK(O28),ISBLANK(P28),ISBLANK(Q28)),"",ROUND(((163.205*LOG10(O28+Q28-P28))-(97.684*LOG10(S$5))-78.387),0)/100),"")),""))</f>
        <v/>
      </c>
      <c r="S28" s="36"/>
      <c r="T28" s="36"/>
      <c r="U28" s="36"/>
      <c r="V28" s="36"/>
      <c r="W28" s="36"/>
      <c r="X28" s="36"/>
      <c r="Y28" s="36"/>
      <c r="Z28" s="45"/>
      <c r="AA28" s="36"/>
      <c r="AB28" s="45"/>
      <c r="AC28" s="36"/>
      <c r="AD28" s="36"/>
      <c r="AE28" s="36"/>
      <c r="AF28" s="36"/>
      <c r="AG28" s="56">
        <f>AG26+1</f>
        <v>9</v>
      </c>
      <c r="AH28" s="35">
        <f t="shared" si="1"/>
        <v>0</v>
      </c>
      <c r="AI28" s="35">
        <f>IF(K28="",AI26,K28)</f>
        <v>189.22857142857146</v>
      </c>
      <c r="AJ28" s="35">
        <f t="shared" si="9"/>
        <v>183</v>
      </c>
      <c r="AK28" s="35">
        <f>IF($F$6&gt;$F$7,IF(AK26&gt;AJ28,AK26+$AJ$9,AJ28),IF($F$6&lt;$F$7,IF(AK26&lt;AJ28,AK26+$AJ$9,AJ28),AJ28))</f>
        <v>183</v>
      </c>
      <c r="AL28" s="57" t="str">
        <f t="shared" si="11"/>
        <v/>
      </c>
      <c r="AM28" s="58" t="str">
        <f t="shared" si="2"/>
        <v/>
      </c>
      <c r="AN28" s="58" t="str">
        <f t="shared" si="3"/>
        <v/>
      </c>
      <c r="AO28" s="58" t="str">
        <f t="shared" si="4"/>
        <v/>
      </c>
      <c r="AP28" s="58" t="str">
        <f t="shared" si="5"/>
        <v/>
      </c>
      <c r="AQ28" s="58" t="str">
        <f t="shared" si="6"/>
        <v/>
      </c>
      <c r="AR28" s="59" t="str">
        <f t="shared" si="7"/>
        <v/>
      </c>
      <c r="AS28" s="61" t="str">
        <f t="shared" si="8"/>
        <v/>
      </c>
      <c r="AT28" s="82" t="str">
        <f>IF(AS28="","",AS28-AS26)</f>
        <v/>
      </c>
      <c r="AU28" s="84" t="str">
        <f ca="1">IF(AV28="","",IF(AT28="","",MROUND(AV28,5)))</f>
        <v/>
      </c>
      <c r="AV28" s="35">
        <f ca="1">IF(AH29&lt;7,AV26,IF(AH28&lt;7,AV26,((K29+(((-L28)*$AV$7)/AH29)))+SUM(OFFSET(IF(ROW()/2-5&gt;$S$8,INDEX(M:M,ROW()-(($S$8-1)*2)),$M$12),0,0,IF(ROW()/2-6&gt;($S$8-1),($S$8-1)*2,(ROW()/2-6)*2),1)))/IF(ROW()/2-5&gt;$S$8,$S$8,ROW()/2-5))</f>
        <v>2682.7551020408164</v>
      </c>
      <c r="AY28" s="35"/>
      <c r="AZ28" s="35"/>
      <c r="BA28" s="51"/>
      <c r="BE28" s="48"/>
      <c r="BF28" s="48"/>
      <c r="BH28" s="49"/>
      <c r="BI28" s="49"/>
      <c r="CA28" s="37"/>
      <c r="CB28" s="37"/>
    </row>
    <row r="29" spans="2:80" x14ac:dyDescent="0.35">
      <c r="B29" s="93"/>
      <c r="C29" s="26" t="str">
        <f t="shared" si="10"/>
        <v>Cal.</v>
      </c>
      <c r="D29" s="17"/>
      <c r="E29" s="71"/>
      <c r="F29" s="71"/>
      <c r="G29" s="71"/>
      <c r="H29" s="71"/>
      <c r="I29" s="71"/>
      <c r="J29" s="7"/>
      <c r="K29" s="40" t="str">
        <f t="shared" si="0"/>
        <v/>
      </c>
      <c r="L29" s="125"/>
      <c r="M29" s="89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45"/>
      <c r="AA29" s="36"/>
      <c r="AB29" s="45"/>
      <c r="AC29" s="36"/>
      <c r="AD29" s="36"/>
      <c r="AE29" s="36"/>
      <c r="AF29" s="36"/>
      <c r="AG29" s="56">
        <f>AG28+0.5</f>
        <v>9.5</v>
      </c>
      <c r="AH29" s="35">
        <f t="shared" si="1"/>
        <v>0</v>
      </c>
      <c r="AI29" s="35">
        <f>AI28</f>
        <v>189.22857142857146</v>
      </c>
      <c r="AJ29" s="35">
        <f t="shared" si="9"/>
        <v>183</v>
      </c>
      <c r="AK29" s="35">
        <f>IF($AJ$9=0,0,(AK28+AK30)/2)</f>
        <v>183</v>
      </c>
      <c r="AL29" s="64" t="str">
        <f t="shared" si="11"/>
        <v/>
      </c>
      <c r="AM29" s="65" t="str">
        <f t="shared" si="2"/>
        <v/>
      </c>
      <c r="AN29" s="65" t="str">
        <f t="shared" si="3"/>
        <v/>
      </c>
      <c r="AO29" s="65" t="str">
        <f t="shared" si="4"/>
        <v/>
      </c>
      <c r="AP29" s="65" t="str">
        <f t="shared" si="5"/>
        <v/>
      </c>
      <c r="AQ29" s="65" t="str">
        <f t="shared" si="6"/>
        <v/>
      </c>
      <c r="AR29" s="66" t="str">
        <f t="shared" si="7"/>
        <v/>
      </c>
      <c r="AS29" s="39" t="str">
        <f t="shared" si="8"/>
        <v/>
      </c>
      <c r="AT29" s="83"/>
      <c r="AU29" s="85"/>
      <c r="AY29" s="35"/>
      <c r="AZ29" s="35"/>
      <c r="BA29" s="51"/>
      <c r="BE29" s="48"/>
      <c r="BF29" s="48"/>
      <c r="BH29" s="49"/>
      <c r="BI29" s="49"/>
      <c r="CA29" s="37"/>
      <c r="CB29" s="37"/>
    </row>
    <row r="30" spans="2:80" x14ac:dyDescent="0.35">
      <c r="B30" s="94">
        <f>IF(B28="","",B28+7)</f>
        <v>43110</v>
      </c>
      <c r="C30" s="27" t="str">
        <f t="shared" si="10"/>
        <v>Weight</v>
      </c>
      <c r="D30" s="17"/>
      <c r="E30" s="71"/>
      <c r="F30" s="71"/>
      <c r="G30" s="71"/>
      <c r="H30" s="71"/>
      <c r="I30" s="71"/>
      <c r="J30" s="7"/>
      <c r="K30" s="33" t="str">
        <f t="shared" si="0"/>
        <v/>
      </c>
      <c r="L30" s="126" t="str">
        <f>IF(K30="","",AT30)</f>
        <v/>
      </c>
      <c r="M30" s="90" t="str">
        <f ca="1">IF(AV30="","",IF(L30="","",AU30))</f>
        <v/>
      </c>
      <c r="N30" s="36"/>
      <c r="O30" s="69"/>
      <c r="P30" s="69"/>
      <c r="Q30" s="69"/>
      <c r="R30" s="70" t="str">
        <f>IF(S$3="male",IF(S$4="cm",IF(OR(ISBLANK(O30),ISBLANK(P30)),"",ROUND(((86.01*LOG10(O30/2.54-P30/2.54))-(70.041*LOG10(S$5/2.54))+36.76),0)/100),IF(S$4="inch",IF(OR(ISBLANK(O30),ISBLANK(P30)),"",ROUND(((86.01*LOG10(O30-P30))-(70.041*LOG10(S$5))+36.76),0)/100),"")),IF(S$3="female",IF(S$4="cm",IF(OR(ISBLANK(O30),ISBLANK(P30),ISBLANK(Q30)),"",ROUND(((163.205*LOG10(O30/2.54+Q30/2.54-P30/2.54))-(97.684*LOG10(S$5/2.54))-78.387),0)/100),IF(S$4="inch",IF(OR(ISBLANK(O30),ISBLANK(P30),ISBLANK(Q30)),"",ROUND(((163.205*LOG10(O30+Q30-P30))-(97.684*LOG10(S$5))-78.387),0)/100),"")),""))</f>
        <v/>
      </c>
      <c r="S30" s="36"/>
      <c r="T30" s="36"/>
      <c r="U30" s="36"/>
      <c r="V30" s="137" t="str">
        <f ca="1">IF(M34="","","From")</f>
        <v/>
      </c>
      <c r="W30" s="138"/>
      <c r="X30" s="141" t="str">
        <f ca="1">IF(M34="","",B28)</f>
        <v/>
      </c>
      <c r="Y30" s="142"/>
      <c r="Z30" s="142"/>
      <c r="AA30" s="143" t="str">
        <f ca="1">IF(M34="","","to")</f>
        <v/>
      </c>
      <c r="AB30" s="144" t="str">
        <f ca="1">IF(M34="","",B34)</f>
        <v/>
      </c>
      <c r="AC30" s="145"/>
      <c r="AD30" s="146"/>
      <c r="AE30" s="147"/>
      <c r="AF30" s="36"/>
      <c r="AG30" s="56">
        <f>AG28+1</f>
        <v>10</v>
      </c>
      <c r="AH30" s="35">
        <f t="shared" si="1"/>
        <v>0</v>
      </c>
      <c r="AI30" s="35">
        <f>IF(K30="",AI28,K30)</f>
        <v>189.22857142857146</v>
      </c>
      <c r="AJ30" s="35">
        <f t="shared" si="9"/>
        <v>183</v>
      </c>
      <c r="AK30" s="35">
        <f>IF($F$6&gt;$F$7,IF(AK28&gt;AJ30,AK28+$AJ$9,AJ30),IF($F$6&lt;$F$7,IF(AK28&lt;AJ30,AK28+$AJ$9,AJ30),AJ30))</f>
        <v>183</v>
      </c>
      <c r="AL30" s="57" t="str">
        <f t="shared" si="11"/>
        <v/>
      </c>
      <c r="AM30" s="58" t="str">
        <f t="shared" si="2"/>
        <v/>
      </c>
      <c r="AN30" s="58" t="str">
        <f t="shared" si="3"/>
        <v/>
      </c>
      <c r="AO30" s="58" t="str">
        <f t="shared" si="4"/>
        <v/>
      </c>
      <c r="AP30" s="58" t="str">
        <f t="shared" si="5"/>
        <v/>
      </c>
      <c r="AQ30" s="58" t="str">
        <f t="shared" si="6"/>
        <v/>
      </c>
      <c r="AR30" s="59" t="str">
        <f t="shared" si="7"/>
        <v/>
      </c>
      <c r="AS30" s="61" t="str">
        <f t="shared" si="8"/>
        <v/>
      </c>
      <c r="AT30" s="82" t="str">
        <f>IF(AS30="","",AS30-AS28)</f>
        <v/>
      </c>
      <c r="AU30" s="84" t="str">
        <f ca="1">IF(AV30="","",IF(AT30="","",MROUND(AV30,5)))</f>
        <v/>
      </c>
      <c r="AV30" s="35">
        <f ca="1">IF(AH31&lt;7,AV28,IF(AH30&lt;7,AV28,((K31+(((-L30)*$AV$7)/AH31)))+SUM(OFFSET(IF(ROW()/2-5&gt;$S$8,INDEX(M:M,ROW()-(($S$8-1)*2)),$M$12),0,0,IF(ROW()/2-6&gt;($S$8-1),($S$8-1)*2,(ROW()/2-6)*2),1)))/IF(ROW()/2-5&gt;$S$8,$S$8,ROW()/2-5))</f>
        <v>2682.7551020408164</v>
      </c>
      <c r="AY30" s="35"/>
      <c r="AZ30" s="35"/>
      <c r="BA30" s="51"/>
      <c r="BE30" s="48"/>
      <c r="BF30" s="48"/>
      <c r="BH30" s="49"/>
      <c r="BI30" s="49"/>
      <c r="CA30" s="37"/>
      <c r="CB30" s="37"/>
    </row>
    <row r="31" spans="2:80" x14ac:dyDescent="0.35">
      <c r="B31" s="93"/>
      <c r="C31" s="28" t="str">
        <f t="shared" si="10"/>
        <v>Cal.</v>
      </c>
      <c r="D31" s="17"/>
      <c r="E31" s="71"/>
      <c r="F31" s="71"/>
      <c r="G31" s="71"/>
      <c r="H31" s="71"/>
      <c r="I31" s="71"/>
      <c r="J31" s="7"/>
      <c r="K31" s="40" t="str">
        <f t="shared" si="0"/>
        <v/>
      </c>
      <c r="L31" s="125"/>
      <c r="M31" s="89"/>
      <c r="N31" s="36"/>
      <c r="O31" s="36"/>
      <c r="P31" s="36"/>
      <c r="Q31" s="36"/>
      <c r="R31" s="36"/>
      <c r="S31" s="36"/>
      <c r="T31" s="36"/>
      <c r="U31" s="36"/>
      <c r="V31" s="139"/>
      <c r="W31" s="140"/>
      <c r="X31" s="140"/>
      <c r="Y31" s="140"/>
      <c r="Z31" s="140"/>
      <c r="AA31" s="140"/>
      <c r="AB31" s="140"/>
      <c r="AC31" s="140"/>
      <c r="AD31" s="140"/>
      <c r="AE31" s="148"/>
      <c r="AF31" s="36"/>
      <c r="AG31" s="56">
        <f>AG30+0.5</f>
        <v>10.5</v>
      </c>
      <c r="AH31" s="35">
        <f t="shared" si="1"/>
        <v>0</v>
      </c>
      <c r="AI31" s="35">
        <f>AI30</f>
        <v>189.22857142857146</v>
      </c>
      <c r="AJ31" s="35">
        <f t="shared" si="9"/>
        <v>183</v>
      </c>
      <c r="AK31" s="35">
        <f>IF($AJ$9=0,0,(AK30+AK32)/2)</f>
        <v>183</v>
      </c>
      <c r="AL31" s="64" t="str">
        <f t="shared" si="11"/>
        <v/>
      </c>
      <c r="AM31" s="65" t="str">
        <f t="shared" si="2"/>
        <v/>
      </c>
      <c r="AN31" s="65" t="str">
        <f t="shared" si="3"/>
        <v/>
      </c>
      <c r="AO31" s="65" t="str">
        <f t="shared" si="4"/>
        <v/>
      </c>
      <c r="AP31" s="65" t="str">
        <f t="shared" si="5"/>
        <v/>
      </c>
      <c r="AQ31" s="65" t="str">
        <f t="shared" si="6"/>
        <v/>
      </c>
      <c r="AR31" s="66" t="str">
        <f t="shared" si="7"/>
        <v/>
      </c>
      <c r="AS31" s="39" t="str">
        <f t="shared" si="8"/>
        <v/>
      </c>
      <c r="AT31" s="83"/>
      <c r="AU31" s="85"/>
      <c r="AY31" s="35"/>
      <c r="AZ31" s="35"/>
      <c r="BA31" s="51"/>
      <c r="BE31" s="48"/>
      <c r="BF31" s="48"/>
      <c r="BH31" s="49"/>
      <c r="BI31" s="49"/>
      <c r="CA31" s="37"/>
      <c r="CB31" s="37"/>
    </row>
    <row r="32" spans="2:80" x14ac:dyDescent="0.35">
      <c r="B32" s="94">
        <f>IF(B30="","",B30+7)</f>
        <v>43117</v>
      </c>
      <c r="C32" s="27" t="str">
        <f t="shared" si="10"/>
        <v>Weight</v>
      </c>
      <c r="D32" s="17"/>
      <c r="E32" s="71"/>
      <c r="F32" s="71"/>
      <c r="G32" s="71"/>
      <c r="H32" s="71"/>
      <c r="I32" s="71"/>
      <c r="J32" s="7"/>
      <c r="K32" s="33" t="str">
        <f t="shared" si="0"/>
        <v/>
      </c>
      <c r="L32" s="126" t="str">
        <f>IF(K32="","",AT32)</f>
        <v/>
      </c>
      <c r="M32" s="90" t="str">
        <f ca="1">IF(AV32="","",IF(L32="","",AU32))</f>
        <v/>
      </c>
      <c r="N32" s="36"/>
      <c r="O32" s="69"/>
      <c r="P32" s="69"/>
      <c r="Q32" s="69"/>
      <c r="R32" s="70" t="str">
        <f>IF(S$3="male",IF(S$4="cm",IF(OR(ISBLANK(O32),ISBLANK(P32)),"",ROUND(((86.01*LOG10(O32/2.54-P32/2.54))-(70.041*LOG10(S$5/2.54))+36.76),0)/100),IF(S$4="inch",IF(OR(ISBLANK(O32),ISBLANK(P32)),"",ROUND(((86.01*LOG10(O32-P32))-(70.041*LOG10(S$5))+36.76),0)/100),"")),IF(S$3="female",IF(S$4="cm",IF(OR(ISBLANK(O32),ISBLANK(P32),ISBLANK(Q32)),"",ROUND(((163.205*LOG10(O32/2.54+Q32/2.54-P32/2.54))-(97.684*LOG10(S$5/2.54))-78.387),0)/100),IF(S$4="inch",IF(OR(ISBLANK(O32),ISBLANK(P32),ISBLANK(Q32)),"",ROUND(((163.205*LOG10(O32+Q32-P32))-(97.684*LOG10(S$5))-78.387),0)/100),"")),""))</f>
        <v/>
      </c>
      <c r="S32" s="36"/>
      <c r="T32" s="36"/>
      <c r="U32" s="36"/>
      <c r="V32" s="128" t="str">
        <f ca="1">IF(M34="","",IF(K34=K26,"No Weight Change",IF(K34&gt;K26,"You Gained:","You Lost:")))</f>
        <v/>
      </c>
      <c r="W32" s="129"/>
      <c r="X32" s="129"/>
      <c r="Y32" s="129"/>
      <c r="Z32" s="129"/>
      <c r="AA32" s="129"/>
      <c r="AB32" s="42" t="str">
        <f ca="1">IF(M34="","",IF(K34=K26,"",IF(K34&gt;K26,K34-K26,K26-K34)))</f>
        <v/>
      </c>
      <c r="AC32" s="160" t="str">
        <f ca="1">IF(V32="","",IF(V32="No Weight Change","",IF($F$4="Lb","Lb",IF($F$4="Kg","Kg",""))))</f>
        <v/>
      </c>
      <c r="AD32" s="161"/>
      <c r="AE32" s="162"/>
      <c r="AF32" s="36"/>
      <c r="AG32" s="56">
        <f>AG30+1</f>
        <v>11</v>
      </c>
      <c r="AH32" s="35">
        <f t="shared" si="1"/>
        <v>0</v>
      </c>
      <c r="AI32" s="35">
        <f>IF(K32="",AI30,K32)</f>
        <v>189.22857142857146</v>
      </c>
      <c r="AJ32" s="35">
        <f t="shared" si="9"/>
        <v>183</v>
      </c>
      <c r="AK32" s="35">
        <f>IF($F$6&gt;$F$7,IF(AK30&gt;AJ32,AK30+$AJ$9,AJ32),IF($F$6&lt;$F$7,IF(AK30&lt;AJ32,AK30+$AJ$9,AJ32),AJ32))</f>
        <v>183</v>
      </c>
      <c r="AL32" s="57" t="str">
        <f t="shared" si="11"/>
        <v/>
      </c>
      <c r="AM32" s="58" t="str">
        <f t="shared" si="2"/>
        <v/>
      </c>
      <c r="AN32" s="58" t="str">
        <f t="shared" si="3"/>
        <v/>
      </c>
      <c r="AO32" s="58" t="str">
        <f t="shared" si="4"/>
        <v/>
      </c>
      <c r="AP32" s="58" t="str">
        <f t="shared" si="5"/>
        <v/>
      </c>
      <c r="AQ32" s="58" t="str">
        <f t="shared" si="6"/>
        <v/>
      </c>
      <c r="AR32" s="59" t="str">
        <f t="shared" si="7"/>
        <v/>
      </c>
      <c r="AS32" s="61" t="str">
        <f t="shared" si="8"/>
        <v/>
      </c>
      <c r="AT32" s="82" t="str">
        <f>IF(AS32="","",AS32-AS30)</f>
        <v/>
      </c>
      <c r="AU32" s="84" t="str">
        <f ca="1">IF(AV32="","",IF(AT32="","",MROUND(AV32,5)))</f>
        <v/>
      </c>
      <c r="AV32" s="35">
        <f ca="1">IF(AH33&lt;7,AV30,IF(AH32&lt;7,AV30,((K33+(((-L32)*$AV$7)/AH33)))+SUM(OFFSET(IF(ROW()/2-5&gt;$S$8,INDEX(M:M,ROW()-(($S$8-1)*2)),$M$12),0,0,IF(ROW()/2-6&gt;($S$8-1),($S$8-1)*2,(ROW()/2-6)*2),1)))/IF(ROW()/2-5&gt;$S$8,$S$8,ROW()/2-5))</f>
        <v>2682.7551020408164</v>
      </c>
      <c r="AY32" s="35"/>
      <c r="AZ32" s="35"/>
      <c r="BA32" s="51"/>
      <c r="BE32" s="48"/>
      <c r="BF32" s="48"/>
      <c r="BH32" s="49"/>
      <c r="BI32" s="49"/>
      <c r="CA32" s="37"/>
      <c r="CB32" s="37"/>
    </row>
    <row r="33" spans="2:80" x14ac:dyDescent="0.35">
      <c r="B33" s="93"/>
      <c r="C33" s="28" t="str">
        <f t="shared" si="10"/>
        <v>Cal.</v>
      </c>
      <c r="D33" s="17"/>
      <c r="E33" s="71"/>
      <c r="F33" s="71"/>
      <c r="G33" s="71"/>
      <c r="H33" s="71"/>
      <c r="I33" s="71"/>
      <c r="J33" s="7"/>
      <c r="K33" s="40" t="str">
        <f t="shared" si="0"/>
        <v/>
      </c>
      <c r="L33" s="125"/>
      <c r="M33" s="89"/>
      <c r="N33" s="36"/>
      <c r="O33" s="36"/>
      <c r="P33" s="36"/>
      <c r="Q33" s="36"/>
      <c r="R33" s="36"/>
      <c r="S33" s="36"/>
      <c r="T33" s="36"/>
      <c r="U33" s="36"/>
      <c r="V33" s="130" t="str">
        <f ca="1">IF(M34="","",IF(K34=K26,"","At a Rate Of"))</f>
        <v/>
      </c>
      <c r="W33" s="131"/>
      <c r="X33" s="131"/>
      <c r="Y33" s="131"/>
      <c r="Z33" s="131"/>
      <c r="AA33" s="132" t="str">
        <f ca="1">IF(V33="","",AB32/4)</f>
        <v/>
      </c>
      <c r="AB33" s="133"/>
      <c r="AC33" s="134" t="str">
        <f ca="1">IF(V32="","",IF(V32="No Weight Change","",IF($F$4="Lb","Lb/Wk",IF($F$4="Kg","Kg/Wk",""))))</f>
        <v/>
      </c>
      <c r="AD33" s="135"/>
      <c r="AE33" s="136"/>
      <c r="AF33" s="36"/>
      <c r="AG33" s="56">
        <f>AG32+0.5</f>
        <v>11.5</v>
      </c>
      <c r="AH33" s="35">
        <f t="shared" si="1"/>
        <v>0</v>
      </c>
      <c r="AI33" s="35">
        <f>AI32</f>
        <v>189.22857142857146</v>
      </c>
      <c r="AJ33" s="35">
        <f t="shared" si="9"/>
        <v>183</v>
      </c>
      <c r="AK33" s="35">
        <f>IF($AJ$9=0,0,(AK32+AK34)/2)</f>
        <v>183</v>
      </c>
      <c r="AL33" s="64" t="str">
        <f t="shared" si="11"/>
        <v/>
      </c>
      <c r="AM33" s="65" t="str">
        <f t="shared" si="2"/>
        <v/>
      </c>
      <c r="AN33" s="65" t="str">
        <f t="shared" si="3"/>
        <v/>
      </c>
      <c r="AO33" s="65" t="str">
        <f t="shared" si="4"/>
        <v/>
      </c>
      <c r="AP33" s="65" t="str">
        <f t="shared" si="5"/>
        <v/>
      </c>
      <c r="AQ33" s="65" t="str">
        <f t="shared" si="6"/>
        <v/>
      </c>
      <c r="AR33" s="66" t="str">
        <f t="shared" si="7"/>
        <v/>
      </c>
      <c r="AS33" s="39" t="str">
        <f t="shared" si="8"/>
        <v/>
      </c>
      <c r="AT33" s="83"/>
      <c r="AU33" s="85"/>
      <c r="AY33" s="35"/>
      <c r="AZ33" s="35"/>
      <c r="BA33" s="51"/>
      <c r="BE33" s="48"/>
      <c r="BF33" s="48"/>
      <c r="BH33" s="49"/>
      <c r="BI33" s="49"/>
      <c r="CA33" s="37"/>
      <c r="CB33" s="37"/>
    </row>
    <row r="34" spans="2:80" x14ac:dyDescent="0.35">
      <c r="B34" s="94">
        <f>IF(B32="","",B32+7)</f>
        <v>43124</v>
      </c>
      <c r="C34" s="27" t="str">
        <f t="shared" si="10"/>
        <v>Weight</v>
      </c>
      <c r="D34" s="17"/>
      <c r="E34" s="71"/>
      <c r="F34" s="71"/>
      <c r="G34" s="71"/>
      <c r="H34" s="71"/>
      <c r="I34" s="71"/>
      <c r="J34" s="7"/>
      <c r="K34" s="33" t="str">
        <f t="shared" si="0"/>
        <v/>
      </c>
      <c r="L34" s="126" t="str">
        <f>IF(K34="","",AT34)</f>
        <v/>
      </c>
      <c r="M34" s="90" t="str">
        <f ca="1">IF(AV34="","",IF(L34="","",AU34))</f>
        <v/>
      </c>
      <c r="N34" s="36"/>
      <c r="O34" s="69"/>
      <c r="P34" s="69"/>
      <c r="Q34" s="69"/>
      <c r="R34" s="70" t="str">
        <f>IF(S$3="male",IF(S$4="cm",IF(OR(ISBLANK(O34),ISBLANK(P34)),"",ROUND(((86.01*LOG10(O34/2.54-P34/2.54))-(70.041*LOG10(S$5/2.54))+36.76),0)/100),IF(S$4="inch",IF(OR(ISBLANK(O34),ISBLANK(P34)),"",ROUND(((86.01*LOG10(O34-P34))-(70.041*LOG10(S$5))+36.76),0)/100),"")),IF(S$3="female",IF(S$4="cm",IF(OR(ISBLANK(O34),ISBLANK(P34),ISBLANK(Q34)),"",ROUND(((163.205*LOG10(O34/2.54+Q34/2.54-P34/2.54))-(97.684*LOG10(S$5/2.54))-78.387),0)/100),IF(S$4="inch",IF(OR(ISBLANK(O34),ISBLANK(P34),ISBLANK(Q34)),"",ROUND(((163.205*LOG10(O34+Q34-P34))-(97.684*LOG10(S$5))-78.387),0)/100),"")),""))</f>
        <v/>
      </c>
      <c r="S34" s="36"/>
      <c r="T34" s="36"/>
      <c r="U34" s="36"/>
      <c r="V34" s="149" t="str">
        <f ca="1">IF(AA33="","","You have")</f>
        <v/>
      </c>
      <c r="W34" s="150"/>
      <c r="X34" s="150"/>
      <c r="Y34" s="150"/>
      <c r="Z34" s="153" t="str">
        <f ca="1">IF(AA33="","",IF(K34&gt;$F$7,K34-$F$7,$F$7-K34))</f>
        <v/>
      </c>
      <c r="AA34" s="155" t="str">
        <f ca="1">IF(AA33="","",IF(AA33="No Weight Change","",IF($F$4="Lb","Lb to go!",IF($F$4="Kg","Kg to go!",""))))</f>
        <v/>
      </c>
      <c r="AB34" s="156"/>
      <c r="AC34" s="156"/>
      <c r="AD34" s="156"/>
      <c r="AE34" s="157"/>
      <c r="AF34" s="36"/>
      <c r="AG34" s="56">
        <f>AG32+1</f>
        <v>12</v>
      </c>
      <c r="AH34" s="35">
        <f t="shared" si="1"/>
        <v>0</v>
      </c>
      <c r="AI34" s="35">
        <f>IF(K34="",AI32,K34)</f>
        <v>189.22857142857146</v>
      </c>
      <c r="AJ34" s="35">
        <f t="shared" si="9"/>
        <v>183</v>
      </c>
      <c r="AK34" s="35">
        <f>IF($F$6&gt;$F$7,IF(AK32&gt;AJ34,AK32+$AJ$9,AJ34),IF($F$6&lt;$F$7,IF(AK32&lt;AJ34,AK32+$AJ$9,AJ34),AJ34))</f>
        <v>183</v>
      </c>
      <c r="AL34" s="57" t="str">
        <f t="shared" si="11"/>
        <v/>
      </c>
      <c r="AM34" s="58" t="str">
        <f t="shared" si="2"/>
        <v/>
      </c>
      <c r="AN34" s="58" t="str">
        <f t="shared" si="3"/>
        <v/>
      </c>
      <c r="AO34" s="58" t="str">
        <f t="shared" si="4"/>
        <v/>
      </c>
      <c r="AP34" s="58" t="str">
        <f t="shared" si="5"/>
        <v/>
      </c>
      <c r="AQ34" s="58" t="str">
        <f t="shared" si="6"/>
        <v/>
      </c>
      <c r="AR34" s="59" t="str">
        <f t="shared" si="7"/>
        <v/>
      </c>
      <c r="AS34" s="61" t="str">
        <f t="shared" si="8"/>
        <v/>
      </c>
      <c r="AT34" s="82" t="str">
        <f>IF(AS34="","",AS34-AS32)</f>
        <v/>
      </c>
      <c r="AU34" s="84" t="str">
        <f ca="1">IF(AV34="","",IF(AT34="","",MROUND(AV34,5)))</f>
        <v/>
      </c>
      <c r="AV34" s="35">
        <f ca="1">IF(AH35&lt;7,AV32,IF(AH34&lt;7,AV32,((K35+(((-L34)*$AV$7)/AH35)))+SUM(OFFSET(IF(ROW()/2-5&gt;$S$8,INDEX(M:M,ROW()-(($S$8-1)*2)),$M$12),0,0,IF(ROW()/2-6&gt;($S$8-1),($S$8-1)*2,(ROW()/2-6)*2),1)))/IF(ROW()/2-5&gt;$S$8,$S$8,ROW()/2-5))</f>
        <v>2682.7551020408164</v>
      </c>
      <c r="AY34" s="35"/>
      <c r="AZ34" s="35"/>
      <c r="BA34" s="51"/>
      <c r="BE34" s="48"/>
      <c r="BF34" s="48"/>
      <c r="BH34" s="49"/>
      <c r="BI34" s="49"/>
      <c r="CA34" s="37"/>
      <c r="CB34" s="37"/>
    </row>
    <row r="35" spans="2:80" x14ac:dyDescent="0.35">
      <c r="B35" s="95"/>
      <c r="C35" s="11" t="str">
        <f t="shared" si="10"/>
        <v>Cal.</v>
      </c>
      <c r="D35" s="18"/>
      <c r="E35" s="19"/>
      <c r="F35" s="19"/>
      <c r="G35" s="19"/>
      <c r="H35" s="19"/>
      <c r="I35" s="19"/>
      <c r="J35" s="24"/>
      <c r="K35" s="39" t="str">
        <f t="shared" si="0"/>
        <v/>
      </c>
      <c r="L35" s="127"/>
      <c r="M35" s="91"/>
      <c r="N35" s="36"/>
      <c r="O35" s="36"/>
      <c r="P35" s="36"/>
      <c r="Q35" s="36"/>
      <c r="R35" s="36"/>
      <c r="S35" s="36"/>
      <c r="T35" s="36"/>
      <c r="U35" s="36"/>
      <c r="V35" s="151"/>
      <c r="W35" s="152"/>
      <c r="X35" s="152"/>
      <c r="Y35" s="152"/>
      <c r="Z35" s="154"/>
      <c r="AA35" s="158"/>
      <c r="AB35" s="158"/>
      <c r="AC35" s="158"/>
      <c r="AD35" s="158"/>
      <c r="AE35" s="159"/>
      <c r="AF35" s="36"/>
      <c r="AG35" s="56">
        <f>AG34+0.5</f>
        <v>12.5</v>
      </c>
      <c r="AH35" s="35">
        <f t="shared" si="1"/>
        <v>0</v>
      </c>
      <c r="AI35" s="35">
        <f>AI34</f>
        <v>189.22857142857146</v>
      </c>
      <c r="AJ35" s="35">
        <f t="shared" si="9"/>
        <v>183</v>
      </c>
      <c r="AK35" s="35">
        <f>IF($AJ$9=0,0,(AK34+AK36)/2)</f>
        <v>183</v>
      </c>
      <c r="AL35" s="64" t="str">
        <f t="shared" si="11"/>
        <v/>
      </c>
      <c r="AM35" s="65" t="str">
        <f t="shared" si="2"/>
        <v/>
      </c>
      <c r="AN35" s="65" t="str">
        <f t="shared" si="3"/>
        <v/>
      </c>
      <c r="AO35" s="65" t="str">
        <f t="shared" si="4"/>
        <v/>
      </c>
      <c r="AP35" s="65" t="str">
        <f t="shared" si="5"/>
        <v/>
      </c>
      <c r="AQ35" s="65" t="str">
        <f t="shared" si="6"/>
        <v/>
      </c>
      <c r="AR35" s="66" t="str">
        <f t="shared" si="7"/>
        <v/>
      </c>
      <c r="AS35" s="39" t="str">
        <f t="shared" si="8"/>
        <v/>
      </c>
      <c r="AT35" s="83"/>
      <c r="AU35" s="85"/>
      <c r="AY35" s="35"/>
      <c r="AZ35" s="35"/>
      <c r="BA35" s="51"/>
      <c r="BE35" s="48"/>
      <c r="BF35" s="48"/>
      <c r="BH35" s="49"/>
      <c r="BI35" s="49"/>
      <c r="CA35" s="37"/>
      <c r="CB35" s="37"/>
    </row>
    <row r="36" spans="2:80" x14ac:dyDescent="0.35">
      <c r="B36" s="92">
        <f>IF(B34="","",B34+7)</f>
        <v>43131</v>
      </c>
      <c r="C36" s="10" t="str">
        <f t="shared" si="10"/>
        <v>Weight</v>
      </c>
      <c r="D36" s="15"/>
      <c r="E36" s="16"/>
      <c r="F36" s="16"/>
      <c r="G36" s="16"/>
      <c r="H36" s="16"/>
      <c r="I36" s="16"/>
      <c r="J36" s="23"/>
      <c r="K36" s="32" t="str">
        <f t="shared" si="0"/>
        <v/>
      </c>
      <c r="L36" s="124" t="str">
        <f>IF(K36="","",AT36)</f>
        <v/>
      </c>
      <c r="M36" s="88" t="str">
        <f ca="1">IF(AV36="","",IF(L36="","",AU36))</f>
        <v/>
      </c>
      <c r="N36" s="36"/>
      <c r="O36" s="69"/>
      <c r="P36" s="69"/>
      <c r="Q36" s="69"/>
      <c r="R36" s="70" t="str">
        <f>IF(S$3="male",IF(S$4="cm",IF(OR(ISBLANK(O36),ISBLANK(P36)),"",ROUND(((86.01*LOG10(O36/2.54-P36/2.54))-(70.041*LOG10(S$5/2.54))+36.76),0)/100),IF(S$4="inch",IF(OR(ISBLANK(O36),ISBLANK(P36)),"",ROUND(((86.01*LOG10(O36-P36))-(70.041*LOG10(S$5))+36.76),0)/100),"")),IF(S$3="female",IF(S$4="cm",IF(OR(ISBLANK(O36),ISBLANK(P36),ISBLANK(Q36)),"",ROUND(((163.205*LOG10(O36/2.54+Q36/2.54-P36/2.54))-(97.684*LOG10(S$5/2.54))-78.387),0)/100),IF(S$4="inch",IF(OR(ISBLANK(O36),ISBLANK(P36),ISBLANK(Q36)),"",ROUND(((163.205*LOG10(O36+Q36-P36))-(97.684*LOG10(S$5))-78.387),0)/100),"")),""))</f>
        <v/>
      </c>
      <c r="S36" s="36"/>
      <c r="T36" s="36"/>
      <c r="U36" s="36"/>
      <c r="V36" s="36"/>
      <c r="W36" s="36"/>
      <c r="X36" s="36"/>
      <c r="Y36" s="36"/>
      <c r="Z36" s="45"/>
      <c r="AA36" s="36"/>
      <c r="AB36" s="45"/>
      <c r="AC36" s="36"/>
      <c r="AD36" s="36"/>
      <c r="AE36" s="36"/>
      <c r="AF36" s="36"/>
      <c r="AG36" s="56">
        <f>AG34+1</f>
        <v>13</v>
      </c>
      <c r="AH36" s="35">
        <f t="shared" si="1"/>
        <v>0</v>
      </c>
      <c r="AI36" s="35">
        <f>IF(K36="",AI34,K36)</f>
        <v>189.22857142857146</v>
      </c>
      <c r="AJ36" s="35">
        <f t="shared" si="9"/>
        <v>183</v>
      </c>
      <c r="AK36" s="35">
        <f>IF($F$6&gt;$F$7,IF(AK34&gt;AJ36,AK34+$AJ$9,AJ36),IF($F$6&lt;$F$7,IF(AK34&lt;AJ36,AK34+$AJ$9,AJ36),AJ36))</f>
        <v>183</v>
      </c>
      <c r="AL36" s="57" t="str">
        <f t="shared" si="11"/>
        <v/>
      </c>
      <c r="AM36" s="58" t="str">
        <f t="shared" si="2"/>
        <v/>
      </c>
      <c r="AN36" s="58" t="str">
        <f t="shared" si="3"/>
        <v/>
      </c>
      <c r="AO36" s="58" t="str">
        <f t="shared" si="4"/>
        <v/>
      </c>
      <c r="AP36" s="58" t="str">
        <f t="shared" si="5"/>
        <v/>
      </c>
      <c r="AQ36" s="58" t="str">
        <f t="shared" si="6"/>
        <v/>
      </c>
      <c r="AR36" s="59" t="str">
        <f t="shared" si="7"/>
        <v/>
      </c>
      <c r="AS36" s="61" t="str">
        <f t="shared" si="8"/>
        <v/>
      </c>
      <c r="AT36" s="82" t="str">
        <f>IF(AS36="","",AS36-AS34)</f>
        <v/>
      </c>
      <c r="AU36" s="84" t="str">
        <f ca="1">IF(AV36="","",IF(AT36="","",MROUND(AV36,5)))</f>
        <v/>
      </c>
      <c r="AV36" s="35">
        <f ca="1">IF(AH37&lt;7,AV34,IF(AH36&lt;7,AV34,((K37+(((-L36)*$AV$7)/AH37)))+SUM(OFFSET(IF(ROW()/2-5&gt;$S$8,INDEX(M:M,ROW()-(($S$8-1)*2)),$M$12),0,0,IF(ROW()/2-6&gt;($S$8-1),($S$8-1)*2,(ROW()/2-6)*2),1)))/IF(ROW()/2-5&gt;$S$8,$S$8,ROW()/2-5))</f>
        <v>2682.7551020408164</v>
      </c>
      <c r="AY36" s="35"/>
      <c r="AZ36" s="35"/>
      <c r="BA36" s="51"/>
      <c r="BE36" s="48"/>
      <c r="BF36" s="48"/>
      <c r="BH36" s="49"/>
      <c r="BI36" s="49"/>
      <c r="CA36" s="37"/>
      <c r="CB36" s="37"/>
    </row>
    <row r="37" spans="2:80" x14ac:dyDescent="0.35">
      <c r="B37" s="93"/>
      <c r="C37" s="26" t="str">
        <f t="shared" si="10"/>
        <v>Cal.</v>
      </c>
      <c r="D37" s="17"/>
      <c r="E37" s="71"/>
      <c r="F37" s="71"/>
      <c r="G37" s="71"/>
      <c r="H37" s="71"/>
      <c r="I37" s="71"/>
      <c r="J37" s="7"/>
      <c r="K37" s="40" t="str">
        <f t="shared" si="0"/>
        <v/>
      </c>
      <c r="L37" s="125"/>
      <c r="M37" s="89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45"/>
      <c r="AA37" s="36"/>
      <c r="AB37" s="45"/>
      <c r="AC37" s="36"/>
      <c r="AD37" s="36"/>
      <c r="AE37" s="36"/>
      <c r="AF37" s="36"/>
      <c r="AG37" s="56">
        <f>AG36+0.5</f>
        <v>13.5</v>
      </c>
      <c r="AH37" s="35">
        <f t="shared" si="1"/>
        <v>0</v>
      </c>
      <c r="AI37" s="35">
        <f>AI36</f>
        <v>189.22857142857146</v>
      </c>
      <c r="AJ37" s="35">
        <f t="shared" si="9"/>
        <v>183</v>
      </c>
      <c r="AK37" s="35">
        <f>IF($AJ$9=0,0,(AK36+AK38)/2)</f>
        <v>183</v>
      </c>
      <c r="AL37" s="64" t="str">
        <f t="shared" si="11"/>
        <v/>
      </c>
      <c r="AM37" s="65" t="str">
        <f t="shared" si="2"/>
        <v/>
      </c>
      <c r="AN37" s="65" t="str">
        <f t="shared" si="3"/>
        <v/>
      </c>
      <c r="AO37" s="65" t="str">
        <f t="shared" si="4"/>
        <v/>
      </c>
      <c r="AP37" s="65" t="str">
        <f t="shared" si="5"/>
        <v/>
      </c>
      <c r="AQ37" s="65" t="str">
        <f t="shared" si="6"/>
        <v/>
      </c>
      <c r="AR37" s="66" t="str">
        <f t="shared" si="7"/>
        <v/>
      </c>
      <c r="AS37" s="39" t="str">
        <f t="shared" si="8"/>
        <v/>
      </c>
      <c r="AT37" s="83"/>
      <c r="AU37" s="85"/>
      <c r="AY37" s="35"/>
      <c r="AZ37" s="35"/>
      <c r="BA37" s="51"/>
      <c r="BE37" s="48"/>
      <c r="BF37" s="48"/>
      <c r="BH37" s="49"/>
      <c r="BI37" s="49"/>
      <c r="CA37" s="37"/>
      <c r="CB37" s="37"/>
    </row>
    <row r="38" spans="2:80" x14ac:dyDescent="0.35">
      <c r="B38" s="94">
        <f>IF(B36="","",B36+7)</f>
        <v>43138</v>
      </c>
      <c r="C38" s="27" t="str">
        <f t="shared" si="10"/>
        <v>Weight</v>
      </c>
      <c r="D38" s="17"/>
      <c r="E38" s="71"/>
      <c r="F38" s="71"/>
      <c r="G38" s="71"/>
      <c r="H38" s="71"/>
      <c r="I38" s="71"/>
      <c r="J38" s="7"/>
      <c r="K38" s="33" t="str">
        <f t="shared" si="0"/>
        <v/>
      </c>
      <c r="L38" s="126" t="str">
        <f>IF(K38="","",AT38)</f>
        <v/>
      </c>
      <c r="M38" s="90" t="str">
        <f ca="1">IF(AV38="","",IF(L38="","",AU38))</f>
        <v/>
      </c>
      <c r="N38" s="36"/>
      <c r="O38" s="69"/>
      <c r="P38" s="69"/>
      <c r="Q38" s="69"/>
      <c r="R38" s="70" t="str">
        <f>IF(S$3="male",IF(S$4="cm",IF(OR(ISBLANK(O38),ISBLANK(P38)),"",ROUND(((86.01*LOG10(O38/2.54-P38/2.54))-(70.041*LOG10(S$5/2.54))+36.76),0)/100),IF(S$4="inch",IF(OR(ISBLANK(O38),ISBLANK(P38)),"",ROUND(((86.01*LOG10(O38-P38))-(70.041*LOG10(S$5))+36.76),0)/100),"")),IF(S$3="female",IF(S$4="cm",IF(OR(ISBLANK(O38),ISBLANK(P38),ISBLANK(Q38)),"",ROUND(((163.205*LOG10(O38/2.54+Q38/2.54-P38/2.54))-(97.684*LOG10(S$5/2.54))-78.387),0)/100),IF(S$4="inch",IF(OR(ISBLANK(O38),ISBLANK(P38),ISBLANK(Q38)),"",ROUND(((163.205*LOG10(O38+Q38-P38))-(97.684*LOG10(S$5))-78.387),0)/100),"")),""))</f>
        <v/>
      </c>
      <c r="S38" s="36"/>
      <c r="T38" s="36"/>
      <c r="U38" s="36"/>
      <c r="V38" s="137" t="str">
        <f ca="1">IF(M42="","","From")</f>
        <v/>
      </c>
      <c r="W38" s="138"/>
      <c r="X38" s="141" t="str">
        <f ca="1">IF(M42="","",B36)</f>
        <v/>
      </c>
      <c r="Y38" s="142"/>
      <c r="Z38" s="142"/>
      <c r="AA38" s="143" t="str">
        <f ca="1">IF(M42="","","to")</f>
        <v/>
      </c>
      <c r="AB38" s="144" t="str">
        <f ca="1">IF(M42="","",B42)</f>
        <v/>
      </c>
      <c r="AC38" s="145"/>
      <c r="AD38" s="146"/>
      <c r="AE38" s="147"/>
      <c r="AF38" s="36"/>
      <c r="AG38" s="56">
        <f>AG36+1</f>
        <v>14</v>
      </c>
      <c r="AH38" s="35">
        <f t="shared" si="1"/>
        <v>0</v>
      </c>
      <c r="AI38" s="35">
        <f>IF(K38="",AI36,K38)</f>
        <v>189.22857142857146</v>
      </c>
      <c r="AJ38" s="35">
        <f t="shared" si="9"/>
        <v>183</v>
      </c>
      <c r="AK38" s="35">
        <f>IF($F$6&gt;$F$7,IF(AK36&gt;AJ38,AK36+$AJ$9,AJ38),IF($F$6&lt;$F$7,IF(AK36&lt;AJ38,AK36+$AJ$9,AJ38),AJ38))</f>
        <v>183</v>
      </c>
      <c r="AL38" s="57" t="str">
        <f t="shared" si="11"/>
        <v/>
      </c>
      <c r="AM38" s="58" t="str">
        <f t="shared" si="2"/>
        <v/>
      </c>
      <c r="AN38" s="58" t="str">
        <f t="shared" si="3"/>
        <v/>
      </c>
      <c r="AO38" s="58" t="str">
        <f t="shared" si="4"/>
        <v/>
      </c>
      <c r="AP38" s="58" t="str">
        <f t="shared" si="5"/>
        <v/>
      </c>
      <c r="AQ38" s="58" t="str">
        <f t="shared" si="6"/>
        <v/>
      </c>
      <c r="AR38" s="59" t="str">
        <f t="shared" si="7"/>
        <v/>
      </c>
      <c r="AS38" s="61" t="str">
        <f t="shared" si="8"/>
        <v/>
      </c>
      <c r="AT38" s="82" t="str">
        <f>IF(AS38="","",AS38-AS36)</f>
        <v/>
      </c>
      <c r="AU38" s="84" t="str">
        <f ca="1">IF(AV38="","",IF(AT38="","",MROUND(AV38,5)))</f>
        <v/>
      </c>
      <c r="AV38" s="35">
        <f ca="1">IF(AH39&lt;7,AV36,IF(AH38&lt;7,AV36,((K39+(((-L38)*$AV$7)/AH39)))+SUM(OFFSET(IF(ROW()/2-5&gt;$S$8,INDEX(M:M,ROW()-(($S$8-1)*2)),$M$12),0,0,IF(ROW()/2-6&gt;($S$8-1),($S$8-1)*2,(ROW()/2-6)*2),1)))/IF(ROW()/2-5&gt;$S$8,$S$8,ROW()/2-5))</f>
        <v>2682.7551020408164</v>
      </c>
      <c r="AY38" s="35"/>
      <c r="AZ38" s="35"/>
      <c r="BA38" s="51"/>
      <c r="BE38" s="48"/>
      <c r="BF38" s="48"/>
      <c r="BH38" s="49"/>
      <c r="BI38" s="49"/>
      <c r="CA38" s="37"/>
      <c r="CB38" s="37"/>
    </row>
    <row r="39" spans="2:80" x14ac:dyDescent="0.35">
      <c r="B39" s="93"/>
      <c r="C39" s="28" t="str">
        <f t="shared" si="10"/>
        <v>Cal.</v>
      </c>
      <c r="D39" s="17"/>
      <c r="E39" s="71"/>
      <c r="F39" s="71"/>
      <c r="G39" s="71"/>
      <c r="H39" s="71"/>
      <c r="I39" s="71"/>
      <c r="J39" s="7"/>
      <c r="K39" s="40" t="str">
        <f t="shared" si="0"/>
        <v/>
      </c>
      <c r="L39" s="125"/>
      <c r="M39" s="89"/>
      <c r="N39" s="36"/>
      <c r="O39" s="36"/>
      <c r="P39" s="36"/>
      <c r="Q39" s="36"/>
      <c r="R39" s="36"/>
      <c r="S39" s="36"/>
      <c r="T39" s="36"/>
      <c r="U39" s="36"/>
      <c r="V39" s="139"/>
      <c r="W39" s="140"/>
      <c r="X39" s="140"/>
      <c r="Y39" s="140"/>
      <c r="Z39" s="140"/>
      <c r="AA39" s="140"/>
      <c r="AB39" s="140"/>
      <c r="AC39" s="140"/>
      <c r="AD39" s="140"/>
      <c r="AE39" s="148"/>
      <c r="AF39" s="36"/>
      <c r="AG39" s="56">
        <f>AG38+0.5</f>
        <v>14.5</v>
      </c>
      <c r="AH39" s="35">
        <f t="shared" si="1"/>
        <v>0</v>
      </c>
      <c r="AI39" s="35">
        <f>AI38</f>
        <v>189.22857142857146</v>
      </c>
      <c r="AJ39" s="35">
        <f t="shared" si="9"/>
        <v>183</v>
      </c>
      <c r="AK39" s="35">
        <f>IF($AJ$9=0,0,(AK38+AK40)/2)</f>
        <v>183</v>
      </c>
      <c r="AL39" s="64" t="str">
        <f t="shared" si="11"/>
        <v/>
      </c>
      <c r="AM39" s="65" t="str">
        <f t="shared" si="2"/>
        <v/>
      </c>
      <c r="AN39" s="65" t="str">
        <f t="shared" si="3"/>
        <v/>
      </c>
      <c r="AO39" s="65" t="str">
        <f t="shared" si="4"/>
        <v/>
      </c>
      <c r="AP39" s="65" t="str">
        <f t="shared" si="5"/>
        <v/>
      </c>
      <c r="AQ39" s="65" t="str">
        <f t="shared" si="6"/>
        <v/>
      </c>
      <c r="AR39" s="66" t="str">
        <f t="shared" si="7"/>
        <v/>
      </c>
      <c r="AS39" s="39" t="str">
        <f t="shared" si="8"/>
        <v/>
      </c>
      <c r="AT39" s="83"/>
      <c r="AU39" s="85"/>
      <c r="AY39" s="35"/>
      <c r="AZ39" s="35"/>
      <c r="BA39" s="51"/>
      <c r="BE39" s="48"/>
      <c r="BF39" s="48"/>
      <c r="BH39" s="49"/>
      <c r="BI39" s="49"/>
      <c r="CA39" s="37"/>
      <c r="CB39" s="37"/>
    </row>
    <row r="40" spans="2:80" x14ac:dyDescent="0.35">
      <c r="B40" s="94">
        <f>IF(B38="","",B38+7)</f>
        <v>43145</v>
      </c>
      <c r="C40" s="27" t="str">
        <f t="shared" si="10"/>
        <v>Weight</v>
      </c>
      <c r="D40" s="17"/>
      <c r="E40" s="71"/>
      <c r="F40" s="71"/>
      <c r="G40" s="71"/>
      <c r="H40" s="71"/>
      <c r="I40" s="71"/>
      <c r="J40" s="7"/>
      <c r="K40" s="33" t="str">
        <f t="shared" si="0"/>
        <v/>
      </c>
      <c r="L40" s="126" t="str">
        <f>IF(K40="","",AT40)</f>
        <v/>
      </c>
      <c r="M40" s="90" t="str">
        <f ca="1">IF(AV40="","",IF(L40="","",AU40))</f>
        <v/>
      </c>
      <c r="N40" s="36"/>
      <c r="O40" s="69"/>
      <c r="P40" s="69"/>
      <c r="Q40" s="69"/>
      <c r="R40" s="70" t="str">
        <f>IF(S$3="male",IF(S$4="cm",IF(OR(ISBLANK(O40),ISBLANK(P40)),"",ROUND(((86.01*LOG10(O40/2.54-P40/2.54))-(70.041*LOG10(S$5/2.54))+36.76),0)/100),IF(S$4="inch",IF(OR(ISBLANK(O40),ISBLANK(P40)),"",ROUND(((86.01*LOG10(O40-P40))-(70.041*LOG10(S$5))+36.76),0)/100),"")),IF(S$3="female",IF(S$4="cm",IF(OR(ISBLANK(O40),ISBLANK(P40),ISBLANK(Q40)),"",ROUND(((163.205*LOG10(O40/2.54+Q40/2.54-P40/2.54))-(97.684*LOG10(S$5/2.54))-78.387),0)/100),IF(S$4="inch",IF(OR(ISBLANK(O40),ISBLANK(P40),ISBLANK(Q40)),"",ROUND(((163.205*LOG10(O40+Q40-P40))-(97.684*LOG10(S$5))-78.387),0)/100),"")),""))</f>
        <v/>
      </c>
      <c r="S40" s="36"/>
      <c r="T40" s="36"/>
      <c r="U40" s="36"/>
      <c r="V40" s="128" t="str">
        <f ca="1">IF(M42="","",IF(K42=K34,"No Weight Change",IF(K42&gt;K34,"You Gained:","You Lost:")))</f>
        <v/>
      </c>
      <c r="W40" s="129"/>
      <c r="X40" s="129"/>
      <c r="Y40" s="129"/>
      <c r="Z40" s="129"/>
      <c r="AA40" s="129"/>
      <c r="AB40" s="42" t="str">
        <f ca="1">IF(M42="","",IF(K42=K34,"",IF(K42&gt;K34,K42-K34,K34-K42)))</f>
        <v/>
      </c>
      <c r="AC40" s="160" t="str">
        <f ca="1">IF(V40="","",IF(V40="No Weight Change","",IF($F$4="Lb","Lb",IF($F$4="Kg","Kg",""))))</f>
        <v/>
      </c>
      <c r="AD40" s="161"/>
      <c r="AE40" s="162"/>
      <c r="AF40" s="36"/>
      <c r="AG40" s="56">
        <f>AG38+1</f>
        <v>15</v>
      </c>
      <c r="AH40" s="35">
        <f t="shared" si="1"/>
        <v>0</v>
      </c>
      <c r="AI40" s="35">
        <f>IF(K40="",AI38,K40)</f>
        <v>189.22857142857146</v>
      </c>
      <c r="AJ40" s="35">
        <f t="shared" si="9"/>
        <v>183</v>
      </c>
      <c r="AK40" s="35">
        <f>IF($F$6&gt;$F$7,IF(AK38&gt;AJ40,AK38+$AJ$9,AJ40),IF($F$6&lt;$F$7,IF(AK38&lt;AJ40,AK38+$AJ$9,AJ40),AJ40))</f>
        <v>183</v>
      </c>
      <c r="AL40" s="57" t="str">
        <f t="shared" si="11"/>
        <v/>
      </c>
      <c r="AM40" s="58" t="str">
        <f t="shared" si="2"/>
        <v/>
      </c>
      <c r="AN40" s="58" t="str">
        <f t="shared" si="3"/>
        <v/>
      </c>
      <c r="AO40" s="58" t="str">
        <f t="shared" si="4"/>
        <v/>
      </c>
      <c r="AP40" s="58" t="str">
        <f t="shared" si="5"/>
        <v/>
      </c>
      <c r="AQ40" s="58" t="str">
        <f t="shared" si="6"/>
        <v/>
      </c>
      <c r="AR40" s="59" t="str">
        <f t="shared" si="7"/>
        <v/>
      </c>
      <c r="AS40" s="61" t="str">
        <f t="shared" si="8"/>
        <v/>
      </c>
      <c r="AT40" s="82" t="str">
        <f>IF(AS40="","",AS40-AS38)</f>
        <v/>
      </c>
      <c r="AU40" s="84" t="str">
        <f ca="1">IF(AV40="","",IF(AT40="","",MROUND(AV40,5)))</f>
        <v/>
      </c>
      <c r="AV40" s="35">
        <f ca="1">IF(AH41&lt;7,AV38,IF(AH40&lt;7,AV38,((K41+(((-L40)*$AV$7)/AH41)))+SUM(OFFSET(IF(ROW()/2-5&gt;$S$8,INDEX(M:M,ROW()-(($S$8-1)*2)),$M$12),0,0,IF(ROW()/2-6&gt;($S$8-1),($S$8-1)*2,(ROW()/2-6)*2),1)))/IF(ROW()/2-5&gt;$S$8,$S$8,ROW()/2-5))</f>
        <v>2682.7551020408164</v>
      </c>
      <c r="AY40" s="35"/>
      <c r="AZ40" s="35"/>
      <c r="BA40" s="51"/>
      <c r="BE40" s="48"/>
      <c r="BF40" s="48"/>
      <c r="BH40" s="49"/>
      <c r="BI40" s="49"/>
      <c r="CA40" s="37"/>
      <c r="CB40" s="37"/>
    </row>
    <row r="41" spans="2:80" x14ac:dyDescent="0.35">
      <c r="B41" s="93"/>
      <c r="C41" s="28" t="str">
        <f t="shared" si="10"/>
        <v>Cal.</v>
      </c>
      <c r="D41" s="17"/>
      <c r="E41" s="71"/>
      <c r="F41" s="71"/>
      <c r="G41" s="71"/>
      <c r="H41" s="71"/>
      <c r="I41" s="71"/>
      <c r="J41" s="7"/>
      <c r="K41" s="40" t="str">
        <f t="shared" si="0"/>
        <v/>
      </c>
      <c r="L41" s="125"/>
      <c r="M41" s="89"/>
      <c r="N41" s="36"/>
      <c r="O41" s="36"/>
      <c r="P41" s="36"/>
      <c r="Q41" s="36"/>
      <c r="R41" s="36"/>
      <c r="S41" s="36"/>
      <c r="T41" s="36"/>
      <c r="U41" s="36"/>
      <c r="V41" s="130" t="str">
        <f ca="1">IF(M42="","",IF(K42=K34,"","At a Rate Of"))</f>
        <v/>
      </c>
      <c r="W41" s="131"/>
      <c r="X41" s="131"/>
      <c r="Y41" s="131"/>
      <c r="Z41" s="131"/>
      <c r="AA41" s="132" t="str">
        <f ca="1">IF(V41="","",AB40/4)</f>
        <v/>
      </c>
      <c r="AB41" s="133"/>
      <c r="AC41" s="134" t="str">
        <f ca="1">IF(V40="","",IF(V40="No Weight Change","",IF($F$4="Lb","Lb/Wk",IF($F$4="Kg","Kg/Wk",""))))</f>
        <v/>
      </c>
      <c r="AD41" s="135"/>
      <c r="AE41" s="136"/>
      <c r="AF41" s="36"/>
      <c r="AG41" s="56">
        <f>AG40+0.5</f>
        <v>15.5</v>
      </c>
      <c r="AH41" s="35">
        <f t="shared" si="1"/>
        <v>0</v>
      </c>
      <c r="AI41" s="35">
        <f>AI40</f>
        <v>189.22857142857146</v>
      </c>
      <c r="AJ41" s="35">
        <f t="shared" si="9"/>
        <v>183</v>
      </c>
      <c r="AK41" s="35">
        <f>IF($AJ$9=0,0,(AK40+AK42)/2)</f>
        <v>183</v>
      </c>
      <c r="AL41" s="64" t="str">
        <f t="shared" si="11"/>
        <v/>
      </c>
      <c r="AM41" s="65" t="str">
        <f t="shared" si="2"/>
        <v/>
      </c>
      <c r="AN41" s="65" t="str">
        <f t="shared" si="3"/>
        <v/>
      </c>
      <c r="AO41" s="65" t="str">
        <f t="shared" si="4"/>
        <v/>
      </c>
      <c r="AP41" s="65" t="str">
        <f t="shared" si="5"/>
        <v/>
      </c>
      <c r="AQ41" s="65" t="str">
        <f t="shared" si="6"/>
        <v/>
      </c>
      <c r="AR41" s="66" t="str">
        <f t="shared" si="7"/>
        <v/>
      </c>
      <c r="AS41" s="39" t="str">
        <f t="shared" si="8"/>
        <v/>
      </c>
      <c r="AT41" s="83"/>
      <c r="AU41" s="85"/>
      <c r="AY41" s="35"/>
      <c r="AZ41" s="35"/>
      <c r="BA41" s="51"/>
      <c r="BE41" s="48"/>
      <c r="BF41" s="48"/>
      <c r="BH41" s="49"/>
      <c r="BI41" s="49"/>
      <c r="CA41" s="37"/>
      <c r="CB41" s="37"/>
    </row>
    <row r="42" spans="2:80" x14ac:dyDescent="0.35">
      <c r="B42" s="94">
        <f>IF(B40="","",B40+7)</f>
        <v>43152</v>
      </c>
      <c r="C42" s="27" t="str">
        <f t="shared" si="10"/>
        <v>Weight</v>
      </c>
      <c r="D42" s="17"/>
      <c r="E42" s="71"/>
      <c r="F42" s="71"/>
      <c r="G42" s="71"/>
      <c r="H42" s="71"/>
      <c r="I42" s="71"/>
      <c r="J42" s="7"/>
      <c r="K42" s="33" t="str">
        <f t="shared" si="0"/>
        <v/>
      </c>
      <c r="L42" s="126" t="str">
        <f>IF(K42="","",AT42)</f>
        <v/>
      </c>
      <c r="M42" s="90" t="str">
        <f ca="1">IF(AV42="","",IF(L42="","",AU42))</f>
        <v/>
      </c>
      <c r="N42" s="36"/>
      <c r="O42" s="69"/>
      <c r="P42" s="69"/>
      <c r="Q42" s="69"/>
      <c r="R42" s="70" t="str">
        <f>IF(S$3="male",IF(S$4="cm",IF(OR(ISBLANK(O42),ISBLANK(P42)),"",ROUND(((86.01*LOG10(O42/2.54-P42/2.54))-(70.041*LOG10(S$5/2.54))+36.76),0)/100),IF(S$4="inch",IF(OR(ISBLANK(O42),ISBLANK(P42)),"",ROUND(((86.01*LOG10(O42-P42))-(70.041*LOG10(S$5))+36.76),0)/100),"")),IF(S$3="female",IF(S$4="cm",IF(OR(ISBLANK(O42),ISBLANK(P42),ISBLANK(Q42)),"",ROUND(((163.205*LOG10(O42/2.54+Q42/2.54-P42/2.54))-(97.684*LOG10(S$5/2.54))-78.387),0)/100),IF(S$4="inch",IF(OR(ISBLANK(O42),ISBLANK(P42),ISBLANK(Q42)),"",ROUND(((163.205*LOG10(O42+Q42-P42))-(97.684*LOG10(S$5))-78.387),0)/100),"")),""))</f>
        <v/>
      </c>
      <c r="S42" s="36"/>
      <c r="T42" s="36"/>
      <c r="U42" s="36"/>
      <c r="V42" s="149" t="str">
        <f ca="1">IF(AA41="","","You have")</f>
        <v/>
      </c>
      <c r="W42" s="150"/>
      <c r="X42" s="150"/>
      <c r="Y42" s="150"/>
      <c r="Z42" s="153" t="str">
        <f ca="1">IF(AA41="","",IF(K42&gt;$F$7,K42-$F$7,$F$7-K42))</f>
        <v/>
      </c>
      <c r="AA42" s="155" t="str">
        <f ca="1">IF(AA41="","",IF(AA41="No Weight Change","",IF($F$4="Lb","Lb to go!",IF($F$4="Kg","Kg to go!",""))))</f>
        <v/>
      </c>
      <c r="AB42" s="156"/>
      <c r="AC42" s="156"/>
      <c r="AD42" s="156"/>
      <c r="AE42" s="157"/>
      <c r="AF42" s="36"/>
      <c r="AG42" s="56">
        <f>AG40+1</f>
        <v>16</v>
      </c>
      <c r="AH42" s="35">
        <f t="shared" si="1"/>
        <v>0</v>
      </c>
      <c r="AI42" s="35">
        <f>IF(K42="",AI40,K42)</f>
        <v>189.22857142857146</v>
      </c>
      <c r="AJ42" s="35">
        <f t="shared" si="9"/>
        <v>183</v>
      </c>
      <c r="AK42" s="35">
        <f>IF($F$6&gt;$F$7,IF(AK40&gt;AJ42,AK40+$AJ$9,AJ42),IF($F$6&lt;$F$7,IF(AK40&lt;AJ42,AK40+$AJ$9,AJ42),AJ42))</f>
        <v>183</v>
      </c>
      <c r="AL42" s="57" t="str">
        <f t="shared" si="11"/>
        <v/>
      </c>
      <c r="AM42" s="58" t="str">
        <f t="shared" si="2"/>
        <v/>
      </c>
      <c r="AN42" s="58" t="str">
        <f t="shared" si="3"/>
        <v/>
      </c>
      <c r="AO42" s="58" t="str">
        <f t="shared" si="4"/>
        <v/>
      </c>
      <c r="AP42" s="58" t="str">
        <f t="shared" si="5"/>
        <v/>
      </c>
      <c r="AQ42" s="58" t="str">
        <f t="shared" si="6"/>
        <v/>
      </c>
      <c r="AR42" s="59" t="str">
        <f t="shared" si="7"/>
        <v/>
      </c>
      <c r="AS42" s="61" t="str">
        <f t="shared" si="8"/>
        <v/>
      </c>
      <c r="AT42" s="82" t="str">
        <f>IF(AS42="","",AS42-AS40)</f>
        <v/>
      </c>
      <c r="AU42" s="84" t="str">
        <f ca="1">IF(AV42="","",IF(AT42="","",MROUND(AV42,5)))</f>
        <v/>
      </c>
      <c r="AV42" s="35">
        <f ca="1">IF(AH43&lt;7,AV40,IF(AH42&lt;7,AV40,((K43+(((-L42)*$AV$7)/AH43)))+SUM(OFFSET(IF(ROW()/2-5&gt;$S$8,INDEX(M:M,ROW()-(($S$8-1)*2)),$M$12),0,0,IF(ROW()/2-6&gt;($S$8-1),($S$8-1)*2,(ROW()/2-6)*2),1)))/IF(ROW()/2-5&gt;$S$8,$S$8,ROW()/2-5))</f>
        <v>2682.7551020408164</v>
      </c>
      <c r="AY42" s="35"/>
      <c r="AZ42" s="35"/>
      <c r="BA42" s="51"/>
      <c r="BE42" s="48"/>
      <c r="BF42" s="48"/>
      <c r="BH42" s="49"/>
      <c r="BI42" s="49"/>
      <c r="CA42" s="37"/>
      <c r="CB42" s="37"/>
    </row>
    <row r="43" spans="2:80" x14ac:dyDescent="0.35">
      <c r="B43" s="95"/>
      <c r="C43" s="11" t="str">
        <f t="shared" si="10"/>
        <v>Cal.</v>
      </c>
      <c r="D43" s="18"/>
      <c r="E43" s="19"/>
      <c r="F43" s="19"/>
      <c r="G43" s="19"/>
      <c r="H43" s="19"/>
      <c r="I43" s="19"/>
      <c r="J43" s="24"/>
      <c r="K43" s="39" t="str">
        <f t="shared" si="0"/>
        <v/>
      </c>
      <c r="L43" s="127"/>
      <c r="M43" s="91"/>
      <c r="N43" s="36"/>
      <c r="O43" s="36"/>
      <c r="P43" s="36"/>
      <c r="Q43" s="36"/>
      <c r="R43" s="36"/>
      <c r="S43" s="36"/>
      <c r="T43" s="36"/>
      <c r="U43" s="36"/>
      <c r="V43" s="151"/>
      <c r="W43" s="152"/>
      <c r="X43" s="152"/>
      <c r="Y43" s="152"/>
      <c r="Z43" s="154"/>
      <c r="AA43" s="158"/>
      <c r="AB43" s="158"/>
      <c r="AC43" s="158"/>
      <c r="AD43" s="158"/>
      <c r="AE43" s="159"/>
      <c r="AF43" s="36"/>
      <c r="AG43" s="56">
        <f>AG42+0.5</f>
        <v>16.5</v>
      </c>
      <c r="AH43" s="35">
        <f t="shared" si="1"/>
        <v>0</v>
      </c>
      <c r="AI43" s="35">
        <f>AI42</f>
        <v>189.22857142857146</v>
      </c>
      <c r="AJ43" s="35">
        <f t="shared" si="9"/>
        <v>183</v>
      </c>
      <c r="AK43" s="35">
        <f>IF($AJ$9=0,0,(AK42+AK44)/2)</f>
        <v>183</v>
      </c>
      <c r="AL43" s="64" t="str">
        <f t="shared" si="11"/>
        <v/>
      </c>
      <c r="AM43" s="65" t="str">
        <f t="shared" si="2"/>
        <v/>
      </c>
      <c r="AN43" s="65" t="str">
        <f t="shared" si="3"/>
        <v/>
      </c>
      <c r="AO43" s="65" t="str">
        <f t="shared" si="4"/>
        <v/>
      </c>
      <c r="AP43" s="65" t="str">
        <f t="shared" si="5"/>
        <v/>
      </c>
      <c r="AQ43" s="65" t="str">
        <f t="shared" si="6"/>
        <v/>
      </c>
      <c r="AR43" s="66" t="str">
        <f t="shared" si="7"/>
        <v/>
      </c>
      <c r="AS43" s="39" t="str">
        <f t="shared" si="8"/>
        <v/>
      </c>
      <c r="AT43" s="83"/>
      <c r="AU43" s="85"/>
      <c r="AY43" s="35"/>
      <c r="AZ43" s="35"/>
      <c r="BA43" s="51"/>
      <c r="BE43" s="48"/>
      <c r="BF43" s="48"/>
      <c r="BH43" s="49"/>
      <c r="BI43" s="49"/>
      <c r="CA43" s="37"/>
      <c r="CB43" s="37"/>
    </row>
    <row r="44" spans="2:80" x14ac:dyDescent="0.35">
      <c r="B44" s="92">
        <f>IF(B42="","",B42+7)</f>
        <v>43159</v>
      </c>
      <c r="C44" s="10" t="str">
        <f t="shared" si="10"/>
        <v>Weight</v>
      </c>
      <c r="D44" s="15"/>
      <c r="E44" s="16"/>
      <c r="F44" s="16"/>
      <c r="G44" s="16"/>
      <c r="H44" s="16"/>
      <c r="I44" s="16"/>
      <c r="J44" s="23"/>
      <c r="K44" s="32" t="str">
        <f t="shared" ref="K44:K75" si="12">IF(AH44=0,"",AS44)</f>
        <v/>
      </c>
      <c r="L44" s="124" t="str">
        <f>IF(K44="","",AT44)</f>
        <v/>
      </c>
      <c r="M44" s="88" t="str">
        <f ca="1">IF(AV44="","",IF(L44="","",AU44))</f>
        <v/>
      </c>
      <c r="N44" s="36"/>
      <c r="O44" s="69"/>
      <c r="P44" s="69"/>
      <c r="Q44" s="69"/>
      <c r="R44" s="70" t="str">
        <f>IF(S$3="male",IF(S$4="cm",IF(OR(ISBLANK(O44),ISBLANK(P44)),"",ROUND(((86.01*LOG10(O44/2.54-P44/2.54))-(70.041*LOG10(S$5/2.54))+36.76),0)/100),IF(S$4="inch",IF(OR(ISBLANK(O44),ISBLANK(P44)),"",ROUND(((86.01*LOG10(O44-P44))-(70.041*LOG10(S$5))+36.76),0)/100),"")),IF(S$3="female",IF(S$4="cm",IF(OR(ISBLANK(O44),ISBLANK(P44),ISBLANK(Q44)),"",ROUND(((163.205*LOG10(O44/2.54+Q44/2.54-P44/2.54))-(97.684*LOG10(S$5/2.54))-78.387),0)/100),IF(S$4="inch",IF(OR(ISBLANK(O44),ISBLANK(P44),ISBLANK(Q44)),"",ROUND(((163.205*LOG10(O44+Q44-P44))-(97.684*LOG10(S$5))-78.387),0)/100),"")),""))</f>
        <v/>
      </c>
      <c r="S44" s="36"/>
      <c r="T44" s="36"/>
      <c r="U44" s="36"/>
      <c r="V44" s="36"/>
      <c r="W44" s="36"/>
      <c r="X44" s="36"/>
      <c r="Y44" s="36"/>
      <c r="Z44" s="45"/>
      <c r="AA44" s="36"/>
      <c r="AB44" s="45"/>
      <c r="AC44" s="36"/>
      <c r="AD44" s="36"/>
      <c r="AE44" s="36"/>
      <c r="AF44" s="36"/>
      <c r="AG44" s="56">
        <f>AG42+1</f>
        <v>17</v>
      </c>
      <c r="AH44" s="35">
        <f t="shared" ref="AH44:AH75" si="13">COUNT(AL44:AR44)</f>
        <v>0</v>
      </c>
      <c r="AI44" s="35">
        <f>IF(K44="",AI42,K44)</f>
        <v>189.22857142857146</v>
      </c>
      <c r="AJ44" s="35">
        <f t="shared" ref="AJ44:AJ75" si="14">AJ43</f>
        <v>183</v>
      </c>
      <c r="AK44" s="35">
        <f>IF($F$6&gt;$F$7,IF(AK42&gt;AJ44,AK42+$AJ$9,AJ44),IF($F$6&lt;$F$7,IF(AK42&lt;AJ44,AK42+$AJ$9,AJ44),AJ44))</f>
        <v>183</v>
      </c>
      <c r="AL44" s="57" t="str">
        <f t="shared" si="11"/>
        <v/>
      </c>
      <c r="AM44" s="58" t="str">
        <f t="shared" ref="AM44:AM75" si="15">IF(E44="",AL44,E44)</f>
        <v/>
      </c>
      <c r="AN44" s="58" t="str">
        <f t="shared" ref="AN44:AN75" si="16">IF(F44="",AM44,F44)</f>
        <v/>
      </c>
      <c r="AO44" s="58" t="str">
        <f t="shared" ref="AO44:AO75" si="17">IF(G44="",AN44,G44)</f>
        <v/>
      </c>
      <c r="AP44" s="58" t="str">
        <f t="shared" ref="AP44:AP75" si="18">IF(H44="",AO44,H44)</f>
        <v/>
      </c>
      <c r="AQ44" s="58" t="str">
        <f t="shared" ref="AQ44:AQ75" si="19">IF(I44="",AP44,I44)</f>
        <v/>
      </c>
      <c r="AR44" s="59" t="str">
        <f t="shared" ref="AR44:AR75" si="20">IF(J44="",AQ44,J44)</f>
        <v/>
      </c>
      <c r="AS44" s="61" t="str">
        <f t="shared" ref="AS44:AS75" si="21">IF(AH44=0,"",SUM(AL44:AR44)/AH44)</f>
        <v/>
      </c>
      <c r="AT44" s="82" t="str">
        <f>IF(AS44="","",AS44-AS42)</f>
        <v/>
      </c>
      <c r="AU44" s="84" t="str">
        <f ca="1">IF(AV44="","",IF(AT44="","",MROUND(AV44,5)))</f>
        <v/>
      </c>
      <c r="AV44" s="35">
        <f ca="1">IF(AH45&lt;7,AV42,IF(AH44&lt;7,AV42,((K45+(((-L44)*$AV$7)/AH45)))+SUM(OFFSET(IF(ROW()/2-5&gt;$S$8,INDEX(M:M,ROW()-(($S$8-1)*2)),$M$12),0,0,IF(ROW()/2-6&gt;($S$8-1),($S$8-1)*2,(ROW()/2-6)*2),1)))/IF(ROW()/2-5&gt;$S$8,$S$8,ROW()/2-5))</f>
        <v>2682.7551020408164</v>
      </c>
      <c r="AY44" s="35"/>
      <c r="AZ44" s="35"/>
      <c r="BA44" s="51"/>
      <c r="BE44" s="48"/>
      <c r="BF44" s="48"/>
      <c r="BH44" s="49"/>
      <c r="BI44" s="49"/>
      <c r="CA44" s="37"/>
      <c r="CB44" s="37"/>
    </row>
    <row r="45" spans="2:80" x14ac:dyDescent="0.35">
      <c r="B45" s="93"/>
      <c r="C45" s="26" t="str">
        <f t="shared" si="10"/>
        <v>Cal.</v>
      </c>
      <c r="D45" s="17"/>
      <c r="E45" s="71"/>
      <c r="F45" s="71"/>
      <c r="G45" s="71"/>
      <c r="H45" s="71"/>
      <c r="I45" s="71"/>
      <c r="J45" s="7"/>
      <c r="K45" s="40" t="str">
        <f t="shared" si="12"/>
        <v/>
      </c>
      <c r="L45" s="125"/>
      <c r="M45" s="89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45"/>
      <c r="AA45" s="36"/>
      <c r="AB45" s="45"/>
      <c r="AC45" s="36"/>
      <c r="AD45" s="36"/>
      <c r="AE45" s="36"/>
      <c r="AF45" s="36"/>
      <c r="AG45" s="56">
        <f>AG44+0.5</f>
        <v>17.5</v>
      </c>
      <c r="AH45" s="35">
        <f t="shared" si="13"/>
        <v>0</v>
      </c>
      <c r="AI45" s="35">
        <f>AI44</f>
        <v>189.22857142857146</v>
      </c>
      <c r="AJ45" s="35">
        <f t="shared" si="14"/>
        <v>183</v>
      </c>
      <c r="AK45" s="35">
        <f>IF($AJ$9=0,0,(AK44+AK46)/2)</f>
        <v>183</v>
      </c>
      <c r="AL45" s="64" t="str">
        <f t="shared" si="11"/>
        <v/>
      </c>
      <c r="AM45" s="65" t="str">
        <f t="shared" si="15"/>
        <v/>
      </c>
      <c r="AN45" s="65" t="str">
        <f t="shared" si="16"/>
        <v/>
      </c>
      <c r="AO45" s="65" t="str">
        <f t="shared" si="17"/>
        <v/>
      </c>
      <c r="AP45" s="65" t="str">
        <f t="shared" si="18"/>
        <v/>
      </c>
      <c r="AQ45" s="65" t="str">
        <f t="shared" si="19"/>
        <v/>
      </c>
      <c r="AR45" s="66" t="str">
        <f t="shared" si="20"/>
        <v/>
      </c>
      <c r="AS45" s="39" t="str">
        <f t="shared" si="21"/>
        <v/>
      </c>
      <c r="AT45" s="83"/>
      <c r="AU45" s="85"/>
      <c r="AY45" s="35"/>
      <c r="AZ45" s="35"/>
      <c r="BA45" s="51"/>
      <c r="BE45" s="48"/>
      <c r="BF45" s="48"/>
      <c r="BH45" s="49"/>
      <c r="BI45" s="49"/>
      <c r="CA45" s="37"/>
      <c r="CB45" s="37"/>
    </row>
    <row r="46" spans="2:80" x14ac:dyDescent="0.35">
      <c r="B46" s="94">
        <f>IF(B44="","",B44+7)</f>
        <v>43166</v>
      </c>
      <c r="C46" s="27" t="str">
        <f t="shared" si="10"/>
        <v>Weight</v>
      </c>
      <c r="D46" s="17"/>
      <c r="E46" s="71"/>
      <c r="F46" s="71"/>
      <c r="G46" s="71"/>
      <c r="H46" s="71"/>
      <c r="I46" s="71"/>
      <c r="J46" s="7"/>
      <c r="K46" s="33" t="str">
        <f t="shared" si="12"/>
        <v/>
      </c>
      <c r="L46" s="126" t="str">
        <f>IF(K46="","",AT46)</f>
        <v/>
      </c>
      <c r="M46" s="90" t="str">
        <f ca="1">IF(AV46="","",IF(L46="","",AU46))</f>
        <v/>
      </c>
      <c r="N46" s="36"/>
      <c r="O46" s="69"/>
      <c r="P46" s="69"/>
      <c r="Q46" s="69"/>
      <c r="R46" s="70" t="str">
        <f>IF(S$3="male",IF(S$4="cm",IF(OR(ISBLANK(O46),ISBLANK(P46)),"",ROUND(((86.01*LOG10(O46/2.54-P46/2.54))-(70.041*LOG10(S$5/2.54))+36.76),0)/100),IF(S$4="inch",IF(OR(ISBLANK(O46),ISBLANK(P46)),"",ROUND(((86.01*LOG10(O46-P46))-(70.041*LOG10(S$5))+36.76),0)/100),"")),IF(S$3="female",IF(S$4="cm",IF(OR(ISBLANK(O46),ISBLANK(P46),ISBLANK(Q46)),"",ROUND(((163.205*LOG10(O46/2.54+Q46/2.54-P46/2.54))-(97.684*LOG10(S$5/2.54))-78.387),0)/100),IF(S$4="inch",IF(OR(ISBLANK(O46),ISBLANK(P46),ISBLANK(Q46)),"",ROUND(((163.205*LOG10(O46+Q46-P46))-(97.684*LOG10(S$5))-78.387),0)/100),"")),""))</f>
        <v/>
      </c>
      <c r="S46" s="36"/>
      <c r="T46" s="36"/>
      <c r="U46" s="36"/>
      <c r="V46" s="137" t="str">
        <f ca="1">IF(M50="","","From")</f>
        <v/>
      </c>
      <c r="W46" s="138"/>
      <c r="X46" s="141" t="str">
        <f ca="1">IF(M50="","",B44)</f>
        <v/>
      </c>
      <c r="Y46" s="142"/>
      <c r="Z46" s="142"/>
      <c r="AA46" s="143" t="str">
        <f ca="1">IF(M50="","","to")</f>
        <v/>
      </c>
      <c r="AB46" s="144" t="str">
        <f ca="1">IF(M50="","",B50)</f>
        <v/>
      </c>
      <c r="AC46" s="145"/>
      <c r="AD46" s="146"/>
      <c r="AE46" s="147"/>
      <c r="AF46" s="36"/>
      <c r="AG46" s="56">
        <f>AG44+1</f>
        <v>18</v>
      </c>
      <c r="AH46" s="35">
        <f t="shared" si="13"/>
        <v>0</v>
      </c>
      <c r="AI46" s="35">
        <f>IF(K46="",AI44,K46)</f>
        <v>189.22857142857146</v>
      </c>
      <c r="AJ46" s="35">
        <f t="shared" si="14"/>
        <v>183</v>
      </c>
      <c r="AK46" s="35">
        <f>IF($F$6&gt;$F$7,IF(AK44&gt;AJ46,AK44+$AJ$9,AJ46),IF($F$6&lt;$F$7,IF(AK44&lt;AJ46,AK44+$AJ$9,AJ46),AJ46))</f>
        <v>183</v>
      </c>
      <c r="AL46" s="57" t="str">
        <f t="shared" ref="AL46:AL77" si="22">IF(COUNT(D46:J46)&lt;1,"",IF(D46="",AS44,D46))</f>
        <v/>
      </c>
      <c r="AM46" s="58" t="str">
        <f t="shared" si="15"/>
        <v/>
      </c>
      <c r="AN46" s="58" t="str">
        <f t="shared" si="16"/>
        <v/>
      </c>
      <c r="AO46" s="58" t="str">
        <f t="shared" si="17"/>
        <v/>
      </c>
      <c r="AP46" s="58" t="str">
        <f t="shared" si="18"/>
        <v/>
      </c>
      <c r="AQ46" s="58" t="str">
        <f t="shared" si="19"/>
        <v/>
      </c>
      <c r="AR46" s="59" t="str">
        <f t="shared" si="20"/>
        <v/>
      </c>
      <c r="AS46" s="61" t="str">
        <f t="shared" si="21"/>
        <v/>
      </c>
      <c r="AT46" s="82" t="str">
        <f>IF(AS46="","",AS46-AS44)</f>
        <v/>
      </c>
      <c r="AU46" s="84" t="str">
        <f ca="1">IF(AV46="","",IF(AT46="","",MROUND(AV46,5)))</f>
        <v/>
      </c>
      <c r="AV46" s="35">
        <f ca="1">IF(AH47&lt;7,AV44,IF(AH46&lt;7,AV44,((K47+(((-L46)*$AV$7)/AH47)))+SUM(OFFSET(IF(ROW()/2-5&gt;$S$8,INDEX(M:M,ROW()-(($S$8-1)*2)),$M$12),0,0,IF(ROW()/2-6&gt;($S$8-1),($S$8-1)*2,(ROW()/2-6)*2),1)))/IF(ROW()/2-5&gt;$S$8,$S$8,ROW()/2-5))</f>
        <v>2682.7551020408164</v>
      </c>
      <c r="AY46" s="35"/>
      <c r="AZ46" s="35"/>
      <c r="BA46" s="51"/>
      <c r="BE46" s="48"/>
      <c r="BF46" s="48"/>
      <c r="BH46" s="49"/>
      <c r="BI46" s="49"/>
      <c r="CA46" s="37"/>
      <c r="CB46" s="37"/>
    </row>
    <row r="47" spans="2:80" x14ac:dyDescent="0.35">
      <c r="B47" s="93"/>
      <c r="C47" s="28" t="str">
        <f t="shared" si="10"/>
        <v>Cal.</v>
      </c>
      <c r="D47" s="17"/>
      <c r="E47" s="71"/>
      <c r="F47" s="71"/>
      <c r="G47" s="71"/>
      <c r="H47" s="71"/>
      <c r="I47" s="71"/>
      <c r="J47" s="7"/>
      <c r="K47" s="40" t="str">
        <f t="shared" si="12"/>
        <v/>
      </c>
      <c r="L47" s="125"/>
      <c r="M47" s="89"/>
      <c r="N47" s="36"/>
      <c r="O47" s="36"/>
      <c r="P47" s="36"/>
      <c r="Q47" s="36"/>
      <c r="R47" s="36"/>
      <c r="S47" s="36"/>
      <c r="T47" s="36"/>
      <c r="U47" s="36"/>
      <c r="V47" s="139"/>
      <c r="W47" s="140"/>
      <c r="X47" s="140"/>
      <c r="Y47" s="140"/>
      <c r="Z47" s="140"/>
      <c r="AA47" s="140"/>
      <c r="AB47" s="140"/>
      <c r="AC47" s="140"/>
      <c r="AD47" s="140"/>
      <c r="AE47" s="148"/>
      <c r="AF47" s="36"/>
      <c r="AG47" s="56">
        <f>AG46+0.5</f>
        <v>18.5</v>
      </c>
      <c r="AH47" s="35">
        <f t="shared" si="13"/>
        <v>0</v>
      </c>
      <c r="AI47" s="35">
        <f>AI46</f>
        <v>189.22857142857146</v>
      </c>
      <c r="AJ47" s="35">
        <f t="shared" si="14"/>
        <v>183</v>
      </c>
      <c r="AK47" s="35">
        <f>IF($AJ$9=0,0,(AK46+AK48)/2)</f>
        <v>183</v>
      </c>
      <c r="AL47" s="64" t="str">
        <f t="shared" si="22"/>
        <v/>
      </c>
      <c r="AM47" s="65" t="str">
        <f t="shared" si="15"/>
        <v/>
      </c>
      <c r="AN47" s="65" t="str">
        <f t="shared" si="16"/>
        <v/>
      </c>
      <c r="AO47" s="65" t="str">
        <f t="shared" si="17"/>
        <v/>
      </c>
      <c r="AP47" s="65" t="str">
        <f t="shared" si="18"/>
        <v/>
      </c>
      <c r="AQ47" s="65" t="str">
        <f t="shared" si="19"/>
        <v/>
      </c>
      <c r="AR47" s="66" t="str">
        <f t="shared" si="20"/>
        <v/>
      </c>
      <c r="AS47" s="39" t="str">
        <f t="shared" si="21"/>
        <v/>
      </c>
      <c r="AT47" s="83"/>
      <c r="AU47" s="85"/>
      <c r="AY47" s="35"/>
      <c r="AZ47" s="35"/>
      <c r="BA47" s="51"/>
      <c r="BE47" s="48"/>
      <c r="BF47" s="48"/>
      <c r="BH47" s="49"/>
      <c r="BI47" s="49"/>
      <c r="CA47" s="37"/>
      <c r="CB47" s="37"/>
    </row>
    <row r="48" spans="2:80" x14ac:dyDescent="0.35">
      <c r="B48" s="94">
        <f>IF(B46="","",B46+7)</f>
        <v>43173</v>
      </c>
      <c r="C48" s="27" t="str">
        <f t="shared" si="10"/>
        <v>Weight</v>
      </c>
      <c r="D48" s="17"/>
      <c r="E48" s="71"/>
      <c r="F48" s="71"/>
      <c r="G48" s="71"/>
      <c r="H48" s="71"/>
      <c r="I48" s="71"/>
      <c r="J48" s="7"/>
      <c r="K48" s="33" t="str">
        <f t="shared" si="12"/>
        <v/>
      </c>
      <c r="L48" s="126" t="str">
        <f>IF(K48="","",AT48)</f>
        <v/>
      </c>
      <c r="M48" s="90" t="str">
        <f ca="1">IF(AV48="","",IF(L48="","",AU48))</f>
        <v/>
      </c>
      <c r="N48" s="36"/>
      <c r="O48" s="69"/>
      <c r="P48" s="69"/>
      <c r="Q48" s="69"/>
      <c r="R48" s="70" t="str">
        <f>IF(S$3="male",IF(S$4="cm",IF(OR(ISBLANK(O48),ISBLANK(P48)),"",ROUND(((86.01*LOG10(O48/2.54-P48/2.54))-(70.041*LOG10(S$5/2.54))+36.76),0)/100),IF(S$4="inch",IF(OR(ISBLANK(O48),ISBLANK(P48)),"",ROUND(((86.01*LOG10(O48-P48))-(70.041*LOG10(S$5))+36.76),0)/100),"")),IF(S$3="female",IF(S$4="cm",IF(OR(ISBLANK(O48),ISBLANK(P48),ISBLANK(Q48)),"",ROUND(((163.205*LOG10(O48/2.54+Q48/2.54-P48/2.54))-(97.684*LOG10(S$5/2.54))-78.387),0)/100),IF(S$4="inch",IF(OR(ISBLANK(O48),ISBLANK(P48),ISBLANK(Q48)),"",ROUND(((163.205*LOG10(O48+Q48-P48))-(97.684*LOG10(S$5))-78.387),0)/100),"")),""))</f>
        <v/>
      </c>
      <c r="S48" s="36"/>
      <c r="T48" s="36"/>
      <c r="U48" s="36"/>
      <c r="V48" s="128" t="str">
        <f ca="1">IF(M50="","",IF(K50=K42,"No Weight Change",IF(K50&gt;K42,"You Gained:","You Lost:")))</f>
        <v/>
      </c>
      <c r="W48" s="129"/>
      <c r="X48" s="129"/>
      <c r="Y48" s="129"/>
      <c r="Z48" s="129"/>
      <c r="AA48" s="129"/>
      <c r="AB48" s="42" t="str">
        <f ca="1">IF(M50="","",IF(K50=K42,"",IF(K50&gt;K42,K50-K42,K42-K50)))</f>
        <v/>
      </c>
      <c r="AC48" s="160" t="str">
        <f ca="1">IF(V48="","",IF(V48="No Weight Change","",IF($F$4="Lb","Lb",IF($F$4="Kg","Kg",""))))</f>
        <v/>
      </c>
      <c r="AD48" s="161"/>
      <c r="AE48" s="162"/>
      <c r="AF48" s="36"/>
      <c r="AG48" s="56">
        <f>AG46+1</f>
        <v>19</v>
      </c>
      <c r="AH48" s="35">
        <f t="shared" si="13"/>
        <v>0</v>
      </c>
      <c r="AI48" s="35">
        <f>IF(K48="",AI46,K48)</f>
        <v>189.22857142857146</v>
      </c>
      <c r="AJ48" s="35">
        <f t="shared" si="14"/>
        <v>183</v>
      </c>
      <c r="AK48" s="35">
        <f>IF($F$6&gt;$F$7,IF(AK46&gt;AJ48,AK46+$AJ$9,AJ48),IF($F$6&lt;$F$7,IF(AK46&lt;AJ48,AK46+$AJ$9,AJ48),AJ48))</f>
        <v>183</v>
      </c>
      <c r="AL48" s="57" t="str">
        <f t="shared" si="22"/>
        <v/>
      </c>
      <c r="AM48" s="58" t="str">
        <f t="shared" si="15"/>
        <v/>
      </c>
      <c r="AN48" s="58" t="str">
        <f t="shared" si="16"/>
        <v/>
      </c>
      <c r="AO48" s="58" t="str">
        <f t="shared" si="17"/>
        <v/>
      </c>
      <c r="AP48" s="58" t="str">
        <f t="shared" si="18"/>
        <v/>
      </c>
      <c r="AQ48" s="58" t="str">
        <f t="shared" si="19"/>
        <v/>
      </c>
      <c r="AR48" s="59" t="str">
        <f t="shared" si="20"/>
        <v/>
      </c>
      <c r="AS48" s="61" t="str">
        <f t="shared" si="21"/>
        <v/>
      </c>
      <c r="AT48" s="82" t="str">
        <f>IF(AS48="","",AS48-AS46)</f>
        <v/>
      </c>
      <c r="AU48" s="84" t="str">
        <f ca="1">IF(AV48="","",IF(AT48="","",MROUND(AV48,5)))</f>
        <v/>
      </c>
      <c r="AV48" s="35">
        <f ca="1">IF(AH49&lt;7,AV46,IF(AH48&lt;7,AV46,((K49+(((-L48)*$AV$7)/AH49)))+SUM(OFFSET(IF(ROW()/2-5&gt;$S$8,INDEX(M:M,ROW()-(($S$8-1)*2)),$M$12),0,0,IF(ROW()/2-6&gt;($S$8-1),($S$8-1)*2,(ROW()/2-6)*2),1)))/IF(ROW()/2-5&gt;$S$8,$S$8,ROW()/2-5))</f>
        <v>2682.7551020408164</v>
      </c>
      <c r="AY48" s="35"/>
      <c r="AZ48" s="35"/>
      <c r="BA48" s="51"/>
      <c r="BE48" s="48"/>
      <c r="BF48" s="48"/>
      <c r="BH48" s="49"/>
      <c r="BI48" s="49"/>
      <c r="CA48" s="37"/>
      <c r="CB48" s="37"/>
    </row>
    <row r="49" spans="2:80" x14ac:dyDescent="0.35">
      <c r="B49" s="93"/>
      <c r="C49" s="28" t="str">
        <f t="shared" si="10"/>
        <v>Cal.</v>
      </c>
      <c r="D49" s="17"/>
      <c r="E49" s="71"/>
      <c r="F49" s="71"/>
      <c r="G49" s="71"/>
      <c r="H49" s="71"/>
      <c r="I49" s="71"/>
      <c r="J49" s="7"/>
      <c r="K49" s="40" t="str">
        <f t="shared" si="12"/>
        <v/>
      </c>
      <c r="L49" s="125"/>
      <c r="M49" s="89"/>
      <c r="N49" s="36"/>
      <c r="O49" s="36"/>
      <c r="P49" s="36"/>
      <c r="Q49" s="36"/>
      <c r="R49" s="36"/>
      <c r="S49" s="36"/>
      <c r="T49" s="36"/>
      <c r="U49" s="36"/>
      <c r="V49" s="130" t="str">
        <f ca="1">IF(M50="","",IF(K50=K42,"","At a Rate Of"))</f>
        <v/>
      </c>
      <c r="W49" s="131"/>
      <c r="X49" s="131"/>
      <c r="Y49" s="131"/>
      <c r="Z49" s="131"/>
      <c r="AA49" s="132" t="str">
        <f ca="1">IF(V49="","",AB48/4)</f>
        <v/>
      </c>
      <c r="AB49" s="133"/>
      <c r="AC49" s="134" t="str">
        <f ca="1">IF(V48="","",IF(V48="No Weight Change","",IF($F$4="Lb","Lb/Wk",IF($F$4="Kg","Kg/Wk",""))))</f>
        <v/>
      </c>
      <c r="AD49" s="135"/>
      <c r="AE49" s="136"/>
      <c r="AF49" s="36"/>
      <c r="AG49" s="56">
        <f>AG48+0.5</f>
        <v>19.5</v>
      </c>
      <c r="AH49" s="35">
        <f t="shared" si="13"/>
        <v>0</v>
      </c>
      <c r="AI49" s="35">
        <f>AI48</f>
        <v>189.22857142857146</v>
      </c>
      <c r="AJ49" s="35">
        <f t="shared" si="14"/>
        <v>183</v>
      </c>
      <c r="AK49" s="35">
        <f>IF($AJ$9=0,0,(AK48+AK50)/2)</f>
        <v>183</v>
      </c>
      <c r="AL49" s="64" t="str">
        <f t="shared" si="22"/>
        <v/>
      </c>
      <c r="AM49" s="65" t="str">
        <f t="shared" si="15"/>
        <v/>
      </c>
      <c r="AN49" s="65" t="str">
        <f t="shared" si="16"/>
        <v/>
      </c>
      <c r="AO49" s="65" t="str">
        <f t="shared" si="17"/>
        <v/>
      </c>
      <c r="AP49" s="65" t="str">
        <f t="shared" si="18"/>
        <v/>
      </c>
      <c r="AQ49" s="65" t="str">
        <f t="shared" si="19"/>
        <v/>
      </c>
      <c r="AR49" s="66" t="str">
        <f t="shared" si="20"/>
        <v/>
      </c>
      <c r="AS49" s="39" t="str">
        <f t="shared" si="21"/>
        <v/>
      </c>
      <c r="AT49" s="83"/>
      <c r="AU49" s="85"/>
      <c r="AY49" s="35"/>
      <c r="AZ49" s="35"/>
      <c r="BA49" s="51"/>
      <c r="BE49" s="48"/>
      <c r="BF49" s="48"/>
      <c r="BH49" s="49"/>
      <c r="BI49" s="49"/>
      <c r="CA49" s="37"/>
      <c r="CB49" s="37"/>
    </row>
    <row r="50" spans="2:80" x14ac:dyDescent="0.35">
      <c r="B50" s="94">
        <f>IF(B48="","",B48+7)</f>
        <v>43180</v>
      </c>
      <c r="C50" s="27" t="str">
        <f t="shared" si="10"/>
        <v>Weight</v>
      </c>
      <c r="D50" s="17"/>
      <c r="E50" s="71"/>
      <c r="F50" s="71"/>
      <c r="G50" s="71"/>
      <c r="H50" s="71"/>
      <c r="I50" s="71"/>
      <c r="J50" s="7"/>
      <c r="K50" s="33" t="str">
        <f t="shared" si="12"/>
        <v/>
      </c>
      <c r="L50" s="126" t="str">
        <f>IF(K50="","",AT50)</f>
        <v/>
      </c>
      <c r="M50" s="90" t="str">
        <f ca="1">IF(AV50="","",IF(L50="","",AU50))</f>
        <v/>
      </c>
      <c r="N50" s="36"/>
      <c r="O50" s="69"/>
      <c r="P50" s="69"/>
      <c r="Q50" s="69"/>
      <c r="R50" s="70" t="str">
        <f>IF(S$3="male",IF(S$4="cm",IF(OR(ISBLANK(O50),ISBLANK(P50)),"",ROUND(((86.01*LOG10(O50/2.54-P50/2.54))-(70.041*LOG10(S$5/2.54))+36.76),0)/100),IF(S$4="inch",IF(OR(ISBLANK(O50),ISBLANK(P50)),"",ROUND(((86.01*LOG10(O50-P50))-(70.041*LOG10(S$5))+36.76),0)/100),"")),IF(S$3="female",IF(S$4="cm",IF(OR(ISBLANK(O50),ISBLANK(P50),ISBLANK(Q50)),"",ROUND(((163.205*LOG10(O50/2.54+Q50/2.54-P50/2.54))-(97.684*LOG10(S$5/2.54))-78.387),0)/100),IF(S$4="inch",IF(OR(ISBLANK(O50),ISBLANK(P50),ISBLANK(Q50)),"",ROUND(((163.205*LOG10(O50+Q50-P50))-(97.684*LOG10(S$5))-78.387),0)/100),"")),""))</f>
        <v/>
      </c>
      <c r="S50" s="36"/>
      <c r="T50" s="36"/>
      <c r="U50" s="36"/>
      <c r="V50" s="149" t="str">
        <f ca="1">IF(AA49="","","You have")</f>
        <v/>
      </c>
      <c r="W50" s="150"/>
      <c r="X50" s="150"/>
      <c r="Y50" s="150"/>
      <c r="Z50" s="153" t="str">
        <f ca="1">IF(AA49="","",IF(K50&gt;$F$7,K50-$F$7,$F$7-K50))</f>
        <v/>
      </c>
      <c r="AA50" s="155" t="str">
        <f ca="1">IF(AA49="","",IF(AA49="No Weight Change","",IF($F$4="Lb","Lb to go!",IF($F$4="Kg","Kg to go!",""))))</f>
        <v/>
      </c>
      <c r="AB50" s="156"/>
      <c r="AC50" s="156"/>
      <c r="AD50" s="156"/>
      <c r="AE50" s="157"/>
      <c r="AF50" s="36"/>
      <c r="AG50" s="56">
        <f>AG48+1</f>
        <v>20</v>
      </c>
      <c r="AH50" s="35">
        <f t="shared" si="13"/>
        <v>0</v>
      </c>
      <c r="AI50" s="35">
        <f>IF(K50="",AI48,K50)</f>
        <v>189.22857142857146</v>
      </c>
      <c r="AJ50" s="35">
        <f t="shared" si="14"/>
        <v>183</v>
      </c>
      <c r="AK50" s="35">
        <f>IF($F$6&gt;$F$7,IF(AK48&gt;AJ50,AK48+$AJ$9,AJ50),IF($F$6&lt;$F$7,IF(AK48&lt;AJ50,AK48+$AJ$9,AJ50),AJ50))</f>
        <v>183</v>
      </c>
      <c r="AL50" s="57" t="str">
        <f t="shared" si="22"/>
        <v/>
      </c>
      <c r="AM50" s="58" t="str">
        <f t="shared" si="15"/>
        <v/>
      </c>
      <c r="AN50" s="58" t="str">
        <f t="shared" si="16"/>
        <v/>
      </c>
      <c r="AO50" s="58" t="str">
        <f t="shared" si="17"/>
        <v/>
      </c>
      <c r="AP50" s="58" t="str">
        <f t="shared" si="18"/>
        <v/>
      </c>
      <c r="AQ50" s="58" t="str">
        <f t="shared" si="19"/>
        <v/>
      </c>
      <c r="AR50" s="59" t="str">
        <f t="shared" si="20"/>
        <v/>
      </c>
      <c r="AS50" s="61" t="str">
        <f t="shared" si="21"/>
        <v/>
      </c>
      <c r="AT50" s="82" t="str">
        <f>IF(AS50="","",AS50-AS48)</f>
        <v/>
      </c>
      <c r="AU50" s="84" t="str">
        <f ca="1">IF(AV50="","",IF(AT50="","",MROUND(AV50,5)))</f>
        <v/>
      </c>
      <c r="AV50" s="35">
        <f ca="1">IF(AH51&lt;7,AV48,IF(AH50&lt;7,AV48,((K51+(((-L50)*$AV$7)/AH51)))+SUM(OFFSET(IF(ROW()/2-5&gt;$S$8,INDEX(M:M,ROW()-(($S$8-1)*2)),$M$12),0,0,IF(ROW()/2-6&gt;($S$8-1),($S$8-1)*2,(ROW()/2-6)*2),1)))/IF(ROW()/2-5&gt;$S$8,$S$8,ROW()/2-5))</f>
        <v>2682.7551020408164</v>
      </c>
      <c r="AY50" s="35"/>
      <c r="AZ50" s="35"/>
      <c r="BA50" s="51"/>
      <c r="BE50" s="48"/>
      <c r="BF50" s="48"/>
      <c r="BH50" s="49"/>
      <c r="BI50" s="49"/>
      <c r="CA50" s="37"/>
      <c r="CB50" s="37"/>
    </row>
    <row r="51" spans="2:80" x14ac:dyDescent="0.35">
      <c r="B51" s="95"/>
      <c r="C51" s="11" t="str">
        <f t="shared" si="10"/>
        <v>Cal.</v>
      </c>
      <c r="D51" s="18"/>
      <c r="E51" s="19"/>
      <c r="F51" s="19"/>
      <c r="G51" s="19"/>
      <c r="H51" s="19"/>
      <c r="I51" s="19"/>
      <c r="J51" s="24"/>
      <c r="K51" s="39" t="str">
        <f t="shared" si="12"/>
        <v/>
      </c>
      <c r="L51" s="127"/>
      <c r="M51" s="91"/>
      <c r="N51" s="36"/>
      <c r="O51" s="36"/>
      <c r="P51" s="36"/>
      <c r="Q51" s="36"/>
      <c r="R51" s="36"/>
      <c r="S51" s="36"/>
      <c r="T51" s="36"/>
      <c r="U51" s="36"/>
      <c r="V51" s="151"/>
      <c r="W51" s="152"/>
      <c r="X51" s="152"/>
      <c r="Y51" s="152"/>
      <c r="Z51" s="154"/>
      <c r="AA51" s="158"/>
      <c r="AB51" s="158"/>
      <c r="AC51" s="158"/>
      <c r="AD51" s="158"/>
      <c r="AE51" s="159"/>
      <c r="AF51" s="36"/>
      <c r="AG51" s="56">
        <f>AG50+0.5</f>
        <v>20.5</v>
      </c>
      <c r="AH51" s="35">
        <f t="shared" si="13"/>
        <v>0</v>
      </c>
      <c r="AI51" s="35">
        <f>AI50</f>
        <v>189.22857142857146</v>
      </c>
      <c r="AJ51" s="35">
        <f t="shared" si="14"/>
        <v>183</v>
      </c>
      <c r="AK51" s="35">
        <f>IF($AJ$9=0,0,(AK50+AK52)/2)</f>
        <v>183</v>
      </c>
      <c r="AL51" s="64" t="str">
        <f t="shared" si="22"/>
        <v/>
      </c>
      <c r="AM51" s="65" t="str">
        <f t="shared" si="15"/>
        <v/>
      </c>
      <c r="AN51" s="65" t="str">
        <f t="shared" si="16"/>
        <v/>
      </c>
      <c r="AO51" s="65" t="str">
        <f t="shared" si="17"/>
        <v/>
      </c>
      <c r="AP51" s="65" t="str">
        <f t="shared" si="18"/>
        <v/>
      </c>
      <c r="AQ51" s="65" t="str">
        <f t="shared" si="19"/>
        <v/>
      </c>
      <c r="AR51" s="66" t="str">
        <f t="shared" si="20"/>
        <v/>
      </c>
      <c r="AS51" s="39" t="str">
        <f t="shared" si="21"/>
        <v/>
      </c>
      <c r="AT51" s="83"/>
      <c r="AU51" s="85"/>
      <c r="AY51" s="35"/>
      <c r="AZ51" s="35"/>
      <c r="BA51" s="51"/>
      <c r="BE51" s="48"/>
      <c r="BF51" s="48"/>
      <c r="BH51" s="49"/>
      <c r="BI51" s="49"/>
      <c r="CA51" s="37"/>
      <c r="CB51" s="37"/>
    </row>
    <row r="52" spans="2:80" x14ac:dyDescent="0.35">
      <c r="B52" s="92">
        <f>IF(B50="","",B50+7)</f>
        <v>43187</v>
      </c>
      <c r="C52" s="10" t="str">
        <f t="shared" si="10"/>
        <v>Weight</v>
      </c>
      <c r="D52" s="15"/>
      <c r="E52" s="16"/>
      <c r="F52" s="16"/>
      <c r="G52" s="16"/>
      <c r="H52" s="16"/>
      <c r="I52" s="16"/>
      <c r="J52" s="23"/>
      <c r="K52" s="32" t="str">
        <f t="shared" si="12"/>
        <v/>
      </c>
      <c r="L52" s="124" t="str">
        <f>IF(K52="","",AT52)</f>
        <v/>
      </c>
      <c r="M52" s="88" t="str">
        <f ca="1">IF(AV52="","",IF(L52="","",AU52))</f>
        <v/>
      </c>
      <c r="N52" s="36"/>
      <c r="O52" s="69"/>
      <c r="P52" s="69"/>
      <c r="Q52" s="69"/>
      <c r="R52" s="70" t="str">
        <f>IF(S$3="male",IF(S$4="cm",IF(OR(ISBLANK(O52),ISBLANK(P52)),"",ROUND(((86.01*LOG10(O52/2.54-P52/2.54))-(70.041*LOG10(S$5/2.54))+36.76),0)/100),IF(S$4="inch",IF(OR(ISBLANK(O52),ISBLANK(P52)),"",ROUND(((86.01*LOG10(O52-P52))-(70.041*LOG10(S$5))+36.76),0)/100),"")),IF(S$3="female",IF(S$4="cm",IF(OR(ISBLANK(O52),ISBLANK(P52),ISBLANK(Q52)),"",ROUND(((163.205*LOG10(O52/2.54+Q52/2.54-P52/2.54))-(97.684*LOG10(S$5/2.54))-78.387),0)/100),IF(S$4="inch",IF(OR(ISBLANK(O52),ISBLANK(P52),ISBLANK(Q52)),"",ROUND(((163.205*LOG10(O52+Q52-P52))-(97.684*LOG10(S$5))-78.387),0)/100),"")),""))</f>
        <v/>
      </c>
      <c r="S52" s="36"/>
      <c r="T52" s="36"/>
      <c r="U52" s="36"/>
      <c r="V52" s="36"/>
      <c r="W52" s="36"/>
      <c r="X52" s="36"/>
      <c r="Y52" s="36"/>
      <c r="Z52" s="45"/>
      <c r="AA52" s="36"/>
      <c r="AB52" s="45"/>
      <c r="AC52" s="36"/>
      <c r="AD52" s="36"/>
      <c r="AE52" s="36"/>
      <c r="AF52" s="36"/>
      <c r="AG52" s="56">
        <f>AG50+1</f>
        <v>21</v>
      </c>
      <c r="AH52" s="35">
        <f t="shared" si="13"/>
        <v>0</v>
      </c>
      <c r="AI52" s="35">
        <f>IF(K52="",AI50,K52)</f>
        <v>189.22857142857146</v>
      </c>
      <c r="AJ52" s="35">
        <f t="shared" si="14"/>
        <v>183</v>
      </c>
      <c r="AK52" s="35">
        <f>IF($F$6&gt;$F$7,IF(AK50&gt;AJ52,AK50+$AJ$9,AJ52),IF($F$6&lt;$F$7,IF(AK50&lt;AJ52,AK50+$AJ$9,AJ52),AJ52))</f>
        <v>183</v>
      </c>
      <c r="AL52" s="57" t="str">
        <f t="shared" si="22"/>
        <v/>
      </c>
      <c r="AM52" s="58" t="str">
        <f t="shared" si="15"/>
        <v/>
      </c>
      <c r="AN52" s="58" t="str">
        <f t="shared" si="16"/>
        <v/>
      </c>
      <c r="AO52" s="58" t="str">
        <f t="shared" si="17"/>
        <v/>
      </c>
      <c r="AP52" s="58" t="str">
        <f t="shared" si="18"/>
        <v/>
      </c>
      <c r="AQ52" s="58" t="str">
        <f t="shared" si="19"/>
        <v/>
      </c>
      <c r="AR52" s="59" t="str">
        <f t="shared" si="20"/>
        <v/>
      </c>
      <c r="AS52" s="61" t="str">
        <f t="shared" si="21"/>
        <v/>
      </c>
      <c r="AT52" s="82" t="str">
        <f>IF(AS52="","",AS52-AS50)</f>
        <v/>
      </c>
      <c r="AU52" s="84" t="str">
        <f ca="1">IF(AV52="","",IF(AT52="","",MROUND(AV52,5)))</f>
        <v/>
      </c>
      <c r="AV52" s="35">
        <f ca="1">IF(AH53&lt;7,AV50,IF(AH52&lt;7,AV50,((K53+(((-L52)*$AV$7)/AH53)))+SUM(OFFSET(IF(ROW()/2-5&gt;$S$8,INDEX(M:M,ROW()-(($S$8-1)*2)),$M$12),0,0,IF(ROW()/2-6&gt;($S$8-1),($S$8-1)*2,(ROW()/2-6)*2),1)))/IF(ROW()/2-5&gt;$S$8,$S$8,ROW()/2-5))</f>
        <v>2682.7551020408164</v>
      </c>
      <c r="AY52" s="35"/>
      <c r="AZ52" s="35"/>
      <c r="BA52" s="51"/>
      <c r="BE52" s="48"/>
      <c r="BF52" s="48"/>
      <c r="BH52" s="49"/>
      <c r="BI52" s="49"/>
      <c r="CA52" s="37"/>
      <c r="CB52" s="37"/>
    </row>
    <row r="53" spans="2:80" x14ac:dyDescent="0.35">
      <c r="B53" s="93"/>
      <c r="C53" s="26" t="str">
        <f t="shared" si="10"/>
        <v>Cal.</v>
      </c>
      <c r="D53" s="17"/>
      <c r="E53" s="71"/>
      <c r="F53" s="71"/>
      <c r="G53" s="71"/>
      <c r="H53" s="71"/>
      <c r="I53" s="71"/>
      <c r="J53" s="7"/>
      <c r="K53" s="40" t="str">
        <f t="shared" si="12"/>
        <v/>
      </c>
      <c r="L53" s="125"/>
      <c r="M53" s="89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45"/>
      <c r="AA53" s="36"/>
      <c r="AB53" s="45"/>
      <c r="AC53" s="36"/>
      <c r="AD53" s="36"/>
      <c r="AE53" s="36"/>
      <c r="AF53" s="36"/>
      <c r="AG53" s="56">
        <f>AG52+0.5</f>
        <v>21.5</v>
      </c>
      <c r="AH53" s="35">
        <f t="shared" si="13"/>
        <v>0</v>
      </c>
      <c r="AI53" s="35">
        <f>AI52</f>
        <v>189.22857142857146</v>
      </c>
      <c r="AJ53" s="35">
        <f t="shared" si="14"/>
        <v>183</v>
      </c>
      <c r="AK53" s="35">
        <f>IF($AJ$9=0,0,(AK52+AK54)/2)</f>
        <v>183</v>
      </c>
      <c r="AL53" s="64" t="str">
        <f t="shared" si="22"/>
        <v/>
      </c>
      <c r="AM53" s="65" t="str">
        <f t="shared" si="15"/>
        <v/>
      </c>
      <c r="AN53" s="65" t="str">
        <f t="shared" si="16"/>
        <v/>
      </c>
      <c r="AO53" s="65" t="str">
        <f t="shared" si="17"/>
        <v/>
      </c>
      <c r="AP53" s="65" t="str">
        <f t="shared" si="18"/>
        <v/>
      </c>
      <c r="AQ53" s="65" t="str">
        <f t="shared" si="19"/>
        <v/>
      </c>
      <c r="AR53" s="66" t="str">
        <f t="shared" si="20"/>
        <v/>
      </c>
      <c r="AS53" s="39" t="str">
        <f t="shared" si="21"/>
        <v/>
      </c>
      <c r="AT53" s="83"/>
      <c r="AU53" s="85"/>
      <c r="AY53" s="35"/>
      <c r="AZ53" s="35"/>
      <c r="BA53" s="51"/>
      <c r="BE53" s="48"/>
      <c r="BF53" s="48"/>
      <c r="BH53" s="49"/>
      <c r="BI53" s="49"/>
      <c r="CA53" s="37"/>
      <c r="CB53" s="37"/>
    </row>
    <row r="54" spans="2:80" x14ac:dyDescent="0.35">
      <c r="B54" s="94">
        <f>IF(B52="","",B52+7)</f>
        <v>43194</v>
      </c>
      <c r="C54" s="27" t="str">
        <f t="shared" si="10"/>
        <v>Weight</v>
      </c>
      <c r="D54" s="17"/>
      <c r="E54" s="71"/>
      <c r="F54" s="71"/>
      <c r="G54" s="71"/>
      <c r="H54" s="71"/>
      <c r="I54" s="71"/>
      <c r="J54" s="7"/>
      <c r="K54" s="33" t="str">
        <f t="shared" si="12"/>
        <v/>
      </c>
      <c r="L54" s="126" t="str">
        <f>IF(K54="","",AT54)</f>
        <v/>
      </c>
      <c r="M54" s="90" t="str">
        <f ca="1">IF(AV54="","",IF(L54="","",AU54))</f>
        <v/>
      </c>
      <c r="N54" s="36"/>
      <c r="O54" s="69"/>
      <c r="P54" s="69"/>
      <c r="Q54" s="69"/>
      <c r="R54" s="70" t="str">
        <f>IF(S$3="male",IF(S$4="cm",IF(OR(ISBLANK(O54),ISBLANK(P54)),"",ROUND(((86.01*LOG10(O54/2.54-P54/2.54))-(70.041*LOG10(S$5/2.54))+36.76),0)/100),IF(S$4="inch",IF(OR(ISBLANK(O54),ISBLANK(P54)),"",ROUND(((86.01*LOG10(O54-P54))-(70.041*LOG10(S$5))+36.76),0)/100),"")),IF(S$3="female",IF(S$4="cm",IF(OR(ISBLANK(O54),ISBLANK(P54),ISBLANK(Q54)),"",ROUND(((163.205*LOG10(O54/2.54+Q54/2.54-P54/2.54))-(97.684*LOG10(S$5/2.54))-78.387),0)/100),IF(S$4="inch",IF(OR(ISBLANK(O54),ISBLANK(P54),ISBLANK(Q54)),"",ROUND(((163.205*LOG10(O54+Q54-P54))-(97.684*LOG10(S$5))-78.387),0)/100),"")),""))</f>
        <v/>
      </c>
      <c r="S54" s="36"/>
      <c r="T54" s="36"/>
      <c r="U54" s="36"/>
      <c r="V54" s="137" t="str">
        <f ca="1">IF(M58="","","From")</f>
        <v/>
      </c>
      <c r="W54" s="138"/>
      <c r="X54" s="141" t="str">
        <f ca="1">IF(M58="","",B52)</f>
        <v/>
      </c>
      <c r="Y54" s="142"/>
      <c r="Z54" s="142"/>
      <c r="AA54" s="143" t="str">
        <f ca="1">IF(M58="","","to")</f>
        <v/>
      </c>
      <c r="AB54" s="144" t="str">
        <f ca="1">IF(M58="","",B58)</f>
        <v/>
      </c>
      <c r="AC54" s="145"/>
      <c r="AD54" s="146"/>
      <c r="AE54" s="147"/>
      <c r="AF54" s="36"/>
      <c r="AG54" s="56">
        <f>AG52+1</f>
        <v>22</v>
      </c>
      <c r="AH54" s="35">
        <f t="shared" si="13"/>
        <v>0</v>
      </c>
      <c r="AI54" s="35">
        <f>IF(K54="",AI52,K54)</f>
        <v>189.22857142857146</v>
      </c>
      <c r="AJ54" s="35">
        <f t="shared" si="14"/>
        <v>183</v>
      </c>
      <c r="AK54" s="35">
        <f>IF($F$6&gt;$F$7,IF(AK52&gt;AJ54,AK52+$AJ$9,AJ54),IF($F$6&lt;$F$7,IF(AK52&lt;AJ54,AK52+$AJ$9,AJ54),AJ54))</f>
        <v>183</v>
      </c>
      <c r="AL54" s="57" t="str">
        <f t="shared" si="22"/>
        <v/>
      </c>
      <c r="AM54" s="58" t="str">
        <f t="shared" si="15"/>
        <v/>
      </c>
      <c r="AN54" s="58" t="str">
        <f t="shared" si="16"/>
        <v/>
      </c>
      <c r="AO54" s="58" t="str">
        <f t="shared" si="17"/>
        <v/>
      </c>
      <c r="AP54" s="58" t="str">
        <f t="shared" si="18"/>
        <v/>
      </c>
      <c r="AQ54" s="58" t="str">
        <f t="shared" si="19"/>
        <v/>
      </c>
      <c r="AR54" s="59" t="str">
        <f t="shared" si="20"/>
        <v/>
      </c>
      <c r="AS54" s="61" t="str">
        <f t="shared" si="21"/>
        <v/>
      </c>
      <c r="AT54" s="82" t="str">
        <f>IF(AS54="","",AS54-AS52)</f>
        <v/>
      </c>
      <c r="AU54" s="84" t="str">
        <f ca="1">IF(AV54="","",IF(AT54="","",MROUND(AV54,5)))</f>
        <v/>
      </c>
      <c r="AV54" s="35">
        <f ca="1">IF(AH55&lt;7,AV52,IF(AH54&lt;7,AV52,((K55+(((-L54)*$AV$7)/AH55)))+SUM(OFFSET(IF(ROW()/2-5&gt;$S$8,INDEX(M:M,ROW()-(($S$8-1)*2)),$M$12),0,0,IF(ROW()/2-6&gt;($S$8-1),($S$8-1)*2,(ROW()/2-6)*2),1)))/IF(ROW()/2-5&gt;$S$8,$S$8,ROW()/2-5))</f>
        <v>2682.7551020408164</v>
      </c>
      <c r="AY54" s="35"/>
      <c r="AZ54" s="35"/>
      <c r="BA54" s="51"/>
      <c r="BE54" s="48"/>
      <c r="BF54" s="48"/>
      <c r="BH54" s="49"/>
      <c r="BI54" s="49"/>
      <c r="CA54" s="37"/>
      <c r="CB54" s="37"/>
    </row>
    <row r="55" spans="2:80" x14ac:dyDescent="0.35">
      <c r="B55" s="93"/>
      <c r="C55" s="28" t="str">
        <f t="shared" si="10"/>
        <v>Cal.</v>
      </c>
      <c r="D55" s="17"/>
      <c r="E55" s="71"/>
      <c r="F55" s="71"/>
      <c r="G55" s="71"/>
      <c r="H55" s="71"/>
      <c r="I55" s="71"/>
      <c r="J55" s="7"/>
      <c r="K55" s="40" t="str">
        <f t="shared" si="12"/>
        <v/>
      </c>
      <c r="L55" s="125"/>
      <c r="M55" s="89"/>
      <c r="N55" s="36"/>
      <c r="O55" s="36"/>
      <c r="P55" s="36"/>
      <c r="Q55" s="36"/>
      <c r="R55" s="36"/>
      <c r="S55" s="36"/>
      <c r="T55" s="36"/>
      <c r="U55" s="36"/>
      <c r="V55" s="139"/>
      <c r="W55" s="140"/>
      <c r="X55" s="140"/>
      <c r="Y55" s="140"/>
      <c r="Z55" s="140"/>
      <c r="AA55" s="140"/>
      <c r="AB55" s="140"/>
      <c r="AC55" s="140"/>
      <c r="AD55" s="140"/>
      <c r="AE55" s="148"/>
      <c r="AF55" s="36"/>
      <c r="AG55" s="56">
        <f>AG54+0.5</f>
        <v>22.5</v>
      </c>
      <c r="AH55" s="35">
        <f t="shared" si="13"/>
        <v>0</v>
      </c>
      <c r="AI55" s="35">
        <f>AI54</f>
        <v>189.22857142857146</v>
      </c>
      <c r="AJ55" s="35">
        <f t="shared" si="14"/>
        <v>183</v>
      </c>
      <c r="AK55" s="35">
        <f>IF($AJ$9=0,0,(AK54+AK56)/2)</f>
        <v>183</v>
      </c>
      <c r="AL55" s="64" t="str">
        <f t="shared" si="22"/>
        <v/>
      </c>
      <c r="AM55" s="65" t="str">
        <f t="shared" si="15"/>
        <v/>
      </c>
      <c r="AN55" s="65" t="str">
        <f t="shared" si="16"/>
        <v/>
      </c>
      <c r="AO55" s="65" t="str">
        <f t="shared" si="17"/>
        <v/>
      </c>
      <c r="AP55" s="65" t="str">
        <f t="shared" si="18"/>
        <v/>
      </c>
      <c r="AQ55" s="65" t="str">
        <f t="shared" si="19"/>
        <v/>
      </c>
      <c r="AR55" s="66" t="str">
        <f t="shared" si="20"/>
        <v/>
      </c>
      <c r="AS55" s="39" t="str">
        <f t="shared" si="21"/>
        <v/>
      </c>
      <c r="AT55" s="83"/>
      <c r="AU55" s="85"/>
      <c r="AY55" s="35"/>
      <c r="AZ55" s="35"/>
      <c r="BA55" s="51"/>
      <c r="BE55" s="48"/>
      <c r="BF55" s="48"/>
      <c r="BH55" s="49"/>
      <c r="BI55" s="49"/>
      <c r="CA55" s="37"/>
      <c r="CB55" s="37"/>
    </row>
    <row r="56" spans="2:80" x14ac:dyDescent="0.35">
      <c r="B56" s="94">
        <f>IF(B54="","",B54+7)</f>
        <v>43201</v>
      </c>
      <c r="C56" s="27" t="str">
        <f t="shared" si="10"/>
        <v>Weight</v>
      </c>
      <c r="D56" s="17"/>
      <c r="E56" s="71"/>
      <c r="F56" s="71"/>
      <c r="G56" s="71"/>
      <c r="H56" s="71"/>
      <c r="I56" s="71"/>
      <c r="J56" s="7"/>
      <c r="K56" s="33" t="str">
        <f t="shared" si="12"/>
        <v/>
      </c>
      <c r="L56" s="126" t="str">
        <f>IF(K56="","",AT56)</f>
        <v/>
      </c>
      <c r="M56" s="90" t="str">
        <f ca="1">IF(AV56="","",IF(L56="","",AU56))</f>
        <v/>
      </c>
      <c r="N56" s="36"/>
      <c r="O56" s="69"/>
      <c r="P56" s="69"/>
      <c r="Q56" s="69"/>
      <c r="R56" s="70" t="str">
        <f>IF(S$3="male",IF(S$4="cm",IF(OR(ISBLANK(O56),ISBLANK(P56)),"",ROUND(((86.01*LOG10(O56/2.54-P56/2.54))-(70.041*LOG10(S$5/2.54))+36.76),0)/100),IF(S$4="inch",IF(OR(ISBLANK(O56),ISBLANK(P56)),"",ROUND(((86.01*LOG10(O56-P56))-(70.041*LOG10(S$5))+36.76),0)/100),"")),IF(S$3="female",IF(S$4="cm",IF(OR(ISBLANK(O56),ISBLANK(P56),ISBLANK(Q56)),"",ROUND(((163.205*LOG10(O56/2.54+Q56/2.54-P56/2.54))-(97.684*LOG10(S$5/2.54))-78.387),0)/100),IF(S$4="inch",IF(OR(ISBLANK(O56),ISBLANK(P56),ISBLANK(Q56)),"",ROUND(((163.205*LOG10(O56+Q56-P56))-(97.684*LOG10(S$5))-78.387),0)/100),"")),""))</f>
        <v/>
      </c>
      <c r="S56" s="36"/>
      <c r="T56" s="36"/>
      <c r="U56" s="36"/>
      <c r="V56" s="128" t="str">
        <f ca="1">IF(M58="","",IF(K58=K50,"No Weight Change",IF(K58&gt;K50,"You Gained:","You Lost:")))</f>
        <v/>
      </c>
      <c r="W56" s="129"/>
      <c r="X56" s="129"/>
      <c r="Y56" s="129"/>
      <c r="Z56" s="129"/>
      <c r="AA56" s="129"/>
      <c r="AB56" s="42" t="str">
        <f ca="1">IF(M58="","",IF(K58=K50,"",IF(K58&gt;K50,K58-K50,K50-K58)))</f>
        <v/>
      </c>
      <c r="AC56" s="160" t="str">
        <f ca="1">IF(V56="","",IF(V56="No Weight Change","",IF($F$4="Lb","Lb",IF($F$4="Kg","Kg",""))))</f>
        <v/>
      </c>
      <c r="AD56" s="161"/>
      <c r="AE56" s="162"/>
      <c r="AF56" s="36"/>
      <c r="AG56" s="56">
        <f>AG54+1</f>
        <v>23</v>
      </c>
      <c r="AH56" s="35">
        <f t="shared" si="13"/>
        <v>0</v>
      </c>
      <c r="AI56" s="35">
        <f>IF(K56="",AI54,K56)</f>
        <v>189.22857142857146</v>
      </c>
      <c r="AJ56" s="35">
        <f t="shared" si="14"/>
        <v>183</v>
      </c>
      <c r="AK56" s="35">
        <f>IF($F$6&gt;$F$7,IF(AK54&gt;AJ56,AK54+$AJ$9,AJ56),IF($F$6&lt;$F$7,IF(AK54&lt;AJ56,AK54+$AJ$9,AJ56),AJ56))</f>
        <v>183</v>
      </c>
      <c r="AL56" s="57" t="str">
        <f t="shared" si="22"/>
        <v/>
      </c>
      <c r="AM56" s="58" t="str">
        <f t="shared" si="15"/>
        <v/>
      </c>
      <c r="AN56" s="58" t="str">
        <f t="shared" si="16"/>
        <v/>
      </c>
      <c r="AO56" s="58" t="str">
        <f t="shared" si="17"/>
        <v/>
      </c>
      <c r="AP56" s="58" t="str">
        <f t="shared" si="18"/>
        <v/>
      </c>
      <c r="AQ56" s="58" t="str">
        <f t="shared" si="19"/>
        <v/>
      </c>
      <c r="AR56" s="59" t="str">
        <f t="shared" si="20"/>
        <v/>
      </c>
      <c r="AS56" s="61" t="str">
        <f t="shared" si="21"/>
        <v/>
      </c>
      <c r="AT56" s="82" t="str">
        <f>IF(AS56="","",AS56-AS54)</f>
        <v/>
      </c>
      <c r="AU56" s="84" t="str">
        <f ca="1">IF(AV56="","",IF(AT56="","",MROUND(AV56,5)))</f>
        <v/>
      </c>
      <c r="AV56" s="35">
        <f ca="1">IF(AH57&lt;7,AV54,IF(AH56&lt;7,AV54,((K57+(((-L56)*$AV$7)/AH57)))+SUM(OFFSET(IF(ROW()/2-5&gt;$S$8,INDEX(M:M,ROW()-(($S$8-1)*2)),$M$12),0,0,IF(ROW()/2-6&gt;($S$8-1),($S$8-1)*2,(ROW()/2-6)*2),1)))/IF(ROW()/2-5&gt;$S$8,$S$8,ROW()/2-5))</f>
        <v>2682.7551020408164</v>
      </c>
      <c r="AY56" s="35"/>
      <c r="AZ56" s="35"/>
      <c r="BA56" s="51"/>
      <c r="BE56" s="48"/>
      <c r="BF56" s="48"/>
      <c r="BH56" s="49"/>
      <c r="BI56" s="49"/>
      <c r="CA56" s="37"/>
      <c r="CB56" s="37"/>
    </row>
    <row r="57" spans="2:80" x14ac:dyDescent="0.35">
      <c r="B57" s="93"/>
      <c r="C57" s="28" t="str">
        <f t="shared" si="10"/>
        <v>Cal.</v>
      </c>
      <c r="D57" s="17"/>
      <c r="E57" s="71"/>
      <c r="F57" s="71"/>
      <c r="G57" s="71"/>
      <c r="H57" s="71"/>
      <c r="I57" s="71"/>
      <c r="J57" s="7"/>
      <c r="K57" s="40" t="str">
        <f t="shared" si="12"/>
        <v/>
      </c>
      <c r="L57" s="125"/>
      <c r="M57" s="89"/>
      <c r="N57" s="36"/>
      <c r="O57" s="36"/>
      <c r="P57" s="36"/>
      <c r="Q57" s="36"/>
      <c r="R57" s="36"/>
      <c r="S57" s="36"/>
      <c r="T57" s="36"/>
      <c r="U57" s="36"/>
      <c r="V57" s="130" t="str">
        <f ca="1">IF(M58="","",IF(K58=K50,"","At a Rate Of"))</f>
        <v/>
      </c>
      <c r="W57" s="131"/>
      <c r="X57" s="131"/>
      <c r="Y57" s="131"/>
      <c r="Z57" s="131"/>
      <c r="AA57" s="132" t="str">
        <f ca="1">IF(V57="","",AB56/4)</f>
        <v/>
      </c>
      <c r="AB57" s="133"/>
      <c r="AC57" s="134" t="str">
        <f ca="1">IF(V56="","",IF(V56="No Weight Change","",IF($F$4="Lb","Lb/Wk",IF($F$4="Kg","Kg/Wk",""))))</f>
        <v/>
      </c>
      <c r="AD57" s="135"/>
      <c r="AE57" s="136"/>
      <c r="AF57" s="36"/>
      <c r="AG57" s="56">
        <f>AG56+0.5</f>
        <v>23.5</v>
      </c>
      <c r="AH57" s="35">
        <f t="shared" si="13"/>
        <v>0</v>
      </c>
      <c r="AI57" s="35">
        <f>AI56</f>
        <v>189.22857142857146</v>
      </c>
      <c r="AJ57" s="35">
        <f t="shared" si="14"/>
        <v>183</v>
      </c>
      <c r="AK57" s="35">
        <f>IF($AJ$9=0,0,(AK56+AK58)/2)</f>
        <v>183</v>
      </c>
      <c r="AL57" s="64" t="str">
        <f t="shared" si="22"/>
        <v/>
      </c>
      <c r="AM57" s="65" t="str">
        <f t="shared" si="15"/>
        <v/>
      </c>
      <c r="AN57" s="65" t="str">
        <f t="shared" si="16"/>
        <v/>
      </c>
      <c r="AO57" s="65" t="str">
        <f t="shared" si="17"/>
        <v/>
      </c>
      <c r="AP57" s="65" t="str">
        <f t="shared" si="18"/>
        <v/>
      </c>
      <c r="AQ57" s="65" t="str">
        <f t="shared" si="19"/>
        <v/>
      </c>
      <c r="AR57" s="66" t="str">
        <f t="shared" si="20"/>
        <v/>
      </c>
      <c r="AS57" s="39" t="str">
        <f t="shared" si="21"/>
        <v/>
      </c>
      <c r="AT57" s="83"/>
      <c r="AU57" s="85"/>
      <c r="AY57" s="35"/>
      <c r="AZ57" s="35"/>
      <c r="BA57" s="51"/>
      <c r="BE57" s="48"/>
      <c r="BF57" s="48"/>
      <c r="BH57" s="49"/>
      <c r="BI57" s="49"/>
      <c r="CA57" s="37"/>
      <c r="CB57" s="37"/>
    </row>
    <row r="58" spans="2:80" x14ac:dyDescent="0.35">
      <c r="B58" s="94">
        <f>IF(B56="","",B56+7)</f>
        <v>43208</v>
      </c>
      <c r="C58" s="27" t="str">
        <f t="shared" si="10"/>
        <v>Weight</v>
      </c>
      <c r="D58" s="17"/>
      <c r="E58" s="71"/>
      <c r="F58" s="71"/>
      <c r="G58" s="71"/>
      <c r="H58" s="71"/>
      <c r="I58" s="71"/>
      <c r="J58" s="7"/>
      <c r="K58" s="33" t="str">
        <f t="shared" si="12"/>
        <v/>
      </c>
      <c r="L58" s="126" t="str">
        <f>IF(K58="","",AT58)</f>
        <v/>
      </c>
      <c r="M58" s="90" t="str">
        <f ca="1">IF(AV58="","",IF(L58="","",AU58))</f>
        <v/>
      </c>
      <c r="N58" s="36"/>
      <c r="O58" s="69"/>
      <c r="P58" s="69"/>
      <c r="Q58" s="69"/>
      <c r="R58" s="70" t="str">
        <f>IF(S$3="male",IF(S$4="cm",IF(OR(ISBLANK(O58),ISBLANK(P58)),"",ROUND(((86.01*LOG10(O58/2.54-P58/2.54))-(70.041*LOG10(S$5/2.54))+36.76),0)/100),IF(S$4="inch",IF(OR(ISBLANK(O58),ISBLANK(P58)),"",ROUND(((86.01*LOG10(O58-P58))-(70.041*LOG10(S$5))+36.76),0)/100),"")),IF(S$3="female",IF(S$4="cm",IF(OR(ISBLANK(O58),ISBLANK(P58),ISBLANK(Q58)),"",ROUND(((163.205*LOG10(O58/2.54+Q58/2.54-P58/2.54))-(97.684*LOG10(S$5/2.54))-78.387),0)/100),IF(S$4="inch",IF(OR(ISBLANK(O58),ISBLANK(P58),ISBLANK(Q58)),"",ROUND(((163.205*LOG10(O58+Q58-P58))-(97.684*LOG10(S$5))-78.387),0)/100),"")),""))</f>
        <v/>
      </c>
      <c r="S58" s="36"/>
      <c r="T58" s="36"/>
      <c r="U58" s="36"/>
      <c r="V58" s="149" t="str">
        <f ca="1">IF(AA57="","","You have")</f>
        <v/>
      </c>
      <c r="W58" s="150"/>
      <c r="X58" s="150"/>
      <c r="Y58" s="150"/>
      <c r="Z58" s="153" t="str">
        <f ca="1">IF(AA57="","",IF(K58&gt;$F$7,K58-$F$7,$F$7-K58))</f>
        <v/>
      </c>
      <c r="AA58" s="155" t="str">
        <f ca="1">IF(AA57="","",IF(AA57="No Weight Change","",IF($F$4="Lb","Lb to go!",IF($F$4="Kg","Kg to go!",""))))</f>
        <v/>
      </c>
      <c r="AB58" s="156"/>
      <c r="AC58" s="156"/>
      <c r="AD58" s="156"/>
      <c r="AE58" s="157"/>
      <c r="AF58" s="36"/>
      <c r="AG58" s="56">
        <f>AG56+1</f>
        <v>24</v>
      </c>
      <c r="AH58" s="35">
        <f t="shared" si="13"/>
        <v>0</v>
      </c>
      <c r="AI58" s="35">
        <f>IF(K58="",AI56,K58)</f>
        <v>189.22857142857146</v>
      </c>
      <c r="AJ58" s="35">
        <f t="shared" si="14"/>
        <v>183</v>
      </c>
      <c r="AK58" s="35">
        <f>IF($F$6&gt;$F$7,IF(AK56&gt;AJ58,AK56+$AJ$9,AJ58),IF($F$6&lt;$F$7,IF(AK56&lt;AJ58,AK56+$AJ$9,AJ58),AJ58))</f>
        <v>183</v>
      </c>
      <c r="AL58" s="57" t="str">
        <f t="shared" si="22"/>
        <v/>
      </c>
      <c r="AM58" s="58" t="str">
        <f t="shared" si="15"/>
        <v/>
      </c>
      <c r="AN58" s="58" t="str">
        <f t="shared" si="16"/>
        <v/>
      </c>
      <c r="AO58" s="58" t="str">
        <f t="shared" si="17"/>
        <v/>
      </c>
      <c r="AP58" s="58" t="str">
        <f t="shared" si="18"/>
        <v/>
      </c>
      <c r="AQ58" s="58" t="str">
        <f t="shared" si="19"/>
        <v/>
      </c>
      <c r="AR58" s="59" t="str">
        <f t="shared" si="20"/>
        <v/>
      </c>
      <c r="AS58" s="61" t="str">
        <f t="shared" si="21"/>
        <v/>
      </c>
      <c r="AT58" s="82" t="str">
        <f>IF(AS58="","",AS58-AS56)</f>
        <v/>
      </c>
      <c r="AU58" s="84" t="str">
        <f ca="1">IF(AV58="","",IF(AT58="","",MROUND(AV58,5)))</f>
        <v/>
      </c>
      <c r="AV58" s="35">
        <f ca="1">IF(AH59&lt;7,AV56,IF(AH58&lt;7,AV56,((K59+(((-L58)*$AV$7)/AH59)))+SUM(OFFSET(IF(ROW()/2-5&gt;$S$8,INDEX(M:M,ROW()-(($S$8-1)*2)),$M$12),0,0,IF(ROW()/2-6&gt;($S$8-1),($S$8-1)*2,(ROW()/2-6)*2),1)))/IF(ROW()/2-5&gt;$S$8,$S$8,ROW()/2-5))</f>
        <v>2682.7551020408164</v>
      </c>
      <c r="AY58" s="35"/>
      <c r="AZ58" s="35"/>
      <c r="BA58" s="51"/>
      <c r="BE58" s="48"/>
      <c r="BF58" s="48"/>
      <c r="BH58" s="49"/>
      <c r="BI58" s="49"/>
      <c r="CA58" s="37"/>
      <c r="CB58" s="37"/>
    </row>
    <row r="59" spans="2:80" x14ac:dyDescent="0.35">
      <c r="B59" s="95"/>
      <c r="C59" s="11" t="str">
        <f t="shared" si="10"/>
        <v>Cal.</v>
      </c>
      <c r="D59" s="18"/>
      <c r="E59" s="19"/>
      <c r="F59" s="19"/>
      <c r="G59" s="19"/>
      <c r="H59" s="19"/>
      <c r="I59" s="19"/>
      <c r="J59" s="24"/>
      <c r="K59" s="39" t="str">
        <f t="shared" si="12"/>
        <v/>
      </c>
      <c r="L59" s="127"/>
      <c r="M59" s="91"/>
      <c r="N59" s="36"/>
      <c r="O59" s="36"/>
      <c r="P59" s="36"/>
      <c r="Q59" s="36"/>
      <c r="R59" s="36"/>
      <c r="S59" s="36"/>
      <c r="T59" s="36"/>
      <c r="U59" s="36"/>
      <c r="V59" s="151"/>
      <c r="W59" s="152"/>
      <c r="X59" s="152"/>
      <c r="Y59" s="152"/>
      <c r="Z59" s="154"/>
      <c r="AA59" s="158"/>
      <c r="AB59" s="158"/>
      <c r="AC59" s="158"/>
      <c r="AD59" s="158"/>
      <c r="AE59" s="159"/>
      <c r="AF59" s="36"/>
      <c r="AG59" s="56">
        <f>AG58+0.5</f>
        <v>24.5</v>
      </c>
      <c r="AH59" s="35">
        <f t="shared" si="13"/>
        <v>0</v>
      </c>
      <c r="AI59" s="35">
        <f>AI58</f>
        <v>189.22857142857146</v>
      </c>
      <c r="AJ59" s="35">
        <f t="shared" si="14"/>
        <v>183</v>
      </c>
      <c r="AK59" s="35">
        <f>IF($AJ$9=0,0,(AK58+AK60)/2)</f>
        <v>183</v>
      </c>
      <c r="AL59" s="64" t="str">
        <f t="shared" si="22"/>
        <v/>
      </c>
      <c r="AM59" s="65" t="str">
        <f t="shared" si="15"/>
        <v/>
      </c>
      <c r="AN59" s="65" t="str">
        <f t="shared" si="16"/>
        <v/>
      </c>
      <c r="AO59" s="65" t="str">
        <f t="shared" si="17"/>
        <v/>
      </c>
      <c r="AP59" s="65" t="str">
        <f t="shared" si="18"/>
        <v/>
      </c>
      <c r="AQ59" s="65" t="str">
        <f t="shared" si="19"/>
        <v/>
      </c>
      <c r="AR59" s="66" t="str">
        <f t="shared" si="20"/>
        <v/>
      </c>
      <c r="AS59" s="39" t="str">
        <f t="shared" si="21"/>
        <v/>
      </c>
      <c r="AT59" s="83"/>
      <c r="AU59" s="85"/>
      <c r="AY59" s="35"/>
      <c r="AZ59" s="35"/>
      <c r="BA59" s="51"/>
      <c r="BE59" s="48"/>
      <c r="BF59" s="48"/>
      <c r="BH59" s="49"/>
      <c r="BI59" s="49"/>
      <c r="CA59" s="37"/>
      <c r="CB59" s="37"/>
    </row>
    <row r="60" spans="2:80" x14ac:dyDescent="0.35">
      <c r="B60" s="92">
        <f>IF(B58="","",B58+7)</f>
        <v>43215</v>
      </c>
      <c r="C60" s="10" t="str">
        <f t="shared" si="10"/>
        <v>Weight</v>
      </c>
      <c r="D60" s="15"/>
      <c r="E60" s="16"/>
      <c r="F60" s="16"/>
      <c r="G60" s="16"/>
      <c r="H60" s="16"/>
      <c r="I60" s="16"/>
      <c r="J60" s="23"/>
      <c r="K60" s="32" t="str">
        <f t="shared" si="12"/>
        <v/>
      </c>
      <c r="L60" s="124" t="str">
        <f>IF(K60="","",AT60)</f>
        <v/>
      </c>
      <c r="M60" s="88" t="str">
        <f ca="1">IF(AV60="","",IF(L60="","",AU60))</f>
        <v/>
      </c>
      <c r="N60" s="36"/>
      <c r="O60" s="69"/>
      <c r="P60" s="69"/>
      <c r="Q60" s="69"/>
      <c r="R60" s="70" t="str">
        <f>IF(S$3="male",IF(S$4="cm",IF(OR(ISBLANK(O60),ISBLANK(P60)),"",ROUND(((86.01*LOG10(O60/2.54-P60/2.54))-(70.041*LOG10(S$5/2.54))+36.76),0)/100),IF(S$4="inch",IF(OR(ISBLANK(O60),ISBLANK(P60)),"",ROUND(((86.01*LOG10(O60-P60))-(70.041*LOG10(S$5))+36.76),0)/100),"")),IF(S$3="female",IF(S$4="cm",IF(OR(ISBLANK(O60),ISBLANK(P60),ISBLANK(Q60)),"",ROUND(((163.205*LOG10(O60/2.54+Q60/2.54-P60/2.54))-(97.684*LOG10(S$5/2.54))-78.387),0)/100),IF(S$4="inch",IF(OR(ISBLANK(O60),ISBLANK(P60),ISBLANK(Q60)),"",ROUND(((163.205*LOG10(O60+Q60-P60))-(97.684*LOG10(S$5))-78.387),0)/100),"")),""))</f>
        <v/>
      </c>
      <c r="S60" s="36"/>
      <c r="T60" s="36"/>
      <c r="U60" s="36"/>
      <c r="V60" s="36"/>
      <c r="W60" s="36"/>
      <c r="X60" s="36"/>
      <c r="Y60" s="36"/>
      <c r="Z60" s="45"/>
      <c r="AA60" s="36"/>
      <c r="AB60" s="45"/>
      <c r="AC60" s="36"/>
      <c r="AD60" s="36"/>
      <c r="AE60" s="36"/>
      <c r="AF60" s="36"/>
      <c r="AG60" s="56">
        <f>AG58+1</f>
        <v>25</v>
      </c>
      <c r="AH60" s="35">
        <f t="shared" si="13"/>
        <v>0</v>
      </c>
      <c r="AI60" s="35">
        <f>IF(K60="",AI58,K60)</f>
        <v>189.22857142857146</v>
      </c>
      <c r="AJ60" s="35">
        <f t="shared" si="14"/>
        <v>183</v>
      </c>
      <c r="AK60" s="35">
        <f>IF($F$6&gt;$F$7,IF(AK58&gt;AJ60,AK58+$AJ$9,AJ60),IF($F$6&lt;$F$7,IF(AK58&lt;AJ60,AK58+$AJ$9,AJ60),AJ60))</f>
        <v>183</v>
      </c>
      <c r="AL60" s="57" t="str">
        <f t="shared" si="22"/>
        <v/>
      </c>
      <c r="AM60" s="58" t="str">
        <f t="shared" si="15"/>
        <v/>
      </c>
      <c r="AN60" s="58" t="str">
        <f t="shared" si="16"/>
        <v/>
      </c>
      <c r="AO60" s="58" t="str">
        <f t="shared" si="17"/>
        <v/>
      </c>
      <c r="AP60" s="58" t="str">
        <f t="shared" si="18"/>
        <v/>
      </c>
      <c r="AQ60" s="58" t="str">
        <f t="shared" si="19"/>
        <v/>
      </c>
      <c r="AR60" s="59" t="str">
        <f t="shared" si="20"/>
        <v/>
      </c>
      <c r="AS60" s="61" t="str">
        <f t="shared" si="21"/>
        <v/>
      </c>
      <c r="AT60" s="82" t="str">
        <f>IF(AS60="","",AS60-AS58)</f>
        <v/>
      </c>
      <c r="AU60" s="84" t="str">
        <f ca="1">IF(AV60="","",IF(AT60="","",MROUND(AV60,5)))</f>
        <v/>
      </c>
      <c r="AV60" s="35">
        <f ca="1">IF(AH61&lt;7,AV58,IF(AH60&lt;7,AV58,((K61+(((-L60)*$AV$7)/AH61)))+SUM(OFFSET(IF(ROW()/2-5&gt;$S$8,INDEX(M:M,ROW()-(($S$8-1)*2)),$M$12),0,0,IF(ROW()/2-6&gt;($S$8-1),($S$8-1)*2,(ROW()/2-6)*2),1)))/IF(ROW()/2-5&gt;$S$8,$S$8,ROW()/2-5))</f>
        <v>2682.7551020408164</v>
      </c>
      <c r="AY60" s="35"/>
      <c r="AZ60" s="35"/>
      <c r="BA60" s="51"/>
      <c r="BE60" s="48"/>
      <c r="BF60" s="48"/>
      <c r="BH60" s="49"/>
      <c r="BI60" s="49"/>
      <c r="CA60" s="37"/>
      <c r="CB60" s="37"/>
    </row>
    <row r="61" spans="2:80" x14ac:dyDescent="0.35">
      <c r="B61" s="93"/>
      <c r="C61" s="26" t="str">
        <f t="shared" si="10"/>
        <v>Cal.</v>
      </c>
      <c r="D61" s="17"/>
      <c r="E61" s="71"/>
      <c r="F61" s="71"/>
      <c r="G61" s="71"/>
      <c r="H61" s="71"/>
      <c r="I61" s="71"/>
      <c r="J61" s="7"/>
      <c r="K61" s="40" t="str">
        <f t="shared" si="12"/>
        <v/>
      </c>
      <c r="L61" s="125"/>
      <c r="M61" s="89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45"/>
      <c r="AA61" s="36"/>
      <c r="AB61" s="45"/>
      <c r="AC61" s="36"/>
      <c r="AD61" s="36"/>
      <c r="AE61" s="36"/>
      <c r="AF61" s="36"/>
      <c r="AG61" s="56">
        <f>AG60+0.5</f>
        <v>25.5</v>
      </c>
      <c r="AH61" s="35">
        <f t="shared" si="13"/>
        <v>0</v>
      </c>
      <c r="AI61" s="35">
        <f>AI60</f>
        <v>189.22857142857146</v>
      </c>
      <c r="AJ61" s="35">
        <f t="shared" si="14"/>
        <v>183</v>
      </c>
      <c r="AK61" s="35">
        <f>IF($AJ$9=0,0,(AK60+AK62)/2)</f>
        <v>183</v>
      </c>
      <c r="AL61" s="64" t="str">
        <f t="shared" si="22"/>
        <v/>
      </c>
      <c r="AM61" s="65" t="str">
        <f t="shared" si="15"/>
        <v/>
      </c>
      <c r="AN61" s="65" t="str">
        <f t="shared" si="16"/>
        <v/>
      </c>
      <c r="AO61" s="65" t="str">
        <f t="shared" si="17"/>
        <v/>
      </c>
      <c r="AP61" s="65" t="str">
        <f t="shared" si="18"/>
        <v/>
      </c>
      <c r="AQ61" s="65" t="str">
        <f t="shared" si="19"/>
        <v/>
      </c>
      <c r="AR61" s="66" t="str">
        <f t="shared" si="20"/>
        <v/>
      </c>
      <c r="AS61" s="39" t="str">
        <f t="shared" si="21"/>
        <v/>
      </c>
      <c r="AT61" s="83"/>
      <c r="AU61" s="85"/>
      <c r="AY61" s="35"/>
      <c r="AZ61" s="35"/>
      <c r="BA61" s="51"/>
      <c r="BE61" s="48"/>
      <c r="BF61" s="48"/>
      <c r="BH61" s="49"/>
      <c r="BI61" s="49"/>
      <c r="CA61" s="37"/>
      <c r="CB61" s="37"/>
    </row>
    <row r="62" spans="2:80" x14ac:dyDescent="0.35">
      <c r="B62" s="94">
        <f>IF(B60="","",B60+7)</f>
        <v>43222</v>
      </c>
      <c r="C62" s="27" t="str">
        <f t="shared" si="10"/>
        <v>Weight</v>
      </c>
      <c r="D62" s="17"/>
      <c r="E62" s="71"/>
      <c r="F62" s="71"/>
      <c r="G62" s="71"/>
      <c r="H62" s="71"/>
      <c r="I62" s="71"/>
      <c r="J62" s="7"/>
      <c r="K62" s="33" t="str">
        <f t="shared" si="12"/>
        <v/>
      </c>
      <c r="L62" s="126" t="str">
        <f>IF(K62="","",AT62)</f>
        <v/>
      </c>
      <c r="M62" s="90" t="str">
        <f ca="1">IF(AV62="","",IF(L62="","",AU62))</f>
        <v/>
      </c>
      <c r="N62" s="36"/>
      <c r="O62" s="69"/>
      <c r="P62" s="69"/>
      <c r="Q62" s="69"/>
      <c r="R62" s="70" t="str">
        <f>IF(S$3="male",IF(S$4="cm",IF(OR(ISBLANK(O62),ISBLANK(P62)),"",ROUND(((86.01*LOG10(O62/2.54-P62/2.54))-(70.041*LOG10(S$5/2.54))+36.76),0)/100),IF(S$4="inch",IF(OR(ISBLANK(O62),ISBLANK(P62)),"",ROUND(((86.01*LOG10(O62-P62))-(70.041*LOG10(S$5))+36.76),0)/100),"")),IF(S$3="female",IF(S$4="cm",IF(OR(ISBLANK(O62),ISBLANK(P62),ISBLANK(Q62)),"",ROUND(((163.205*LOG10(O62/2.54+Q62/2.54-P62/2.54))-(97.684*LOG10(S$5/2.54))-78.387),0)/100),IF(S$4="inch",IF(OR(ISBLANK(O62),ISBLANK(P62),ISBLANK(Q62)),"",ROUND(((163.205*LOG10(O62+Q62-P62))-(97.684*LOG10(S$5))-78.387),0)/100),"")),""))</f>
        <v/>
      </c>
      <c r="S62" s="36"/>
      <c r="T62" s="36"/>
      <c r="U62" s="36"/>
      <c r="V62" s="137" t="str">
        <f ca="1">IF(M66="","","From")</f>
        <v/>
      </c>
      <c r="W62" s="138"/>
      <c r="X62" s="141" t="str">
        <f ca="1">IF(M66="","",B60)</f>
        <v/>
      </c>
      <c r="Y62" s="142"/>
      <c r="Z62" s="142"/>
      <c r="AA62" s="143" t="str">
        <f ca="1">IF(M66="","","to")</f>
        <v/>
      </c>
      <c r="AB62" s="144" t="str">
        <f ca="1">IF(M66="","",B66)</f>
        <v/>
      </c>
      <c r="AC62" s="145"/>
      <c r="AD62" s="146"/>
      <c r="AE62" s="147"/>
      <c r="AF62" s="36"/>
      <c r="AG62" s="56">
        <f>AG60+1</f>
        <v>26</v>
      </c>
      <c r="AH62" s="35">
        <f t="shared" si="13"/>
        <v>0</v>
      </c>
      <c r="AI62" s="35">
        <f>IF(K62="",AI60,K62)</f>
        <v>189.22857142857146</v>
      </c>
      <c r="AJ62" s="35">
        <f t="shared" si="14"/>
        <v>183</v>
      </c>
      <c r="AK62" s="35">
        <f>IF($F$6&gt;$F$7,IF(AK60&gt;AJ62,AK60+$AJ$9,AJ62),IF($F$6&lt;$F$7,IF(AK60&lt;AJ62,AK60+$AJ$9,AJ62),AJ62))</f>
        <v>183</v>
      </c>
      <c r="AL62" s="57" t="str">
        <f t="shared" si="22"/>
        <v/>
      </c>
      <c r="AM62" s="58" t="str">
        <f t="shared" si="15"/>
        <v/>
      </c>
      <c r="AN62" s="58" t="str">
        <f t="shared" si="16"/>
        <v/>
      </c>
      <c r="AO62" s="58" t="str">
        <f t="shared" si="17"/>
        <v/>
      </c>
      <c r="AP62" s="58" t="str">
        <f t="shared" si="18"/>
        <v/>
      </c>
      <c r="AQ62" s="58" t="str">
        <f t="shared" si="19"/>
        <v/>
      </c>
      <c r="AR62" s="59" t="str">
        <f t="shared" si="20"/>
        <v/>
      </c>
      <c r="AS62" s="61" t="str">
        <f t="shared" si="21"/>
        <v/>
      </c>
      <c r="AT62" s="82" t="str">
        <f>IF(AS62="","",AS62-AS60)</f>
        <v/>
      </c>
      <c r="AU62" s="84" t="str">
        <f ca="1">IF(AV62="","",IF(AT62="","",MROUND(AV62,5)))</f>
        <v/>
      </c>
      <c r="AV62" s="35">
        <f ca="1">IF(AH63&lt;7,AV60,IF(AH62&lt;7,AV60,((K63+(((-L62)*$AV$7)/AH63)))+SUM(OFFSET(IF(ROW()/2-5&gt;$S$8,INDEX(M:M,ROW()-(($S$8-1)*2)),$M$12),0,0,IF(ROW()/2-6&gt;($S$8-1),($S$8-1)*2,(ROW()/2-6)*2),1)))/IF(ROW()/2-5&gt;$S$8,$S$8,ROW()/2-5))</f>
        <v>2682.7551020408164</v>
      </c>
      <c r="AY62" s="35"/>
      <c r="AZ62" s="35"/>
      <c r="BA62" s="51"/>
      <c r="BE62" s="48"/>
      <c r="BF62" s="48"/>
      <c r="BH62" s="49"/>
      <c r="BI62" s="49"/>
      <c r="CA62" s="37"/>
      <c r="CB62" s="37"/>
    </row>
    <row r="63" spans="2:80" x14ac:dyDescent="0.35">
      <c r="B63" s="93"/>
      <c r="C63" s="28" t="str">
        <f t="shared" si="10"/>
        <v>Cal.</v>
      </c>
      <c r="D63" s="17"/>
      <c r="E63" s="71"/>
      <c r="F63" s="71"/>
      <c r="G63" s="71"/>
      <c r="H63" s="71"/>
      <c r="I63" s="71"/>
      <c r="J63" s="7"/>
      <c r="K63" s="40" t="str">
        <f t="shared" si="12"/>
        <v/>
      </c>
      <c r="L63" s="125"/>
      <c r="M63" s="89"/>
      <c r="N63" s="36"/>
      <c r="O63" s="36"/>
      <c r="P63" s="36"/>
      <c r="Q63" s="36"/>
      <c r="R63" s="36"/>
      <c r="S63" s="36"/>
      <c r="T63" s="36"/>
      <c r="U63" s="36"/>
      <c r="V63" s="139"/>
      <c r="W63" s="140"/>
      <c r="X63" s="140"/>
      <c r="Y63" s="140"/>
      <c r="Z63" s="140"/>
      <c r="AA63" s="140"/>
      <c r="AB63" s="140"/>
      <c r="AC63" s="140"/>
      <c r="AD63" s="140"/>
      <c r="AE63" s="148"/>
      <c r="AF63" s="36"/>
      <c r="AG63" s="56">
        <f>AG62+0.5</f>
        <v>26.5</v>
      </c>
      <c r="AH63" s="35">
        <f t="shared" si="13"/>
        <v>0</v>
      </c>
      <c r="AI63" s="35">
        <f>AI62</f>
        <v>189.22857142857146</v>
      </c>
      <c r="AJ63" s="35">
        <f t="shared" si="14"/>
        <v>183</v>
      </c>
      <c r="AK63" s="35">
        <f>IF($AJ$9=0,0,(AK62+AK64)/2)</f>
        <v>183</v>
      </c>
      <c r="AL63" s="64" t="str">
        <f t="shared" si="22"/>
        <v/>
      </c>
      <c r="AM63" s="65" t="str">
        <f t="shared" si="15"/>
        <v/>
      </c>
      <c r="AN63" s="65" t="str">
        <f t="shared" si="16"/>
        <v/>
      </c>
      <c r="AO63" s="65" t="str">
        <f t="shared" si="17"/>
        <v/>
      </c>
      <c r="AP63" s="65" t="str">
        <f t="shared" si="18"/>
        <v/>
      </c>
      <c r="AQ63" s="65" t="str">
        <f t="shared" si="19"/>
        <v/>
      </c>
      <c r="AR63" s="66" t="str">
        <f t="shared" si="20"/>
        <v/>
      </c>
      <c r="AS63" s="39" t="str">
        <f t="shared" si="21"/>
        <v/>
      </c>
      <c r="AT63" s="83"/>
      <c r="AU63" s="85"/>
      <c r="AY63" s="35"/>
      <c r="AZ63" s="35"/>
      <c r="BA63" s="51"/>
      <c r="BE63" s="48"/>
      <c r="BF63" s="48"/>
      <c r="BH63" s="49"/>
      <c r="BI63" s="49"/>
      <c r="CA63" s="37"/>
      <c r="CB63" s="37"/>
    </row>
    <row r="64" spans="2:80" x14ac:dyDescent="0.35">
      <c r="B64" s="94">
        <f>IF(B62="","",B62+7)</f>
        <v>43229</v>
      </c>
      <c r="C64" s="27" t="str">
        <f t="shared" si="10"/>
        <v>Weight</v>
      </c>
      <c r="D64" s="17"/>
      <c r="E64" s="71"/>
      <c r="F64" s="71"/>
      <c r="G64" s="71"/>
      <c r="H64" s="71"/>
      <c r="I64" s="71"/>
      <c r="J64" s="7"/>
      <c r="K64" s="33" t="str">
        <f t="shared" si="12"/>
        <v/>
      </c>
      <c r="L64" s="126" t="str">
        <f>IF(K64="","",AT64)</f>
        <v/>
      </c>
      <c r="M64" s="90" t="str">
        <f ca="1">IF(AV64="","",IF(L64="","",AU64))</f>
        <v/>
      </c>
      <c r="N64" s="36"/>
      <c r="O64" s="69"/>
      <c r="P64" s="69"/>
      <c r="Q64" s="69"/>
      <c r="R64" s="70" t="str">
        <f>IF(S$3="male",IF(S$4="cm",IF(OR(ISBLANK(O64),ISBLANK(P64)),"",ROUND(((86.01*LOG10(O64/2.54-P64/2.54))-(70.041*LOG10(S$5/2.54))+36.76),0)/100),IF(S$4="inch",IF(OR(ISBLANK(O64),ISBLANK(P64)),"",ROUND(((86.01*LOG10(O64-P64))-(70.041*LOG10(S$5))+36.76),0)/100),"")),IF(S$3="female",IF(S$4="cm",IF(OR(ISBLANK(O64),ISBLANK(P64),ISBLANK(Q64)),"",ROUND(((163.205*LOG10(O64/2.54+Q64/2.54-P64/2.54))-(97.684*LOG10(S$5/2.54))-78.387),0)/100),IF(S$4="inch",IF(OR(ISBLANK(O64),ISBLANK(P64),ISBLANK(Q64)),"",ROUND(((163.205*LOG10(O64+Q64-P64))-(97.684*LOG10(S$5))-78.387),0)/100),"")),""))</f>
        <v/>
      </c>
      <c r="S64" s="36"/>
      <c r="T64" s="36"/>
      <c r="U64" s="36"/>
      <c r="V64" s="128" t="str">
        <f ca="1">IF(M66="","",IF(K66=K58,"No Weight Change",IF(K66&gt;K58,"You Gained:","You Lost:")))</f>
        <v/>
      </c>
      <c r="W64" s="129"/>
      <c r="X64" s="129"/>
      <c r="Y64" s="129"/>
      <c r="Z64" s="129"/>
      <c r="AA64" s="129"/>
      <c r="AB64" s="42" t="str">
        <f ca="1">IF(M66="","",IF(K66=K58,"",IF(K66&gt;K58,K66-K58,K58-K66)))</f>
        <v/>
      </c>
      <c r="AC64" s="160" t="str">
        <f ca="1">IF(V64="","",IF(V64="No Weight Change","",IF($F$4="Lb","Lb",IF($F$4="Kg","Kg",""))))</f>
        <v/>
      </c>
      <c r="AD64" s="161"/>
      <c r="AE64" s="162"/>
      <c r="AF64" s="36"/>
      <c r="AG64" s="56">
        <f>AG62+1</f>
        <v>27</v>
      </c>
      <c r="AH64" s="35">
        <f t="shared" si="13"/>
        <v>0</v>
      </c>
      <c r="AI64" s="35">
        <f>IF(K64="",AI62,K64)</f>
        <v>189.22857142857146</v>
      </c>
      <c r="AJ64" s="35">
        <f t="shared" si="14"/>
        <v>183</v>
      </c>
      <c r="AK64" s="35">
        <f>IF($F$6&gt;$F$7,IF(AK62&gt;AJ64,AK62+$AJ$9,AJ64),IF($F$6&lt;$F$7,IF(AK62&lt;AJ64,AK62+$AJ$9,AJ64),AJ64))</f>
        <v>183</v>
      </c>
      <c r="AL64" s="57" t="str">
        <f t="shared" si="22"/>
        <v/>
      </c>
      <c r="AM64" s="58" t="str">
        <f t="shared" si="15"/>
        <v/>
      </c>
      <c r="AN64" s="58" t="str">
        <f t="shared" si="16"/>
        <v/>
      </c>
      <c r="AO64" s="58" t="str">
        <f t="shared" si="17"/>
        <v/>
      </c>
      <c r="AP64" s="58" t="str">
        <f t="shared" si="18"/>
        <v/>
      </c>
      <c r="AQ64" s="58" t="str">
        <f t="shared" si="19"/>
        <v/>
      </c>
      <c r="AR64" s="59" t="str">
        <f t="shared" si="20"/>
        <v/>
      </c>
      <c r="AS64" s="61" t="str">
        <f t="shared" si="21"/>
        <v/>
      </c>
      <c r="AT64" s="82" t="str">
        <f>IF(AS64="","",AS64-AS62)</f>
        <v/>
      </c>
      <c r="AU64" s="84" t="str">
        <f ca="1">IF(AV64="","",IF(AT64="","",MROUND(AV64,5)))</f>
        <v/>
      </c>
      <c r="AV64" s="35">
        <f ca="1">IF(AH65&lt;7,AV62,IF(AH64&lt;7,AV62,((K65+(((-L64)*$AV$7)/AH65)))+SUM(OFFSET(IF(ROW()/2-5&gt;$S$8,INDEX(M:M,ROW()-(($S$8-1)*2)),$M$12),0,0,IF(ROW()/2-6&gt;($S$8-1),($S$8-1)*2,(ROW()/2-6)*2),1)))/IF(ROW()/2-5&gt;$S$8,$S$8,ROW()/2-5))</f>
        <v>2682.7551020408164</v>
      </c>
      <c r="AY64" s="35"/>
      <c r="AZ64" s="35"/>
      <c r="BA64" s="51"/>
      <c r="BE64" s="48"/>
      <c r="BF64" s="48"/>
      <c r="BH64" s="49"/>
      <c r="BI64" s="49"/>
      <c r="CA64" s="37"/>
      <c r="CB64" s="37"/>
    </row>
    <row r="65" spans="2:80" x14ac:dyDescent="0.35">
      <c r="B65" s="93"/>
      <c r="C65" s="28" t="str">
        <f t="shared" si="10"/>
        <v>Cal.</v>
      </c>
      <c r="D65" s="17"/>
      <c r="E65" s="71"/>
      <c r="F65" s="71"/>
      <c r="G65" s="71"/>
      <c r="H65" s="71"/>
      <c r="I65" s="71"/>
      <c r="J65" s="7"/>
      <c r="K65" s="40" t="str">
        <f t="shared" si="12"/>
        <v/>
      </c>
      <c r="L65" s="125"/>
      <c r="M65" s="89"/>
      <c r="N65" s="36"/>
      <c r="O65" s="36"/>
      <c r="P65" s="36"/>
      <c r="Q65" s="36"/>
      <c r="R65" s="36"/>
      <c r="S65" s="36"/>
      <c r="T65" s="36"/>
      <c r="U65" s="36"/>
      <c r="V65" s="130" t="str">
        <f ca="1">IF(M66="","",IF(K66=K58,"","At a Rate Of"))</f>
        <v/>
      </c>
      <c r="W65" s="131"/>
      <c r="X65" s="131"/>
      <c r="Y65" s="131"/>
      <c r="Z65" s="131"/>
      <c r="AA65" s="132" t="str">
        <f ca="1">IF(V65="","",AB64/4)</f>
        <v/>
      </c>
      <c r="AB65" s="133"/>
      <c r="AC65" s="134" t="str">
        <f ca="1">IF(V64="","",IF(V64="No Weight Change","",IF($F$4="Lb","Lb/Wk",IF($F$4="Kg","Kg/Wk",""))))</f>
        <v/>
      </c>
      <c r="AD65" s="135"/>
      <c r="AE65" s="136"/>
      <c r="AF65" s="36"/>
      <c r="AG65" s="56">
        <f>AG64+0.5</f>
        <v>27.5</v>
      </c>
      <c r="AH65" s="35">
        <f t="shared" si="13"/>
        <v>0</v>
      </c>
      <c r="AI65" s="35">
        <f>AI64</f>
        <v>189.22857142857146</v>
      </c>
      <c r="AJ65" s="35">
        <f t="shared" si="14"/>
        <v>183</v>
      </c>
      <c r="AK65" s="35">
        <f>IF($AJ$9=0,0,(AK64+AK66)/2)</f>
        <v>183</v>
      </c>
      <c r="AL65" s="64" t="str">
        <f t="shared" si="22"/>
        <v/>
      </c>
      <c r="AM65" s="65" t="str">
        <f t="shared" si="15"/>
        <v/>
      </c>
      <c r="AN65" s="65" t="str">
        <f t="shared" si="16"/>
        <v/>
      </c>
      <c r="AO65" s="65" t="str">
        <f t="shared" si="17"/>
        <v/>
      </c>
      <c r="AP65" s="65" t="str">
        <f t="shared" si="18"/>
        <v/>
      </c>
      <c r="AQ65" s="65" t="str">
        <f t="shared" si="19"/>
        <v/>
      </c>
      <c r="AR65" s="66" t="str">
        <f t="shared" si="20"/>
        <v/>
      </c>
      <c r="AS65" s="39" t="str">
        <f t="shared" si="21"/>
        <v/>
      </c>
      <c r="AT65" s="83"/>
      <c r="AU65" s="85"/>
      <c r="AY65" s="35"/>
      <c r="AZ65" s="35"/>
      <c r="BA65" s="51"/>
      <c r="BE65" s="48"/>
      <c r="BF65" s="48"/>
      <c r="BH65" s="49"/>
      <c r="BI65" s="49"/>
      <c r="CA65" s="37"/>
      <c r="CB65" s="37"/>
    </row>
    <row r="66" spans="2:80" x14ac:dyDescent="0.35">
      <c r="B66" s="94">
        <f>IF(B64="","",B64+7)</f>
        <v>43236</v>
      </c>
      <c r="C66" s="27" t="str">
        <f t="shared" si="10"/>
        <v>Weight</v>
      </c>
      <c r="D66" s="17"/>
      <c r="E66" s="71"/>
      <c r="F66" s="71"/>
      <c r="G66" s="71"/>
      <c r="H66" s="71"/>
      <c r="I66" s="71"/>
      <c r="J66" s="7"/>
      <c r="K66" s="33" t="str">
        <f t="shared" si="12"/>
        <v/>
      </c>
      <c r="L66" s="126" t="str">
        <f>IF(K66="","",AT66)</f>
        <v/>
      </c>
      <c r="M66" s="90" t="str">
        <f ca="1">IF(AV66="","",IF(L66="","",AU66))</f>
        <v/>
      </c>
      <c r="N66" s="36"/>
      <c r="O66" s="69"/>
      <c r="P66" s="69"/>
      <c r="Q66" s="69"/>
      <c r="R66" s="70" t="str">
        <f>IF(S$3="male",IF(S$4="cm",IF(OR(ISBLANK(O66),ISBLANK(P66)),"",ROUND(((86.01*LOG10(O66/2.54-P66/2.54))-(70.041*LOG10(S$5/2.54))+36.76),0)/100),IF(S$4="inch",IF(OR(ISBLANK(O66),ISBLANK(P66)),"",ROUND(((86.01*LOG10(O66-P66))-(70.041*LOG10(S$5))+36.76),0)/100),"")),IF(S$3="female",IF(S$4="cm",IF(OR(ISBLANK(O66),ISBLANK(P66),ISBLANK(Q66)),"",ROUND(((163.205*LOG10(O66/2.54+Q66/2.54-P66/2.54))-(97.684*LOG10(S$5/2.54))-78.387),0)/100),IF(S$4="inch",IF(OR(ISBLANK(O66),ISBLANK(P66),ISBLANK(Q66)),"",ROUND(((163.205*LOG10(O66+Q66-P66))-(97.684*LOG10(S$5))-78.387),0)/100),"")),""))</f>
        <v/>
      </c>
      <c r="S66" s="36"/>
      <c r="T66" s="36"/>
      <c r="U66" s="36"/>
      <c r="V66" s="149" t="str">
        <f ca="1">IF(AA65="","","You have")</f>
        <v/>
      </c>
      <c r="W66" s="150"/>
      <c r="X66" s="150"/>
      <c r="Y66" s="150"/>
      <c r="Z66" s="153" t="str">
        <f ca="1">IF(AA65="","",IF(K66&gt;$F$7,K66-$F$7,$F$7-K66))</f>
        <v/>
      </c>
      <c r="AA66" s="155" t="str">
        <f ca="1">IF(AA65="","",IF(AA65="No Weight Change","",IF($F$4="Lb","Lb to go!",IF($F$4="Kg","Kg to go!",""))))</f>
        <v/>
      </c>
      <c r="AB66" s="156"/>
      <c r="AC66" s="156"/>
      <c r="AD66" s="156"/>
      <c r="AE66" s="157"/>
      <c r="AF66" s="36"/>
      <c r="AG66" s="56">
        <f>AG64+1</f>
        <v>28</v>
      </c>
      <c r="AH66" s="35">
        <f t="shared" si="13"/>
        <v>0</v>
      </c>
      <c r="AI66" s="35">
        <f>IF(K66="",AI64,K66)</f>
        <v>189.22857142857146</v>
      </c>
      <c r="AJ66" s="35">
        <f t="shared" si="14"/>
        <v>183</v>
      </c>
      <c r="AK66" s="35">
        <f>IF($F$6&gt;$F$7,IF(AK64&gt;AJ66,AK64+$AJ$9,AJ66),IF($F$6&lt;$F$7,IF(AK64&lt;AJ66,AK64+$AJ$9,AJ66),AJ66))</f>
        <v>183</v>
      </c>
      <c r="AL66" s="57" t="str">
        <f t="shared" si="22"/>
        <v/>
      </c>
      <c r="AM66" s="58" t="str">
        <f t="shared" si="15"/>
        <v/>
      </c>
      <c r="AN66" s="58" t="str">
        <f t="shared" si="16"/>
        <v/>
      </c>
      <c r="AO66" s="58" t="str">
        <f t="shared" si="17"/>
        <v/>
      </c>
      <c r="AP66" s="58" t="str">
        <f t="shared" si="18"/>
        <v/>
      </c>
      <c r="AQ66" s="58" t="str">
        <f t="shared" si="19"/>
        <v/>
      </c>
      <c r="AR66" s="59" t="str">
        <f t="shared" si="20"/>
        <v/>
      </c>
      <c r="AS66" s="61" t="str">
        <f t="shared" si="21"/>
        <v/>
      </c>
      <c r="AT66" s="82" t="str">
        <f>IF(AS66="","",AS66-AS64)</f>
        <v/>
      </c>
      <c r="AU66" s="84" t="str">
        <f ca="1">IF(AV66="","",IF(AT66="","",MROUND(AV66,5)))</f>
        <v/>
      </c>
      <c r="AV66" s="35">
        <f ca="1">IF(AH67&lt;7,AV64,IF(AH66&lt;7,AV64,((K67+(((-L66)*$AV$7)/AH67)))+SUM(OFFSET(IF(ROW()/2-5&gt;$S$8,INDEX(M:M,ROW()-(($S$8-1)*2)),$M$12),0,0,IF(ROW()/2-6&gt;($S$8-1),($S$8-1)*2,(ROW()/2-6)*2),1)))/IF(ROW()/2-5&gt;$S$8,$S$8,ROW()/2-5))</f>
        <v>2682.7551020408164</v>
      </c>
      <c r="AY66" s="35"/>
      <c r="AZ66" s="35"/>
      <c r="BA66" s="51"/>
      <c r="BE66" s="48"/>
      <c r="BF66" s="48"/>
      <c r="BH66" s="49"/>
      <c r="BI66" s="49"/>
      <c r="CA66" s="37"/>
      <c r="CB66" s="37"/>
    </row>
    <row r="67" spans="2:80" x14ac:dyDescent="0.35">
      <c r="B67" s="95"/>
      <c r="C67" s="11" t="str">
        <f t="shared" si="10"/>
        <v>Cal.</v>
      </c>
      <c r="D67" s="18"/>
      <c r="E67" s="19"/>
      <c r="F67" s="19"/>
      <c r="G67" s="19"/>
      <c r="H67" s="19"/>
      <c r="I67" s="19"/>
      <c r="J67" s="24"/>
      <c r="K67" s="39" t="str">
        <f t="shared" si="12"/>
        <v/>
      </c>
      <c r="L67" s="127"/>
      <c r="M67" s="91"/>
      <c r="N67" s="36"/>
      <c r="O67" s="36"/>
      <c r="P67" s="36"/>
      <c r="Q67" s="36"/>
      <c r="R67" s="36"/>
      <c r="S67" s="36"/>
      <c r="T67" s="36"/>
      <c r="U67" s="36"/>
      <c r="V67" s="151"/>
      <c r="W67" s="152"/>
      <c r="X67" s="152"/>
      <c r="Y67" s="152"/>
      <c r="Z67" s="154"/>
      <c r="AA67" s="158"/>
      <c r="AB67" s="158"/>
      <c r="AC67" s="158"/>
      <c r="AD67" s="158"/>
      <c r="AE67" s="159"/>
      <c r="AF67" s="36"/>
      <c r="AG67" s="56">
        <f>AG66+0.5</f>
        <v>28.5</v>
      </c>
      <c r="AH67" s="35">
        <f t="shared" si="13"/>
        <v>0</v>
      </c>
      <c r="AI67" s="35">
        <f>AI66</f>
        <v>189.22857142857146</v>
      </c>
      <c r="AJ67" s="35">
        <f t="shared" si="14"/>
        <v>183</v>
      </c>
      <c r="AK67" s="35">
        <f>IF($AJ$9=0,0,(AK66+AK68)/2)</f>
        <v>183</v>
      </c>
      <c r="AL67" s="64" t="str">
        <f t="shared" si="22"/>
        <v/>
      </c>
      <c r="AM67" s="65" t="str">
        <f t="shared" si="15"/>
        <v/>
      </c>
      <c r="AN67" s="65" t="str">
        <f t="shared" si="16"/>
        <v/>
      </c>
      <c r="AO67" s="65" t="str">
        <f t="shared" si="17"/>
        <v/>
      </c>
      <c r="AP67" s="65" t="str">
        <f t="shared" si="18"/>
        <v/>
      </c>
      <c r="AQ67" s="65" t="str">
        <f t="shared" si="19"/>
        <v/>
      </c>
      <c r="AR67" s="66" t="str">
        <f t="shared" si="20"/>
        <v/>
      </c>
      <c r="AS67" s="39" t="str">
        <f t="shared" si="21"/>
        <v/>
      </c>
      <c r="AT67" s="83"/>
      <c r="AU67" s="85"/>
      <c r="AY67" s="35"/>
      <c r="AZ67" s="35"/>
      <c r="BA67" s="51"/>
      <c r="BE67" s="48"/>
      <c r="BF67" s="48"/>
      <c r="BH67" s="49"/>
      <c r="BI67" s="49"/>
      <c r="CA67" s="37"/>
      <c r="CB67" s="37"/>
    </row>
    <row r="68" spans="2:80" x14ac:dyDescent="0.35">
      <c r="B68" s="92">
        <f>IF(B66="","",B66+7)</f>
        <v>43243</v>
      </c>
      <c r="C68" s="10" t="str">
        <f t="shared" si="10"/>
        <v>Weight</v>
      </c>
      <c r="D68" s="15"/>
      <c r="E68" s="16"/>
      <c r="F68" s="16"/>
      <c r="G68" s="16"/>
      <c r="H68" s="16"/>
      <c r="I68" s="16"/>
      <c r="J68" s="23"/>
      <c r="K68" s="32" t="str">
        <f t="shared" si="12"/>
        <v/>
      </c>
      <c r="L68" s="124" t="str">
        <f>IF(K68="","",AT68)</f>
        <v/>
      </c>
      <c r="M68" s="88" t="str">
        <f ca="1">IF(AV68="","",IF(L68="","",AU68))</f>
        <v/>
      </c>
      <c r="N68" s="36"/>
      <c r="O68" s="69"/>
      <c r="P68" s="69"/>
      <c r="Q68" s="69"/>
      <c r="R68" s="70" t="str">
        <f>IF(S$3="male",IF(S$4="cm",IF(OR(ISBLANK(O68),ISBLANK(P68)),"",ROUND(((86.01*LOG10(O68/2.54-P68/2.54))-(70.041*LOG10(S$5/2.54))+36.76),0)/100),IF(S$4="inch",IF(OR(ISBLANK(O68),ISBLANK(P68)),"",ROUND(((86.01*LOG10(O68-P68))-(70.041*LOG10(S$5))+36.76),0)/100),"")),IF(S$3="female",IF(S$4="cm",IF(OR(ISBLANK(O68),ISBLANK(P68),ISBLANK(Q68)),"",ROUND(((163.205*LOG10(O68/2.54+Q68/2.54-P68/2.54))-(97.684*LOG10(S$5/2.54))-78.387),0)/100),IF(S$4="inch",IF(OR(ISBLANK(O68),ISBLANK(P68),ISBLANK(Q68)),"",ROUND(((163.205*LOG10(O68+Q68-P68))-(97.684*LOG10(S$5))-78.387),0)/100),"")),""))</f>
        <v/>
      </c>
      <c r="S68" s="36"/>
      <c r="T68" s="36"/>
      <c r="U68" s="36"/>
      <c r="V68" s="36"/>
      <c r="W68" s="36"/>
      <c r="X68" s="36"/>
      <c r="Y68" s="36"/>
      <c r="Z68" s="45"/>
      <c r="AA68" s="36"/>
      <c r="AB68" s="45"/>
      <c r="AC68" s="36"/>
      <c r="AD68" s="36"/>
      <c r="AE68" s="36"/>
      <c r="AF68" s="36"/>
      <c r="AG68" s="56">
        <f>AG66+1</f>
        <v>29</v>
      </c>
      <c r="AH68" s="35">
        <f t="shared" si="13"/>
        <v>0</v>
      </c>
      <c r="AI68" s="35">
        <f>IF(K68="",AI66,K68)</f>
        <v>189.22857142857146</v>
      </c>
      <c r="AJ68" s="35">
        <f t="shared" si="14"/>
        <v>183</v>
      </c>
      <c r="AK68" s="35">
        <f>IF($F$6&gt;$F$7,IF(AK66&gt;AJ68,AK66+$AJ$9,AJ68),IF($F$6&lt;$F$7,IF(AK66&lt;AJ68,AK66+$AJ$9,AJ68),AJ68))</f>
        <v>183</v>
      </c>
      <c r="AL68" s="57" t="str">
        <f t="shared" si="22"/>
        <v/>
      </c>
      <c r="AM68" s="58" t="str">
        <f t="shared" si="15"/>
        <v/>
      </c>
      <c r="AN68" s="58" t="str">
        <f t="shared" si="16"/>
        <v/>
      </c>
      <c r="AO68" s="58" t="str">
        <f t="shared" si="17"/>
        <v/>
      </c>
      <c r="AP68" s="58" t="str">
        <f t="shared" si="18"/>
        <v/>
      </c>
      <c r="AQ68" s="58" t="str">
        <f t="shared" si="19"/>
        <v/>
      </c>
      <c r="AR68" s="59" t="str">
        <f t="shared" si="20"/>
        <v/>
      </c>
      <c r="AS68" s="61" t="str">
        <f t="shared" si="21"/>
        <v/>
      </c>
      <c r="AT68" s="82" t="str">
        <f>IF(AS68="","",AS68-AS66)</f>
        <v/>
      </c>
      <c r="AU68" s="84" t="str">
        <f ca="1">IF(AV68="","",IF(AT68="","",MROUND(AV68,5)))</f>
        <v/>
      </c>
      <c r="AV68" s="35">
        <f ca="1">IF(AH69&lt;7,AV66,IF(AH68&lt;7,AV66,((K69+(((-L68)*$AV$7)/AH69)))+SUM(OFFSET(IF(ROW()/2-5&gt;$S$8,INDEX(M:M,ROW()-(($S$8-1)*2)),$M$12),0,0,IF(ROW()/2-6&gt;($S$8-1),($S$8-1)*2,(ROW()/2-6)*2),1)))/IF(ROW()/2-5&gt;$S$8,$S$8,ROW()/2-5))</f>
        <v>2682.7551020408164</v>
      </c>
      <c r="AY68" s="35"/>
      <c r="AZ68" s="35"/>
      <c r="BA68" s="51"/>
      <c r="BE68" s="48"/>
      <c r="BF68" s="48"/>
      <c r="BH68" s="49"/>
      <c r="BI68" s="49"/>
      <c r="CA68" s="37"/>
      <c r="CB68" s="37"/>
    </row>
    <row r="69" spans="2:80" x14ac:dyDescent="0.35">
      <c r="B69" s="93"/>
      <c r="C69" s="26" t="str">
        <f t="shared" si="10"/>
        <v>Cal.</v>
      </c>
      <c r="D69" s="17"/>
      <c r="E69" s="38"/>
      <c r="F69" s="38"/>
      <c r="G69" s="38"/>
      <c r="H69" s="38"/>
      <c r="I69" s="38"/>
      <c r="J69" s="7"/>
      <c r="K69" s="40" t="str">
        <f t="shared" si="12"/>
        <v/>
      </c>
      <c r="L69" s="125"/>
      <c r="M69" s="89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45"/>
      <c r="AA69" s="36"/>
      <c r="AB69" s="45"/>
      <c r="AC69" s="36"/>
      <c r="AD69" s="36"/>
      <c r="AE69" s="36"/>
      <c r="AF69" s="36"/>
      <c r="AG69" s="56">
        <f>AG68+0.5</f>
        <v>29.5</v>
      </c>
      <c r="AH69" s="35">
        <f t="shared" si="13"/>
        <v>0</v>
      </c>
      <c r="AI69" s="35">
        <f>AI68</f>
        <v>189.22857142857146</v>
      </c>
      <c r="AJ69" s="35">
        <f t="shared" si="14"/>
        <v>183</v>
      </c>
      <c r="AK69" s="35">
        <f>IF($AJ$9=0,0,(AK68+AK70)/2)</f>
        <v>183</v>
      </c>
      <c r="AL69" s="64" t="str">
        <f t="shared" si="22"/>
        <v/>
      </c>
      <c r="AM69" s="65" t="str">
        <f t="shared" si="15"/>
        <v/>
      </c>
      <c r="AN69" s="65" t="str">
        <f t="shared" si="16"/>
        <v/>
      </c>
      <c r="AO69" s="65" t="str">
        <f t="shared" si="17"/>
        <v/>
      </c>
      <c r="AP69" s="65" t="str">
        <f t="shared" si="18"/>
        <v/>
      </c>
      <c r="AQ69" s="65" t="str">
        <f t="shared" si="19"/>
        <v/>
      </c>
      <c r="AR69" s="66" t="str">
        <f t="shared" si="20"/>
        <v/>
      </c>
      <c r="AS69" s="39" t="str">
        <f t="shared" si="21"/>
        <v/>
      </c>
      <c r="AT69" s="83"/>
      <c r="AU69" s="85"/>
      <c r="AY69" s="35"/>
      <c r="AZ69" s="35"/>
      <c r="BA69" s="51"/>
      <c r="BE69" s="48"/>
      <c r="BF69" s="48"/>
      <c r="BH69" s="49"/>
      <c r="BI69" s="49"/>
      <c r="CA69" s="37"/>
      <c r="CB69" s="37"/>
    </row>
    <row r="70" spans="2:80" x14ac:dyDescent="0.35">
      <c r="B70" s="94">
        <f>IF(B68="","",B68+7)</f>
        <v>43250</v>
      </c>
      <c r="C70" s="27" t="str">
        <f t="shared" si="10"/>
        <v>Weight</v>
      </c>
      <c r="D70" s="17"/>
      <c r="E70" s="38"/>
      <c r="F70" s="38"/>
      <c r="G70" s="38"/>
      <c r="H70" s="38"/>
      <c r="I70" s="38"/>
      <c r="J70" s="7"/>
      <c r="K70" s="33" t="str">
        <f t="shared" si="12"/>
        <v/>
      </c>
      <c r="L70" s="126" t="str">
        <f>IF(K70="","",AT70)</f>
        <v/>
      </c>
      <c r="M70" s="90" t="str">
        <f ca="1">IF(AV70="","",IF(L70="","",AU70))</f>
        <v/>
      </c>
      <c r="N70" s="36"/>
      <c r="O70" s="69"/>
      <c r="P70" s="69"/>
      <c r="Q70" s="69"/>
      <c r="R70" s="70" t="str">
        <f>IF(S$3="male",IF(S$4="cm",IF(OR(ISBLANK(O70),ISBLANK(P70)),"",ROUND(((86.01*LOG10(O70/2.54-P70/2.54))-(70.041*LOG10(S$5/2.54))+36.76),0)/100),IF(S$4="inch",IF(OR(ISBLANK(O70),ISBLANK(P70)),"",ROUND(((86.01*LOG10(O70-P70))-(70.041*LOG10(S$5))+36.76),0)/100),"")),IF(S$3="female",IF(S$4="cm",IF(OR(ISBLANK(O70),ISBLANK(P70),ISBLANK(Q70)),"",ROUND(((163.205*LOG10(O70/2.54+Q70/2.54-P70/2.54))-(97.684*LOG10(S$5/2.54))-78.387),0)/100),IF(S$4="inch",IF(OR(ISBLANK(O70),ISBLANK(P70),ISBLANK(Q70)),"",ROUND(((163.205*LOG10(O70+Q70-P70))-(97.684*LOG10(S$5))-78.387),0)/100),"")),""))</f>
        <v/>
      </c>
      <c r="S70" s="36"/>
      <c r="T70" s="36"/>
      <c r="U70" s="36"/>
      <c r="V70" s="137" t="str">
        <f ca="1">IF(M74="","","From")</f>
        <v/>
      </c>
      <c r="W70" s="138"/>
      <c r="X70" s="141" t="str">
        <f ca="1">IF(M74="","",B68)</f>
        <v/>
      </c>
      <c r="Y70" s="142"/>
      <c r="Z70" s="142"/>
      <c r="AA70" s="143" t="str">
        <f ca="1">IF(M74="","","to")</f>
        <v/>
      </c>
      <c r="AB70" s="144" t="str">
        <f ca="1">IF(M74="","",B74)</f>
        <v/>
      </c>
      <c r="AC70" s="145"/>
      <c r="AD70" s="146"/>
      <c r="AE70" s="147"/>
      <c r="AF70" s="36"/>
      <c r="AG70" s="56">
        <f>AG68+1</f>
        <v>30</v>
      </c>
      <c r="AH70" s="35">
        <f t="shared" si="13"/>
        <v>0</v>
      </c>
      <c r="AI70" s="35">
        <f>IF(K70="",AI68,K70)</f>
        <v>189.22857142857146</v>
      </c>
      <c r="AJ70" s="35">
        <f t="shared" si="14"/>
        <v>183</v>
      </c>
      <c r="AK70" s="35">
        <f>IF($F$6&gt;$F$7,IF(AK68&gt;AJ70,AK68+$AJ$9,AJ70),IF($F$6&lt;$F$7,IF(AK68&lt;AJ70,AK68+$AJ$9,AJ70),AJ70))</f>
        <v>183</v>
      </c>
      <c r="AL70" s="57" t="str">
        <f t="shared" si="22"/>
        <v/>
      </c>
      <c r="AM70" s="58" t="str">
        <f t="shared" si="15"/>
        <v/>
      </c>
      <c r="AN70" s="58" t="str">
        <f t="shared" si="16"/>
        <v/>
      </c>
      <c r="AO70" s="58" t="str">
        <f t="shared" si="17"/>
        <v/>
      </c>
      <c r="AP70" s="58" t="str">
        <f t="shared" si="18"/>
        <v/>
      </c>
      <c r="AQ70" s="58" t="str">
        <f t="shared" si="19"/>
        <v/>
      </c>
      <c r="AR70" s="59" t="str">
        <f t="shared" si="20"/>
        <v/>
      </c>
      <c r="AS70" s="61" t="str">
        <f t="shared" si="21"/>
        <v/>
      </c>
      <c r="AT70" s="82" t="str">
        <f>IF(AS70="","",AS70-AS68)</f>
        <v/>
      </c>
      <c r="AU70" s="84" t="str">
        <f ca="1">IF(AV70="","",IF(AT70="","",MROUND(AV70,5)))</f>
        <v/>
      </c>
      <c r="AV70" s="35">
        <f ca="1">IF(AH71&lt;7,AV68,IF(AH70&lt;7,AV68,((K71+(((-L70)*$AV$7)/AH71)))+SUM(OFFSET(IF(ROW()/2-5&gt;$S$8,INDEX(M:M,ROW()-(($S$8-1)*2)),$M$12),0,0,IF(ROW()/2-6&gt;($S$8-1),($S$8-1)*2,(ROW()/2-6)*2),1)))/IF(ROW()/2-5&gt;$S$8,$S$8,ROW()/2-5))</f>
        <v>2682.7551020408164</v>
      </c>
      <c r="AY70" s="35"/>
      <c r="AZ70" s="35"/>
      <c r="BA70" s="51"/>
      <c r="BE70" s="48"/>
      <c r="BF70" s="48"/>
      <c r="BH70" s="49"/>
      <c r="BI70" s="49"/>
      <c r="CA70" s="37"/>
      <c r="CB70" s="37"/>
    </row>
    <row r="71" spans="2:80" x14ac:dyDescent="0.35">
      <c r="B71" s="93"/>
      <c r="C71" s="28" t="str">
        <f t="shared" si="10"/>
        <v>Cal.</v>
      </c>
      <c r="D71" s="17"/>
      <c r="E71" s="38"/>
      <c r="F71" s="38"/>
      <c r="G71" s="38"/>
      <c r="H71" s="38"/>
      <c r="I71" s="38"/>
      <c r="J71" s="7"/>
      <c r="K71" s="40" t="str">
        <f t="shared" si="12"/>
        <v/>
      </c>
      <c r="L71" s="125"/>
      <c r="M71" s="89"/>
      <c r="N71" s="36"/>
      <c r="O71" s="36"/>
      <c r="P71" s="36"/>
      <c r="Q71" s="36"/>
      <c r="R71" s="36"/>
      <c r="S71" s="36"/>
      <c r="T71" s="36"/>
      <c r="U71" s="36"/>
      <c r="V71" s="139"/>
      <c r="W71" s="140"/>
      <c r="X71" s="140"/>
      <c r="Y71" s="140"/>
      <c r="Z71" s="140"/>
      <c r="AA71" s="140"/>
      <c r="AB71" s="140"/>
      <c r="AC71" s="140"/>
      <c r="AD71" s="140"/>
      <c r="AE71" s="148"/>
      <c r="AF71" s="36"/>
      <c r="AG71" s="56">
        <f>AG70+0.5</f>
        <v>30.5</v>
      </c>
      <c r="AH71" s="35">
        <f t="shared" si="13"/>
        <v>0</v>
      </c>
      <c r="AI71" s="35">
        <f>AI70</f>
        <v>189.22857142857146</v>
      </c>
      <c r="AJ71" s="35">
        <f t="shared" si="14"/>
        <v>183</v>
      </c>
      <c r="AK71" s="35">
        <f>IF($AJ$9=0,0,(AK70+AK72)/2)</f>
        <v>183</v>
      </c>
      <c r="AL71" s="64" t="str">
        <f t="shared" si="22"/>
        <v/>
      </c>
      <c r="AM71" s="65" t="str">
        <f t="shared" si="15"/>
        <v/>
      </c>
      <c r="AN71" s="65" t="str">
        <f t="shared" si="16"/>
        <v/>
      </c>
      <c r="AO71" s="65" t="str">
        <f t="shared" si="17"/>
        <v/>
      </c>
      <c r="AP71" s="65" t="str">
        <f t="shared" si="18"/>
        <v/>
      </c>
      <c r="AQ71" s="65" t="str">
        <f t="shared" si="19"/>
        <v/>
      </c>
      <c r="AR71" s="66" t="str">
        <f t="shared" si="20"/>
        <v/>
      </c>
      <c r="AS71" s="39" t="str">
        <f t="shared" si="21"/>
        <v/>
      </c>
      <c r="AT71" s="83"/>
      <c r="AU71" s="85"/>
      <c r="AY71" s="35"/>
      <c r="AZ71" s="35"/>
      <c r="BA71" s="51"/>
      <c r="BE71" s="48"/>
      <c r="BF71" s="48"/>
      <c r="BH71" s="49"/>
      <c r="BI71" s="49"/>
      <c r="CA71" s="37"/>
      <c r="CB71" s="37"/>
    </row>
    <row r="72" spans="2:80" x14ac:dyDescent="0.35">
      <c r="B72" s="94">
        <f>IF(B70="","",B70+7)</f>
        <v>43257</v>
      </c>
      <c r="C72" s="27" t="str">
        <f t="shared" si="10"/>
        <v>Weight</v>
      </c>
      <c r="D72" s="17"/>
      <c r="E72" s="38"/>
      <c r="F72" s="38"/>
      <c r="G72" s="38"/>
      <c r="H72" s="38"/>
      <c r="I72" s="38"/>
      <c r="J72" s="7"/>
      <c r="K72" s="33" t="str">
        <f t="shared" si="12"/>
        <v/>
      </c>
      <c r="L72" s="126" t="str">
        <f>IF(K72="","",AT72)</f>
        <v/>
      </c>
      <c r="M72" s="90" t="str">
        <f ca="1">IF(AV72="","",IF(L72="","",AU72))</f>
        <v/>
      </c>
      <c r="N72" s="36"/>
      <c r="O72" s="69"/>
      <c r="P72" s="69"/>
      <c r="Q72" s="69"/>
      <c r="R72" s="70" t="str">
        <f>IF(S$3="male",IF(S$4="cm",IF(OR(ISBLANK(O72),ISBLANK(P72)),"",ROUND(((86.01*LOG10(O72/2.54-P72/2.54))-(70.041*LOG10(S$5/2.54))+36.76),0)/100),IF(S$4="inch",IF(OR(ISBLANK(O72),ISBLANK(P72)),"",ROUND(((86.01*LOG10(O72-P72))-(70.041*LOG10(S$5))+36.76),0)/100),"")),IF(S$3="female",IF(S$4="cm",IF(OR(ISBLANK(O72),ISBLANK(P72),ISBLANK(Q72)),"",ROUND(((163.205*LOG10(O72/2.54+Q72/2.54-P72/2.54))-(97.684*LOG10(S$5/2.54))-78.387),0)/100),IF(S$4="inch",IF(OR(ISBLANK(O72),ISBLANK(P72),ISBLANK(Q72)),"",ROUND(((163.205*LOG10(O72+Q72-P72))-(97.684*LOG10(S$5))-78.387),0)/100),"")),""))</f>
        <v/>
      </c>
      <c r="S72" s="36"/>
      <c r="T72" s="36"/>
      <c r="U72" s="36"/>
      <c r="V72" s="128" t="str">
        <f ca="1">IF(M74="","",IF(K74=K66,"No Weight Change",IF(K74&gt;K66,"You Gained:","You Lost:")))</f>
        <v/>
      </c>
      <c r="W72" s="129"/>
      <c r="X72" s="129"/>
      <c r="Y72" s="129"/>
      <c r="Z72" s="129"/>
      <c r="AA72" s="129"/>
      <c r="AB72" s="42" t="str">
        <f ca="1">IF(M74="","",IF(K74=K66,"",IF(K74&gt;K66,K74-K66,K66-K74)))</f>
        <v/>
      </c>
      <c r="AC72" s="160" t="str">
        <f ca="1">IF(V72="","",IF(V72="No Weight Change","",IF($F$4="Lb","Lb",IF($F$4="Kg","Kg",""))))</f>
        <v/>
      </c>
      <c r="AD72" s="161"/>
      <c r="AE72" s="162"/>
      <c r="AF72" s="36"/>
      <c r="AG72" s="56">
        <f>AG70+1</f>
        <v>31</v>
      </c>
      <c r="AH72" s="35">
        <f t="shared" si="13"/>
        <v>0</v>
      </c>
      <c r="AI72" s="35">
        <f>IF(K72="",AI70,K72)</f>
        <v>189.22857142857146</v>
      </c>
      <c r="AJ72" s="35">
        <f t="shared" si="14"/>
        <v>183</v>
      </c>
      <c r="AK72" s="35">
        <f>IF($F$6&gt;$F$7,IF(AK70&gt;AJ72,AK70+$AJ$9,AJ72),IF($F$6&lt;$F$7,IF(AK70&lt;AJ72,AK70+$AJ$9,AJ72),AJ72))</f>
        <v>183</v>
      </c>
      <c r="AL72" s="57" t="str">
        <f t="shared" si="22"/>
        <v/>
      </c>
      <c r="AM72" s="58" t="str">
        <f t="shared" si="15"/>
        <v/>
      </c>
      <c r="AN72" s="58" t="str">
        <f t="shared" si="16"/>
        <v/>
      </c>
      <c r="AO72" s="58" t="str">
        <f t="shared" si="17"/>
        <v/>
      </c>
      <c r="AP72" s="58" t="str">
        <f t="shared" si="18"/>
        <v/>
      </c>
      <c r="AQ72" s="58" t="str">
        <f t="shared" si="19"/>
        <v/>
      </c>
      <c r="AR72" s="59" t="str">
        <f t="shared" si="20"/>
        <v/>
      </c>
      <c r="AS72" s="61" t="str">
        <f t="shared" si="21"/>
        <v/>
      </c>
      <c r="AT72" s="82" t="str">
        <f>IF(AS72="","",AS72-AS70)</f>
        <v/>
      </c>
      <c r="AU72" s="84" t="str">
        <f ca="1">IF(AV72="","",IF(AT72="","",MROUND(AV72,5)))</f>
        <v/>
      </c>
      <c r="AV72" s="35">
        <f ca="1">IF(AH73&lt;7,AV70,IF(AH72&lt;7,AV70,((K73+(((-L72)*$AV$7)/AH73)))+SUM(OFFSET(IF(ROW()/2-5&gt;$S$8,INDEX(M:M,ROW()-(($S$8-1)*2)),$M$12),0,0,IF(ROW()/2-6&gt;($S$8-1),($S$8-1)*2,(ROW()/2-6)*2),1)))/IF(ROW()/2-5&gt;$S$8,$S$8,ROW()/2-5))</f>
        <v>2682.7551020408164</v>
      </c>
      <c r="AY72" s="35"/>
      <c r="AZ72" s="35"/>
      <c r="BA72" s="51"/>
      <c r="BE72" s="48"/>
      <c r="BF72" s="48"/>
      <c r="BH72" s="49"/>
      <c r="BI72" s="49"/>
      <c r="CA72" s="37"/>
      <c r="CB72" s="37"/>
    </row>
    <row r="73" spans="2:80" x14ac:dyDescent="0.35">
      <c r="B73" s="93"/>
      <c r="C73" s="28" t="str">
        <f t="shared" si="10"/>
        <v>Cal.</v>
      </c>
      <c r="D73" s="17"/>
      <c r="E73" s="38"/>
      <c r="F73" s="38"/>
      <c r="G73" s="38"/>
      <c r="H73" s="38"/>
      <c r="I73" s="38"/>
      <c r="J73" s="7"/>
      <c r="K73" s="40" t="str">
        <f t="shared" si="12"/>
        <v/>
      </c>
      <c r="L73" s="125"/>
      <c r="M73" s="89"/>
      <c r="N73" s="36"/>
      <c r="O73" s="36"/>
      <c r="P73" s="36"/>
      <c r="Q73" s="36"/>
      <c r="R73" s="36"/>
      <c r="S73" s="36"/>
      <c r="T73" s="36"/>
      <c r="U73" s="36"/>
      <c r="V73" s="130" t="str">
        <f ca="1">IF(M74="","",IF(K74=K66,"","At a Rate Of"))</f>
        <v/>
      </c>
      <c r="W73" s="131"/>
      <c r="X73" s="131"/>
      <c r="Y73" s="131"/>
      <c r="Z73" s="131"/>
      <c r="AA73" s="132" t="str">
        <f ca="1">IF(V73="","",AB72/4)</f>
        <v/>
      </c>
      <c r="AB73" s="133"/>
      <c r="AC73" s="134" t="str">
        <f ca="1">IF(V72="","",IF(V72="No Weight Change","",IF($F$4="Lb","Lb/Wk",IF($F$4="Kg","Kg/Wk",""))))</f>
        <v/>
      </c>
      <c r="AD73" s="135"/>
      <c r="AE73" s="136"/>
      <c r="AF73" s="36"/>
      <c r="AG73" s="56">
        <f>AG72+0.5</f>
        <v>31.5</v>
      </c>
      <c r="AH73" s="35">
        <f t="shared" si="13"/>
        <v>0</v>
      </c>
      <c r="AI73" s="35">
        <f>AI72</f>
        <v>189.22857142857146</v>
      </c>
      <c r="AJ73" s="35">
        <f t="shared" si="14"/>
        <v>183</v>
      </c>
      <c r="AK73" s="35">
        <f>IF($AJ$9=0,0,(AK72+AK74)/2)</f>
        <v>183</v>
      </c>
      <c r="AL73" s="64" t="str">
        <f t="shared" si="22"/>
        <v/>
      </c>
      <c r="AM73" s="65" t="str">
        <f t="shared" si="15"/>
        <v/>
      </c>
      <c r="AN73" s="65" t="str">
        <f t="shared" si="16"/>
        <v/>
      </c>
      <c r="AO73" s="65" t="str">
        <f t="shared" si="17"/>
        <v/>
      </c>
      <c r="AP73" s="65" t="str">
        <f t="shared" si="18"/>
        <v/>
      </c>
      <c r="AQ73" s="65" t="str">
        <f t="shared" si="19"/>
        <v/>
      </c>
      <c r="AR73" s="66" t="str">
        <f t="shared" si="20"/>
        <v/>
      </c>
      <c r="AS73" s="39" t="str">
        <f t="shared" si="21"/>
        <v/>
      </c>
      <c r="AT73" s="83"/>
      <c r="AU73" s="85"/>
      <c r="AY73" s="35"/>
      <c r="AZ73" s="35"/>
      <c r="BA73" s="51"/>
      <c r="BE73" s="48"/>
      <c r="BF73" s="48"/>
      <c r="BH73" s="49"/>
      <c r="BI73" s="49"/>
      <c r="CA73" s="37"/>
      <c r="CB73" s="37"/>
    </row>
    <row r="74" spans="2:80" x14ac:dyDescent="0.35">
      <c r="B74" s="94">
        <f>IF(B72="","",B72+7)</f>
        <v>43264</v>
      </c>
      <c r="C74" s="27" t="str">
        <f t="shared" si="10"/>
        <v>Weight</v>
      </c>
      <c r="D74" s="17"/>
      <c r="E74" s="38"/>
      <c r="F74" s="38"/>
      <c r="G74" s="38"/>
      <c r="H74" s="38"/>
      <c r="I74" s="38"/>
      <c r="J74" s="7"/>
      <c r="K74" s="33" t="str">
        <f t="shared" si="12"/>
        <v/>
      </c>
      <c r="L74" s="126" t="str">
        <f>IF(K74="","",AT74)</f>
        <v/>
      </c>
      <c r="M74" s="90" t="str">
        <f ca="1">IF(AV74="","",IF(L74="","",AU74))</f>
        <v/>
      </c>
      <c r="N74" s="36"/>
      <c r="O74" s="69"/>
      <c r="P74" s="69"/>
      <c r="Q74" s="69"/>
      <c r="R74" s="70" t="str">
        <f>IF(S$3="male",IF(S$4="cm",IF(OR(ISBLANK(O74),ISBLANK(P74)),"",ROUND(((86.01*LOG10(O74/2.54-P74/2.54))-(70.041*LOG10(S$5/2.54))+36.76),0)/100),IF(S$4="inch",IF(OR(ISBLANK(O74),ISBLANK(P74)),"",ROUND(((86.01*LOG10(O74-P74))-(70.041*LOG10(S$5))+36.76),0)/100),"")),IF(S$3="female",IF(S$4="cm",IF(OR(ISBLANK(O74),ISBLANK(P74),ISBLANK(Q74)),"",ROUND(((163.205*LOG10(O74/2.54+Q74/2.54-P74/2.54))-(97.684*LOG10(S$5/2.54))-78.387),0)/100),IF(S$4="inch",IF(OR(ISBLANK(O74),ISBLANK(P74),ISBLANK(Q74)),"",ROUND(((163.205*LOG10(O74+Q74-P74))-(97.684*LOG10(S$5))-78.387),0)/100),"")),""))</f>
        <v/>
      </c>
      <c r="S74" s="36"/>
      <c r="T74" s="36"/>
      <c r="U74" s="36"/>
      <c r="V74" s="149" t="str">
        <f ca="1">IF(AA73="","","You have")</f>
        <v/>
      </c>
      <c r="W74" s="150"/>
      <c r="X74" s="150"/>
      <c r="Y74" s="150"/>
      <c r="Z74" s="153" t="str">
        <f ca="1">IF(AA73="","",IF(K74&gt;$F$7,K74-$F$7,$F$7-K74))</f>
        <v/>
      </c>
      <c r="AA74" s="155" t="str">
        <f ca="1">IF(AA73="","",IF(AA73="No Weight Change","",IF($F$4="Lb","Lb to go!",IF($F$4="Kg","Kg to go!",""))))</f>
        <v/>
      </c>
      <c r="AB74" s="156"/>
      <c r="AC74" s="156"/>
      <c r="AD74" s="156"/>
      <c r="AE74" s="157"/>
      <c r="AF74" s="36"/>
      <c r="AG74" s="56">
        <f>AG72+1</f>
        <v>32</v>
      </c>
      <c r="AH74" s="35">
        <f t="shared" si="13"/>
        <v>0</v>
      </c>
      <c r="AI74" s="35">
        <f>IF(K74="",AI72,K74)</f>
        <v>189.22857142857146</v>
      </c>
      <c r="AJ74" s="35">
        <f t="shared" si="14"/>
        <v>183</v>
      </c>
      <c r="AK74" s="35">
        <f>IF($F$6&gt;$F$7,IF(AK72&gt;AJ74,AK72+$AJ$9,AJ74),IF($F$6&lt;$F$7,IF(AK72&lt;AJ74,AK72+$AJ$9,AJ74),AJ74))</f>
        <v>183</v>
      </c>
      <c r="AL74" s="57" t="str">
        <f t="shared" si="22"/>
        <v/>
      </c>
      <c r="AM74" s="58" t="str">
        <f t="shared" si="15"/>
        <v/>
      </c>
      <c r="AN74" s="58" t="str">
        <f t="shared" si="16"/>
        <v/>
      </c>
      <c r="AO74" s="58" t="str">
        <f t="shared" si="17"/>
        <v/>
      </c>
      <c r="AP74" s="58" t="str">
        <f t="shared" si="18"/>
        <v/>
      </c>
      <c r="AQ74" s="58" t="str">
        <f t="shared" si="19"/>
        <v/>
      </c>
      <c r="AR74" s="59" t="str">
        <f t="shared" si="20"/>
        <v/>
      </c>
      <c r="AS74" s="61" t="str">
        <f t="shared" si="21"/>
        <v/>
      </c>
      <c r="AT74" s="82" t="str">
        <f>IF(AS74="","",AS74-AS72)</f>
        <v/>
      </c>
      <c r="AU74" s="84" t="str">
        <f ca="1">IF(AV74="","",IF(AT74="","",MROUND(AV74,5)))</f>
        <v/>
      </c>
      <c r="AV74" s="35">
        <f ca="1">IF(AH75&lt;7,AV72,IF(AH74&lt;7,AV72,((K75+(((-L74)*$AV$7)/AH75)))+SUM(OFFSET(IF(ROW()/2-5&gt;$S$8,INDEX(M:M,ROW()-(($S$8-1)*2)),$M$12),0,0,IF(ROW()/2-6&gt;($S$8-1),($S$8-1)*2,(ROW()/2-6)*2),1)))/IF(ROW()/2-5&gt;$S$8,$S$8,ROW()/2-5))</f>
        <v>2682.7551020408164</v>
      </c>
      <c r="AY74" s="35"/>
      <c r="AZ74" s="35"/>
      <c r="BA74" s="51"/>
      <c r="BE74" s="48"/>
      <c r="BF74" s="48"/>
      <c r="BH74" s="49"/>
      <c r="BI74" s="49"/>
      <c r="CA74" s="37"/>
      <c r="CB74" s="37"/>
    </row>
    <row r="75" spans="2:80" x14ac:dyDescent="0.35">
      <c r="B75" s="95"/>
      <c r="C75" s="11" t="str">
        <f t="shared" si="10"/>
        <v>Cal.</v>
      </c>
      <c r="D75" s="18"/>
      <c r="E75" s="19"/>
      <c r="F75" s="19"/>
      <c r="G75" s="19"/>
      <c r="H75" s="19"/>
      <c r="I75" s="19"/>
      <c r="J75" s="24"/>
      <c r="K75" s="39" t="str">
        <f t="shared" si="12"/>
        <v/>
      </c>
      <c r="L75" s="127"/>
      <c r="M75" s="91"/>
      <c r="N75" s="36"/>
      <c r="O75" s="36"/>
      <c r="P75" s="36"/>
      <c r="Q75" s="36"/>
      <c r="R75" s="36"/>
      <c r="S75" s="36"/>
      <c r="T75" s="36"/>
      <c r="U75" s="36"/>
      <c r="V75" s="151"/>
      <c r="W75" s="152"/>
      <c r="X75" s="152"/>
      <c r="Y75" s="152"/>
      <c r="Z75" s="154"/>
      <c r="AA75" s="158"/>
      <c r="AB75" s="158"/>
      <c r="AC75" s="158"/>
      <c r="AD75" s="158"/>
      <c r="AE75" s="159"/>
      <c r="AF75" s="36"/>
      <c r="AG75" s="56">
        <f>AG74+0.5</f>
        <v>32.5</v>
      </c>
      <c r="AH75" s="35">
        <f t="shared" si="13"/>
        <v>0</v>
      </c>
      <c r="AI75" s="35">
        <f>AI74</f>
        <v>189.22857142857146</v>
      </c>
      <c r="AJ75" s="35">
        <f t="shared" si="14"/>
        <v>183</v>
      </c>
      <c r="AK75" s="35">
        <f>IF($AJ$9=0,0,(AK74+AK76)/2)</f>
        <v>183</v>
      </c>
      <c r="AL75" s="64" t="str">
        <f t="shared" si="22"/>
        <v/>
      </c>
      <c r="AM75" s="65" t="str">
        <f t="shared" si="15"/>
        <v/>
      </c>
      <c r="AN75" s="65" t="str">
        <f t="shared" si="16"/>
        <v/>
      </c>
      <c r="AO75" s="65" t="str">
        <f t="shared" si="17"/>
        <v/>
      </c>
      <c r="AP75" s="65" t="str">
        <f t="shared" si="18"/>
        <v/>
      </c>
      <c r="AQ75" s="65" t="str">
        <f t="shared" si="19"/>
        <v/>
      </c>
      <c r="AR75" s="66" t="str">
        <f t="shared" si="20"/>
        <v/>
      </c>
      <c r="AS75" s="39" t="str">
        <f t="shared" si="21"/>
        <v/>
      </c>
      <c r="AT75" s="83"/>
      <c r="AU75" s="85"/>
      <c r="AY75" s="35"/>
      <c r="AZ75" s="35"/>
      <c r="BA75" s="51"/>
      <c r="BE75" s="48"/>
      <c r="BF75" s="48"/>
      <c r="BH75" s="49"/>
      <c r="BI75" s="49"/>
      <c r="CA75" s="37"/>
      <c r="CB75" s="37"/>
    </row>
    <row r="76" spans="2:80" x14ac:dyDescent="0.35">
      <c r="B76" s="92">
        <f>IF(B74="","",B74+7)</f>
        <v>43271</v>
      </c>
      <c r="C76" s="10" t="str">
        <f t="shared" si="10"/>
        <v>Weight</v>
      </c>
      <c r="D76" s="15"/>
      <c r="E76" s="16"/>
      <c r="F76" s="16"/>
      <c r="G76" s="16"/>
      <c r="H76" s="16"/>
      <c r="I76" s="16"/>
      <c r="J76" s="23"/>
      <c r="K76" s="32" t="str">
        <f t="shared" ref="K76:K107" si="23">IF(AH76=0,"",AS76)</f>
        <v/>
      </c>
      <c r="L76" s="124" t="str">
        <f>IF(K76="","",AT76)</f>
        <v/>
      </c>
      <c r="M76" s="88" t="str">
        <f ca="1">IF(AV76="","",IF(L76="","",AU76))</f>
        <v/>
      </c>
      <c r="N76" s="36"/>
      <c r="O76" s="69"/>
      <c r="P76" s="69"/>
      <c r="Q76" s="69"/>
      <c r="R76" s="70" t="str">
        <f>IF(S$3="male",IF(S$4="cm",IF(OR(ISBLANK(O76),ISBLANK(P76)),"",ROUND(((86.01*LOG10(O76/2.54-P76/2.54))-(70.041*LOG10(S$5/2.54))+36.76),0)/100),IF(S$4="inch",IF(OR(ISBLANK(O76),ISBLANK(P76)),"",ROUND(((86.01*LOG10(O76-P76))-(70.041*LOG10(S$5))+36.76),0)/100),"")),IF(S$3="female",IF(S$4="cm",IF(OR(ISBLANK(O76),ISBLANK(P76),ISBLANK(Q76)),"",ROUND(((163.205*LOG10(O76/2.54+Q76/2.54-P76/2.54))-(97.684*LOG10(S$5/2.54))-78.387),0)/100),IF(S$4="inch",IF(OR(ISBLANK(O76),ISBLANK(P76),ISBLANK(Q76)),"",ROUND(((163.205*LOG10(O76+Q76-P76))-(97.684*LOG10(S$5))-78.387),0)/100),"")),""))</f>
        <v/>
      </c>
      <c r="S76" s="36"/>
      <c r="T76" s="36"/>
      <c r="U76" s="36"/>
      <c r="V76" s="36"/>
      <c r="W76" s="36"/>
      <c r="X76" s="36"/>
      <c r="Y76" s="36"/>
      <c r="Z76" s="45"/>
      <c r="AA76" s="36"/>
      <c r="AB76" s="45"/>
      <c r="AC76" s="36"/>
      <c r="AD76" s="36"/>
      <c r="AE76" s="36"/>
      <c r="AF76" s="36"/>
      <c r="AG76" s="56">
        <f>AG74+1</f>
        <v>33</v>
      </c>
      <c r="AH76" s="35">
        <f t="shared" ref="AH76:AH107" si="24">COUNT(AL76:AR76)</f>
        <v>0</v>
      </c>
      <c r="AI76" s="35">
        <f>IF(K76="",AI74,K76)</f>
        <v>189.22857142857146</v>
      </c>
      <c r="AJ76" s="35">
        <f t="shared" ref="AJ76:AJ107" si="25">AJ75</f>
        <v>183</v>
      </c>
      <c r="AK76" s="35">
        <f>IF($F$6&gt;$F$7,IF(AK74&gt;AJ76,AK74+$AJ$9,AJ76),IF($F$6&lt;$F$7,IF(AK74&lt;AJ76,AK74+$AJ$9,AJ76),AJ76))</f>
        <v>183</v>
      </c>
      <c r="AL76" s="57" t="str">
        <f t="shared" si="22"/>
        <v/>
      </c>
      <c r="AM76" s="58" t="str">
        <f t="shared" ref="AM76:AM107" si="26">IF(E76="",AL76,E76)</f>
        <v/>
      </c>
      <c r="AN76" s="58" t="str">
        <f t="shared" ref="AN76:AN107" si="27">IF(F76="",AM76,F76)</f>
        <v/>
      </c>
      <c r="AO76" s="58" t="str">
        <f t="shared" ref="AO76:AO107" si="28">IF(G76="",AN76,G76)</f>
        <v/>
      </c>
      <c r="AP76" s="58" t="str">
        <f t="shared" ref="AP76:AP107" si="29">IF(H76="",AO76,H76)</f>
        <v/>
      </c>
      <c r="AQ76" s="58" t="str">
        <f t="shared" ref="AQ76:AQ107" si="30">IF(I76="",AP76,I76)</f>
        <v/>
      </c>
      <c r="AR76" s="59" t="str">
        <f t="shared" ref="AR76:AR107" si="31">IF(J76="",AQ76,J76)</f>
        <v/>
      </c>
      <c r="AS76" s="61" t="str">
        <f t="shared" ref="AS76:AS107" si="32">IF(AH76=0,"",SUM(AL76:AR76)/AH76)</f>
        <v/>
      </c>
      <c r="AT76" s="82" t="str">
        <f>IF(AS76="","",AS76-AS74)</f>
        <v/>
      </c>
      <c r="AU76" s="84" t="str">
        <f ca="1">IF(AV76="","",IF(AT76="","",MROUND(AV76,5)))</f>
        <v/>
      </c>
      <c r="AV76" s="35">
        <f ca="1">IF(AH77&lt;7,AV74,IF(AH76&lt;7,AV74,((K77+(((-L76)*$AV$7)/AH77)))+SUM(OFFSET(IF(ROW()/2-5&gt;$S$8,INDEX(M:M,ROW()-(($S$8-1)*2)),$M$12),0,0,IF(ROW()/2-6&gt;($S$8-1),($S$8-1)*2,(ROW()/2-6)*2),1)))/IF(ROW()/2-5&gt;$S$8,$S$8,ROW()/2-5))</f>
        <v>2682.7551020408164</v>
      </c>
      <c r="AY76" s="35"/>
      <c r="AZ76" s="35"/>
      <c r="BA76" s="51"/>
      <c r="BE76" s="48"/>
      <c r="BF76" s="48"/>
      <c r="BH76" s="49"/>
      <c r="BI76" s="49"/>
      <c r="CA76" s="37"/>
      <c r="CB76" s="37"/>
    </row>
    <row r="77" spans="2:80" x14ac:dyDescent="0.35">
      <c r="B77" s="93"/>
      <c r="C77" s="26" t="str">
        <f t="shared" si="10"/>
        <v>Cal.</v>
      </c>
      <c r="D77" s="17"/>
      <c r="E77" s="38"/>
      <c r="F77" s="38"/>
      <c r="G77" s="38"/>
      <c r="H77" s="38"/>
      <c r="I77" s="38"/>
      <c r="J77" s="7"/>
      <c r="K77" s="40" t="str">
        <f t="shared" si="23"/>
        <v/>
      </c>
      <c r="L77" s="125"/>
      <c r="M77" s="89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45"/>
      <c r="AA77" s="36"/>
      <c r="AB77" s="45"/>
      <c r="AC77" s="36"/>
      <c r="AD77" s="36"/>
      <c r="AE77" s="36"/>
      <c r="AF77" s="36"/>
      <c r="AG77" s="56">
        <f>AG76+0.5</f>
        <v>33.5</v>
      </c>
      <c r="AH77" s="35">
        <f t="shared" si="24"/>
        <v>0</v>
      </c>
      <c r="AI77" s="35">
        <f>AI76</f>
        <v>189.22857142857146</v>
      </c>
      <c r="AJ77" s="35">
        <f t="shared" si="25"/>
        <v>183</v>
      </c>
      <c r="AK77" s="35">
        <f>IF($AJ$9=0,0,(AK76+AK78)/2)</f>
        <v>183</v>
      </c>
      <c r="AL77" s="64" t="str">
        <f t="shared" si="22"/>
        <v/>
      </c>
      <c r="AM77" s="65" t="str">
        <f t="shared" si="26"/>
        <v/>
      </c>
      <c r="AN77" s="65" t="str">
        <f t="shared" si="27"/>
        <v/>
      </c>
      <c r="AO77" s="65" t="str">
        <f t="shared" si="28"/>
        <v/>
      </c>
      <c r="AP77" s="65" t="str">
        <f t="shared" si="29"/>
        <v/>
      </c>
      <c r="AQ77" s="65" t="str">
        <f t="shared" si="30"/>
        <v/>
      </c>
      <c r="AR77" s="66" t="str">
        <f t="shared" si="31"/>
        <v/>
      </c>
      <c r="AS77" s="39" t="str">
        <f t="shared" si="32"/>
        <v/>
      </c>
      <c r="AT77" s="83"/>
      <c r="AU77" s="85"/>
      <c r="AY77" s="35"/>
      <c r="AZ77" s="35"/>
      <c r="BA77" s="51"/>
      <c r="BE77" s="48"/>
      <c r="BF77" s="48"/>
      <c r="BH77" s="49"/>
      <c r="BI77" s="49"/>
      <c r="CA77" s="37"/>
      <c r="CB77" s="37"/>
    </row>
    <row r="78" spans="2:80" x14ac:dyDescent="0.35">
      <c r="B78" s="94">
        <f>IF(B76="","",B76+7)</f>
        <v>43278</v>
      </c>
      <c r="C78" s="27" t="str">
        <f t="shared" ref="C78:C123" si="33">C76</f>
        <v>Weight</v>
      </c>
      <c r="D78" s="17"/>
      <c r="E78" s="38"/>
      <c r="F78" s="38"/>
      <c r="G78" s="38"/>
      <c r="H78" s="38"/>
      <c r="I78" s="38"/>
      <c r="J78" s="7"/>
      <c r="K78" s="33" t="str">
        <f t="shared" si="23"/>
        <v/>
      </c>
      <c r="L78" s="126" t="str">
        <f>IF(K78="","",AT78)</f>
        <v/>
      </c>
      <c r="M78" s="90" t="str">
        <f ca="1">IF(AV78="","",IF(L78="","",AU78))</f>
        <v/>
      </c>
      <c r="N78" s="36"/>
      <c r="O78" s="69"/>
      <c r="P78" s="69"/>
      <c r="Q78" s="69"/>
      <c r="R78" s="70" t="str">
        <f>IF(S$3="male",IF(S$4="cm",IF(OR(ISBLANK(O78),ISBLANK(P78)),"",ROUND(((86.01*LOG10(O78/2.54-P78/2.54))-(70.041*LOG10(S$5/2.54))+36.76),0)/100),IF(S$4="inch",IF(OR(ISBLANK(O78),ISBLANK(P78)),"",ROUND(((86.01*LOG10(O78-P78))-(70.041*LOG10(S$5))+36.76),0)/100),"")),IF(S$3="female",IF(S$4="cm",IF(OR(ISBLANK(O78),ISBLANK(P78),ISBLANK(Q78)),"",ROUND(((163.205*LOG10(O78/2.54+Q78/2.54-P78/2.54))-(97.684*LOG10(S$5/2.54))-78.387),0)/100),IF(S$4="inch",IF(OR(ISBLANK(O78),ISBLANK(P78),ISBLANK(Q78)),"",ROUND(((163.205*LOG10(O78+Q78-P78))-(97.684*LOG10(S$5))-78.387),0)/100),"")),""))</f>
        <v/>
      </c>
      <c r="S78" s="36"/>
      <c r="T78" s="36"/>
      <c r="U78" s="36"/>
      <c r="V78" s="137" t="str">
        <f ca="1">IF(M82="","","From")</f>
        <v/>
      </c>
      <c r="W78" s="138"/>
      <c r="X78" s="141" t="str">
        <f ca="1">IF(M82="","",B76)</f>
        <v/>
      </c>
      <c r="Y78" s="142"/>
      <c r="Z78" s="142"/>
      <c r="AA78" s="143" t="str">
        <f ca="1">IF(M82="","","to")</f>
        <v/>
      </c>
      <c r="AB78" s="144" t="str">
        <f ca="1">IF(M82="","",B82)</f>
        <v/>
      </c>
      <c r="AC78" s="145"/>
      <c r="AD78" s="146"/>
      <c r="AE78" s="147"/>
      <c r="AF78" s="36"/>
      <c r="AG78" s="56">
        <f>AG76+1</f>
        <v>34</v>
      </c>
      <c r="AH78" s="35">
        <f t="shared" si="24"/>
        <v>0</v>
      </c>
      <c r="AI78" s="35">
        <f>IF(K78="",AI76,K78)</f>
        <v>189.22857142857146</v>
      </c>
      <c r="AJ78" s="35">
        <f t="shared" si="25"/>
        <v>183</v>
      </c>
      <c r="AK78" s="35">
        <f>IF($F$6&gt;$F$7,IF(AK76&gt;AJ78,AK76+$AJ$9,AJ78),IF($F$6&lt;$F$7,IF(AK76&lt;AJ78,AK76+$AJ$9,AJ78),AJ78))</f>
        <v>183</v>
      </c>
      <c r="AL78" s="57" t="str">
        <f t="shared" ref="AL78:AL109" si="34">IF(COUNT(D78:J78)&lt;1,"",IF(D78="",AS76,D78))</f>
        <v/>
      </c>
      <c r="AM78" s="58" t="str">
        <f t="shared" si="26"/>
        <v/>
      </c>
      <c r="AN78" s="58" t="str">
        <f t="shared" si="27"/>
        <v/>
      </c>
      <c r="AO78" s="58" t="str">
        <f t="shared" si="28"/>
        <v/>
      </c>
      <c r="AP78" s="58" t="str">
        <f t="shared" si="29"/>
        <v/>
      </c>
      <c r="AQ78" s="58" t="str">
        <f t="shared" si="30"/>
        <v/>
      </c>
      <c r="AR78" s="59" t="str">
        <f t="shared" si="31"/>
        <v/>
      </c>
      <c r="AS78" s="61" t="str">
        <f t="shared" si="32"/>
        <v/>
      </c>
      <c r="AT78" s="82" t="str">
        <f>IF(AS78="","",AS78-AS76)</f>
        <v/>
      </c>
      <c r="AU78" s="84" t="str">
        <f ca="1">IF(AV78="","",IF(AT78="","",MROUND(AV78,5)))</f>
        <v/>
      </c>
      <c r="AV78" s="35">
        <f ca="1">IF(AH79&lt;7,AV76,IF(AH78&lt;7,AV76,((K79+(((-L78)*$AV$7)/AH79)))+SUM(OFFSET(IF(ROW()/2-5&gt;$S$8,INDEX(M:M,ROW()-(($S$8-1)*2)),$M$12),0,0,IF(ROW()/2-6&gt;($S$8-1),($S$8-1)*2,(ROW()/2-6)*2),1)))/IF(ROW()/2-5&gt;$S$8,$S$8,ROW()/2-5))</f>
        <v>2682.7551020408164</v>
      </c>
      <c r="AY78" s="35"/>
      <c r="AZ78" s="35"/>
      <c r="BA78" s="51"/>
      <c r="BE78" s="48"/>
      <c r="BF78" s="48"/>
      <c r="BH78" s="49"/>
      <c r="BI78" s="49"/>
      <c r="CA78" s="37"/>
      <c r="CB78" s="37"/>
    </row>
    <row r="79" spans="2:80" x14ac:dyDescent="0.35">
      <c r="B79" s="93"/>
      <c r="C79" s="28" t="str">
        <f t="shared" si="33"/>
        <v>Cal.</v>
      </c>
      <c r="D79" s="17"/>
      <c r="E79" s="38"/>
      <c r="F79" s="38"/>
      <c r="G79" s="38"/>
      <c r="H79" s="38"/>
      <c r="I79" s="38"/>
      <c r="J79" s="7"/>
      <c r="K79" s="40" t="str">
        <f t="shared" si="23"/>
        <v/>
      </c>
      <c r="L79" s="125"/>
      <c r="M79" s="89"/>
      <c r="N79" s="36"/>
      <c r="O79" s="36"/>
      <c r="P79" s="36"/>
      <c r="Q79" s="36"/>
      <c r="R79" s="36"/>
      <c r="S79" s="36"/>
      <c r="T79" s="36"/>
      <c r="U79" s="36"/>
      <c r="V79" s="139"/>
      <c r="W79" s="140"/>
      <c r="X79" s="140"/>
      <c r="Y79" s="140"/>
      <c r="Z79" s="140"/>
      <c r="AA79" s="140"/>
      <c r="AB79" s="140"/>
      <c r="AC79" s="140"/>
      <c r="AD79" s="140"/>
      <c r="AE79" s="148"/>
      <c r="AF79" s="36"/>
      <c r="AG79" s="56">
        <f>AG78+0.5</f>
        <v>34.5</v>
      </c>
      <c r="AH79" s="35">
        <f t="shared" si="24"/>
        <v>0</v>
      </c>
      <c r="AI79" s="35">
        <f>AI78</f>
        <v>189.22857142857146</v>
      </c>
      <c r="AJ79" s="35">
        <f t="shared" si="25"/>
        <v>183</v>
      </c>
      <c r="AK79" s="35">
        <f>IF($AJ$9=0,0,(AK78+AK80)/2)</f>
        <v>183</v>
      </c>
      <c r="AL79" s="64" t="str">
        <f t="shared" si="34"/>
        <v/>
      </c>
      <c r="AM79" s="65" t="str">
        <f t="shared" si="26"/>
        <v/>
      </c>
      <c r="AN79" s="65" t="str">
        <f t="shared" si="27"/>
        <v/>
      </c>
      <c r="AO79" s="65" t="str">
        <f t="shared" si="28"/>
        <v/>
      </c>
      <c r="AP79" s="65" t="str">
        <f t="shared" si="29"/>
        <v/>
      </c>
      <c r="AQ79" s="65" t="str">
        <f t="shared" si="30"/>
        <v/>
      </c>
      <c r="AR79" s="66" t="str">
        <f t="shared" si="31"/>
        <v/>
      </c>
      <c r="AS79" s="39" t="str">
        <f t="shared" si="32"/>
        <v/>
      </c>
      <c r="AT79" s="83"/>
      <c r="AU79" s="85"/>
      <c r="AY79" s="35"/>
      <c r="AZ79" s="35"/>
      <c r="BA79" s="51"/>
      <c r="BE79" s="48"/>
      <c r="BF79" s="48"/>
      <c r="BH79" s="49"/>
      <c r="BI79" s="49"/>
      <c r="CA79" s="37"/>
      <c r="CB79" s="37"/>
    </row>
    <row r="80" spans="2:80" x14ac:dyDescent="0.35">
      <c r="B80" s="94">
        <f>IF(B78="","",B78+7)</f>
        <v>43285</v>
      </c>
      <c r="C80" s="27" t="str">
        <f t="shared" si="33"/>
        <v>Weight</v>
      </c>
      <c r="D80" s="17"/>
      <c r="E80" s="38"/>
      <c r="F80" s="38"/>
      <c r="G80" s="38"/>
      <c r="H80" s="38"/>
      <c r="I80" s="38"/>
      <c r="J80" s="7"/>
      <c r="K80" s="33" t="str">
        <f t="shared" si="23"/>
        <v/>
      </c>
      <c r="L80" s="126" t="str">
        <f>IF(K80="","",AT80)</f>
        <v/>
      </c>
      <c r="M80" s="90" t="str">
        <f ca="1">IF(AV80="","",IF(L80="","",AU80))</f>
        <v/>
      </c>
      <c r="N80" s="36"/>
      <c r="O80" s="69"/>
      <c r="P80" s="69"/>
      <c r="Q80" s="69"/>
      <c r="R80" s="70" t="str">
        <f>IF(S$3="male",IF(S$4="cm",IF(OR(ISBLANK(O80),ISBLANK(P80)),"",ROUND(((86.01*LOG10(O80/2.54-P80/2.54))-(70.041*LOG10(S$5/2.54))+36.76),0)/100),IF(S$4="inch",IF(OR(ISBLANK(O80),ISBLANK(P80)),"",ROUND(((86.01*LOG10(O80-P80))-(70.041*LOG10(S$5))+36.76),0)/100),"")),IF(S$3="female",IF(S$4="cm",IF(OR(ISBLANK(O80),ISBLANK(P80),ISBLANK(Q80)),"",ROUND(((163.205*LOG10(O80/2.54+Q80/2.54-P80/2.54))-(97.684*LOG10(S$5/2.54))-78.387),0)/100),IF(S$4="inch",IF(OR(ISBLANK(O80),ISBLANK(P80),ISBLANK(Q80)),"",ROUND(((163.205*LOG10(O80+Q80-P80))-(97.684*LOG10(S$5))-78.387),0)/100),"")),""))</f>
        <v/>
      </c>
      <c r="S80" s="36"/>
      <c r="T80" s="36"/>
      <c r="U80" s="36"/>
      <c r="V80" s="128" t="str">
        <f ca="1">IF(M82="","",IF(K82=K74,"No Weight Change",IF(K82&gt;K74,"You Gained:","You Lost:")))</f>
        <v/>
      </c>
      <c r="W80" s="129"/>
      <c r="X80" s="129"/>
      <c r="Y80" s="129"/>
      <c r="Z80" s="129"/>
      <c r="AA80" s="129"/>
      <c r="AB80" s="42" t="str">
        <f ca="1">IF(M82="","",IF(K82=K74,"",IF(K82&gt;K74,K82-K74,K74-K82)))</f>
        <v/>
      </c>
      <c r="AC80" s="160" t="str">
        <f ca="1">IF(V80="","",IF(V80="No Weight Change","",IF($F$4="Lb","Lb",IF($F$4="Kg","Kg",""))))</f>
        <v/>
      </c>
      <c r="AD80" s="161"/>
      <c r="AE80" s="162"/>
      <c r="AF80" s="36"/>
      <c r="AG80" s="56">
        <f>AG78+1</f>
        <v>35</v>
      </c>
      <c r="AH80" s="35">
        <f t="shared" si="24"/>
        <v>0</v>
      </c>
      <c r="AI80" s="35">
        <f>IF(K80="",AI78,K80)</f>
        <v>189.22857142857146</v>
      </c>
      <c r="AJ80" s="35">
        <f t="shared" si="25"/>
        <v>183</v>
      </c>
      <c r="AK80" s="35">
        <f>IF($F$6&gt;$F$7,IF(AK78&gt;AJ80,AK78+$AJ$9,AJ80),IF($F$6&lt;$F$7,IF(AK78&lt;AJ80,AK78+$AJ$9,AJ80),AJ80))</f>
        <v>183</v>
      </c>
      <c r="AL80" s="57" t="str">
        <f t="shared" si="34"/>
        <v/>
      </c>
      <c r="AM80" s="58" t="str">
        <f t="shared" si="26"/>
        <v/>
      </c>
      <c r="AN80" s="58" t="str">
        <f t="shared" si="27"/>
        <v/>
      </c>
      <c r="AO80" s="58" t="str">
        <f t="shared" si="28"/>
        <v/>
      </c>
      <c r="AP80" s="58" t="str">
        <f t="shared" si="29"/>
        <v/>
      </c>
      <c r="AQ80" s="58" t="str">
        <f t="shared" si="30"/>
        <v/>
      </c>
      <c r="AR80" s="59" t="str">
        <f t="shared" si="31"/>
        <v/>
      </c>
      <c r="AS80" s="61" t="str">
        <f t="shared" si="32"/>
        <v/>
      </c>
      <c r="AT80" s="82" t="str">
        <f>IF(AS80="","",AS80-AS78)</f>
        <v/>
      </c>
      <c r="AU80" s="84" t="str">
        <f ca="1">IF(AV80="","",IF(AT80="","",MROUND(AV80,5)))</f>
        <v/>
      </c>
      <c r="AV80" s="35">
        <f ca="1">IF(AH81&lt;7,AV78,IF(AH80&lt;7,AV78,((K81+(((-L80)*$AV$7)/AH81)))+SUM(OFFSET(IF(ROW()/2-5&gt;$S$8,INDEX(M:M,ROW()-(($S$8-1)*2)),$M$12),0,0,IF(ROW()/2-6&gt;($S$8-1),($S$8-1)*2,(ROW()/2-6)*2),1)))/IF(ROW()/2-5&gt;$S$8,$S$8,ROW()/2-5))</f>
        <v>2682.7551020408164</v>
      </c>
      <c r="AY80" s="35"/>
      <c r="AZ80" s="35"/>
      <c r="BA80" s="51"/>
      <c r="BE80" s="48"/>
      <c r="BF80" s="48"/>
      <c r="BH80" s="49"/>
      <c r="BI80" s="49"/>
      <c r="CA80" s="37"/>
      <c r="CB80" s="37"/>
    </row>
    <row r="81" spans="2:80" x14ac:dyDescent="0.35">
      <c r="B81" s="93"/>
      <c r="C81" s="28" t="str">
        <f t="shared" si="33"/>
        <v>Cal.</v>
      </c>
      <c r="D81" s="17"/>
      <c r="E81" s="38"/>
      <c r="F81" s="38"/>
      <c r="G81" s="38"/>
      <c r="H81" s="38"/>
      <c r="I81" s="38"/>
      <c r="J81" s="7"/>
      <c r="K81" s="40" t="str">
        <f t="shared" si="23"/>
        <v/>
      </c>
      <c r="L81" s="125"/>
      <c r="M81" s="89"/>
      <c r="N81" s="36"/>
      <c r="O81" s="36"/>
      <c r="P81" s="36"/>
      <c r="Q81" s="36"/>
      <c r="R81" s="36"/>
      <c r="S81" s="36"/>
      <c r="T81" s="36"/>
      <c r="U81" s="36"/>
      <c r="V81" s="130" t="str">
        <f ca="1">IF(M82="","",IF(K82=K74,"","At a Rate Of"))</f>
        <v/>
      </c>
      <c r="W81" s="131"/>
      <c r="X81" s="131"/>
      <c r="Y81" s="131"/>
      <c r="Z81" s="131"/>
      <c r="AA81" s="132" t="str">
        <f ca="1">IF(V81="","",AB80/4)</f>
        <v/>
      </c>
      <c r="AB81" s="133"/>
      <c r="AC81" s="134" t="str">
        <f ca="1">IF(V80="","",IF(V80="No Weight Change","",IF($F$4="Lb","Lb/Wk",IF($F$4="Kg","Kg/Wk",""))))</f>
        <v/>
      </c>
      <c r="AD81" s="135"/>
      <c r="AE81" s="136"/>
      <c r="AF81" s="36"/>
      <c r="AG81" s="56">
        <f>AG80+0.5</f>
        <v>35.5</v>
      </c>
      <c r="AH81" s="35">
        <f t="shared" si="24"/>
        <v>0</v>
      </c>
      <c r="AI81" s="35">
        <f>AI80</f>
        <v>189.22857142857146</v>
      </c>
      <c r="AJ81" s="35">
        <f t="shared" si="25"/>
        <v>183</v>
      </c>
      <c r="AK81" s="35">
        <f>IF($AJ$9=0,0,(AK80+AK82)/2)</f>
        <v>183</v>
      </c>
      <c r="AL81" s="64" t="str">
        <f t="shared" si="34"/>
        <v/>
      </c>
      <c r="AM81" s="65" t="str">
        <f t="shared" si="26"/>
        <v/>
      </c>
      <c r="AN81" s="65" t="str">
        <f t="shared" si="27"/>
        <v/>
      </c>
      <c r="AO81" s="65" t="str">
        <f t="shared" si="28"/>
        <v/>
      </c>
      <c r="AP81" s="65" t="str">
        <f t="shared" si="29"/>
        <v/>
      </c>
      <c r="AQ81" s="65" t="str">
        <f t="shared" si="30"/>
        <v/>
      </c>
      <c r="AR81" s="66" t="str">
        <f t="shared" si="31"/>
        <v/>
      </c>
      <c r="AS81" s="39" t="str">
        <f t="shared" si="32"/>
        <v/>
      </c>
      <c r="AT81" s="83"/>
      <c r="AU81" s="85"/>
      <c r="AY81" s="35"/>
      <c r="AZ81" s="35"/>
      <c r="BA81" s="51"/>
      <c r="BE81" s="48"/>
      <c r="BF81" s="48"/>
      <c r="BH81" s="49"/>
      <c r="BI81" s="49"/>
      <c r="CA81" s="37"/>
      <c r="CB81" s="37"/>
    </row>
    <row r="82" spans="2:80" x14ac:dyDescent="0.35">
      <c r="B82" s="94">
        <f>IF(B80="","",B80+7)</f>
        <v>43292</v>
      </c>
      <c r="C82" s="27" t="str">
        <f t="shared" si="33"/>
        <v>Weight</v>
      </c>
      <c r="D82" s="17"/>
      <c r="E82" s="38"/>
      <c r="F82" s="38"/>
      <c r="G82" s="38"/>
      <c r="H82" s="38"/>
      <c r="I82" s="38"/>
      <c r="J82" s="7"/>
      <c r="K82" s="33" t="str">
        <f t="shared" si="23"/>
        <v/>
      </c>
      <c r="L82" s="126" t="str">
        <f>IF(K82="","",AT82)</f>
        <v/>
      </c>
      <c r="M82" s="90" t="str">
        <f ca="1">IF(AV82="","",IF(L82="","",AU82))</f>
        <v/>
      </c>
      <c r="N82" s="36"/>
      <c r="O82" s="69"/>
      <c r="P82" s="69"/>
      <c r="Q82" s="69"/>
      <c r="R82" s="70" t="str">
        <f>IF(S$3="male",IF(S$4="cm",IF(OR(ISBLANK(O82),ISBLANK(P82)),"",ROUND(((86.01*LOG10(O82/2.54-P82/2.54))-(70.041*LOG10(S$5/2.54))+36.76),0)/100),IF(S$4="inch",IF(OR(ISBLANK(O82),ISBLANK(P82)),"",ROUND(((86.01*LOG10(O82-P82))-(70.041*LOG10(S$5))+36.76),0)/100),"")),IF(S$3="female",IF(S$4="cm",IF(OR(ISBLANK(O82),ISBLANK(P82),ISBLANK(Q82)),"",ROUND(((163.205*LOG10(O82/2.54+Q82/2.54-P82/2.54))-(97.684*LOG10(S$5/2.54))-78.387),0)/100),IF(S$4="inch",IF(OR(ISBLANK(O82),ISBLANK(P82),ISBLANK(Q82)),"",ROUND(((163.205*LOG10(O82+Q82-P82))-(97.684*LOG10(S$5))-78.387),0)/100),"")),""))</f>
        <v/>
      </c>
      <c r="S82" s="36"/>
      <c r="T82" s="36"/>
      <c r="U82" s="36"/>
      <c r="V82" s="149" t="str">
        <f ca="1">IF(AA81="","","You have")</f>
        <v/>
      </c>
      <c r="W82" s="150"/>
      <c r="X82" s="150"/>
      <c r="Y82" s="150"/>
      <c r="Z82" s="153" t="str">
        <f ca="1">IF(AA81="","",IF(K82&gt;$F$7,K82-$F$7,$F$7-K82))</f>
        <v/>
      </c>
      <c r="AA82" s="155" t="str">
        <f ca="1">IF(AA81="","",IF(AA81="No Weight Change","",IF($F$4="Lb","Lb to go!",IF($F$4="Kg","Kg to go!",""))))</f>
        <v/>
      </c>
      <c r="AB82" s="156"/>
      <c r="AC82" s="156"/>
      <c r="AD82" s="156"/>
      <c r="AE82" s="157"/>
      <c r="AF82" s="36"/>
      <c r="AG82" s="56">
        <f>AG80+1</f>
        <v>36</v>
      </c>
      <c r="AH82" s="35">
        <f t="shared" si="24"/>
        <v>0</v>
      </c>
      <c r="AI82" s="35">
        <f>IF(K82="",AI80,K82)</f>
        <v>189.22857142857146</v>
      </c>
      <c r="AJ82" s="35">
        <f t="shared" si="25"/>
        <v>183</v>
      </c>
      <c r="AK82" s="35">
        <f>IF($F$6&gt;$F$7,IF(AK80&gt;AJ82,AK80+$AJ$9,AJ82),IF($F$6&lt;$F$7,IF(AK80&lt;AJ82,AK80+$AJ$9,AJ82),AJ82))</f>
        <v>183</v>
      </c>
      <c r="AL82" s="57" t="str">
        <f t="shared" si="34"/>
        <v/>
      </c>
      <c r="AM82" s="58" t="str">
        <f t="shared" si="26"/>
        <v/>
      </c>
      <c r="AN82" s="58" t="str">
        <f t="shared" si="27"/>
        <v/>
      </c>
      <c r="AO82" s="58" t="str">
        <f t="shared" si="28"/>
        <v/>
      </c>
      <c r="AP82" s="58" t="str">
        <f t="shared" si="29"/>
        <v/>
      </c>
      <c r="AQ82" s="58" t="str">
        <f t="shared" si="30"/>
        <v/>
      </c>
      <c r="AR82" s="59" t="str">
        <f t="shared" si="31"/>
        <v/>
      </c>
      <c r="AS82" s="61" t="str">
        <f t="shared" si="32"/>
        <v/>
      </c>
      <c r="AT82" s="82" t="str">
        <f>IF(AS82="","",AS82-AS80)</f>
        <v/>
      </c>
      <c r="AU82" s="84" t="str">
        <f ca="1">IF(AV82="","",IF(AT82="","",MROUND(AV82,5)))</f>
        <v/>
      </c>
      <c r="AV82" s="35">
        <f ca="1">IF(AH83&lt;7,AV80,IF(AH82&lt;7,AV80,((K83+(((-L82)*$AV$7)/AH83)))+SUM(OFFSET(IF(ROW()/2-5&gt;$S$8,INDEX(M:M,ROW()-(($S$8-1)*2)),$M$12),0,0,IF(ROW()/2-6&gt;($S$8-1),($S$8-1)*2,(ROW()/2-6)*2),1)))/IF(ROW()/2-5&gt;$S$8,$S$8,ROW()/2-5))</f>
        <v>2682.7551020408164</v>
      </c>
      <c r="AY82" s="35"/>
      <c r="AZ82" s="35"/>
      <c r="BA82" s="51"/>
      <c r="BE82" s="48"/>
      <c r="BF82" s="48"/>
      <c r="BH82" s="49"/>
      <c r="BI82" s="49"/>
      <c r="CA82" s="37"/>
      <c r="CB82" s="37"/>
    </row>
    <row r="83" spans="2:80" x14ac:dyDescent="0.35">
      <c r="B83" s="95"/>
      <c r="C83" s="11" t="str">
        <f t="shared" si="33"/>
        <v>Cal.</v>
      </c>
      <c r="D83" s="18"/>
      <c r="E83" s="19"/>
      <c r="F83" s="19"/>
      <c r="G83" s="19"/>
      <c r="H83" s="19"/>
      <c r="I83" s="19"/>
      <c r="J83" s="24"/>
      <c r="K83" s="39" t="str">
        <f t="shared" si="23"/>
        <v/>
      </c>
      <c r="L83" s="127"/>
      <c r="M83" s="91"/>
      <c r="N83" s="36"/>
      <c r="O83" s="36"/>
      <c r="P83" s="36"/>
      <c r="Q83" s="36"/>
      <c r="R83" s="36"/>
      <c r="S83" s="36"/>
      <c r="T83" s="36"/>
      <c r="U83" s="36"/>
      <c r="V83" s="151"/>
      <c r="W83" s="152"/>
      <c r="X83" s="152"/>
      <c r="Y83" s="152"/>
      <c r="Z83" s="154"/>
      <c r="AA83" s="158"/>
      <c r="AB83" s="158"/>
      <c r="AC83" s="158"/>
      <c r="AD83" s="158"/>
      <c r="AE83" s="159"/>
      <c r="AF83" s="36"/>
      <c r="AG83" s="56">
        <f>AG82+0.5</f>
        <v>36.5</v>
      </c>
      <c r="AH83" s="35">
        <f t="shared" si="24"/>
        <v>0</v>
      </c>
      <c r="AI83" s="35">
        <f>AI82</f>
        <v>189.22857142857146</v>
      </c>
      <c r="AJ83" s="35">
        <f t="shared" si="25"/>
        <v>183</v>
      </c>
      <c r="AK83" s="35">
        <f>IF($AJ$9=0,0,(AK82+AK84)/2)</f>
        <v>183</v>
      </c>
      <c r="AL83" s="64" t="str">
        <f t="shared" si="34"/>
        <v/>
      </c>
      <c r="AM83" s="65" t="str">
        <f t="shared" si="26"/>
        <v/>
      </c>
      <c r="AN83" s="65" t="str">
        <f t="shared" si="27"/>
        <v/>
      </c>
      <c r="AO83" s="65" t="str">
        <f t="shared" si="28"/>
        <v/>
      </c>
      <c r="AP83" s="65" t="str">
        <f t="shared" si="29"/>
        <v/>
      </c>
      <c r="AQ83" s="65" t="str">
        <f t="shared" si="30"/>
        <v/>
      </c>
      <c r="AR83" s="66" t="str">
        <f t="shared" si="31"/>
        <v/>
      </c>
      <c r="AS83" s="39" t="str">
        <f t="shared" si="32"/>
        <v/>
      </c>
      <c r="AT83" s="83"/>
      <c r="AU83" s="85"/>
      <c r="AY83" s="35"/>
      <c r="AZ83" s="35"/>
      <c r="BA83" s="51"/>
      <c r="BE83" s="48"/>
      <c r="BF83" s="48"/>
      <c r="BH83" s="49"/>
      <c r="BI83" s="49"/>
      <c r="CA83" s="37"/>
      <c r="CB83" s="37"/>
    </row>
    <row r="84" spans="2:80" x14ac:dyDescent="0.35">
      <c r="B84" s="92">
        <f>IF(B82="","",B82+7)</f>
        <v>43299</v>
      </c>
      <c r="C84" s="10" t="str">
        <f t="shared" si="33"/>
        <v>Weight</v>
      </c>
      <c r="D84" s="15"/>
      <c r="E84" s="16"/>
      <c r="F84" s="16"/>
      <c r="G84" s="16"/>
      <c r="H84" s="16"/>
      <c r="I84" s="16"/>
      <c r="J84" s="23"/>
      <c r="K84" s="32" t="str">
        <f t="shared" si="23"/>
        <v/>
      </c>
      <c r="L84" s="124" t="str">
        <f>IF(K84="","",AT84)</f>
        <v/>
      </c>
      <c r="M84" s="88" t="str">
        <f ca="1">IF(AV84="","",IF(L84="","",AU84))</f>
        <v/>
      </c>
      <c r="N84" s="36"/>
      <c r="O84" s="69"/>
      <c r="P84" s="69"/>
      <c r="Q84" s="69"/>
      <c r="R84" s="70" t="str">
        <f>IF(S$3="male",IF(S$4="cm",IF(OR(ISBLANK(O84),ISBLANK(P84)),"",ROUND(((86.01*LOG10(O84/2.54-P84/2.54))-(70.041*LOG10(S$5/2.54))+36.76),0)/100),IF(S$4="inch",IF(OR(ISBLANK(O84),ISBLANK(P84)),"",ROUND(((86.01*LOG10(O84-P84))-(70.041*LOG10(S$5))+36.76),0)/100),"")),IF(S$3="female",IF(S$4="cm",IF(OR(ISBLANK(O84),ISBLANK(P84),ISBLANK(Q84)),"",ROUND(((163.205*LOG10(O84/2.54+Q84/2.54-P84/2.54))-(97.684*LOG10(S$5/2.54))-78.387),0)/100),IF(S$4="inch",IF(OR(ISBLANK(O84),ISBLANK(P84),ISBLANK(Q84)),"",ROUND(((163.205*LOG10(O84+Q84-P84))-(97.684*LOG10(S$5))-78.387),0)/100),"")),""))</f>
        <v/>
      </c>
      <c r="S84" s="36"/>
      <c r="T84" s="36"/>
      <c r="U84" s="36"/>
      <c r="V84" s="36"/>
      <c r="W84" s="36"/>
      <c r="X84" s="36"/>
      <c r="Y84" s="36"/>
      <c r="Z84" s="45"/>
      <c r="AA84" s="36"/>
      <c r="AB84" s="45"/>
      <c r="AC84" s="36"/>
      <c r="AD84" s="36"/>
      <c r="AE84" s="36"/>
      <c r="AF84" s="36"/>
      <c r="AG84" s="56">
        <f>AG82+1</f>
        <v>37</v>
      </c>
      <c r="AH84" s="35">
        <f t="shared" si="24"/>
        <v>0</v>
      </c>
      <c r="AI84" s="35">
        <f>IF(K84="",AI82,K84)</f>
        <v>189.22857142857146</v>
      </c>
      <c r="AJ84" s="35">
        <f t="shared" si="25"/>
        <v>183</v>
      </c>
      <c r="AK84" s="35">
        <f>IF($F$6&gt;$F$7,IF(AK82&gt;AJ84,AK82+$AJ$9,AJ84),IF($F$6&lt;$F$7,IF(AK82&lt;AJ84,AK82+$AJ$9,AJ84),AJ84))</f>
        <v>183</v>
      </c>
      <c r="AL84" s="57" t="str">
        <f t="shared" si="34"/>
        <v/>
      </c>
      <c r="AM84" s="58" t="str">
        <f t="shared" si="26"/>
        <v/>
      </c>
      <c r="AN84" s="58" t="str">
        <f t="shared" si="27"/>
        <v/>
      </c>
      <c r="AO84" s="58" t="str">
        <f t="shared" si="28"/>
        <v/>
      </c>
      <c r="AP84" s="58" t="str">
        <f t="shared" si="29"/>
        <v/>
      </c>
      <c r="AQ84" s="58" t="str">
        <f t="shared" si="30"/>
        <v/>
      </c>
      <c r="AR84" s="59" t="str">
        <f t="shared" si="31"/>
        <v/>
      </c>
      <c r="AS84" s="61" t="str">
        <f t="shared" si="32"/>
        <v/>
      </c>
      <c r="AT84" s="82" t="str">
        <f>IF(AS84="","",AS84-AS82)</f>
        <v/>
      </c>
      <c r="AU84" s="84" t="str">
        <f ca="1">IF(AV84="","",IF(AT84="","",MROUND(AV84,5)))</f>
        <v/>
      </c>
      <c r="AV84" s="35">
        <f ca="1">IF(AH85&lt;7,AV82,IF(AH84&lt;7,AV82,((K85+(((-L84)*$AV$7)/AH85)))+SUM(OFFSET(IF(ROW()/2-5&gt;$S$8,INDEX(M:M,ROW()-(($S$8-1)*2)),$M$12),0,0,IF(ROW()/2-6&gt;($S$8-1),($S$8-1)*2,(ROW()/2-6)*2),1)))/IF(ROW()/2-5&gt;$S$8,$S$8,ROW()/2-5))</f>
        <v>2682.7551020408164</v>
      </c>
      <c r="AY84" s="35"/>
      <c r="AZ84" s="35"/>
      <c r="BA84" s="51"/>
      <c r="BE84" s="48"/>
      <c r="BF84" s="48"/>
      <c r="BH84" s="49"/>
      <c r="BI84" s="49"/>
      <c r="CA84" s="37"/>
      <c r="CB84" s="37"/>
    </row>
    <row r="85" spans="2:80" x14ac:dyDescent="0.35">
      <c r="B85" s="93"/>
      <c r="C85" s="26" t="str">
        <f t="shared" si="33"/>
        <v>Cal.</v>
      </c>
      <c r="D85" s="17"/>
      <c r="E85" s="38"/>
      <c r="F85" s="38"/>
      <c r="G85" s="38"/>
      <c r="H85" s="38"/>
      <c r="I85" s="38"/>
      <c r="J85" s="7"/>
      <c r="K85" s="40" t="str">
        <f t="shared" si="23"/>
        <v/>
      </c>
      <c r="L85" s="125"/>
      <c r="M85" s="89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45"/>
      <c r="AA85" s="36"/>
      <c r="AB85" s="45"/>
      <c r="AC85" s="36"/>
      <c r="AD85" s="36"/>
      <c r="AE85" s="36"/>
      <c r="AF85" s="36"/>
      <c r="AG85" s="56">
        <f>AG84+0.5</f>
        <v>37.5</v>
      </c>
      <c r="AH85" s="35">
        <f t="shared" si="24"/>
        <v>0</v>
      </c>
      <c r="AI85" s="35">
        <f>AI84</f>
        <v>189.22857142857146</v>
      </c>
      <c r="AJ85" s="35">
        <f t="shared" si="25"/>
        <v>183</v>
      </c>
      <c r="AK85" s="35">
        <f>IF($AJ$9=0,0,(AK84+AK86)/2)</f>
        <v>183</v>
      </c>
      <c r="AL85" s="64" t="str">
        <f t="shared" si="34"/>
        <v/>
      </c>
      <c r="AM85" s="65" t="str">
        <f t="shared" si="26"/>
        <v/>
      </c>
      <c r="AN85" s="65" t="str">
        <f t="shared" si="27"/>
        <v/>
      </c>
      <c r="AO85" s="65" t="str">
        <f t="shared" si="28"/>
        <v/>
      </c>
      <c r="AP85" s="65" t="str">
        <f t="shared" si="29"/>
        <v/>
      </c>
      <c r="AQ85" s="65" t="str">
        <f t="shared" si="30"/>
        <v/>
      </c>
      <c r="AR85" s="66" t="str">
        <f t="shared" si="31"/>
        <v/>
      </c>
      <c r="AS85" s="39" t="str">
        <f t="shared" si="32"/>
        <v/>
      </c>
      <c r="AT85" s="83"/>
      <c r="AU85" s="85"/>
      <c r="AY85" s="35"/>
      <c r="AZ85" s="35"/>
      <c r="BA85" s="51"/>
      <c r="BE85" s="48"/>
      <c r="BF85" s="48"/>
      <c r="BH85" s="49"/>
      <c r="BI85" s="49"/>
      <c r="CA85" s="37"/>
      <c r="CB85" s="37"/>
    </row>
    <row r="86" spans="2:80" x14ac:dyDescent="0.35">
      <c r="B86" s="94">
        <f>IF(B84="","",B84+7)</f>
        <v>43306</v>
      </c>
      <c r="C86" s="27" t="str">
        <f t="shared" si="33"/>
        <v>Weight</v>
      </c>
      <c r="D86" s="17"/>
      <c r="E86" s="38"/>
      <c r="F86" s="38"/>
      <c r="G86" s="38"/>
      <c r="H86" s="38"/>
      <c r="I86" s="38"/>
      <c r="J86" s="7"/>
      <c r="K86" s="33" t="str">
        <f t="shared" si="23"/>
        <v/>
      </c>
      <c r="L86" s="126" t="str">
        <f>IF(K86="","",AT86)</f>
        <v/>
      </c>
      <c r="M86" s="90" t="str">
        <f ca="1">IF(AV86="","",IF(L86="","",AU86))</f>
        <v/>
      </c>
      <c r="N86" s="36"/>
      <c r="O86" s="69"/>
      <c r="P86" s="69"/>
      <c r="Q86" s="69"/>
      <c r="R86" s="70" t="str">
        <f>IF(S$3="male",IF(S$4="cm",IF(OR(ISBLANK(O86),ISBLANK(P86)),"",ROUND(((86.01*LOG10(O86/2.54-P86/2.54))-(70.041*LOG10(S$5/2.54))+36.76),0)/100),IF(S$4="inch",IF(OR(ISBLANK(O86),ISBLANK(P86)),"",ROUND(((86.01*LOG10(O86-P86))-(70.041*LOG10(S$5))+36.76),0)/100),"")),IF(S$3="female",IF(S$4="cm",IF(OR(ISBLANK(O86),ISBLANK(P86),ISBLANK(Q86)),"",ROUND(((163.205*LOG10(O86/2.54+Q86/2.54-P86/2.54))-(97.684*LOG10(S$5/2.54))-78.387),0)/100),IF(S$4="inch",IF(OR(ISBLANK(O86),ISBLANK(P86),ISBLANK(Q86)),"",ROUND(((163.205*LOG10(O86+Q86-P86))-(97.684*LOG10(S$5))-78.387),0)/100),"")),""))</f>
        <v/>
      </c>
      <c r="S86" s="36"/>
      <c r="T86" s="36"/>
      <c r="U86" s="36"/>
      <c r="V86" s="137" t="str">
        <f ca="1">IF(M90="","","From")</f>
        <v/>
      </c>
      <c r="W86" s="138"/>
      <c r="X86" s="141" t="str">
        <f ca="1">IF(M90="","",B84)</f>
        <v/>
      </c>
      <c r="Y86" s="142"/>
      <c r="Z86" s="142"/>
      <c r="AA86" s="143" t="str">
        <f ca="1">IF(M90="","","to")</f>
        <v/>
      </c>
      <c r="AB86" s="144" t="str">
        <f ca="1">IF(M90="","",B90)</f>
        <v/>
      </c>
      <c r="AC86" s="145"/>
      <c r="AD86" s="146"/>
      <c r="AE86" s="147"/>
      <c r="AF86" s="36"/>
      <c r="AG86" s="56">
        <f>AG84+1</f>
        <v>38</v>
      </c>
      <c r="AH86" s="35">
        <f t="shared" si="24"/>
        <v>0</v>
      </c>
      <c r="AI86" s="35">
        <f>IF(K86="",AI84,K86)</f>
        <v>189.22857142857146</v>
      </c>
      <c r="AJ86" s="35">
        <f t="shared" si="25"/>
        <v>183</v>
      </c>
      <c r="AK86" s="35">
        <f>IF($F$6&gt;$F$7,IF(AK84&gt;AJ86,AK84+$AJ$9,AJ86),IF($F$6&lt;$F$7,IF(AK84&lt;AJ86,AK84+$AJ$9,AJ86),AJ86))</f>
        <v>183</v>
      </c>
      <c r="AL86" s="57" t="str">
        <f t="shared" si="34"/>
        <v/>
      </c>
      <c r="AM86" s="58" t="str">
        <f t="shared" si="26"/>
        <v/>
      </c>
      <c r="AN86" s="58" t="str">
        <f t="shared" si="27"/>
        <v/>
      </c>
      <c r="AO86" s="58" t="str">
        <f t="shared" si="28"/>
        <v/>
      </c>
      <c r="AP86" s="58" t="str">
        <f t="shared" si="29"/>
        <v/>
      </c>
      <c r="AQ86" s="58" t="str">
        <f t="shared" si="30"/>
        <v/>
      </c>
      <c r="AR86" s="59" t="str">
        <f t="shared" si="31"/>
        <v/>
      </c>
      <c r="AS86" s="61" t="str">
        <f t="shared" si="32"/>
        <v/>
      </c>
      <c r="AT86" s="82" t="str">
        <f>IF(AS86="","",AS86-AS84)</f>
        <v/>
      </c>
      <c r="AU86" s="84" t="str">
        <f ca="1">IF(AV86="","",IF(AT86="","",MROUND(AV86,5)))</f>
        <v/>
      </c>
      <c r="AV86" s="35">
        <f ca="1">IF(AH87&lt;7,AV84,IF(AH86&lt;7,AV84,((K87+(((-L86)*$AV$7)/AH87)))+SUM(OFFSET(IF(ROW()/2-5&gt;$S$8,INDEX(M:M,ROW()-(($S$8-1)*2)),$M$12),0,0,IF(ROW()/2-6&gt;($S$8-1),($S$8-1)*2,(ROW()/2-6)*2),1)))/IF(ROW()/2-5&gt;$S$8,$S$8,ROW()/2-5))</f>
        <v>2682.7551020408164</v>
      </c>
      <c r="AY86" s="35"/>
      <c r="AZ86" s="35"/>
      <c r="BA86" s="51"/>
      <c r="BE86" s="48"/>
      <c r="BF86" s="48"/>
      <c r="BH86" s="49"/>
      <c r="BI86" s="49"/>
      <c r="CA86" s="37"/>
      <c r="CB86" s="37"/>
    </row>
    <row r="87" spans="2:80" x14ac:dyDescent="0.35">
      <c r="B87" s="93"/>
      <c r="C87" s="28" t="str">
        <f t="shared" si="33"/>
        <v>Cal.</v>
      </c>
      <c r="D87" s="17"/>
      <c r="E87" s="38"/>
      <c r="F87" s="38"/>
      <c r="G87" s="38"/>
      <c r="H87" s="38"/>
      <c r="I87" s="38"/>
      <c r="J87" s="7"/>
      <c r="K87" s="40" t="str">
        <f t="shared" si="23"/>
        <v/>
      </c>
      <c r="L87" s="125"/>
      <c r="M87" s="89"/>
      <c r="N87" s="36"/>
      <c r="O87" s="36"/>
      <c r="P87" s="36"/>
      <c r="Q87" s="36"/>
      <c r="R87" s="36"/>
      <c r="S87" s="36"/>
      <c r="T87" s="36"/>
      <c r="U87" s="36"/>
      <c r="V87" s="139"/>
      <c r="W87" s="140"/>
      <c r="X87" s="140"/>
      <c r="Y87" s="140"/>
      <c r="Z87" s="140"/>
      <c r="AA87" s="140"/>
      <c r="AB87" s="140"/>
      <c r="AC87" s="140"/>
      <c r="AD87" s="140"/>
      <c r="AE87" s="148"/>
      <c r="AF87" s="36"/>
      <c r="AG87" s="56">
        <f>AG86+0.5</f>
        <v>38.5</v>
      </c>
      <c r="AH87" s="35">
        <f t="shared" si="24"/>
        <v>0</v>
      </c>
      <c r="AI87" s="35">
        <f>AI86</f>
        <v>189.22857142857146</v>
      </c>
      <c r="AJ87" s="35">
        <f t="shared" si="25"/>
        <v>183</v>
      </c>
      <c r="AK87" s="35">
        <f>IF($AJ$9=0,0,(AK86+AK88)/2)</f>
        <v>183</v>
      </c>
      <c r="AL87" s="64" t="str">
        <f t="shared" si="34"/>
        <v/>
      </c>
      <c r="AM87" s="65" t="str">
        <f t="shared" si="26"/>
        <v/>
      </c>
      <c r="AN87" s="65" t="str">
        <f t="shared" si="27"/>
        <v/>
      </c>
      <c r="AO87" s="65" t="str">
        <f t="shared" si="28"/>
        <v/>
      </c>
      <c r="AP87" s="65" t="str">
        <f t="shared" si="29"/>
        <v/>
      </c>
      <c r="AQ87" s="65" t="str">
        <f t="shared" si="30"/>
        <v/>
      </c>
      <c r="AR87" s="66" t="str">
        <f t="shared" si="31"/>
        <v/>
      </c>
      <c r="AS87" s="39" t="str">
        <f t="shared" si="32"/>
        <v/>
      </c>
      <c r="AT87" s="83"/>
      <c r="AU87" s="85"/>
      <c r="AY87" s="35"/>
      <c r="AZ87" s="35"/>
      <c r="BA87" s="51"/>
      <c r="BE87" s="48"/>
      <c r="BF87" s="48"/>
      <c r="BH87" s="49"/>
      <c r="BI87" s="49"/>
      <c r="CA87" s="37"/>
      <c r="CB87" s="37"/>
    </row>
    <row r="88" spans="2:80" x14ac:dyDescent="0.35">
      <c r="B88" s="94">
        <f>IF(B86="","",B86+7)</f>
        <v>43313</v>
      </c>
      <c r="C88" s="27" t="str">
        <f t="shared" si="33"/>
        <v>Weight</v>
      </c>
      <c r="D88" s="17"/>
      <c r="E88" s="38"/>
      <c r="F88" s="38"/>
      <c r="G88" s="38"/>
      <c r="H88" s="38"/>
      <c r="I88" s="38"/>
      <c r="J88" s="7"/>
      <c r="K88" s="33" t="str">
        <f t="shared" si="23"/>
        <v/>
      </c>
      <c r="L88" s="126" t="str">
        <f>IF(K88="","",AT88)</f>
        <v/>
      </c>
      <c r="M88" s="90" t="str">
        <f ca="1">IF(AV88="","",IF(L88="","",AU88))</f>
        <v/>
      </c>
      <c r="N88" s="36"/>
      <c r="O88" s="69"/>
      <c r="P88" s="69"/>
      <c r="Q88" s="69"/>
      <c r="R88" s="70" t="str">
        <f>IF(S$3="male",IF(S$4="cm",IF(OR(ISBLANK(O88),ISBLANK(P88)),"",ROUND(((86.01*LOG10(O88/2.54-P88/2.54))-(70.041*LOG10(S$5/2.54))+36.76),0)/100),IF(S$4="inch",IF(OR(ISBLANK(O88),ISBLANK(P88)),"",ROUND(((86.01*LOG10(O88-P88))-(70.041*LOG10(S$5))+36.76),0)/100),"")),IF(S$3="female",IF(S$4="cm",IF(OR(ISBLANK(O88),ISBLANK(P88),ISBLANK(Q88)),"",ROUND(((163.205*LOG10(O88/2.54+Q88/2.54-P88/2.54))-(97.684*LOG10(S$5/2.54))-78.387),0)/100),IF(S$4="inch",IF(OR(ISBLANK(O88),ISBLANK(P88),ISBLANK(Q88)),"",ROUND(((163.205*LOG10(O88+Q88-P88))-(97.684*LOG10(S$5))-78.387),0)/100),"")),""))</f>
        <v/>
      </c>
      <c r="S88" s="36"/>
      <c r="T88" s="36"/>
      <c r="U88" s="36"/>
      <c r="V88" s="128" t="str">
        <f ca="1">IF(M90="","",IF(K90=K82,"No Weight Change",IF(K90&gt;K82,"You Gained:","You Lost:")))</f>
        <v/>
      </c>
      <c r="W88" s="129"/>
      <c r="X88" s="129"/>
      <c r="Y88" s="129"/>
      <c r="Z88" s="129"/>
      <c r="AA88" s="129"/>
      <c r="AB88" s="42" t="str">
        <f ca="1">IF(M90="","",IF(K90=K82,"",IF(K90&gt;K82,K90-K82,K82-K90)))</f>
        <v/>
      </c>
      <c r="AC88" s="160" t="str">
        <f ca="1">IF(V88="","",IF(V88="No Weight Change","",IF($F$4="Lb","Lb",IF($F$4="Kg","Kg",""))))</f>
        <v/>
      </c>
      <c r="AD88" s="161"/>
      <c r="AE88" s="162"/>
      <c r="AF88" s="36"/>
      <c r="AG88" s="56">
        <f>AG86+1</f>
        <v>39</v>
      </c>
      <c r="AH88" s="35">
        <f t="shared" si="24"/>
        <v>0</v>
      </c>
      <c r="AI88" s="35">
        <f>IF(K88="",AI86,K88)</f>
        <v>189.22857142857146</v>
      </c>
      <c r="AJ88" s="35">
        <f t="shared" si="25"/>
        <v>183</v>
      </c>
      <c r="AK88" s="35">
        <f>IF($F$6&gt;$F$7,IF(AK86&gt;AJ88,AK86+$AJ$9,AJ88),IF($F$6&lt;$F$7,IF(AK86&lt;AJ88,AK86+$AJ$9,AJ88),AJ88))</f>
        <v>183</v>
      </c>
      <c r="AL88" s="57" t="str">
        <f t="shared" si="34"/>
        <v/>
      </c>
      <c r="AM88" s="58" t="str">
        <f t="shared" si="26"/>
        <v/>
      </c>
      <c r="AN88" s="58" t="str">
        <f t="shared" si="27"/>
        <v/>
      </c>
      <c r="AO88" s="58" t="str">
        <f t="shared" si="28"/>
        <v/>
      </c>
      <c r="AP88" s="58" t="str">
        <f t="shared" si="29"/>
        <v/>
      </c>
      <c r="AQ88" s="58" t="str">
        <f t="shared" si="30"/>
        <v/>
      </c>
      <c r="AR88" s="59" t="str">
        <f t="shared" si="31"/>
        <v/>
      </c>
      <c r="AS88" s="61" t="str">
        <f t="shared" si="32"/>
        <v/>
      </c>
      <c r="AT88" s="82" t="str">
        <f>IF(AS88="","",AS88-AS86)</f>
        <v/>
      </c>
      <c r="AU88" s="84" t="str">
        <f ca="1">IF(AV88="","",IF(AT88="","",MROUND(AV88,5)))</f>
        <v/>
      </c>
      <c r="AV88" s="35">
        <f ca="1">IF(AH89&lt;7,AV86,IF(AH88&lt;7,AV86,((K89+(((-L88)*$AV$7)/AH89)))+SUM(OFFSET(IF(ROW()/2-5&gt;$S$8,INDEX(M:M,ROW()-(($S$8-1)*2)),$M$12),0,0,IF(ROW()/2-6&gt;($S$8-1),($S$8-1)*2,(ROW()/2-6)*2),1)))/IF(ROW()/2-5&gt;$S$8,$S$8,ROW()/2-5))</f>
        <v>2682.7551020408164</v>
      </c>
      <c r="AY88" s="35"/>
      <c r="AZ88" s="35"/>
      <c r="BA88" s="51"/>
      <c r="BE88" s="48"/>
      <c r="BF88" s="48"/>
      <c r="BH88" s="49"/>
      <c r="BI88" s="49"/>
      <c r="CA88" s="37"/>
      <c r="CB88" s="37"/>
    </row>
    <row r="89" spans="2:80" x14ac:dyDescent="0.35">
      <c r="B89" s="93"/>
      <c r="C89" s="28" t="str">
        <f t="shared" si="33"/>
        <v>Cal.</v>
      </c>
      <c r="D89" s="17"/>
      <c r="E89" s="38"/>
      <c r="F89" s="38"/>
      <c r="G89" s="38"/>
      <c r="H89" s="38"/>
      <c r="I89" s="38"/>
      <c r="J89" s="7"/>
      <c r="K89" s="40" t="str">
        <f t="shared" si="23"/>
        <v/>
      </c>
      <c r="L89" s="125"/>
      <c r="M89" s="89"/>
      <c r="N89" s="36"/>
      <c r="O89" s="36"/>
      <c r="P89" s="36"/>
      <c r="Q89" s="36"/>
      <c r="R89" s="36"/>
      <c r="S89" s="36"/>
      <c r="T89" s="36"/>
      <c r="U89" s="36"/>
      <c r="V89" s="130" t="str">
        <f ca="1">IF(M90="","",IF(K90=K82,"","At a Rate Of"))</f>
        <v/>
      </c>
      <c r="W89" s="131"/>
      <c r="X89" s="131"/>
      <c r="Y89" s="131"/>
      <c r="Z89" s="131"/>
      <c r="AA89" s="132" t="str">
        <f ca="1">IF(V89="","",AB88/4)</f>
        <v/>
      </c>
      <c r="AB89" s="133"/>
      <c r="AC89" s="134" t="str">
        <f ca="1">IF(V88="","",IF(V88="No Weight Change","",IF($F$4="Lb","Lb/Wk",IF($F$4="Kg","Kg/Wk",""))))</f>
        <v/>
      </c>
      <c r="AD89" s="135"/>
      <c r="AE89" s="136"/>
      <c r="AF89" s="36"/>
      <c r="AG89" s="56">
        <f>AG88+0.5</f>
        <v>39.5</v>
      </c>
      <c r="AH89" s="35">
        <f t="shared" si="24"/>
        <v>0</v>
      </c>
      <c r="AI89" s="35">
        <f>AI88</f>
        <v>189.22857142857146</v>
      </c>
      <c r="AJ89" s="35">
        <f t="shared" si="25"/>
        <v>183</v>
      </c>
      <c r="AK89" s="35">
        <f>IF($AJ$9=0,0,(AK88+AK90)/2)</f>
        <v>183</v>
      </c>
      <c r="AL89" s="64" t="str">
        <f t="shared" si="34"/>
        <v/>
      </c>
      <c r="AM89" s="65" t="str">
        <f t="shared" si="26"/>
        <v/>
      </c>
      <c r="AN89" s="65" t="str">
        <f t="shared" si="27"/>
        <v/>
      </c>
      <c r="AO89" s="65" t="str">
        <f t="shared" si="28"/>
        <v/>
      </c>
      <c r="AP89" s="65" t="str">
        <f t="shared" si="29"/>
        <v/>
      </c>
      <c r="AQ89" s="65" t="str">
        <f t="shared" si="30"/>
        <v/>
      </c>
      <c r="AR89" s="66" t="str">
        <f t="shared" si="31"/>
        <v/>
      </c>
      <c r="AS89" s="39" t="str">
        <f t="shared" si="32"/>
        <v/>
      </c>
      <c r="AT89" s="83"/>
      <c r="AU89" s="85"/>
      <c r="AY89" s="35"/>
      <c r="AZ89" s="35"/>
      <c r="BA89" s="51"/>
      <c r="BE89" s="48"/>
      <c r="BF89" s="48"/>
      <c r="BH89" s="49"/>
      <c r="BI89" s="49"/>
      <c r="CA89" s="37"/>
      <c r="CB89" s="37"/>
    </row>
    <row r="90" spans="2:80" x14ac:dyDescent="0.35">
      <c r="B90" s="94">
        <f>IF(B88="","",B88+7)</f>
        <v>43320</v>
      </c>
      <c r="C90" s="27" t="str">
        <f t="shared" si="33"/>
        <v>Weight</v>
      </c>
      <c r="D90" s="17"/>
      <c r="E90" s="38"/>
      <c r="F90" s="38"/>
      <c r="G90" s="38"/>
      <c r="H90" s="38"/>
      <c r="I90" s="38"/>
      <c r="J90" s="7"/>
      <c r="K90" s="33" t="str">
        <f t="shared" si="23"/>
        <v/>
      </c>
      <c r="L90" s="126" t="str">
        <f>IF(K90="","",AT90)</f>
        <v/>
      </c>
      <c r="M90" s="90" t="str">
        <f ca="1">IF(AV90="","",IF(L90="","",AU90))</f>
        <v/>
      </c>
      <c r="N90" s="36"/>
      <c r="O90" s="69"/>
      <c r="P90" s="69"/>
      <c r="Q90" s="69"/>
      <c r="R90" s="70" t="str">
        <f>IF(S$3="male",IF(S$4="cm",IF(OR(ISBLANK(O90),ISBLANK(P90)),"",ROUND(((86.01*LOG10(O90/2.54-P90/2.54))-(70.041*LOG10(S$5/2.54))+36.76),0)/100),IF(S$4="inch",IF(OR(ISBLANK(O90),ISBLANK(P90)),"",ROUND(((86.01*LOG10(O90-P90))-(70.041*LOG10(S$5))+36.76),0)/100),"")),IF(S$3="female",IF(S$4="cm",IF(OR(ISBLANK(O90),ISBLANK(P90),ISBLANK(Q90)),"",ROUND(((163.205*LOG10(O90/2.54+Q90/2.54-P90/2.54))-(97.684*LOG10(S$5/2.54))-78.387),0)/100),IF(S$4="inch",IF(OR(ISBLANK(O90),ISBLANK(P90),ISBLANK(Q90)),"",ROUND(((163.205*LOG10(O90+Q90-P90))-(97.684*LOG10(S$5))-78.387),0)/100),"")),""))</f>
        <v/>
      </c>
      <c r="S90" s="36"/>
      <c r="T90" s="36"/>
      <c r="U90" s="36"/>
      <c r="V90" s="149" t="str">
        <f ca="1">IF(AA89="","","You have")</f>
        <v/>
      </c>
      <c r="W90" s="150"/>
      <c r="X90" s="150"/>
      <c r="Y90" s="150"/>
      <c r="Z90" s="153" t="str">
        <f ca="1">IF(AA89="","",IF(K90&gt;$F$7,K90-$F$7,$F$7-K90))</f>
        <v/>
      </c>
      <c r="AA90" s="155" t="str">
        <f ca="1">IF(AA89="","",IF(AA89="No Weight Change","",IF($F$4="Lb","Lb to go!",IF($F$4="Kg","Kg to go!",""))))</f>
        <v/>
      </c>
      <c r="AB90" s="156"/>
      <c r="AC90" s="156"/>
      <c r="AD90" s="156"/>
      <c r="AE90" s="157"/>
      <c r="AF90" s="36"/>
      <c r="AG90" s="56">
        <f>AG88+1</f>
        <v>40</v>
      </c>
      <c r="AH90" s="35">
        <f t="shared" si="24"/>
        <v>0</v>
      </c>
      <c r="AI90" s="35">
        <f>IF(K90="",AI88,K90)</f>
        <v>189.22857142857146</v>
      </c>
      <c r="AJ90" s="35">
        <f t="shared" si="25"/>
        <v>183</v>
      </c>
      <c r="AK90" s="35">
        <f>IF($F$6&gt;$F$7,IF(AK88&gt;AJ90,AK88+$AJ$9,AJ90),IF($F$6&lt;$F$7,IF(AK88&lt;AJ90,AK88+$AJ$9,AJ90),AJ90))</f>
        <v>183</v>
      </c>
      <c r="AL90" s="57" t="str">
        <f t="shared" si="34"/>
        <v/>
      </c>
      <c r="AM90" s="58" t="str">
        <f t="shared" si="26"/>
        <v/>
      </c>
      <c r="AN90" s="58" t="str">
        <f t="shared" si="27"/>
        <v/>
      </c>
      <c r="AO90" s="58" t="str">
        <f t="shared" si="28"/>
        <v/>
      </c>
      <c r="AP90" s="58" t="str">
        <f t="shared" si="29"/>
        <v/>
      </c>
      <c r="AQ90" s="58" t="str">
        <f t="shared" si="30"/>
        <v/>
      </c>
      <c r="AR90" s="59" t="str">
        <f t="shared" si="31"/>
        <v/>
      </c>
      <c r="AS90" s="61" t="str">
        <f t="shared" si="32"/>
        <v/>
      </c>
      <c r="AT90" s="82" t="str">
        <f>IF(AS90="","",AS90-AS88)</f>
        <v/>
      </c>
      <c r="AU90" s="84" t="str">
        <f ca="1">IF(AV90="","",IF(AT90="","",MROUND(AV90,5)))</f>
        <v/>
      </c>
      <c r="AV90" s="35">
        <f ca="1">IF(AH91&lt;7,AV88,IF(AH90&lt;7,AV88,((K91+(((-L90)*$AV$7)/AH91)))+SUM(OFFSET(IF(ROW()/2-5&gt;$S$8,INDEX(M:M,ROW()-(($S$8-1)*2)),$M$12),0,0,IF(ROW()/2-6&gt;($S$8-1),($S$8-1)*2,(ROW()/2-6)*2),1)))/IF(ROW()/2-5&gt;$S$8,$S$8,ROW()/2-5))</f>
        <v>2682.7551020408164</v>
      </c>
      <c r="AY90" s="35"/>
      <c r="AZ90" s="35"/>
      <c r="BA90" s="51"/>
      <c r="BE90" s="48"/>
      <c r="BF90" s="48"/>
      <c r="BH90" s="49"/>
      <c r="BI90" s="49"/>
      <c r="CA90" s="37"/>
      <c r="CB90" s="37"/>
    </row>
    <row r="91" spans="2:80" x14ac:dyDescent="0.35">
      <c r="B91" s="95"/>
      <c r="C91" s="11" t="str">
        <f t="shared" si="33"/>
        <v>Cal.</v>
      </c>
      <c r="D91" s="18"/>
      <c r="E91" s="19"/>
      <c r="F91" s="19"/>
      <c r="G91" s="19"/>
      <c r="H91" s="19"/>
      <c r="I91" s="19"/>
      <c r="J91" s="24"/>
      <c r="K91" s="39" t="str">
        <f t="shared" si="23"/>
        <v/>
      </c>
      <c r="L91" s="127"/>
      <c r="M91" s="91"/>
      <c r="N91" s="36"/>
      <c r="O91" s="36"/>
      <c r="P91" s="36"/>
      <c r="Q91" s="36"/>
      <c r="R91" s="36"/>
      <c r="S91" s="36"/>
      <c r="T91" s="36"/>
      <c r="U91" s="36"/>
      <c r="V91" s="151"/>
      <c r="W91" s="152"/>
      <c r="X91" s="152"/>
      <c r="Y91" s="152"/>
      <c r="Z91" s="154"/>
      <c r="AA91" s="158"/>
      <c r="AB91" s="158"/>
      <c r="AC91" s="158"/>
      <c r="AD91" s="158"/>
      <c r="AE91" s="159"/>
      <c r="AF91" s="36"/>
      <c r="AG91" s="56">
        <f>AG90+0.5</f>
        <v>40.5</v>
      </c>
      <c r="AH91" s="35">
        <f t="shared" si="24"/>
        <v>0</v>
      </c>
      <c r="AI91" s="35">
        <f>AI90</f>
        <v>189.22857142857146</v>
      </c>
      <c r="AJ91" s="35">
        <f t="shared" si="25"/>
        <v>183</v>
      </c>
      <c r="AK91" s="35">
        <f>IF($AJ$9=0,0,(AK90+AK92)/2)</f>
        <v>183</v>
      </c>
      <c r="AL91" s="64" t="str">
        <f t="shared" si="34"/>
        <v/>
      </c>
      <c r="AM91" s="65" t="str">
        <f t="shared" si="26"/>
        <v/>
      </c>
      <c r="AN91" s="65" t="str">
        <f t="shared" si="27"/>
        <v/>
      </c>
      <c r="AO91" s="65" t="str">
        <f t="shared" si="28"/>
        <v/>
      </c>
      <c r="AP91" s="65" t="str">
        <f t="shared" si="29"/>
        <v/>
      </c>
      <c r="AQ91" s="65" t="str">
        <f t="shared" si="30"/>
        <v/>
      </c>
      <c r="AR91" s="66" t="str">
        <f t="shared" si="31"/>
        <v/>
      </c>
      <c r="AS91" s="39" t="str">
        <f t="shared" si="32"/>
        <v/>
      </c>
      <c r="AT91" s="83"/>
      <c r="AU91" s="85"/>
      <c r="AY91" s="35"/>
      <c r="AZ91" s="35"/>
      <c r="BA91" s="51"/>
      <c r="BE91" s="48"/>
      <c r="BF91" s="48"/>
      <c r="BH91" s="49"/>
      <c r="BI91" s="49"/>
      <c r="CA91" s="37"/>
      <c r="CB91" s="37"/>
    </row>
    <row r="92" spans="2:80" x14ac:dyDescent="0.35">
      <c r="B92" s="92">
        <f>IF(B90="","",B90+7)</f>
        <v>43327</v>
      </c>
      <c r="C92" s="10" t="str">
        <f t="shared" si="33"/>
        <v>Weight</v>
      </c>
      <c r="D92" s="15"/>
      <c r="E92" s="16"/>
      <c r="F92" s="16"/>
      <c r="G92" s="16"/>
      <c r="H92" s="16"/>
      <c r="I92" s="16"/>
      <c r="J92" s="23"/>
      <c r="K92" s="32" t="str">
        <f t="shared" si="23"/>
        <v/>
      </c>
      <c r="L92" s="124" t="str">
        <f>IF(K92="","",AT92)</f>
        <v/>
      </c>
      <c r="M92" s="88" t="str">
        <f ca="1">IF(AV92="","",IF(L92="","",AU92))</f>
        <v/>
      </c>
      <c r="N92" s="36"/>
      <c r="O92" s="69"/>
      <c r="P92" s="69"/>
      <c r="Q92" s="69"/>
      <c r="R92" s="70" t="str">
        <f>IF(S$3="male",IF(S$4="cm",IF(OR(ISBLANK(O92),ISBLANK(P92)),"",ROUND(((86.01*LOG10(O92/2.54-P92/2.54))-(70.041*LOG10(S$5/2.54))+36.76),0)/100),IF(S$4="inch",IF(OR(ISBLANK(O92),ISBLANK(P92)),"",ROUND(((86.01*LOG10(O92-P92))-(70.041*LOG10(S$5))+36.76),0)/100),"")),IF(S$3="female",IF(S$4="cm",IF(OR(ISBLANK(O92),ISBLANK(P92),ISBLANK(Q92)),"",ROUND(((163.205*LOG10(O92/2.54+Q92/2.54-P92/2.54))-(97.684*LOG10(S$5/2.54))-78.387),0)/100),IF(S$4="inch",IF(OR(ISBLANK(O92),ISBLANK(P92),ISBLANK(Q92)),"",ROUND(((163.205*LOG10(O92+Q92-P92))-(97.684*LOG10(S$5))-78.387),0)/100),"")),""))</f>
        <v/>
      </c>
      <c r="S92" s="36"/>
      <c r="T92" s="36"/>
      <c r="U92" s="36"/>
      <c r="V92" s="36"/>
      <c r="W92" s="36"/>
      <c r="X92" s="36"/>
      <c r="Y92" s="36"/>
      <c r="Z92" s="45"/>
      <c r="AA92" s="36"/>
      <c r="AB92" s="45"/>
      <c r="AC92" s="36"/>
      <c r="AD92" s="36"/>
      <c r="AE92" s="36"/>
      <c r="AF92" s="36"/>
      <c r="AG92" s="56">
        <f>AG90+1</f>
        <v>41</v>
      </c>
      <c r="AH92" s="35">
        <f t="shared" si="24"/>
        <v>0</v>
      </c>
      <c r="AI92" s="35">
        <f>IF(K92="",AI90,K92)</f>
        <v>189.22857142857146</v>
      </c>
      <c r="AJ92" s="35">
        <f t="shared" si="25"/>
        <v>183</v>
      </c>
      <c r="AK92" s="35">
        <f>IF($F$6&gt;$F$7,IF(AK90&gt;AJ92,AK90+$AJ$9,AJ92),IF($F$6&lt;$F$7,IF(AK90&lt;AJ92,AK90+$AJ$9,AJ92),AJ92))</f>
        <v>183</v>
      </c>
      <c r="AL92" s="57" t="str">
        <f t="shared" si="34"/>
        <v/>
      </c>
      <c r="AM92" s="58" t="str">
        <f t="shared" si="26"/>
        <v/>
      </c>
      <c r="AN92" s="58" t="str">
        <f t="shared" si="27"/>
        <v/>
      </c>
      <c r="AO92" s="58" t="str">
        <f t="shared" si="28"/>
        <v/>
      </c>
      <c r="AP92" s="58" t="str">
        <f t="shared" si="29"/>
        <v/>
      </c>
      <c r="AQ92" s="58" t="str">
        <f t="shared" si="30"/>
        <v/>
      </c>
      <c r="AR92" s="59" t="str">
        <f t="shared" si="31"/>
        <v/>
      </c>
      <c r="AS92" s="61" t="str">
        <f t="shared" si="32"/>
        <v/>
      </c>
      <c r="AT92" s="82" t="str">
        <f>IF(AS92="","",AS92-AS90)</f>
        <v/>
      </c>
      <c r="AU92" s="84" t="str">
        <f ca="1">IF(AV92="","",IF(AT92="","",MROUND(AV92,5)))</f>
        <v/>
      </c>
      <c r="AV92" s="35">
        <f ca="1">IF(AH93&lt;7,AV90,IF(AH92&lt;7,AV90,((K93+(((-L92)*$AV$7)/AH93)))+SUM(OFFSET(IF(ROW()/2-5&gt;$S$8,INDEX(M:M,ROW()-(($S$8-1)*2)),$M$12),0,0,IF(ROW()/2-6&gt;($S$8-1),($S$8-1)*2,(ROW()/2-6)*2),1)))/IF(ROW()/2-5&gt;$S$8,$S$8,ROW()/2-5))</f>
        <v>2682.7551020408164</v>
      </c>
      <c r="AY92" s="35"/>
      <c r="AZ92" s="35"/>
      <c r="BA92" s="51"/>
      <c r="BE92" s="48"/>
      <c r="BF92" s="48"/>
      <c r="BH92" s="49"/>
      <c r="BI92" s="49"/>
      <c r="CA92" s="37"/>
      <c r="CB92" s="37"/>
    </row>
    <row r="93" spans="2:80" x14ac:dyDescent="0.35">
      <c r="B93" s="93"/>
      <c r="C93" s="26" t="str">
        <f t="shared" si="33"/>
        <v>Cal.</v>
      </c>
      <c r="D93" s="17"/>
      <c r="E93" s="38"/>
      <c r="F93" s="38"/>
      <c r="G93" s="47"/>
      <c r="H93" s="38"/>
      <c r="I93" s="38"/>
      <c r="J93" s="7"/>
      <c r="K93" s="40" t="str">
        <f t="shared" si="23"/>
        <v/>
      </c>
      <c r="L93" s="125"/>
      <c r="M93" s="89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45"/>
      <c r="AA93" s="36"/>
      <c r="AB93" s="45"/>
      <c r="AC93" s="36"/>
      <c r="AD93" s="36"/>
      <c r="AE93" s="36"/>
      <c r="AF93" s="36"/>
      <c r="AG93" s="56">
        <f>AG92+0.5</f>
        <v>41.5</v>
      </c>
      <c r="AH93" s="35">
        <f t="shared" si="24"/>
        <v>0</v>
      </c>
      <c r="AI93" s="35">
        <f>AI92</f>
        <v>189.22857142857146</v>
      </c>
      <c r="AJ93" s="35">
        <f t="shared" si="25"/>
        <v>183</v>
      </c>
      <c r="AK93" s="35">
        <f>IF($AJ$9=0,0,(AK92+AK94)/2)</f>
        <v>183</v>
      </c>
      <c r="AL93" s="64" t="str">
        <f t="shared" si="34"/>
        <v/>
      </c>
      <c r="AM93" s="65" t="str">
        <f t="shared" si="26"/>
        <v/>
      </c>
      <c r="AN93" s="65" t="str">
        <f t="shared" si="27"/>
        <v/>
      </c>
      <c r="AO93" s="65" t="str">
        <f t="shared" si="28"/>
        <v/>
      </c>
      <c r="AP93" s="65" t="str">
        <f t="shared" si="29"/>
        <v/>
      </c>
      <c r="AQ93" s="65" t="str">
        <f t="shared" si="30"/>
        <v/>
      </c>
      <c r="AR93" s="66" t="str">
        <f t="shared" si="31"/>
        <v/>
      </c>
      <c r="AS93" s="39" t="str">
        <f t="shared" si="32"/>
        <v/>
      </c>
      <c r="AT93" s="83"/>
      <c r="AU93" s="85"/>
      <c r="AY93" s="35"/>
      <c r="AZ93" s="35"/>
      <c r="BA93" s="51"/>
      <c r="BE93" s="48"/>
      <c r="BF93" s="48"/>
      <c r="BH93" s="49"/>
      <c r="BI93" s="49"/>
      <c r="CA93" s="37"/>
      <c r="CB93" s="37"/>
    </row>
    <row r="94" spans="2:80" x14ac:dyDescent="0.35">
      <c r="B94" s="94">
        <f>IF(B92="","",B92+7)</f>
        <v>43334</v>
      </c>
      <c r="C94" s="27" t="str">
        <f t="shared" si="33"/>
        <v>Weight</v>
      </c>
      <c r="D94" s="17"/>
      <c r="E94" s="38"/>
      <c r="F94" s="38"/>
      <c r="G94" s="47"/>
      <c r="H94" s="38"/>
      <c r="I94" s="38"/>
      <c r="J94" s="7"/>
      <c r="K94" s="33" t="str">
        <f t="shared" si="23"/>
        <v/>
      </c>
      <c r="L94" s="126" t="str">
        <f>IF(K94="","",AT94)</f>
        <v/>
      </c>
      <c r="M94" s="90" t="str">
        <f ca="1">IF(AV94="","",IF(L94="","",AU94))</f>
        <v/>
      </c>
      <c r="N94" s="36"/>
      <c r="O94" s="69"/>
      <c r="P94" s="69"/>
      <c r="Q94" s="69"/>
      <c r="R94" s="70" t="str">
        <f>IF(S$3="male",IF(S$4="cm",IF(OR(ISBLANK(O94),ISBLANK(P94)),"",ROUND(((86.01*LOG10(O94/2.54-P94/2.54))-(70.041*LOG10(S$5/2.54))+36.76),0)/100),IF(S$4="inch",IF(OR(ISBLANK(O94),ISBLANK(P94)),"",ROUND(((86.01*LOG10(O94-P94))-(70.041*LOG10(S$5))+36.76),0)/100),"")),IF(S$3="female",IF(S$4="cm",IF(OR(ISBLANK(O94),ISBLANK(P94),ISBLANK(Q94)),"",ROUND(((163.205*LOG10(O94/2.54+Q94/2.54-P94/2.54))-(97.684*LOG10(S$5/2.54))-78.387),0)/100),IF(S$4="inch",IF(OR(ISBLANK(O94),ISBLANK(P94),ISBLANK(Q94)),"",ROUND(((163.205*LOG10(O94+Q94-P94))-(97.684*LOG10(S$5))-78.387),0)/100),"")),""))</f>
        <v/>
      </c>
      <c r="S94" s="36"/>
      <c r="T94" s="36"/>
      <c r="U94" s="36"/>
      <c r="V94" s="137" t="str">
        <f ca="1">IF(M98="","","From")</f>
        <v/>
      </c>
      <c r="W94" s="138"/>
      <c r="X94" s="141" t="str">
        <f ca="1">IF(M98="","",B92)</f>
        <v/>
      </c>
      <c r="Y94" s="142"/>
      <c r="Z94" s="142"/>
      <c r="AA94" s="143" t="str">
        <f ca="1">IF(M98="","","to")</f>
        <v/>
      </c>
      <c r="AB94" s="144" t="str">
        <f ca="1">IF(M98="","",B98)</f>
        <v/>
      </c>
      <c r="AC94" s="145"/>
      <c r="AD94" s="146"/>
      <c r="AE94" s="147"/>
      <c r="AF94" s="36"/>
      <c r="AG94" s="56">
        <f>AG92+1</f>
        <v>42</v>
      </c>
      <c r="AH94" s="35">
        <f t="shared" si="24"/>
        <v>0</v>
      </c>
      <c r="AI94" s="35">
        <f>IF(K94="",AI92,K94)</f>
        <v>189.22857142857146</v>
      </c>
      <c r="AJ94" s="35">
        <f t="shared" si="25"/>
        <v>183</v>
      </c>
      <c r="AK94" s="35">
        <f>IF($F$6&gt;$F$7,IF(AK92&gt;AJ94,AK92+$AJ$9,AJ94),IF($F$6&lt;$F$7,IF(AK92&lt;AJ94,AK92+$AJ$9,AJ94),AJ94))</f>
        <v>183</v>
      </c>
      <c r="AL94" s="57" t="str">
        <f t="shared" si="34"/>
        <v/>
      </c>
      <c r="AM94" s="58" t="str">
        <f t="shared" si="26"/>
        <v/>
      </c>
      <c r="AN94" s="58" t="str">
        <f t="shared" si="27"/>
        <v/>
      </c>
      <c r="AO94" s="58" t="str">
        <f t="shared" si="28"/>
        <v/>
      </c>
      <c r="AP94" s="58" t="str">
        <f t="shared" si="29"/>
        <v/>
      </c>
      <c r="AQ94" s="58" t="str">
        <f t="shared" si="30"/>
        <v/>
      </c>
      <c r="AR94" s="59" t="str">
        <f t="shared" si="31"/>
        <v/>
      </c>
      <c r="AS94" s="61" t="str">
        <f t="shared" si="32"/>
        <v/>
      </c>
      <c r="AT94" s="82" t="str">
        <f>IF(AS94="","",AS94-AS92)</f>
        <v/>
      </c>
      <c r="AU94" s="84" t="str">
        <f ca="1">IF(AV94="","",IF(AT94="","",MROUND(AV94,5)))</f>
        <v/>
      </c>
      <c r="AV94" s="35">
        <f ca="1">IF(AH95&lt;7,AV92,IF(AH94&lt;7,AV92,((K95+(((-L94)*$AV$7)/AH95)))+SUM(OFFSET(IF(ROW()/2-5&gt;$S$8,INDEX(M:M,ROW()-(($S$8-1)*2)),$M$12),0,0,IF(ROW()/2-6&gt;($S$8-1),($S$8-1)*2,(ROW()/2-6)*2),1)))/IF(ROW()/2-5&gt;$S$8,$S$8,ROW()/2-5))</f>
        <v>2682.7551020408164</v>
      </c>
      <c r="AY94" s="35"/>
      <c r="AZ94" s="35"/>
      <c r="BA94" s="51"/>
      <c r="BE94" s="48"/>
      <c r="BF94" s="48"/>
      <c r="BH94" s="49"/>
      <c r="BI94" s="49"/>
      <c r="CA94" s="37"/>
      <c r="CB94" s="37"/>
    </row>
    <row r="95" spans="2:80" x14ac:dyDescent="0.35">
      <c r="B95" s="93"/>
      <c r="C95" s="28" t="str">
        <f t="shared" si="33"/>
        <v>Cal.</v>
      </c>
      <c r="D95" s="17"/>
      <c r="E95" s="38"/>
      <c r="F95" s="38"/>
      <c r="G95" s="47"/>
      <c r="H95" s="38"/>
      <c r="I95" s="38"/>
      <c r="J95" s="7"/>
      <c r="K95" s="40" t="str">
        <f t="shared" si="23"/>
        <v/>
      </c>
      <c r="L95" s="125"/>
      <c r="M95" s="89"/>
      <c r="N95" s="36"/>
      <c r="O95" s="36"/>
      <c r="P95" s="36"/>
      <c r="Q95" s="36"/>
      <c r="R95" s="36"/>
      <c r="S95" s="36"/>
      <c r="T95" s="36"/>
      <c r="U95" s="36"/>
      <c r="V95" s="139"/>
      <c r="W95" s="140"/>
      <c r="X95" s="140"/>
      <c r="Y95" s="140"/>
      <c r="Z95" s="140"/>
      <c r="AA95" s="140"/>
      <c r="AB95" s="140"/>
      <c r="AC95" s="140"/>
      <c r="AD95" s="140"/>
      <c r="AE95" s="148"/>
      <c r="AF95" s="36"/>
      <c r="AG95" s="56">
        <f>AG94+0.5</f>
        <v>42.5</v>
      </c>
      <c r="AH95" s="35">
        <f t="shared" si="24"/>
        <v>0</v>
      </c>
      <c r="AI95" s="35">
        <f>AI94</f>
        <v>189.22857142857146</v>
      </c>
      <c r="AJ95" s="35">
        <f t="shared" si="25"/>
        <v>183</v>
      </c>
      <c r="AK95" s="35">
        <f>IF($AJ$9=0,0,(AK94+AK96)/2)</f>
        <v>183</v>
      </c>
      <c r="AL95" s="64" t="str">
        <f t="shared" si="34"/>
        <v/>
      </c>
      <c r="AM95" s="65" t="str">
        <f t="shared" si="26"/>
        <v/>
      </c>
      <c r="AN95" s="65" t="str">
        <f t="shared" si="27"/>
        <v/>
      </c>
      <c r="AO95" s="65" t="str">
        <f t="shared" si="28"/>
        <v/>
      </c>
      <c r="AP95" s="65" t="str">
        <f t="shared" si="29"/>
        <v/>
      </c>
      <c r="AQ95" s="65" t="str">
        <f t="shared" si="30"/>
        <v/>
      </c>
      <c r="AR95" s="66" t="str">
        <f t="shared" si="31"/>
        <v/>
      </c>
      <c r="AS95" s="39" t="str">
        <f t="shared" si="32"/>
        <v/>
      </c>
      <c r="AT95" s="83"/>
      <c r="AU95" s="85"/>
      <c r="AY95" s="35"/>
      <c r="AZ95" s="35"/>
      <c r="BA95" s="51"/>
      <c r="BE95" s="48"/>
      <c r="BF95" s="48"/>
      <c r="BH95" s="49"/>
      <c r="BI95" s="49"/>
      <c r="CA95" s="37"/>
      <c r="CB95" s="37"/>
    </row>
    <row r="96" spans="2:80" x14ac:dyDescent="0.35">
      <c r="B96" s="94">
        <f>IF(B94="","",B94+7)</f>
        <v>43341</v>
      </c>
      <c r="C96" s="27" t="str">
        <f t="shared" si="33"/>
        <v>Weight</v>
      </c>
      <c r="D96" s="17"/>
      <c r="E96" s="38"/>
      <c r="F96" s="38"/>
      <c r="G96" s="47"/>
      <c r="H96" s="38"/>
      <c r="I96" s="38"/>
      <c r="J96" s="7"/>
      <c r="K96" s="33" t="str">
        <f t="shared" si="23"/>
        <v/>
      </c>
      <c r="L96" s="126" t="str">
        <f>IF(K96="","",AT96)</f>
        <v/>
      </c>
      <c r="M96" s="90" t="str">
        <f ca="1">IF(AV96="","",IF(L96="","",AU96))</f>
        <v/>
      </c>
      <c r="N96" s="36"/>
      <c r="O96" s="69"/>
      <c r="P96" s="69"/>
      <c r="Q96" s="69"/>
      <c r="R96" s="70" t="str">
        <f>IF(S$3="male",IF(S$4="cm",IF(OR(ISBLANK(O96),ISBLANK(P96)),"",ROUND(((86.01*LOG10(O96/2.54-P96/2.54))-(70.041*LOG10(S$5/2.54))+36.76),0)/100),IF(S$4="inch",IF(OR(ISBLANK(O96),ISBLANK(P96)),"",ROUND(((86.01*LOG10(O96-P96))-(70.041*LOG10(S$5))+36.76),0)/100),"")),IF(S$3="female",IF(S$4="cm",IF(OR(ISBLANK(O96),ISBLANK(P96),ISBLANK(Q96)),"",ROUND(((163.205*LOG10(O96/2.54+Q96/2.54-P96/2.54))-(97.684*LOG10(S$5/2.54))-78.387),0)/100),IF(S$4="inch",IF(OR(ISBLANK(O96),ISBLANK(P96),ISBLANK(Q96)),"",ROUND(((163.205*LOG10(O96+Q96-P96))-(97.684*LOG10(S$5))-78.387),0)/100),"")),""))</f>
        <v/>
      </c>
      <c r="S96" s="36"/>
      <c r="T96" s="36"/>
      <c r="U96" s="36"/>
      <c r="V96" s="128" t="str">
        <f ca="1">IF(M98="","",IF(K98=K90,"No Weight Change",IF(K98&gt;K90,"You Gained:","You Lost:")))</f>
        <v/>
      </c>
      <c r="W96" s="129"/>
      <c r="X96" s="129"/>
      <c r="Y96" s="129"/>
      <c r="Z96" s="129"/>
      <c r="AA96" s="129"/>
      <c r="AB96" s="42" t="str">
        <f ca="1">IF(M98="","",IF(K98=K90,"",IF(K98&gt;K90,K98-K90,K90-K98)))</f>
        <v/>
      </c>
      <c r="AC96" s="160" t="str">
        <f ca="1">IF(V96="","",IF(V96="No Weight Change","",IF($F$4="Lb","Lb",IF($F$4="Kg","Kg",""))))</f>
        <v/>
      </c>
      <c r="AD96" s="161"/>
      <c r="AE96" s="162"/>
      <c r="AF96" s="36"/>
      <c r="AG96" s="56">
        <f>AG94+1</f>
        <v>43</v>
      </c>
      <c r="AH96" s="35">
        <f t="shared" si="24"/>
        <v>0</v>
      </c>
      <c r="AI96" s="35">
        <f>IF(K96="",AI94,K96)</f>
        <v>189.22857142857146</v>
      </c>
      <c r="AJ96" s="35">
        <f t="shared" si="25"/>
        <v>183</v>
      </c>
      <c r="AK96" s="35">
        <f>IF($F$6&gt;$F$7,IF(AK94&gt;AJ96,AK94+$AJ$9,AJ96),IF($F$6&lt;$F$7,IF(AK94&lt;AJ96,AK94+$AJ$9,AJ96),AJ96))</f>
        <v>183</v>
      </c>
      <c r="AL96" s="57" t="str">
        <f t="shared" si="34"/>
        <v/>
      </c>
      <c r="AM96" s="58" t="str">
        <f t="shared" si="26"/>
        <v/>
      </c>
      <c r="AN96" s="58" t="str">
        <f t="shared" si="27"/>
        <v/>
      </c>
      <c r="AO96" s="58" t="str">
        <f t="shared" si="28"/>
        <v/>
      </c>
      <c r="AP96" s="58" t="str">
        <f t="shared" si="29"/>
        <v/>
      </c>
      <c r="AQ96" s="58" t="str">
        <f t="shared" si="30"/>
        <v/>
      </c>
      <c r="AR96" s="59" t="str">
        <f t="shared" si="31"/>
        <v/>
      </c>
      <c r="AS96" s="61" t="str">
        <f t="shared" si="32"/>
        <v/>
      </c>
      <c r="AT96" s="82" t="str">
        <f>IF(AS96="","",AS96-AS94)</f>
        <v/>
      </c>
      <c r="AU96" s="84" t="str">
        <f ca="1">IF(AV96="","",IF(AT96="","",MROUND(AV96,5)))</f>
        <v/>
      </c>
      <c r="AV96" s="35">
        <f ca="1">IF(AH97&lt;7,AV94,IF(AH96&lt;7,AV94,((K97+(((-L96)*$AV$7)/AH97)))+SUM(OFFSET(IF(ROW()/2-5&gt;$S$8,INDEX(M:M,ROW()-(($S$8-1)*2)),$M$12),0,0,IF(ROW()/2-6&gt;($S$8-1),($S$8-1)*2,(ROW()/2-6)*2),1)))/IF(ROW()/2-5&gt;$S$8,$S$8,ROW()/2-5))</f>
        <v>2682.7551020408164</v>
      </c>
      <c r="AY96" s="35"/>
      <c r="AZ96" s="35"/>
      <c r="BA96" s="51"/>
      <c r="BE96" s="48"/>
      <c r="BF96" s="48"/>
      <c r="BH96" s="49"/>
      <c r="BI96" s="49"/>
      <c r="CA96" s="37"/>
      <c r="CB96" s="37"/>
    </row>
    <row r="97" spans="2:80" x14ac:dyDescent="0.35">
      <c r="B97" s="93"/>
      <c r="C97" s="28" t="str">
        <f t="shared" si="33"/>
        <v>Cal.</v>
      </c>
      <c r="D97" s="17"/>
      <c r="E97" s="38"/>
      <c r="F97" s="38"/>
      <c r="G97" s="47"/>
      <c r="H97" s="38"/>
      <c r="I97" s="38"/>
      <c r="J97" s="7"/>
      <c r="K97" s="40" t="str">
        <f t="shared" si="23"/>
        <v/>
      </c>
      <c r="L97" s="125"/>
      <c r="M97" s="89"/>
      <c r="N97" s="36"/>
      <c r="O97" s="36"/>
      <c r="P97" s="36"/>
      <c r="Q97" s="36"/>
      <c r="R97" s="36"/>
      <c r="S97" s="36"/>
      <c r="T97" s="36"/>
      <c r="U97" s="36"/>
      <c r="V97" s="130" t="str">
        <f ca="1">IF(M98="","",IF(K98=K90,"","At a Rate Of"))</f>
        <v/>
      </c>
      <c r="W97" s="131"/>
      <c r="X97" s="131"/>
      <c r="Y97" s="131"/>
      <c r="Z97" s="131"/>
      <c r="AA97" s="132" t="str">
        <f ca="1">IF(V97="","",AB96/4)</f>
        <v/>
      </c>
      <c r="AB97" s="133"/>
      <c r="AC97" s="134" t="str">
        <f ca="1">IF(V96="","",IF(V96="No Weight Change","",IF($F$4="Lb","Lb/Wk",IF($F$4="Kg","Kg/Wk",""))))</f>
        <v/>
      </c>
      <c r="AD97" s="135"/>
      <c r="AE97" s="136"/>
      <c r="AF97" s="36"/>
      <c r="AG97" s="56">
        <f>AG96+0.5</f>
        <v>43.5</v>
      </c>
      <c r="AH97" s="35">
        <f t="shared" si="24"/>
        <v>0</v>
      </c>
      <c r="AI97" s="35">
        <f>AI96</f>
        <v>189.22857142857146</v>
      </c>
      <c r="AJ97" s="35">
        <f t="shared" si="25"/>
        <v>183</v>
      </c>
      <c r="AK97" s="35">
        <f>IF($AJ$9=0,0,(AK96+AK98)/2)</f>
        <v>183</v>
      </c>
      <c r="AL97" s="64" t="str">
        <f t="shared" si="34"/>
        <v/>
      </c>
      <c r="AM97" s="65" t="str">
        <f t="shared" si="26"/>
        <v/>
      </c>
      <c r="AN97" s="65" t="str">
        <f t="shared" si="27"/>
        <v/>
      </c>
      <c r="AO97" s="65" t="str">
        <f t="shared" si="28"/>
        <v/>
      </c>
      <c r="AP97" s="65" t="str">
        <f t="shared" si="29"/>
        <v/>
      </c>
      <c r="AQ97" s="65" t="str">
        <f t="shared" si="30"/>
        <v/>
      </c>
      <c r="AR97" s="66" t="str">
        <f t="shared" si="31"/>
        <v/>
      </c>
      <c r="AS97" s="39" t="str">
        <f t="shared" si="32"/>
        <v/>
      </c>
      <c r="AT97" s="83"/>
      <c r="AU97" s="85"/>
      <c r="AY97" s="35"/>
      <c r="AZ97" s="35"/>
      <c r="BA97" s="51"/>
      <c r="BE97" s="48"/>
      <c r="BF97" s="48"/>
      <c r="BH97" s="49"/>
      <c r="BI97" s="49"/>
      <c r="CA97" s="37"/>
      <c r="CB97" s="37"/>
    </row>
    <row r="98" spans="2:80" x14ac:dyDescent="0.35">
      <c r="B98" s="94">
        <f>IF(B96="","",B96+7)</f>
        <v>43348</v>
      </c>
      <c r="C98" s="27" t="str">
        <f t="shared" si="33"/>
        <v>Weight</v>
      </c>
      <c r="D98" s="17"/>
      <c r="E98" s="38"/>
      <c r="F98" s="38"/>
      <c r="G98" s="47"/>
      <c r="H98" s="38"/>
      <c r="I98" s="38"/>
      <c r="J98" s="7"/>
      <c r="K98" s="33" t="str">
        <f t="shared" si="23"/>
        <v/>
      </c>
      <c r="L98" s="126" t="str">
        <f>IF(K98="","",AT98)</f>
        <v/>
      </c>
      <c r="M98" s="90" t="str">
        <f ca="1">IF(AV98="","",IF(L98="","",AU98))</f>
        <v/>
      </c>
      <c r="N98" s="36"/>
      <c r="O98" s="69"/>
      <c r="P98" s="69"/>
      <c r="Q98" s="69"/>
      <c r="R98" s="70" t="str">
        <f>IF(S$3="male",IF(S$4="cm",IF(OR(ISBLANK(O98),ISBLANK(P98)),"",ROUND(((86.01*LOG10(O98/2.54-P98/2.54))-(70.041*LOG10(S$5/2.54))+36.76),0)/100),IF(S$4="inch",IF(OR(ISBLANK(O98),ISBLANK(P98)),"",ROUND(((86.01*LOG10(O98-P98))-(70.041*LOG10(S$5))+36.76),0)/100),"")),IF(S$3="female",IF(S$4="cm",IF(OR(ISBLANK(O98),ISBLANK(P98),ISBLANK(Q98)),"",ROUND(((163.205*LOG10(O98/2.54+Q98/2.54-P98/2.54))-(97.684*LOG10(S$5/2.54))-78.387),0)/100),IF(S$4="inch",IF(OR(ISBLANK(O98),ISBLANK(P98),ISBLANK(Q98)),"",ROUND(((163.205*LOG10(O98+Q98-P98))-(97.684*LOG10(S$5))-78.387),0)/100),"")),""))</f>
        <v/>
      </c>
      <c r="S98" s="36"/>
      <c r="T98" s="36"/>
      <c r="U98" s="36"/>
      <c r="V98" s="149" t="str">
        <f ca="1">IF(AA97="","","You have")</f>
        <v/>
      </c>
      <c r="W98" s="150"/>
      <c r="X98" s="150"/>
      <c r="Y98" s="150"/>
      <c r="Z98" s="153" t="str">
        <f ca="1">IF(AA97="","",IF(K98&gt;$F$7,K98-$F$7,$F$7-K98))</f>
        <v/>
      </c>
      <c r="AA98" s="155" t="str">
        <f ca="1">IF(AA97="","",IF(AA97="No Weight Change","",IF($F$4="Lb","Lb to go!",IF($F$4="Kg","Kg to go!",""))))</f>
        <v/>
      </c>
      <c r="AB98" s="156"/>
      <c r="AC98" s="156"/>
      <c r="AD98" s="156"/>
      <c r="AE98" s="157"/>
      <c r="AF98" s="36"/>
      <c r="AG98" s="56">
        <f>AG96+1</f>
        <v>44</v>
      </c>
      <c r="AH98" s="35">
        <f t="shared" si="24"/>
        <v>0</v>
      </c>
      <c r="AI98" s="35">
        <f>IF(K98="",AI96,K98)</f>
        <v>189.22857142857146</v>
      </c>
      <c r="AJ98" s="35">
        <f t="shared" si="25"/>
        <v>183</v>
      </c>
      <c r="AK98" s="35">
        <f>IF($F$6&gt;$F$7,IF(AK96&gt;AJ98,AK96+$AJ$9,AJ98),IF($F$6&lt;$F$7,IF(AK96&lt;AJ98,AK96+$AJ$9,AJ98),AJ98))</f>
        <v>183</v>
      </c>
      <c r="AL98" s="57" t="str">
        <f t="shared" si="34"/>
        <v/>
      </c>
      <c r="AM98" s="58" t="str">
        <f t="shared" si="26"/>
        <v/>
      </c>
      <c r="AN98" s="58" t="str">
        <f t="shared" si="27"/>
        <v/>
      </c>
      <c r="AO98" s="58" t="str">
        <f t="shared" si="28"/>
        <v/>
      </c>
      <c r="AP98" s="58" t="str">
        <f t="shared" si="29"/>
        <v/>
      </c>
      <c r="AQ98" s="58" t="str">
        <f t="shared" si="30"/>
        <v/>
      </c>
      <c r="AR98" s="59" t="str">
        <f t="shared" si="31"/>
        <v/>
      </c>
      <c r="AS98" s="61" t="str">
        <f t="shared" si="32"/>
        <v/>
      </c>
      <c r="AT98" s="82" t="str">
        <f>IF(AS98="","",AS98-AS96)</f>
        <v/>
      </c>
      <c r="AU98" s="84" t="str">
        <f ca="1">IF(AV98="","",IF(AT98="","",MROUND(AV98,5)))</f>
        <v/>
      </c>
      <c r="AV98" s="35">
        <f ca="1">IF(AH99&lt;7,AV96,IF(AH98&lt;7,AV96,((K99+(((-L98)*$AV$7)/AH99)))+SUM(OFFSET(IF(ROW()/2-5&gt;$S$8,INDEX(M:M,ROW()-(($S$8-1)*2)),$M$12),0,0,IF(ROW()/2-6&gt;($S$8-1),($S$8-1)*2,(ROW()/2-6)*2),1)))/IF(ROW()/2-5&gt;$S$8,$S$8,ROW()/2-5))</f>
        <v>2682.7551020408164</v>
      </c>
      <c r="AY98" s="35"/>
      <c r="AZ98" s="35"/>
      <c r="BA98" s="51"/>
      <c r="BE98" s="48"/>
      <c r="BF98" s="48"/>
      <c r="BH98" s="49"/>
      <c r="BI98" s="49"/>
      <c r="CA98" s="37"/>
      <c r="CB98" s="37"/>
    </row>
    <row r="99" spans="2:80" x14ac:dyDescent="0.35">
      <c r="B99" s="95"/>
      <c r="C99" s="11" t="str">
        <f t="shared" si="33"/>
        <v>Cal.</v>
      </c>
      <c r="D99" s="18"/>
      <c r="E99" s="19"/>
      <c r="F99" s="19"/>
      <c r="G99" s="19"/>
      <c r="H99" s="19"/>
      <c r="I99" s="19"/>
      <c r="J99" s="24"/>
      <c r="K99" s="39" t="str">
        <f t="shared" si="23"/>
        <v/>
      </c>
      <c r="L99" s="127"/>
      <c r="M99" s="91"/>
      <c r="N99" s="36"/>
      <c r="O99" s="36"/>
      <c r="P99" s="36"/>
      <c r="Q99" s="36"/>
      <c r="R99" s="36"/>
      <c r="S99" s="36"/>
      <c r="T99" s="36"/>
      <c r="U99" s="36"/>
      <c r="V99" s="151"/>
      <c r="W99" s="152"/>
      <c r="X99" s="152"/>
      <c r="Y99" s="152"/>
      <c r="Z99" s="154"/>
      <c r="AA99" s="158"/>
      <c r="AB99" s="158"/>
      <c r="AC99" s="158"/>
      <c r="AD99" s="158"/>
      <c r="AE99" s="159"/>
      <c r="AF99" s="36"/>
      <c r="AG99" s="56">
        <f>AG98+0.5</f>
        <v>44.5</v>
      </c>
      <c r="AH99" s="35">
        <f t="shared" si="24"/>
        <v>0</v>
      </c>
      <c r="AI99" s="35">
        <f>AI98</f>
        <v>189.22857142857146</v>
      </c>
      <c r="AJ99" s="35">
        <f t="shared" si="25"/>
        <v>183</v>
      </c>
      <c r="AK99" s="35">
        <f>IF($AJ$9=0,0,(AK98+AK100)/2)</f>
        <v>183</v>
      </c>
      <c r="AL99" s="64" t="str">
        <f t="shared" si="34"/>
        <v/>
      </c>
      <c r="AM99" s="65" t="str">
        <f t="shared" si="26"/>
        <v/>
      </c>
      <c r="AN99" s="65" t="str">
        <f t="shared" si="27"/>
        <v/>
      </c>
      <c r="AO99" s="65" t="str">
        <f t="shared" si="28"/>
        <v/>
      </c>
      <c r="AP99" s="65" t="str">
        <f t="shared" si="29"/>
        <v/>
      </c>
      <c r="AQ99" s="65" t="str">
        <f t="shared" si="30"/>
        <v/>
      </c>
      <c r="AR99" s="66" t="str">
        <f t="shared" si="31"/>
        <v/>
      </c>
      <c r="AS99" s="39" t="str">
        <f t="shared" si="32"/>
        <v/>
      </c>
      <c r="AT99" s="83"/>
      <c r="AU99" s="85"/>
      <c r="AY99" s="35"/>
      <c r="AZ99" s="35"/>
      <c r="BA99" s="51"/>
      <c r="BE99" s="48"/>
      <c r="BF99" s="48"/>
      <c r="BH99" s="49"/>
      <c r="BI99" s="49"/>
      <c r="CA99" s="37"/>
      <c r="CB99" s="37"/>
    </row>
    <row r="100" spans="2:80" x14ac:dyDescent="0.35">
      <c r="B100" s="92">
        <f>IF(B98="","",B98+7)</f>
        <v>43355</v>
      </c>
      <c r="C100" s="10" t="str">
        <f t="shared" si="33"/>
        <v>Weight</v>
      </c>
      <c r="D100" s="15"/>
      <c r="E100" s="16"/>
      <c r="F100" s="16"/>
      <c r="G100" s="16"/>
      <c r="H100" s="16"/>
      <c r="I100" s="16"/>
      <c r="J100" s="23"/>
      <c r="K100" s="32" t="str">
        <f t="shared" si="23"/>
        <v/>
      </c>
      <c r="L100" s="124" t="str">
        <f>IF(K100="","",AT100)</f>
        <v/>
      </c>
      <c r="M100" s="88" t="str">
        <f ca="1">IF(AV100="","",IF(L100="","",AU100))</f>
        <v/>
      </c>
      <c r="N100" s="36"/>
      <c r="O100" s="69"/>
      <c r="P100" s="69"/>
      <c r="Q100" s="69"/>
      <c r="R100" s="70" t="str">
        <f>IF(S$3="male",IF(S$4="cm",IF(OR(ISBLANK(O100),ISBLANK(P100)),"",ROUND(((86.01*LOG10(O100/2.54-P100/2.54))-(70.041*LOG10(S$5/2.54))+36.76),0)/100),IF(S$4="inch",IF(OR(ISBLANK(O100),ISBLANK(P100)),"",ROUND(((86.01*LOG10(O100-P100))-(70.041*LOG10(S$5))+36.76),0)/100),"")),IF(S$3="female",IF(S$4="cm",IF(OR(ISBLANK(O100),ISBLANK(P100),ISBLANK(Q100)),"",ROUND(((163.205*LOG10(O100/2.54+Q100/2.54-P100/2.54))-(97.684*LOG10(S$5/2.54))-78.387),0)/100),IF(S$4="inch",IF(OR(ISBLANK(O100),ISBLANK(P100),ISBLANK(Q100)),"",ROUND(((163.205*LOG10(O100+Q100-P100))-(97.684*LOG10(S$5))-78.387),0)/100),"")),""))</f>
        <v/>
      </c>
      <c r="S100" s="36"/>
      <c r="T100" s="36"/>
      <c r="U100" s="36"/>
      <c r="V100" s="36"/>
      <c r="W100" s="36"/>
      <c r="X100" s="36"/>
      <c r="Y100" s="36"/>
      <c r="Z100" s="45"/>
      <c r="AA100" s="36"/>
      <c r="AB100" s="45"/>
      <c r="AC100" s="36"/>
      <c r="AD100" s="36"/>
      <c r="AE100" s="36"/>
      <c r="AF100" s="36"/>
      <c r="AG100" s="56">
        <f>AG98+1</f>
        <v>45</v>
      </c>
      <c r="AH100" s="35">
        <f t="shared" si="24"/>
        <v>0</v>
      </c>
      <c r="AI100" s="35">
        <f>IF(K100="",AI98,K100)</f>
        <v>189.22857142857146</v>
      </c>
      <c r="AJ100" s="35">
        <f t="shared" si="25"/>
        <v>183</v>
      </c>
      <c r="AK100" s="35">
        <f>IF($F$6&gt;$F$7,IF(AK98&gt;AJ100,AK98+$AJ$9,AJ100),IF($F$6&lt;$F$7,IF(AK98&lt;AJ100,AK98+$AJ$9,AJ100),AJ100))</f>
        <v>183</v>
      </c>
      <c r="AL100" s="57" t="str">
        <f t="shared" si="34"/>
        <v/>
      </c>
      <c r="AM100" s="58" t="str">
        <f t="shared" si="26"/>
        <v/>
      </c>
      <c r="AN100" s="58" t="str">
        <f t="shared" si="27"/>
        <v/>
      </c>
      <c r="AO100" s="58" t="str">
        <f t="shared" si="28"/>
        <v/>
      </c>
      <c r="AP100" s="58" t="str">
        <f t="shared" si="29"/>
        <v/>
      </c>
      <c r="AQ100" s="58" t="str">
        <f t="shared" si="30"/>
        <v/>
      </c>
      <c r="AR100" s="59" t="str">
        <f t="shared" si="31"/>
        <v/>
      </c>
      <c r="AS100" s="61" t="str">
        <f t="shared" si="32"/>
        <v/>
      </c>
      <c r="AT100" s="82" t="str">
        <f>IF(AS100="","",AS100-AS98)</f>
        <v/>
      </c>
      <c r="AU100" s="84" t="str">
        <f ca="1">IF(AV100="","",IF(AT100="","",MROUND(AV100,5)))</f>
        <v/>
      </c>
      <c r="AV100" s="35">
        <f ca="1">IF(AH101&lt;7,AV98,IF(AH100&lt;7,AV98,((K101+(((-L100)*$AV$7)/AH101)))+SUM(OFFSET(IF(ROW()/2-5&gt;$S$8,INDEX(M:M,ROW()-(($S$8-1)*2)),$M$12),0,0,IF(ROW()/2-6&gt;($S$8-1),($S$8-1)*2,(ROW()/2-6)*2),1)))/IF(ROW()/2-5&gt;$S$8,$S$8,ROW()/2-5))</f>
        <v>2682.7551020408164</v>
      </c>
      <c r="AY100" s="35"/>
      <c r="AZ100" s="35"/>
      <c r="BA100" s="51"/>
      <c r="BE100" s="48"/>
      <c r="BF100" s="48"/>
      <c r="BH100" s="49"/>
      <c r="BI100" s="49"/>
      <c r="CA100" s="37"/>
      <c r="CB100" s="37"/>
    </row>
    <row r="101" spans="2:80" x14ac:dyDescent="0.35">
      <c r="B101" s="93"/>
      <c r="C101" s="26" t="str">
        <f t="shared" si="33"/>
        <v>Cal.</v>
      </c>
      <c r="D101" s="17"/>
      <c r="E101" s="38"/>
      <c r="F101" s="38"/>
      <c r="G101" s="47"/>
      <c r="H101" s="38"/>
      <c r="I101" s="38"/>
      <c r="J101" s="7"/>
      <c r="K101" s="40" t="str">
        <f t="shared" si="23"/>
        <v/>
      </c>
      <c r="L101" s="125"/>
      <c r="M101" s="89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45"/>
      <c r="AA101" s="36"/>
      <c r="AB101" s="45"/>
      <c r="AC101" s="36"/>
      <c r="AD101" s="36"/>
      <c r="AE101" s="36"/>
      <c r="AF101" s="36"/>
      <c r="AG101" s="56">
        <f>AG100+0.5</f>
        <v>45.5</v>
      </c>
      <c r="AH101" s="35">
        <f t="shared" si="24"/>
        <v>0</v>
      </c>
      <c r="AI101" s="35">
        <f>AI100</f>
        <v>189.22857142857146</v>
      </c>
      <c r="AJ101" s="35">
        <f t="shared" si="25"/>
        <v>183</v>
      </c>
      <c r="AK101" s="35">
        <f>IF($AJ$9=0,0,(AK100+AK102)/2)</f>
        <v>183</v>
      </c>
      <c r="AL101" s="64" t="str">
        <f t="shared" si="34"/>
        <v/>
      </c>
      <c r="AM101" s="65" t="str">
        <f t="shared" si="26"/>
        <v/>
      </c>
      <c r="AN101" s="65" t="str">
        <f t="shared" si="27"/>
        <v/>
      </c>
      <c r="AO101" s="65" t="str">
        <f t="shared" si="28"/>
        <v/>
      </c>
      <c r="AP101" s="65" t="str">
        <f t="shared" si="29"/>
        <v/>
      </c>
      <c r="AQ101" s="65" t="str">
        <f t="shared" si="30"/>
        <v/>
      </c>
      <c r="AR101" s="66" t="str">
        <f t="shared" si="31"/>
        <v/>
      </c>
      <c r="AS101" s="39" t="str">
        <f t="shared" si="32"/>
        <v/>
      </c>
      <c r="AT101" s="83"/>
      <c r="AU101" s="85"/>
      <c r="AY101" s="35"/>
      <c r="AZ101" s="35"/>
      <c r="BA101" s="51"/>
      <c r="BE101" s="48"/>
      <c r="BF101" s="48"/>
      <c r="BH101" s="49"/>
      <c r="BI101" s="49"/>
      <c r="CA101" s="37"/>
      <c r="CB101" s="37"/>
    </row>
    <row r="102" spans="2:80" x14ac:dyDescent="0.35">
      <c r="B102" s="94">
        <f>IF(B100="","",B100+7)</f>
        <v>43362</v>
      </c>
      <c r="C102" s="27" t="str">
        <f t="shared" si="33"/>
        <v>Weight</v>
      </c>
      <c r="D102" s="17"/>
      <c r="E102" s="38"/>
      <c r="F102" s="38"/>
      <c r="G102" s="47"/>
      <c r="H102" s="38"/>
      <c r="I102" s="38"/>
      <c r="J102" s="7"/>
      <c r="K102" s="33" t="str">
        <f t="shared" si="23"/>
        <v/>
      </c>
      <c r="L102" s="126" t="str">
        <f>IF(K102="","",AT102)</f>
        <v/>
      </c>
      <c r="M102" s="90" t="str">
        <f ca="1">IF(AV102="","",IF(L102="","",AU102))</f>
        <v/>
      </c>
      <c r="N102" s="36"/>
      <c r="O102" s="69"/>
      <c r="P102" s="69"/>
      <c r="Q102" s="69"/>
      <c r="R102" s="70" t="str">
        <f>IF(S$3="male",IF(S$4="cm",IF(OR(ISBLANK(O102),ISBLANK(P102)),"",ROUND(((86.01*LOG10(O102/2.54-P102/2.54))-(70.041*LOG10(S$5/2.54))+36.76),0)/100),IF(S$4="inch",IF(OR(ISBLANK(O102),ISBLANK(P102)),"",ROUND(((86.01*LOG10(O102-P102))-(70.041*LOG10(S$5))+36.76),0)/100),"")),IF(S$3="female",IF(S$4="cm",IF(OR(ISBLANK(O102),ISBLANK(P102),ISBLANK(Q102)),"",ROUND(((163.205*LOG10(O102/2.54+Q102/2.54-P102/2.54))-(97.684*LOG10(S$5/2.54))-78.387),0)/100),IF(S$4="inch",IF(OR(ISBLANK(O102),ISBLANK(P102),ISBLANK(Q102)),"",ROUND(((163.205*LOG10(O102+Q102-P102))-(97.684*LOG10(S$5))-78.387),0)/100),"")),""))</f>
        <v/>
      </c>
      <c r="S102" s="36"/>
      <c r="T102" s="36"/>
      <c r="U102" s="36"/>
      <c r="V102" s="137" t="str">
        <f ca="1">IF(M106="","","From")</f>
        <v/>
      </c>
      <c r="W102" s="138"/>
      <c r="X102" s="141" t="str">
        <f ca="1">IF(M106="","",B100)</f>
        <v/>
      </c>
      <c r="Y102" s="142"/>
      <c r="Z102" s="142"/>
      <c r="AA102" s="143" t="str">
        <f ca="1">IF(M106="","","to")</f>
        <v/>
      </c>
      <c r="AB102" s="144" t="str">
        <f ca="1">IF(M106="","",B106)</f>
        <v/>
      </c>
      <c r="AC102" s="145"/>
      <c r="AD102" s="146"/>
      <c r="AE102" s="147"/>
      <c r="AF102" s="36"/>
      <c r="AG102" s="56">
        <f>AG100+1</f>
        <v>46</v>
      </c>
      <c r="AH102" s="35">
        <f t="shared" si="24"/>
        <v>0</v>
      </c>
      <c r="AI102" s="35">
        <f>AI101</f>
        <v>189.22857142857146</v>
      </c>
      <c r="AJ102" s="35">
        <f t="shared" si="25"/>
        <v>183</v>
      </c>
      <c r="AK102" s="35">
        <f>IF($F$6&gt;$F$7,IF(AK100&gt;AJ102,AK100+$AJ$9,AJ102),IF($F$6&lt;$F$7,IF(AK100&lt;AJ102,AK100+$AJ$9,AJ102),AJ102))</f>
        <v>183</v>
      </c>
      <c r="AL102" s="57" t="str">
        <f t="shared" si="34"/>
        <v/>
      </c>
      <c r="AM102" s="58" t="str">
        <f t="shared" si="26"/>
        <v/>
      </c>
      <c r="AN102" s="58" t="str">
        <f t="shared" si="27"/>
        <v/>
      </c>
      <c r="AO102" s="58" t="str">
        <f t="shared" si="28"/>
        <v/>
      </c>
      <c r="AP102" s="58" t="str">
        <f t="shared" si="29"/>
        <v/>
      </c>
      <c r="AQ102" s="58" t="str">
        <f t="shared" si="30"/>
        <v/>
      </c>
      <c r="AR102" s="59" t="str">
        <f t="shared" si="31"/>
        <v/>
      </c>
      <c r="AS102" s="61" t="str">
        <f t="shared" si="32"/>
        <v/>
      </c>
      <c r="AT102" s="82" t="str">
        <f>IF(AS102="","",AS102-AS100)</f>
        <v/>
      </c>
      <c r="AU102" s="84" t="str">
        <f ca="1">IF(AV102="","",IF(AT102="","",MROUND(AV102,5)))</f>
        <v/>
      </c>
      <c r="AV102" s="35">
        <f ca="1">IF(AH103&lt;7,AV100,IF(AH102&lt;7,AV100,((K103+(((-L102)*$AV$7)/AH103)))+SUM(OFFSET(IF(ROW()/2-5&gt;$S$8,INDEX(M:M,ROW()-(($S$8-1)*2)),$M$12),0,0,IF(ROW()/2-6&gt;($S$8-1),($S$8-1)*2,(ROW()/2-6)*2),1)))/IF(ROW()/2-5&gt;$S$8,$S$8,ROW()/2-5))</f>
        <v>2682.7551020408164</v>
      </c>
      <c r="AY102" s="35"/>
      <c r="AZ102" s="35"/>
      <c r="BA102" s="51"/>
      <c r="BE102" s="48"/>
      <c r="BF102" s="48"/>
      <c r="BH102" s="49"/>
      <c r="BI102" s="49"/>
      <c r="CA102" s="37"/>
      <c r="CB102" s="37"/>
    </row>
    <row r="103" spans="2:80" x14ac:dyDescent="0.35">
      <c r="B103" s="93"/>
      <c r="C103" s="28" t="str">
        <f t="shared" si="33"/>
        <v>Cal.</v>
      </c>
      <c r="D103" s="17"/>
      <c r="E103" s="38"/>
      <c r="F103" s="38"/>
      <c r="G103" s="47"/>
      <c r="H103" s="38"/>
      <c r="I103" s="38"/>
      <c r="J103" s="7"/>
      <c r="K103" s="40" t="str">
        <f t="shared" si="23"/>
        <v/>
      </c>
      <c r="L103" s="125"/>
      <c r="M103" s="89"/>
      <c r="N103" s="36"/>
      <c r="O103" s="36"/>
      <c r="P103" s="36"/>
      <c r="Q103" s="36"/>
      <c r="R103" s="36"/>
      <c r="S103" s="36"/>
      <c r="T103" s="36"/>
      <c r="U103" s="36"/>
      <c r="V103" s="139"/>
      <c r="W103" s="140"/>
      <c r="X103" s="140"/>
      <c r="Y103" s="140"/>
      <c r="Z103" s="140"/>
      <c r="AA103" s="140"/>
      <c r="AB103" s="140"/>
      <c r="AC103" s="140"/>
      <c r="AD103" s="140"/>
      <c r="AE103" s="148"/>
      <c r="AF103" s="36"/>
      <c r="AG103" s="56">
        <f>AG102+0.5</f>
        <v>46.5</v>
      </c>
      <c r="AH103" s="35">
        <f t="shared" si="24"/>
        <v>0</v>
      </c>
      <c r="AI103" s="35">
        <f>AI102</f>
        <v>189.22857142857146</v>
      </c>
      <c r="AJ103" s="35">
        <f t="shared" si="25"/>
        <v>183</v>
      </c>
      <c r="AK103" s="35">
        <f>IF($AJ$9=0,0,(AK102+AK104)/2)</f>
        <v>183</v>
      </c>
      <c r="AL103" s="64" t="str">
        <f t="shared" si="34"/>
        <v/>
      </c>
      <c r="AM103" s="65" t="str">
        <f t="shared" si="26"/>
        <v/>
      </c>
      <c r="AN103" s="65" t="str">
        <f t="shared" si="27"/>
        <v/>
      </c>
      <c r="AO103" s="65" t="str">
        <f t="shared" si="28"/>
        <v/>
      </c>
      <c r="AP103" s="65" t="str">
        <f t="shared" si="29"/>
        <v/>
      </c>
      <c r="AQ103" s="65" t="str">
        <f t="shared" si="30"/>
        <v/>
      </c>
      <c r="AR103" s="66" t="str">
        <f t="shared" si="31"/>
        <v/>
      </c>
      <c r="AS103" s="39" t="str">
        <f t="shared" si="32"/>
        <v/>
      </c>
      <c r="AT103" s="83"/>
      <c r="AU103" s="85"/>
      <c r="AY103" s="35"/>
      <c r="AZ103" s="35"/>
      <c r="BA103" s="51"/>
      <c r="BE103" s="48"/>
      <c r="BF103" s="48"/>
      <c r="BH103" s="49"/>
      <c r="BI103" s="49"/>
      <c r="CA103" s="37"/>
      <c r="CB103" s="37"/>
    </row>
    <row r="104" spans="2:80" x14ac:dyDescent="0.35">
      <c r="B104" s="94">
        <f>IF(B102="","",B102+7)</f>
        <v>43369</v>
      </c>
      <c r="C104" s="27" t="str">
        <f t="shared" si="33"/>
        <v>Weight</v>
      </c>
      <c r="D104" s="17"/>
      <c r="E104" s="38"/>
      <c r="F104" s="38"/>
      <c r="G104" s="47"/>
      <c r="H104" s="38"/>
      <c r="I104" s="38"/>
      <c r="J104" s="7"/>
      <c r="K104" s="33" t="str">
        <f t="shared" si="23"/>
        <v/>
      </c>
      <c r="L104" s="126" t="str">
        <f>IF(K104="","",AT104)</f>
        <v/>
      </c>
      <c r="M104" s="90" t="str">
        <f ca="1">IF(AV104="","",IF(L104="","",AU104))</f>
        <v/>
      </c>
      <c r="N104" s="36"/>
      <c r="O104" s="69"/>
      <c r="P104" s="69"/>
      <c r="Q104" s="69"/>
      <c r="R104" s="70" t="str">
        <f>IF(S$3="male",IF(S$4="cm",IF(OR(ISBLANK(O104),ISBLANK(P104)),"",ROUND(((86.01*LOG10(O104/2.54-P104/2.54))-(70.041*LOG10(S$5/2.54))+36.76),0)/100),IF(S$4="inch",IF(OR(ISBLANK(O104),ISBLANK(P104)),"",ROUND(((86.01*LOG10(O104-P104))-(70.041*LOG10(S$5))+36.76),0)/100),"")),IF(S$3="female",IF(S$4="cm",IF(OR(ISBLANK(O104),ISBLANK(P104),ISBLANK(Q104)),"",ROUND(((163.205*LOG10(O104/2.54+Q104/2.54-P104/2.54))-(97.684*LOG10(S$5/2.54))-78.387),0)/100),IF(S$4="inch",IF(OR(ISBLANK(O104),ISBLANK(P104),ISBLANK(Q104)),"",ROUND(((163.205*LOG10(O104+Q104-P104))-(97.684*LOG10(S$5))-78.387),0)/100),"")),""))</f>
        <v/>
      </c>
      <c r="S104" s="36"/>
      <c r="T104" s="36"/>
      <c r="U104" s="36"/>
      <c r="V104" s="128" t="str">
        <f ca="1">IF(M106="","",IF(K106=K98,"No Weight Change",IF(K106&gt;K98,"You Gained:","You Lost:")))</f>
        <v/>
      </c>
      <c r="W104" s="129"/>
      <c r="X104" s="129"/>
      <c r="Y104" s="129"/>
      <c r="Z104" s="129"/>
      <c r="AA104" s="129"/>
      <c r="AB104" s="42" t="str">
        <f ca="1">IF(M106="","",IF(K106=K98,"",IF(K106&gt;K98,K106-K98,K98-K106)))</f>
        <v/>
      </c>
      <c r="AC104" s="160" t="str">
        <f ca="1">IF(V104="","",IF(V104="No Weight Change","",IF($F$4="Lb","Lb",IF($F$4="Kg","Kg",""))))</f>
        <v/>
      </c>
      <c r="AD104" s="161"/>
      <c r="AE104" s="162"/>
      <c r="AF104" s="36"/>
      <c r="AG104" s="56">
        <f>AG102+1</f>
        <v>47</v>
      </c>
      <c r="AH104" s="35">
        <f t="shared" si="24"/>
        <v>0</v>
      </c>
      <c r="AI104" s="35">
        <f>IF(K104="",AI102,K104)</f>
        <v>189.22857142857146</v>
      </c>
      <c r="AJ104" s="35">
        <f t="shared" si="25"/>
        <v>183</v>
      </c>
      <c r="AK104" s="35">
        <f>IF($F$6&gt;$F$7,IF(AK102&gt;AJ104,AK102+$AJ$9,AJ104),IF($F$6&lt;$F$7,IF(AK102&lt;AJ104,AK102+$AJ$9,AJ104),AJ104))</f>
        <v>183</v>
      </c>
      <c r="AL104" s="57" t="str">
        <f t="shared" si="34"/>
        <v/>
      </c>
      <c r="AM104" s="58" t="str">
        <f t="shared" si="26"/>
        <v/>
      </c>
      <c r="AN104" s="58" t="str">
        <f t="shared" si="27"/>
        <v/>
      </c>
      <c r="AO104" s="58" t="str">
        <f t="shared" si="28"/>
        <v/>
      </c>
      <c r="AP104" s="58" t="str">
        <f t="shared" si="29"/>
        <v/>
      </c>
      <c r="AQ104" s="58" t="str">
        <f t="shared" si="30"/>
        <v/>
      </c>
      <c r="AR104" s="59" t="str">
        <f t="shared" si="31"/>
        <v/>
      </c>
      <c r="AS104" s="61" t="str">
        <f t="shared" si="32"/>
        <v/>
      </c>
      <c r="AT104" s="82" t="str">
        <f>IF(AS104="","",AS104-AS102)</f>
        <v/>
      </c>
      <c r="AU104" s="84" t="str">
        <f ca="1">IF(AV104="","",IF(AT104="","",MROUND(AV104,5)))</f>
        <v/>
      </c>
      <c r="AV104" s="35">
        <f ca="1">IF(AH105&lt;7,AV102,IF(AH104&lt;7,AV102,((K105+(((-L104)*$AV$7)/AH105)))+SUM(OFFSET(IF(ROW()/2-5&gt;$S$8,INDEX(M:M,ROW()-(($S$8-1)*2)),$M$12),0,0,IF(ROW()/2-6&gt;($S$8-1),($S$8-1)*2,(ROW()/2-6)*2),1)))/IF(ROW()/2-5&gt;$S$8,$S$8,ROW()/2-5))</f>
        <v>2682.7551020408164</v>
      </c>
      <c r="AY104" s="35"/>
      <c r="AZ104" s="35"/>
      <c r="BA104" s="51"/>
      <c r="BE104" s="48"/>
      <c r="BF104" s="48"/>
      <c r="BH104" s="49"/>
      <c r="BI104" s="49"/>
      <c r="CA104" s="37"/>
      <c r="CB104" s="37"/>
    </row>
    <row r="105" spans="2:80" x14ac:dyDescent="0.35">
      <c r="B105" s="93"/>
      <c r="C105" s="28" t="str">
        <f t="shared" si="33"/>
        <v>Cal.</v>
      </c>
      <c r="D105" s="17"/>
      <c r="E105" s="38"/>
      <c r="F105" s="38"/>
      <c r="G105" s="47"/>
      <c r="H105" s="38"/>
      <c r="I105" s="38"/>
      <c r="J105" s="7"/>
      <c r="K105" s="40" t="str">
        <f t="shared" si="23"/>
        <v/>
      </c>
      <c r="L105" s="125"/>
      <c r="M105" s="89"/>
      <c r="N105" s="36"/>
      <c r="O105" s="36"/>
      <c r="P105" s="36"/>
      <c r="Q105" s="36"/>
      <c r="R105" s="36"/>
      <c r="S105" s="36"/>
      <c r="T105" s="36"/>
      <c r="U105" s="36"/>
      <c r="V105" s="130" t="str">
        <f ca="1">IF(M106="","",IF(K106=K98,"","At a Rate Of"))</f>
        <v/>
      </c>
      <c r="W105" s="131"/>
      <c r="X105" s="131"/>
      <c r="Y105" s="131"/>
      <c r="Z105" s="131"/>
      <c r="AA105" s="132" t="str">
        <f ca="1">IF(V105="","",AB104/4)</f>
        <v/>
      </c>
      <c r="AB105" s="133"/>
      <c r="AC105" s="134" t="str">
        <f ca="1">IF(V104="","",IF(V104="No Weight Change","",IF($F$4="Lb","Lb/Wk",IF($F$4="Kg","Kg/Wk",""))))</f>
        <v/>
      </c>
      <c r="AD105" s="135"/>
      <c r="AE105" s="136"/>
      <c r="AF105" s="36"/>
      <c r="AG105" s="56">
        <f>AG104+0.5</f>
        <v>47.5</v>
      </c>
      <c r="AH105" s="35">
        <f t="shared" si="24"/>
        <v>0</v>
      </c>
      <c r="AI105" s="35">
        <f>AI104</f>
        <v>189.22857142857146</v>
      </c>
      <c r="AJ105" s="35">
        <f t="shared" si="25"/>
        <v>183</v>
      </c>
      <c r="AK105" s="35">
        <f>IF($AJ$9=0,0,(AK104+AK106)/2)</f>
        <v>183</v>
      </c>
      <c r="AL105" s="64" t="str">
        <f t="shared" si="34"/>
        <v/>
      </c>
      <c r="AM105" s="65" t="str">
        <f t="shared" si="26"/>
        <v/>
      </c>
      <c r="AN105" s="65" t="str">
        <f t="shared" si="27"/>
        <v/>
      </c>
      <c r="AO105" s="65" t="str">
        <f t="shared" si="28"/>
        <v/>
      </c>
      <c r="AP105" s="65" t="str">
        <f t="shared" si="29"/>
        <v/>
      </c>
      <c r="AQ105" s="65" t="str">
        <f t="shared" si="30"/>
        <v/>
      </c>
      <c r="AR105" s="66" t="str">
        <f t="shared" si="31"/>
        <v/>
      </c>
      <c r="AS105" s="39" t="str">
        <f t="shared" si="32"/>
        <v/>
      </c>
      <c r="AT105" s="83"/>
      <c r="AU105" s="85"/>
      <c r="AY105" s="35"/>
      <c r="AZ105" s="35"/>
      <c r="BA105" s="51"/>
      <c r="BE105" s="48"/>
      <c r="BF105" s="48"/>
      <c r="BH105" s="49"/>
      <c r="BI105" s="49"/>
      <c r="CA105" s="37"/>
      <c r="CB105" s="37"/>
    </row>
    <row r="106" spans="2:80" x14ac:dyDescent="0.35">
      <c r="B106" s="94">
        <f>IF(B104="","",B104+7)</f>
        <v>43376</v>
      </c>
      <c r="C106" s="27" t="str">
        <f t="shared" si="33"/>
        <v>Weight</v>
      </c>
      <c r="D106" s="17"/>
      <c r="E106" s="38"/>
      <c r="F106" s="38"/>
      <c r="G106" s="47"/>
      <c r="H106" s="38"/>
      <c r="I106" s="38"/>
      <c r="J106" s="7"/>
      <c r="K106" s="33" t="str">
        <f t="shared" si="23"/>
        <v/>
      </c>
      <c r="L106" s="126" t="str">
        <f>IF(K106="","",AT106)</f>
        <v/>
      </c>
      <c r="M106" s="90" t="str">
        <f ca="1">IF(AV106="","",IF(L106="","",AU106))</f>
        <v/>
      </c>
      <c r="N106" s="36"/>
      <c r="O106" s="69"/>
      <c r="P106" s="69"/>
      <c r="Q106" s="69"/>
      <c r="R106" s="70" t="str">
        <f>IF(S$3="male",IF(S$4="cm",IF(OR(ISBLANK(O106),ISBLANK(P106)),"",ROUND(((86.01*LOG10(O106/2.54-P106/2.54))-(70.041*LOG10(S$5/2.54))+36.76),0)/100),IF(S$4="inch",IF(OR(ISBLANK(O106),ISBLANK(P106)),"",ROUND(((86.01*LOG10(O106-P106))-(70.041*LOG10(S$5))+36.76),0)/100),"")),IF(S$3="female",IF(S$4="cm",IF(OR(ISBLANK(O106),ISBLANK(P106),ISBLANK(Q106)),"",ROUND(((163.205*LOG10(O106/2.54+Q106/2.54-P106/2.54))-(97.684*LOG10(S$5/2.54))-78.387),0)/100),IF(S$4="inch",IF(OR(ISBLANK(O106),ISBLANK(P106),ISBLANK(Q106)),"",ROUND(((163.205*LOG10(O106+Q106-P106))-(97.684*LOG10(S$5))-78.387),0)/100),"")),""))</f>
        <v/>
      </c>
      <c r="S106" s="36"/>
      <c r="T106" s="36"/>
      <c r="U106" s="36"/>
      <c r="V106" s="149" t="str">
        <f ca="1">IF(AA105="","","You have")</f>
        <v/>
      </c>
      <c r="W106" s="150"/>
      <c r="X106" s="150"/>
      <c r="Y106" s="150"/>
      <c r="Z106" s="153" t="str">
        <f ca="1">IF(AA105="","",IF(K106&gt;$F$7,K106-$F$7,$F$7-K106))</f>
        <v/>
      </c>
      <c r="AA106" s="155" t="str">
        <f ca="1">IF(AA105="","",IF(AA105="No Weight Change","",IF($F$4="Lb","Lb to go!",IF($F$4="Kg","Kg to go!",""))))</f>
        <v/>
      </c>
      <c r="AB106" s="156"/>
      <c r="AC106" s="156"/>
      <c r="AD106" s="156"/>
      <c r="AE106" s="157"/>
      <c r="AF106" s="36"/>
      <c r="AG106" s="56">
        <f>AG104+1</f>
        <v>48</v>
      </c>
      <c r="AH106" s="35">
        <f t="shared" si="24"/>
        <v>0</v>
      </c>
      <c r="AI106" s="35">
        <f>IF(K106="",AI104,K106)</f>
        <v>189.22857142857146</v>
      </c>
      <c r="AJ106" s="35">
        <f t="shared" si="25"/>
        <v>183</v>
      </c>
      <c r="AK106" s="35">
        <f>IF($F$6&gt;$F$7,IF(AK104&gt;AJ106,AK104+$AJ$9,AJ106),IF($F$6&lt;$F$7,IF(AK104&lt;AJ106,AK104+$AJ$9,AJ106),AJ106))</f>
        <v>183</v>
      </c>
      <c r="AL106" s="57" t="str">
        <f t="shared" si="34"/>
        <v/>
      </c>
      <c r="AM106" s="58" t="str">
        <f t="shared" si="26"/>
        <v/>
      </c>
      <c r="AN106" s="58" t="str">
        <f t="shared" si="27"/>
        <v/>
      </c>
      <c r="AO106" s="58" t="str">
        <f t="shared" si="28"/>
        <v/>
      </c>
      <c r="AP106" s="58" t="str">
        <f t="shared" si="29"/>
        <v/>
      </c>
      <c r="AQ106" s="58" t="str">
        <f t="shared" si="30"/>
        <v/>
      </c>
      <c r="AR106" s="59" t="str">
        <f t="shared" si="31"/>
        <v/>
      </c>
      <c r="AS106" s="61" t="str">
        <f t="shared" si="32"/>
        <v/>
      </c>
      <c r="AT106" s="82" t="str">
        <f>IF(AS106="","",AS106-AS104)</f>
        <v/>
      </c>
      <c r="AU106" s="84" t="str">
        <f ca="1">IF(AV106="","",IF(AT106="","",MROUND(AV106,5)))</f>
        <v/>
      </c>
      <c r="AV106" s="35">
        <f ca="1">IF(AH107&lt;7,AV104,IF(AH106&lt;7,AV104,((K107+(((-L106)*$AV$7)/AH107)))+SUM(OFFSET(IF(ROW()/2-5&gt;$S$8,INDEX(M:M,ROW()-(($S$8-1)*2)),$M$12),0,0,IF(ROW()/2-6&gt;($S$8-1),($S$8-1)*2,(ROW()/2-6)*2),1)))/IF(ROW()/2-5&gt;$S$8,$S$8,ROW()/2-5))</f>
        <v>2682.7551020408164</v>
      </c>
      <c r="AY106" s="35"/>
      <c r="AZ106" s="35"/>
      <c r="BA106" s="51"/>
      <c r="BE106" s="48"/>
      <c r="BF106" s="48"/>
      <c r="BH106" s="49"/>
      <c r="BI106" s="49"/>
      <c r="CA106" s="37"/>
      <c r="CB106" s="37"/>
    </row>
    <row r="107" spans="2:80" x14ac:dyDescent="0.35">
      <c r="B107" s="95"/>
      <c r="C107" s="11" t="str">
        <f t="shared" si="33"/>
        <v>Cal.</v>
      </c>
      <c r="D107" s="18"/>
      <c r="E107" s="19"/>
      <c r="F107" s="19"/>
      <c r="G107" s="19"/>
      <c r="H107" s="19"/>
      <c r="I107" s="19"/>
      <c r="J107" s="24"/>
      <c r="K107" s="39" t="str">
        <f t="shared" si="23"/>
        <v/>
      </c>
      <c r="L107" s="127"/>
      <c r="M107" s="91"/>
      <c r="N107" s="36"/>
      <c r="O107" s="36"/>
      <c r="P107" s="36"/>
      <c r="Q107" s="36"/>
      <c r="R107" s="36"/>
      <c r="S107" s="36"/>
      <c r="T107" s="36"/>
      <c r="U107" s="36"/>
      <c r="V107" s="151"/>
      <c r="W107" s="152"/>
      <c r="X107" s="152"/>
      <c r="Y107" s="152"/>
      <c r="Z107" s="154"/>
      <c r="AA107" s="158"/>
      <c r="AB107" s="158"/>
      <c r="AC107" s="158"/>
      <c r="AD107" s="158"/>
      <c r="AE107" s="159"/>
      <c r="AF107" s="36"/>
      <c r="AG107" s="56">
        <f>AG106+0.5</f>
        <v>48.5</v>
      </c>
      <c r="AH107" s="35">
        <f t="shared" si="24"/>
        <v>0</v>
      </c>
      <c r="AI107" s="35">
        <f>AI106</f>
        <v>189.22857142857146</v>
      </c>
      <c r="AJ107" s="35">
        <f t="shared" si="25"/>
        <v>183</v>
      </c>
      <c r="AK107" s="35">
        <f>IF($AJ$9=0,0,(AK106+AK108)/2)</f>
        <v>183</v>
      </c>
      <c r="AL107" s="64" t="str">
        <f t="shared" si="34"/>
        <v/>
      </c>
      <c r="AM107" s="65" t="str">
        <f t="shared" si="26"/>
        <v/>
      </c>
      <c r="AN107" s="65" t="str">
        <f t="shared" si="27"/>
        <v/>
      </c>
      <c r="AO107" s="65" t="str">
        <f t="shared" si="28"/>
        <v/>
      </c>
      <c r="AP107" s="65" t="str">
        <f t="shared" si="29"/>
        <v/>
      </c>
      <c r="AQ107" s="65" t="str">
        <f t="shared" si="30"/>
        <v/>
      </c>
      <c r="AR107" s="66" t="str">
        <f t="shared" si="31"/>
        <v/>
      </c>
      <c r="AS107" s="39" t="str">
        <f t="shared" si="32"/>
        <v/>
      </c>
      <c r="AT107" s="83"/>
      <c r="AU107" s="85"/>
      <c r="AY107" s="35"/>
      <c r="AZ107" s="35"/>
      <c r="BA107" s="51"/>
      <c r="BE107" s="48"/>
      <c r="BF107" s="48"/>
      <c r="BH107" s="49"/>
      <c r="BI107" s="49"/>
      <c r="CA107" s="37"/>
      <c r="CB107" s="37"/>
    </row>
    <row r="108" spans="2:80" x14ac:dyDescent="0.35">
      <c r="B108" s="92">
        <f>IF(B106="","",B106+7)</f>
        <v>43383</v>
      </c>
      <c r="C108" s="10" t="str">
        <f t="shared" si="33"/>
        <v>Weight</v>
      </c>
      <c r="D108" s="15"/>
      <c r="E108" s="16"/>
      <c r="F108" s="16"/>
      <c r="G108" s="16"/>
      <c r="H108" s="16"/>
      <c r="I108" s="16"/>
      <c r="J108" s="23"/>
      <c r="K108" s="32" t="str">
        <f t="shared" ref="K108:K123" si="35">IF(AH108=0,"",AS108)</f>
        <v/>
      </c>
      <c r="L108" s="124" t="str">
        <f>IF(K108="","",AT108)</f>
        <v/>
      </c>
      <c r="M108" s="88" t="str">
        <f ca="1">IF(AV108="","",IF(L108="","",AU108))</f>
        <v/>
      </c>
      <c r="N108" s="36"/>
      <c r="O108" s="69"/>
      <c r="P108" s="69"/>
      <c r="Q108" s="69"/>
      <c r="R108" s="70" t="str">
        <f>IF(S$3="male",IF(S$4="cm",IF(OR(ISBLANK(O108),ISBLANK(P108)),"",ROUND(((86.01*LOG10(O108/2.54-P108/2.54))-(70.041*LOG10(S$5/2.54))+36.76),0)/100),IF(S$4="inch",IF(OR(ISBLANK(O108),ISBLANK(P108)),"",ROUND(((86.01*LOG10(O108-P108))-(70.041*LOG10(S$5))+36.76),0)/100),"")),IF(S$3="female",IF(S$4="cm",IF(OR(ISBLANK(O108),ISBLANK(P108),ISBLANK(Q108)),"",ROUND(((163.205*LOG10(O108/2.54+Q108/2.54-P108/2.54))-(97.684*LOG10(S$5/2.54))-78.387),0)/100),IF(S$4="inch",IF(OR(ISBLANK(O108),ISBLANK(P108),ISBLANK(Q108)),"",ROUND(((163.205*LOG10(O108+Q108-P108))-(97.684*LOG10(S$5))-78.387),0)/100),"")),""))</f>
        <v/>
      </c>
      <c r="S108" s="36"/>
      <c r="T108" s="36"/>
      <c r="U108" s="36"/>
      <c r="V108" s="36"/>
      <c r="W108" s="36"/>
      <c r="X108" s="36"/>
      <c r="Y108" s="36"/>
      <c r="Z108" s="45"/>
      <c r="AA108" s="36"/>
      <c r="AB108" s="45"/>
      <c r="AC108" s="36"/>
      <c r="AD108" s="36"/>
      <c r="AE108" s="36"/>
      <c r="AF108" s="36"/>
      <c r="AG108" s="56">
        <f>AG106+1</f>
        <v>49</v>
      </c>
      <c r="AH108" s="35">
        <f t="shared" ref="AH108:AH123" si="36">COUNT(AL108:AR108)</f>
        <v>0</v>
      </c>
      <c r="AI108" s="35">
        <f>IF(K108="",AI106,K108)</f>
        <v>189.22857142857146</v>
      </c>
      <c r="AJ108" s="35">
        <f t="shared" ref="AJ108:AJ123" si="37">AJ107</f>
        <v>183</v>
      </c>
      <c r="AK108" s="35">
        <f>IF($F$6&gt;$F$7,IF(AK106&gt;AJ108,AK106+$AJ$9,AJ108),IF($F$6&lt;$F$7,IF(AK106&lt;AJ108,AK106+$AJ$9,AJ108),AJ108))</f>
        <v>183</v>
      </c>
      <c r="AL108" s="57" t="str">
        <f t="shared" si="34"/>
        <v/>
      </c>
      <c r="AM108" s="58" t="str">
        <f t="shared" ref="AM108:AM123" si="38">IF(E108="",AL108,E108)</f>
        <v/>
      </c>
      <c r="AN108" s="58" t="str">
        <f t="shared" ref="AN108:AN123" si="39">IF(F108="",AM108,F108)</f>
        <v/>
      </c>
      <c r="AO108" s="58" t="str">
        <f t="shared" ref="AO108:AO123" si="40">IF(G108="",AN108,G108)</f>
        <v/>
      </c>
      <c r="AP108" s="58" t="str">
        <f t="shared" ref="AP108:AP123" si="41">IF(H108="",AO108,H108)</f>
        <v/>
      </c>
      <c r="AQ108" s="58" t="str">
        <f t="shared" ref="AQ108:AQ123" si="42">IF(I108="",AP108,I108)</f>
        <v/>
      </c>
      <c r="AR108" s="59" t="str">
        <f t="shared" ref="AR108:AR123" si="43">IF(J108="",AQ108,J108)</f>
        <v/>
      </c>
      <c r="AS108" s="61" t="str">
        <f t="shared" ref="AS108:AS123" si="44">IF(AH108=0,"",SUM(AL108:AR108)/AH108)</f>
        <v/>
      </c>
      <c r="AT108" s="82" t="str">
        <f>IF(AS108="","",AS108-AS106)</f>
        <v/>
      </c>
      <c r="AU108" s="84" t="str">
        <f ca="1">IF(AV108="","",IF(AT108="","",MROUND(AV108,5)))</f>
        <v/>
      </c>
      <c r="AV108" s="35">
        <f ca="1">IF(AH109&lt;7,AV106,IF(AH108&lt;7,AV106,((K109+(((-L108)*$AV$7)/AH109)))+SUM(OFFSET(IF(ROW()/2-5&gt;$S$8,INDEX(M:M,ROW()-(($S$8-1)*2)),$M$12),0,0,IF(ROW()/2-6&gt;($S$8-1),($S$8-1)*2,(ROW()/2-6)*2),1)))/IF(ROW()/2-5&gt;$S$8,$S$8,ROW()/2-5))</f>
        <v>2682.7551020408164</v>
      </c>
      <c r="AY108" s="35"/>
      <c r="AZ108" s="35"/>
      <c r="BA108" s="51"/>
      <c r="BE108" s="48"/>
      <c r="BF108" s="48"/>
      <c r="BH108" s="49"/>
      <c r="BI108" s="49"/>
      <c r="CA108" s="37"/>
      <c r="CB108" s="37"/>
    </row>
    <row r="109" spans="2:80" x14ac:dyDescent="0.35">
      <c r="B109" s="93"/>
      <c r="C109" s="26" t="str">
        <f t="shared" si="33"/>
        <v>Cal.</v>
      </c>
      <c r="D109" s="17"/>
      <c r="E109" s="38"/>
      <c r="F109" s="38"/>
      <c r="G109" s="47"/>
      <c r="H109" s="38"/>
      <c r="I109" s="38"/>
      <c r="J109" s="7"/>
      <c r="K109" s="40" t="str">
        <f t="shared" si="35"/>
        <v/>
      </c>
      <c r="L109" s="125"/>
      <c r="M109" s="89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45"/>
      <c r="AA109" s="36"/>
      <c r="AB109" s="45"/>
      <c r="AC109" s="36"/>
      <c r="AD109" s="36"/>
      <c r="AE109" s="36"/>
      <c r="AF109" s="36"/>
      <c r="AG109" s="56">
        <f>AG108+0.5</f>
        <v>49.5</v>
      </c>
      <c r="AH109" s="35">
        <f t="shared" si="36"/>
        <v>0</v>
      </c>
      <c r="AI109" s="35">
        <f>AI108</f>
        <v>189.22857142857146</v>
      </c>
      <c r="AJ109" s="35">
        <f t="shared" si="37"/>
        <v>183</v>
      </c>
      <c r="AK109" s="35">
        <f>IF($AJ$9=0,0,(AK108+AK110)/2)</f>
        <v>183</v>
      </c>
      <c r="AL109" s="64" t="str">
        <f t="shared" si="34"/>
        <v/>
      </c>
      <c r="AM109" s="65" t="str">
        <f t="shared" si="38"/>
        <v/>
      </c>
      <c r="AN109" s="65" t="str">
        <f t="shared" si="39"/>
        <v/>
      </c>
      <c r="AO109" s="65" t="str">
        <f t="shared" si="40"/>
        <v/>
      </c>
      <c r="AP109" s="65" t="str">
        <f t="shared" si="41"/>
        <v/>
      </c>
      <c r="AQ109" s="65" t="str">
        <f t="shared" si="42"/>
        <v/>
      </c>
      <c r="AR109" s="66" t="str">
        <f t="shared" si="43"/>
        <v/>
      </c>
      <c r="AS109" s="39" t="str">
        <f t="shared" si="44"/>
        <v/>
      </c>
      <c r="AT109" s="83"/>
      <c r="AU109" s="85"/>
      <c r="AY109" s="35"/>
      <c r="AZ109" s="35"/>
      <c r="BA109" s="51"/>
      <c r="BE109" s="48"/>
      <c r="BF109" s="48"/>
      <c r="BH109" s="49"/>
      <c r="BI109" s="49"/>
      <c r="CA109" s="37"/>
      <c r="CB109" s="37"/>
    </row>
    <row r="110" spans="2:80" x14ac:dyDescent="0.35">
      <c r="B110" s="94">
        <f>IF(B108="","",B108+7)</f>
        <v>43390</v>
      </c>
      <c r="C110" s="27" t="str">
        <f t="shared" si="33"/>
        <v>Weight</v>
      </c>
      <c r="D110" s="17"/>
      <c r="E110" s="38"/>
      <c r="F110" s="38"/>
      <c r="G110" s="47"/>
      <c r="H110" s="38"/>
      <c r="I110" s="38"/>
      <c r="J110" s="7"/>
      <c r="K110" s="33" t="str">
        <f t="shared" si="35"/>
        <v/>
      </c>
      <c r="L110" s="126" t="str">
        <f>IF(K110="","",AT110)</f>
        <v/>
      </c>
      <c r="M110" s="90" t="str">
        <f ca="1">IF(AV110="","",IF(L110="","",AU110))</f>
        <v/>
      </c>
      <c r="N110" s="36"/>
      <c r="O110" s="69"/>
      <c r="P110" s="69"/>
      <c r="Q110" s="69"/>
      <c r="R110" s="70" t="str">
        <f>IF(S$3="male",IF(S$4="cm",IF(OR(ISBLANK(O110),ISBLANK(P110)),"",ROUND(((86.01*LOG10(O110/2.54-P110/2.54))-(70.041*LOG10(S$5/2.54))+36.76),0)/100),IF(S$4="inch",IF(OR(ISBLANK(O110),ISBLANK(P110)),"",ROUND(((86.01*LOG10(O110-P110))-(70.041*LOG10(S$5))+36.76),0)/100),"")),IF(S$3="female",IF(S$4="cm",IF(OR(ISBLANK(O110),ISBLANK(P110),ISBLANK(Q110)),"",ROUND(((163.205*LOG10(O110/2.54+Q110/2.54-P110/2.54))-(97.684*LOG10(S$5/2.54))-78.387),0)/100),IF(S$4="inch",IF(OR(ISBLANK(O110),ISBLANK(P110),ISBLANK(Q110)),"",ROUND(((163.205*LOG10(O110+Q110-P110))-(97.684*LOG10(S$5))-78.387),0)/100),"")),""))</f>
        <v/>
      </c>
      <c r="S110" s="36"/>
      <c r="T110" s="36"/>
      <c r="U110" s="36"/>
      <c r="V110" s="137" t="str">
        <f ca="1">IF(M114="","","From")</f>
        <v/>
      </c>
      <c r="W110" s="138"/>
      <c r="X110" s="141" t="str">
        <f ca="1">IF(M114="","",B108)</f>
        <v/>
      </c>
      <c r="Y110" s="142"/>
      <c r="Z110" s="142"/>
      <c r="AA110" s="143" t="str">
        <f ca="1">IF(M114="","","to")</f>
        <v/>
      </c>
      <c r="AB110" s="144" t="str">
        <f ca="1">IF(M114="","",B114)</f>
        <v/>
      </c>
      <c r="AC110" s="145"/>
      <c r="AD110" s="146"/>
      <c r="AE110" s="147"/>
      <c r="AF110" s="36"/>
      <c r="AG110" s="56">
        <f>AG108+1</f>
        <v>50</v>
      </c>
      <c r="AH110" s="35">
        <f t="shared" si="36"/>
        <v>0</v>
      </c>
      <c r="AI110" s="35">
        <f>IF(K110="",AI108,K110)</f>
        <v>189.22857142857146</v>
      </c>
      <c r="AJ110" s="35">
        <f t="shared" si="37"/>
        <v>183</v>
      </c>
      <c r="AK110" s="35">
        <f>IF($F$6&gt;$F$7,IF(AK108&gt;AJ110,AK108+$AJ$9,AJ110),IF($F$6&lt;$F$7,IF(AK108&lt;AJ110,AK108+$AJ$9,AJ110),AJ110))</f>
        <v>183</v>
      </c>
      <c r="AL110" s="57" t="str">
        <f t="shared" ref="AL110:AL123" si="45">IF(COUNT(D110:J110)&lt;1,"",IF(D110="",AS108,D110))</f>
        <v/>
      </c>
      <c r="AM110" s="58" t="str">
        <f t="shared" si="38"/>
        <v/>
      </c>
      <c r="AN110" s="58" t="str">
        <f t="shared" si="39"/>
        <v/>
      </c>
      <c r="AO110" s="58" t="str">
        <f t="shared" si="40"/>
        <v/>
      </c>
      <c r="AP110" s="58" t="str">
        <f t="shared" si="41"/>
        <v/>
      </c>
      <c r="AQ110" s="58" t="str">
        <f t="shared" si="42"/>
        <v/>
      </c>
      <c r="AR110" s="59" t="str">
        <f t="shared" si="43"/>
        <v/>
      </c>
      <c r="AS110" s="61" t="str">
        <f t="shared" si="44"/>
        <v/>
      </c>
      <c r="AT110" s="82" t="str">
        <f>IF(AS110="","",AS110-AS108)</f>
        <v/>
      </c>
      <c r="AU110" s="84" t="str">
        <f ca="1">IF(AV110="","",IF(AT110="","",MROUND(AV110,5)))</f>
        <v/>
      </c>
      <c r="AV110" s="35">
        <f ca="1">IF(AH111&lt;7,AV108,IF(AH110&lt;7,AV108,((K111+(((-L110)*$AV$7)/AH111)))+SUM(OFFSET(IF(ROW()/2-5&gt;$S$8,INDEX(M:M,ROW()-(($S$8-1)*2)),$M$12),0,0,IF(ROW()/2-6&gt;($S$8-1),($S$8-1)*2,(ROW()/2-6)*2),1)))/IF(ROW()/2-5&gt;$S$8,$S$8,ROW()/2-5))</f>
        <v>2682.7551020408164</v>
      </c>
      <c r="AY110" s="35"/>
      <c r="AZ110" s="35"/>
      <c r="BA110" s="51"/>
      <c r="BE110" s="48"/>
      <c r="BF110" s="48"/>
      <c r="BH110" s="49"/>
      <c r="BI110" s="49"/>
      <c r="CA110" s="37"/>
      <c r="CB110" s="37"/>
    </row>
    <row r="111" spans="2:80" x14ac:dyDescent="0.35">
      <c r="B111" s="93"/>
      <c r="C111" s="28" t="str">
        <f t="shared" si="33"/>
        <v>Cal.</v>
      </c>
      <c r="D111" s="17"/>
      <c r="E111" s="38"/>
      <c r="F111" s="38"/>
      <c r="G111" s="47"/>
      <c r="H111" s="38"/>
      <c r="I111" s="38"/>
      <c r="J111" s="7"/>
      <c r="K111" s="40" t="str">
        <f t="shared" si="35"/>
        <v/>
      </c>
      <c r="L111" s="125"/>
      <c r="M111" s="89"/>
      <c r="N111" s="36"/>
      <c r="O111" s="36"/>
      <c r="P111" s="36"/>
      <c r="Q111" s="36"/>
      <c r="R111" s="36"/>
      <c r="S111" s="36"/>
      <c r="T111" s="36"/>
      <c r="U111" s="36"/>
      <c r="V111" s="139"/>
      <c r="W111" s="140"/>
      <c r="X111" s="140"/>
      <c r="Y111" s="140"/>
      <c r="Z111" s="140"/>
      <c r="AA111" s="140"/>
      <c r="AB111" s="140"/>
      <c r="AC111" s="140"/>
      <c r="AD111" s="140"/>
      <c r="AE111" s="148"/>
      <c r="AF111" s="36"/>
      <c r="AG111" s="56">
        <f>AG110+0.5</f>
        <v>50.5</v>
      </c>
      <c r="AH111" s="35">
        <f t="shared" si="36"/>
        <v>0</v>
      </c>
      <c r="AI111" s="35">
        <f>AI110</f>
        <v>189.22857142857146</v>
      </c>
      <c r="AJ111" s="35">
        <f t="shared" si="37"/>
        <v>183</v>
      </c>
      <c r="AK111" s="35">
        <f>IF($AJ$9=0,0,(AK110+AK112)/2)</f>
        <v>183</v>
      </c>
      <c r="AL111" s="64" t="str">
        <f t="shared" si="45"/>
        <v/>
      </c>
      <c r="AM111" s="65" t="str">
        <f t="shared" si="38"/>
        <v/>
      </c>
      <c r="AN111" s="65" t="str">
        <f t="shared" si="39"/>
        <v/>
      </c>
      <c r="AO111" s="65" t="str">
        <f t="shared" si="40"/>
        <v/>
      </c>
      <c r="AP111" s="65" t="str">
        <f t="shared" si="41"/>
        <v/>
      </c>
      <c r="AQ111" s="65" t="str">
        <f t="shared" si="42"/>
        <v/>
      </c>
      <c r="AR111" s="66" t="str">
        <f t="shared" si="43"/>
        <v/>
      </c>
      <c r="AS111" s="39" t="str">
        <f t="shared" si="44"/>
        <v/>
      </c>
      <c r="AT111" s="83"/>
      <c r="AU111" s="85"/>
      <c r="AY111" s="35"/>
      <c r="AZ111" s="35"/>
      <c r="BA111" s="51"/>
      <c r="BE111" s="48"/>
      <c r="BF111" s="48"/>
      <c r="BH111" s="49"/>
      <c r="BI111" s="49"/>
      <c r="CA111" s="37"/>
      <c r="CB111" s="37"/>
    </row>
    <row r="112" spans="2:80" x14ac:dyDescent="0.35">
      <c r="B112" s="94">
        <f>IF(B110="","",B110+7)</f>
        <v>43397</v>
      </c>
      <c r="C112" s="27" t="str">
        <f t="shared" si="33"/>
        <v>Weight</v>
      </c>
      <c r="D112" s="17"/>
      <c r="E112" s="38"/>
      <c r="F112" s="38"/>
      <c r="G112" s="47"/>
      <c r="H112" s="38"/>
      <c r="I112" s="38"/>
      <c r="J112" s="7"/>
      <c r="K112" s="33" t="str">
        <f t="shared" si="35"/>
        <v/>
      </c>
      <c r="L112" s="126" t="str">
        <f>IF(K112="","",AT112)</f>
        <v/>
      </c>
      <c r="M112" s="90" t="str">
        <f ca="1">IF(AV112="","",IF(L112="","",AU112))</f>
        <v/>
      </c>
      <c r="N112" s="36"/>
      <c r="O112" s="69"/>
      <c r="P112" s="69"/>
      <c r="Q112" s="69"/>
      <c r="R112" s="70" t="str">
        <f>IF(S$3="male",IF(S$4="cm",IF(OR(ISBLANK(O112),ISBLANK(P112)),"",ROUND(((86.01*LOG10(O112/2.54-P112/2.54))-(70.041*LOG10(S$5/2.54))+36.76),0)/100),IF(S$4="inch",IF(OR(ISBLANK(O112),ISBLANK(P112)),"",ROUND(((86.01*LOG10(O112-P112))-(70.041*LOG10(S$5))+36.76),0)/100),"")),IF(S$3="female",IF(S$4="cm",IF(OR(ISBLANK(O112),ISBLANK(P112),ISBLANK(Q112)),"",ROUND(((163.205*LOG10(O112/2.54+Q112/2.54-P112/2.54))-(97.684*LOG10(S$5/2.54))-78.387),0)/100),IF(S$4="inch",IF(OR(ISBLANK(O112),ISBLANK(P112),ISBLANK(Q112)),"",ROUND(((163.205*LOG10(O112+Q112-P112))-(97.684*LOG10(S$5))-78.387),0)/100),"")),""))</f>
        <v/>
      </c>
      <c r="S112" s="36"/>
      <c r="T112" s="36"/>
      <c r="U112" s="36"/>
      <c r="V112" s="128" t="str">
        <f ca="1">IF(M114="","",IF(K114=K106,"No Weight Change",IF(K114&gt;K106,"You Gained:","You Lost:")))</f>
        <v/>
      </c>
      <c r="W112" s="129"/>
      <c r="X112" s="129"/>
      <c r="Y112" s="129"/>
      <c r="Z112" s="129"/>
      <c r="AA112" s="129"/>
      <c r="AB112" s="42" t="str">
        <f ca="1">IF(M114="","",IF(K114=K106,"",IF(K114&gt;K106,K114-K106,K106-K114)))</f>
        <v/>
      </c>
      <c r="AC112" s="160" t="str">
        <f ca="1">IF(V112="","",IF(V112="No Weight Change","",IF($F$4="Lb","Lb",IF($F$4="Kg","Kg",""))))</f>
        <v/>
      </c>
      <c r="AD112" s="161"/>
      <c r="AE112" s="162"/>
      <c r="AF112" s="36"/>
      <c r="AG112" s="56">
        <f>AG110+1</f>
        <v>51</v>
      </c>
      <c r="AH112" s="35">
        <f t="shared" si="36"/>
        <v>0</v>
      </c>
      <c r="AI112" s="35">
        <f>IF(K112="",AI110,K112)</f>
        <v>189.22857142857146</v>
      </c>
      <c r="AJ112" s="35">
        <f t="shared" si="37"/>
        <v>183</v>
      </c>
      <c r="AK112" s="35">
        <f>IF($F$6&gt;$F$7,IF(AK110&gt;AJ112,AK110+$AJ$9,AJ112),IF($F$6&lt;$F$7,IF(AK110&lt;AJ112,AK110+$AJ$9,AJ112),AJ112))</f>
        <v>183</v>
      </c>
      <c r="AL112" s="57" t="str">
        <f t="shared" si="45"/>
        <v/>
      </c>
      <c r="AM112" s="58" t="str">
        <f t="shared" si="38"/>
        <v/>
      </c>
      <c r="AN112" s="58" t="str">
        <f t="shared" si="39"/>
        <v/>
      </c>
      <c r="AO112" s="58" t="str">
        <f t="shared" si="40"/>
        <v/>
      </c>
      <c r="AP112" s="58" t="str">
        <f t="shared" si="41"/>
        <v/>
      </c>
      <c r="AQ112" s="58" t="str">
        <f t="shared" si="42"/>
        <v/>
      </c>
      <c r="AR112" s="59" t="str">
        <f t="shared" si="43"/>
        <v/>
      </c>
      <c r="AS112" s="61" t="str">
        <f t="shared" si="44"/>
        <v/>
      </c>
      <c r="AT112" s="82" t="str">
        <f>IF(AS112="","",AS112-AS110)</f>
        <v/>
      </c>
      <c r="AU112" s="84" t="str">
        <f ca="1">IF(AV112="","",IF(AT112="","",MROUND(AV112,5)))</f>
        <v/>
      </c>
      <c r="AV112" s="35">
        <f ca="1">IF(AH113&lt;7,AV110,IF(AH112&lt;7,AV110,((K113+(((-L112)*$AV$7)/AH113)))+SUM(OFFSET(IF(ROW()/2-5&gt;$S$8,INDEX(M:M,ROW()-(($S$8-1)*2)),$M$12),0,0,IF(ROW()/2-6&gt;($S$8-1),($S$8-1)*2,(ROW()/2-6)*2),1)))/IF(ROW()/2-5&gt;$S$8,$S$8,ROW()/2-5))</f>
        <v>2682.7551020408164</v>
      </c>
      <c r="AY112" s="35"/>
      <c r="AZ112" s="35"/>
      <c r="BA112" s="51"/>
      <c r="BE112" s="48"/>
      <c r="BF112" s="48"/>
      <c r="BH112" s="49"/>
      <c r="BI112" s="49"/>
      <c r="CA112" s="37"/>
      <c r="CB112" s="37"/>
    </row>
    <row r="113" spans="2:80" x14ac:dyDescent="0.35">
      <c r="B113" s="93"/>
      <c r="C113" s="28" t="str">
        <f t="shared" si="33"/>
        <v>Cal.</v>
      </c>
      <c r="D113" s="17"/>
      <c r="E113" s="38"/>
      <c r="F113" s="38"/>
      <c r="G113" s="47"/>
      <c r="H113" s="38"/>
      <c r="I113" s="38"/>
      <c r="J113" s="7"/>
      <c r="K113" s="40" t="str">
        <f t="shared" si="35"/>
        <v/>
      </c>
      <c r="L113" s="125"/>
      <c r="M113" s="89"/>
      <c r="N113" s="36"/>
      <c r="O113" s="36"/>
      <c r="P113" s="36"/>
      <c r="Q113" s="36"/>
      <c r="R113" s="36"/>
      <c r="S113" s="36"/>
      <c r="T113" s="36"/>
      <c r="U113" s="36"/>
      <c r="V113" s="130" t="str">
        <f ca="1">IF(M114="","",IF(K114=K106,"","At a Rate Of"))</f>
        <v/>
      </c>
      <c r="W113" s="131"/>
      <c r="X113" s="131"/>
      <c r="Y113" s="131"/>
      <c r="Z113" s="131"/>
      <c r="AA113" s="132" t="str">
        <f ca="1">IF(V113="","",AB112/4)</f>
        <v/>
      </c>
      <c r="AB113" s="133"/>
      <c r="AC113" s="134" t="str">
        <f ca="1">IF(V112="","",IF(V112="No Weight Change","",IF($F$4="Lb","Lb/Wk",IF($F$4="Kg","Kg/Wk",""))))</f>
        <v/>
      </c>
      <c r="AD113" s="135"/>
      <c r="AE113" s="136"/>
      <c r="AF113" s="36"/>
      <c r="AG113" s="56">
        <f>AG112+0.5</f>
        <v>51.5</v>
      </c>
      <c r="AH113" s="35">
        <f t="shared" si="36"/>
        <v>0</v>
      </c>
      <c r="AI113" s="35">
        <f>AI112</f>
        <v>189.22857142857146</v>
      </c>
      <c r="AJ113" s="35">
        <f t="shared" si="37"/>
        <v>183</v>
      </c>
      <c r="AK113" s="35">
        <f>IF($AJ$9=0,0,(AK112+AK114)/2)</f>
        <v>183</v>
      </c>
      <c r="AL113" s="64" t="str">
        <f t="shared" si="45"/>
        <v/>
      </c>
      <c r="AM113" s="65" t="str">
        <f t="shared" si="38"/>
        <v/>
      </c>
      <c r="AN113" s="65" t="str">
        <f t="shared" si="39"/>
        <v/>
      </c>
      <c r="AO113" s="65" t="str">
        <f t="shared" si="40"/>
        <v/>
      </c>
      <c r="AP113" s="65" t="str">
        <f t="shared" si="41"/>
        <v/>
      </c>
      <c r="AQ113" s="65" t="str">
        <f t="shared" si="42"/>
        <v/>
      </c>
      <c r="AR113" s="66" t="str">
        <f t="shared" si="43"/>
        <v/>
      </c>
      <c r="AS113" s="39" t="str">
        <f t="shared" si="44"/>
        <v/>
      </c>
      <c r="AT113" s="83"/>
      <c r="AU113" s="85"/>
      <c r="AY113" s="35"/>
      <c r="AZ113" s="35"/>
      <c r="BA113" s="51"/>
      <c r="BE113" s="48"/>
      <c r="BF113" s="48"/>
      <c r="BH113" s="49"/>
      <c r="BI113" s="49"/>
      <c r="CA113" s="37"/>
      <c r="CB113" s="37"/>
    </row>
    <row r="114" spans="2:80" x14ac:dyDescent="0.35">
      <c r="B114" s="94">
        <f>IF(B112="","",B112+7)</f>
        <v>43404</v>
      </c>
      <c r="C114" s="27" t="str">
        <f t="shared" si="33"/>
        <v>Weight</v>
      </c>
      <c r="D114" s="17"/>
      <c r="E114" s="38"/>
      <c r="F114" s="38"/>
      <c r="G114" s="47"/>
      <c r="H114" s="38"/>
      <c r="I114" s="38"/>
      <c r="J114" s="7"/>
      <c r="K114" s="33" t="str">
        <f t="shared" si="35"/>
        <v/>
      </c>
      <c r="L114" s="126" t="str">
        <f>IF(K114="","",AT114)</f>
        <v/>
      </c>
      <c r="M114" s="90" t="str">
        <f ca="1">IF(AV114="","",IF(L114="","",AU114))</f>
        <v/>
      </c>
      <c r="N114" s="36"/>
      <c r="O114" s="69"/>
      <c r="P114" s="69"/>
      <c r="Q114" s="69"/>
      <c r="R114" s="70" t="str">
        <f>IF(S$3="male",IF(S$4="cm",IF(OR(ISBLANK(O114),ISBLANK(P114)),"",ROUND(((86.01*LOG10(O114/2.54-P114/2.54))-(70.041*LOG10(S$5/2.54))+36.76),0)/100),IF(S$4="inch",IF(OR(ISBLANK(O114),ISBLANK(P114)),"",ROUND(((86.01*LOG10(O114-P114))-(70.041*LOG10(S$5))+36.76),0)/100),"")),IF(S$3="female",IF(S$4="cm",IF(OR(ISBLANK(O114),ISBLANK(P114),ISBLANK(Q114)),"",ROUND(((163.205*LOG10(O114/2.54+Q114/2.54-P114/2.54))-(97.684*LOG10(S$5/2.54))-78.387),0)/100),IF(S$4="inch",IF(OR(ISBLANK(O114),ISBLANK(P114),ISBLANK(Q114)),"",ROUND(((163.205*LOG10(O114+Q114-P114))-(97.684*LOG10(S$5))-78.387),0)/100),"")),""))</f>
        <v/>
      </c>
      <c r="S114" s="36"/>
      <c r="T114" s="36"/>
      <c r="U114" s="36"/>
      <c r="V114" s="149" t="str">
        <f ca="1">IF(AA113="","","You have")</f>
        <v/>
      </c>
      <c r="W114" s="150"/>
      <c r="X114" s="150"/>
      <c r="Y114" s="150"/>
      <c r="Z114" s="153" t="str">
        <f ca="1">IF(AA113="","",IF(K114&gt;$F$7,K114-$F$7,$F$7-K114))</f>
        <v/>
      </c>
      <c r="AA114" s="155" t="str">
        <f ca="1">IF(AA113="","",IF(AA113="No Weight Change","",IF($F$4="Lb","Lb to go!",IF($F$4="Kg","Kg to go!",""))))</f>
        <v/>
      </c>
      <c r="AB114" s="156"/>
      <c r="AC114" s="156"/>
      <c r="AD114" s="156"/>
      <c r="AE114" s="157"/>
      <c r="AF114" s="36"/>
      <c r="AG114" s="56">
        <f>AG112+1</f>
        <v>52</v>
      </c>
      <c r="AH114" s="35">
        <f t="shared" si="36"/>
        <v>0</v>
      </c>
      <c r="AI114" s="35">
        <f>IF(K114="",AI112,K114)</f>
        <v>189.22857142857146</v>
      </c>
      <c r="AJ114" s="35">
        <f t="shared" si="37"/>
        <v>183</v>
      </c>
      <c r="AK114" s="35">
        <f>IF($F$6&gt;$F$7,IF(AK112&gt;AJ114,AK112+$AJ$9,AJ114),IF($F$6&lt;$F$7,IF(AK112&lt;AJ114,AK112+$AJ$9,AJ114),AJ114))</f>
        <v>183</v>
      </c>
      <c r="AL114" s="57" t="str">
        <f t="shared" si="45"/>
        <v/>
      </c>
      <c r="AM114" s="58" t="str">
        <f t="shared" si="38"/>
        <v/>
      </c>
      <c r="AN114" s="58" t="str">
        <f t="shared" si="39"/>
        <v/>
      </c>
      <c r="AO114" s="58" t="str">
        <f t="shared" si="40"/>
        <v/>
      </c>
      <c r="AP114" s="58" t="str">
        <f t="shared" si="41"/>
        <v/>
      </c>
      <c r="AQ114" s="58" t="str">
        <f t="shared" si="42"/>
        <v/>
      </c>
      <c r="AR114" s="59" t="str">
        <f t="shared" si="43"/>
        <v/>
      </c>
      <c r="AS114" s="61" t="str">
        <f t="shared" si="44"/>
        <v/>
      </c>
      <c r="AT114" s="82" t="str">
        <f>IF(AS114="","",AS114-AS112)</f>
        <v/>
      </c>
      <c r="AU114" s="84" t="str">
        <f ca="1">IF(AV114="","",IF(AT114="","",MROUND(AV114,5)))</f>
        <v/>
      </c>
      <c r="AV114" s="35">
        <f ca="1">IF(AH115&lt;7,AV112,IF(AH114&lt;7,AV112,((K115+(((-L114)*$AV$7)/AH115)))+SUM(OFFSET(IF(ROW()/2-5&gt;$S$8,INDEX(M:M,ROW()-(($S$8-1)*2)),$M$12),0,0,IF(ROW()/2-6&gt;($S$8-1),($S$8-1)*2,(ROW()/2-6)*2),1)))/IF(ROW()/2-5&gt;$S$8,$S$8,ROW()/2-5))</f>
        <v>2682.7551020408164</v>
      </c>
      <c r="AY114" s="35"/>
      <c r="AZ114" s="35"/>
      <c r="BA114" s="51"/>
      <c r="BE114" s="48"/>
      <c r="BF114" s="48"/>
      <c r="BH114" s="49"/>
      <c r="BI114" s="49"/>
      <c r="CA114" s="37"/>
      <c r="CB114" s="37"/>
    </row>
    <row r="115" spans="2:80" x14ac:dyDescent="0.35">
      <c r="B115" s="95"/>
      <c r="C115" s="11" t="str">
        <f t="shared" si="33"/>
        <v>Cal.</v>
      </c>
      <c r="D115" s="18"/>
      <c r="E115" s="19"/>
      <c r="F115" s="19"/>
      <c r="G115" s="19"/>
      <c r="H115" s="19"/>
      <c r="I115" s="19"/>
      <c r="J115" s="24"/>
      <c r="K115" s="39" t="str">
        <f t="shared" si="35"/>
        <v/>
      </c>
      <c r="L115" s="127"/>
      <c r="M115" s="91"/>
      <c r="N115" s="36"/>
      <c r="O115" s="36"/>
      <c r="P115" s="36"/>
      <c r="Q115" s="36"/>
      <c r="R115" s="36"/>
      <c r="S115" s="36"/>
      <c r="T115" s="36"/>
      <c r="U115" s="36"/>
      <c r="V115" s="151"/>
      <c r="W115" s="152"/>
      <c r="X115" s="152"/>
      <c r="Y115" s="152"/>
      <c r="Z115" s="154"/>
      <c r="AA115" s="158"/>
      <c r="AB115" s="158"/>
      <c r="AC115" s="158"/>
      <c r="AD115" s="158"/>
      <c r="AE115" s="159"/>
      <c r="AF115" s="36"/>
      <c r="AG115" s="56">
        <f>AG114+0.5</f>
        <v>52.5</v>
      </c>
      <c r="AH115" s="35">
        <f t="shared" si="36"/>
        <v>0</v>
      </c>
      <c r="AI115" s="35">
        <f>AI114</f>
        <v>189.22857142857146</v>
      </c>
      <c r="AJ115" s="35">
        <f t="shared" si="37"/>
        <v>183</v>
      </c>
      <c r="AK115" s="35">
        <f>IF($AJ$9=0,0,(AK114+AK116)/2)</f>
        <v>183</v>
      </c>
      <c r="AL115" s="64" t="str">
        <f t="shared" si="45"/>
        <v/>
      </c>
      <c r="AM115" s="65" t="str">
        <f t="shared" si="38"/>
        <v/>
      </c>
      <c r="AN115" s="65" t="str">
        <f t="shared" si="39"/>
        <v/>
      </c>
      <c r="AO115" s="65" t="str">
        <f t="shared" si="40"/>
        <v/>
      </c>
      <c r="AP115" s="65" t="str">
        <f t="shared" si="41"/>
        <v/>
      </c>
      <c r="AQ115" s="65" t="str">
        <f t="shared" si="42"/>
        <v/>
      </c>
      <c r="AR115" s="66" t="str">
        <f t="shared" si="43"/>
        <v/>
      </c>
      <c r="AS115" s="39" t="str">
        <f t="shared" si="44"/>
        <v/>
      </c>
      <c r="AT115" s="83"/>
      <c r="AU115" s="85"/>
      <c r="AY115" s="35"/>
      <c r="AZ115" s="35"/>
      <c r="BA115" s="51"/>
      <c r="BE115" s="48"/>
      <c r="BF115" s="48"/>
      <c r="BH115" s="49"/>
      <c r="BI115" s="49"/>
      <c r="CA115" s="37"/>
      <c r="CB115" s="37"/>
    </row>
    <row r="116" spans="2:80" x14ac:dyDescent="0.35">
      <c r="B116" s="92">
        <f>IF(B114="","",B114+7)</f>
        <v>43411</v>
      </c>
      <c r="C116" s="10" t="str">
        <f t="shared" si="33"/>
        <v>Weight</v>
      </c>
      <c r="D116" s="15"/>
      <c r="E116" s="16"/>
      <c r="F116" s="16"/>
      <c r="G116" s="16"/>
      <c r="H116" s="16"/>
      <c r="I116" s="16"/>
      <c r="J116" s="23"/>
      <c r="K116" s="32" t="str">
        <f t="shared" si="35"/>
        <v/>
      </c>
      <c r="L116" s="124" t="str">
        <f>IF(K116="","",AT116)</f>
        <v/>
      </c>
      <c r="M116" s="88" t="str">
        <f ca="1">IF(AV116="","",IF(L116="","",AU116))</f>
        <v/>
      </c>
      <c r="N116" s="36"/>
      <c r="O116" s="69"/>
      <c r="P116" s="69"/>
      <c r="Q116" s="69"/>
      <c r="R116" s="70" t="str">
        <f>IF(S$3="male",IF(S$4="cm",IF(OR(ISBLANK(O116),ISBLANK(P116)),"",ROUND(((86.01*LOG10(O116/2.54-P116/2.54))-(70.041*LOG10(S$5/2.54))+36.76),0)/100),IF(S$4="inch",IF(OR(ISBLANK(O116),ISBLANK(P116)),"",ROUND(((86.01*LOG10(O116-P116))-(70.041*LOG10(S$5))+36.76),0)/100),"")),IF(S$3="female",IF(S$4="cm",IF(OR(ISBLANK(O116),ISBLANK(P116),ISBLANK(Q116)),"",ROUND(((163.205*LOG10(O116/2.54+Q116/2.54-P116/2.54))-(97.684*LOG10(S$5/2.54))-78.387),0)/100),IF(S$4="inch",IF(OR(ISBLANK(O116),ISBLANK(P116),ISBLANK(Q116)),"",ROUND(((163.205*LOG10(O116+Q116-P116))-(97.684*LOG10(S$5))-78.387),0)/100),"")),""))</f>
        <v/>
      </c>
      <c r="S116" s="36"/>
      <c r="T116" s="36"/>
      <c r="U116" s="36"/>
      <c r="V116" s="36"/>
      <c r="W116" s="36"/>
      <c r="X116" s="36"/>
      <c r="Y116" s="36"/>
      <c r="Z116" s="45"/>
      <c r="AA116" s="36"/>
      <c r="AB116" s="45"/>
      <c r="AC116" s="36"/>
      <c r="AD116" s="36"/>
      <c r="AE116" s="36"/>
      <c r="AF116" s="36"/>
      <c r="AG116" s="56">
        <f>AG114+1</f>
        <v>53</v>
      </c>
      <c r="AH116" s="35">
        <f t="shared" si="36"/>
        <v>0</v>
      </c>
      <c r="AI116" s="35">
        <f>IF(K116="",AI114,K116)</f>
        <v>189.22857142857146</v>
      </c>
      <c r="AJ116" s="35">
        <f t="shared" si="37"/>
        <v>183</v>
      </c>
      <c r="AK116" s="35">
        <f>IF($F$6&gt;$F$7,IF(AK114&gt;AJ116,AK114+$AJ$9,AJ116),IF($F$6&lt;$F$7,IF(AK114&lt;AJ116,AK114+$AJ$9,AJ116),AJ116))</f>
        <v>183</v>
      </c>
      <c r="AL116" s="57" t="str">
        <f t="shared" si="45"/>
        <v/>
      </c>
      <c r="AM116" s="58" t="str">
        <f t="shared" si="38"/>
        <v/>
      </c>
      <c r="AN116" s="58" t="str">
        <f t="shared" si="39"/>
        <v/>
      </c>
      <c r="AO116" s="58" t="str">
        <f t="shared" si="40"/>
        <v/>
      </c>
      <c r="AP116" s="58" t="str">
        <f t="shared" si="41"/>
        <v/>
      </c>
      <c r="AQ116" s="58" t="str">
        <f t="shared" si="42"/>
        <v/>
      </c>
      <c r="AR116" s="59" t="str">
        <f t="shared" si="43"/>
        <v/>
      </c>
      <c r="AS116" s="61" t="str">
        <f t="shared" si="44"/>
        <v/>
      </c>
      <c r="AT116" s="82" t="str">
        <f>IF(AS116="","",AS116-AS114)</f>
        <v/>
      </c>
      <c r="AU116" s="84" t="str">
        <f ca="1">IF(AV116="","",IF(AT116="","",MROUND(AV116,5)))</f>
        <v/>
      </c>
      <c r="AV116" s="35">
        <f ca="1">IF(AH117&lt;7,AV114,IF(AH116&lt;7,AV114,((K117+(((-L116)*$AV$7)/AH117)))+SUM(OFFSET(IF(ROW()/2-5&gt;$S$8,INDEX(M:M,ROW()-(($S$8-1)*2)),$M$12),0,0,IF(ROW()/2-6&gt;($S$8-1),($S$8-1)*2,(ROW()/2-6)*2),1)))/IF(ROW()/2-5&gt;$S$8,$S$8,ROW()/2-5))</f>
        <v>2682.7551020408164</v>
      </c>
      <c r="AY116" s="35"/>
      <c r="AZ116" s="35"/>
      <c r="BA116" s="51"/>
      <c r="BE116" s="48"/>
      <c r="BF116" s="48"/>
      <c r="BH116" s="49"/>
      <c r="BI116" s="49"/>
      <c r="CA116" s="37"/>
      <c r="CB116" s="37"/>
    </row>
    <row r="117" spans="2:80" x14ac:dyDescent="0.35">
      <c r="B117" s="93"/>
      <c r="C117" s="26" t="str">
        <f t="shared" si="33"/>
        <v>Cal.</v>
      </c>
      <c r="D117" s="17"/>
      <c r="E117" s="38"/>
      <c r="F117" s="38"/>
      <c r="G117" s="47"/>
      <c r="H117" s="38"/>
      <c r="I117" s="38"/>
      <c r="J117" s="7"/>
      <c r="K117" s="40" t="str">
        <f t="shared" si="35"/>
        <v/>
      </c>
      <c r="L117" s="125"/>
      <c r="M117" s="89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45"/>
      <c r="AA117" s="36"/>
      <c r="AB117" s="45"/>
      <c r="AC117" s="36"/>
      <c r="AD117" s="36"/>
      <c r="AE117" s="36"/>
      <c r="AF117" s="36"/>
      <c r="AG117" s="56">
        <f>AG116+0.5</f>
        <v>53.5</v>
      </c>
      <c r="AH117" s="35">
        <f t="shared" si="36"/>
        <v>0</v>
      </c>
      <c r="AI117" s="35">
        <f>AI116</f>
        <v>189.22857142857146</v>
      </c>
      <c r="AJ117" s="35">
        <f t="shared" si="37"/>
        <v>183</v>
      </c>
      <c r="AK117" s="35">
        <f>IF($AJ$9=0,0,(AK116+AK118)/2)</f>
        <v>183</v>
      </c>
      <c r="AL117" s="64" t="str">
        <f t="shared" si="45"/>
        <v/>
      </c>
      <c r="AM117" s="65" t="str">
        <f t="shared" si="38"/>
        <v/>
      </c>
      <c r="AN117" s="65" t="str">
        <f t="shared" si="39"/>
        <v/>
      </c>
      <c r="AO117" s="65" t="str">
        <f t="shared" si="40"/>
        <v/>
      </c>
      <c r="AP117" s="65" t="str">
        <f t="shared" si="41"/>
        <v/>
      </c>
      <c r="AQ117" s="65" t="str">
        <f t="shared" si="42"/>
        <v/>
      </c>
      <c r="AR117" s="66" t="str">
        <f t="shared" si="43"/>
        <v/>
      </c>
      <c r="AS117" s="39" t="str">
        <f t="shared" si="44"/>
        <v/>
      </c>
      <c r="AT117" s="83"/>
      <c r="AU117" s="85"/>
      <c r="AY117" s="35"/>
      <c r="AZ117" s="35"/>
      <c r="BA117" s="51"/>
      <c r="BE117" s="48"/>
      <c r="BF117" s="48"/>
      <c r="BH117" s="49"/>
      <c r="BI117" s="49"/>
      <c r="CA117" s="37"/>
      <c r="CB117" s="37"/>
    </row>
    <row r="118" spans="2:80" x14ac:dyDescent="0.35">
      <c r="B118" s="94">
        <f>IF(B116="","",B116+7)</f>
        <v>43418</v>
      </c>
      <c r="C118" s="27" t="str">
        <f t="shared" si="33"/>
        <v>Weight</v>
      </c>
      <c r="D118" s="17"/>
      <c r="E118" s="38"/>
      <c r="F118" s="38"/>
      <c r="G118" s="47"/>
      <c r="H118" s="38"/>
      <c r="I118" s="38"/>
      <c r="J118" s="7"/>
      <c r="K118" s="33" t="str">
        <f t="shared" si="35"/>
        <v/>
      </c>
      <c r="L118" s="126" t="str">
        <f>IF(K118="","",AT118)</f>
        <v/>
      </c>
      <c r="M118" s="90" t="str">
        <f ca="1">IF(AV118="","",IF(L118="","",AU118))</f>
        <v/>
      </c>
      <c r="N118" s="36"/>
      <c r="O118" s="69"/>
      <c r="P118" s="69"/>
      <c r="Q118" s="69"/>
      <c r="R118" s="70" t="str">
        <f>IF(S$3="male",IF(S$4="cm",IF(OR(ISBLANK(O118),ISBLANK(P118)),"",ROUND(((86.01*LOG10(O118/2.54-P118/2.54))-(70.041*LOG10(S$5/2.54))+36.76),0)/100),IF(S$4="inch",IF(OR(ISBLANK(O118),ISBLANK(P118)),"",ROUND(((86.01*LOG10(O118-P118))-(70.041*LOG10(S$5))+36.76),0)/100),"")),IF(S$3="female",IF(S$4="cm",IF(OR(ISBLANK(O118),ISBLANK(P118),ISBLANK(Q118)),"",ROUND(((163.205*LOG10(O118/2.54+Q118/2.54-P118/2.54))-(97.684*LOG10(S$5/2.54))-78.387),0)/100),IF(S$4="inch",IF(OR(ISBLANK(O118),ISBLANK(P118),ISBLANK(Q118)),"",ROUND(((163.205*LOG10(O118+Q118-P118))-(97.684*LOG10(S$5))-78.387),0)/100),"")),""))</f>
        <v/>
      </c>
      <c r="S118" s="36"/>
      <c r="T118" s="36"/>
      <c r="U118" s="36"/>
      <c r="V118" s="137" t="str">
        <f ca="1">IF(M122="","","From")</f>
        <v/>
      </c>
      <c r="W118" s="138"/>
      <c r="X118" s="141" t="str">
        <f ca="1">IF(M122="","",B116)</f>
        <v/>
      </c>
      <c r="Y118" s="142"/>
      <c r="Z118" s="142"/>
      <c r="AA118" s="143" t="str">
        <f ca="1">IF(M122="","","to")</f>
        <v/>
      </c>
      <c r="AB118" s="144" t="str">
        <f ca="1">IF(M122="","",B122)</f>
        <v/>
      </c>
      <c r="AC118" s="145"/>
      <c r="AD118" s="146"/>
      <c r="AE118" s="147"/>
      <c r="AF118" s="36"/>
      <c r="AG118" s="56">
        <f>AG116+1</f>
        <v>54</v>
      </c>
      <c r="AH118" s="35">
        <f t="shared" si="36"/>
        <v>0</v>
      </c>
      <c r="AI118" s="35">
        <f>IF(K118="",AI116,K118)</f>
        <v>189.22857142857146</v>
      </c>
      <c r="AJ118" s="35">
        <f t="shared" si="37"/>
        <v>183</v>
      </c>
      <c r="AK118" s="35">
        <f>IF($F$6&gt;$F$7,IF(AK116&gt;AJ118,AK116+$AJ$9,AJ118),IF($F$6&lt;$F$7,IF(AK116&lt;AJ118,AK116+$AJ$9,AJ118),AJ118))</f>
        <v>183</v>
      </c>
      <c r="AL118" s="57" t="str">
        <f t="shared" si="45"/>
        <v/>
      </c>
      <c r="AM118" s="58" t="str">
        <f t="shared" si="38"/>
        <v/>
      </c>
      <c r="AN118" s="58" t="str">
        <f t="shared" si="39"/>
        <v/>
      </c>
      <c r="AO118" s="58" t="str">
        <f t="shared" si="40"/>
        <v/>
      </c>
      <c r="AP118" s="58" t="str">
        <f t="shared" si="41"/>
        <v/>
      </c>
      <c r="AQ118" s="58" t="str">
        <f t="shared" si="42"/>
        <v/>
      </c>
      <c r="AR118" s="59" t="str">
        <f t="shared" si="43"/>
        <v/>
      </c>
      <c r="AS118" s="61" t="str">
        <f t="shared" si="44"/>
        <v/>
      </c>
      <c r="AT118" s="82" t="str">
        <f>IF(AS118="","",AS118-AS116)</f>
        <v/>
      </c>
      <c r="AU118" s="84" t="str">
        <f ca="1">IF(AV118="","",IF(AT118="","",MROUND(AV118,5)))</f>
        <v/>
      </c>
      <c r="AV118" s="35">
        <f ca="1">IF(AH119&lt;7,AV116,IF(AH118&lt;7,AV116,((K119+(((-L118)*$AV$7)/AH119)))+SUM(OFFSET(IF(ROW()/2-5&gt;$S$8,INDEX(M:M,ROW()-(($S$8-1)*2)),$M$12),0,0,IF(ROW()/2-6&gt;($S$8-1),($S$8-1)*2,(ROW()/2-6)*2),1)))/IF(ROW()/2-5&gt;$S$8,$S$8,ROW()/2-5))</f>
        <v>2682.7551020408164</v>
      </c>
      <c r="AY118" s="35"/>
      <c r="AZ118" s="35"/>
      <c r="BA118" s="51"/>
      <c r="BE118" s="48"/>
      <c r="BF118" s="48"/>
      <c r="BH118" s="49"/>
      <c r="BI118" s="49"/>
      <c r="CA118" s="37"/>
      <c r="CB118" s="37"/>
    </row>
    <row r="119" spans="2:80" x14ac:dyDescent="0.35">
      <c r="B119" s="93"/>
      <c r="C119" s="28" t="str">
        <f t="shared" si="33"/>
        <v>Cal.</v>
      </c>
      <c r="D119" s="17"/>
      <c r="E119" s="38"/>
      <c r="F119" s="38"/>
      <c r="G119" s="47"/>
      <c r="H119" s="38"/>
      <c r="I119" s="38"/>
      <c r="J119" s="7"/>
      <c r="K119" s="40" t="str">
        <f t="shared" si="35"/>
        <v/>
      </c>
      <c r="L119" s="125"/>
      <c r="M119" s="89"/>
      <c r="N119" s="36"/>
      <c r="O119" s="36"/>
      <c r="P119" s="36"/>
      <c r="Q119" s="36"/>
      <c r="R119" s="36"/>
      <c r="S119" s="36"/>
      <c r="T119" s="36"/>
      <c r="U119" s="36"/>
      <c r="V119" s="139"/>
      <c r="W119" s="140"/>
      <c r="X119" s="140"/>
      <c r="Y119" s="140"/>
      <c r="Z119" s="140"/>
      <c r="AA119" s="140"/>
      <c r="AB119" s="140"/>
      <c r="AC119" s="140"/>
      <c r="AD119" s="140"/>
      <c r="AE119" s="148"/>
      <c r="AF119" s="36"/>
      <c r="AG119" s="56">
        <f>AG118+0.5</f>
        <v>54.5</v>
      </c>
      <c r="AH119" s="35">
        <f t="shared" si="36"/>
        <v>0</v>
      </c>
      <c r="AI119" s="35">
        <f>AI118</f>
        <v>189.22857142857146</v>
      </c>
      <c r="AJ119" s="35">
        <f t="shared" si="37"/>
        <v>183</v>
      </c>
      <c r="AK119" s="35">
        <f>IF($AJ$9=0,0,(AK118+AK120)/2)</f>
        <v>183</v>
      </c>
      <c r="AL119" s="64" t="str">
        <f t="shared" si="45"/>
        <v/>
      </c>
      <c r="AM119" s="65" t="str">
        <f t="shared" si="38"/>
        <v/>
      </c>
      <c r="AN119" s="65" t="str">
        <f t="shared" si="39"/>
        <v/>
      </c>
      <c r="AO119" s="65" t="str">
        <f t="shared" si="40"/>
        <v/>
      </c>
      <c r="AP119" s="65" t="str">
        <f t="shared" si="41"/>
        <v/>
      </c>
      <c r="AQ119" s="65" t="str">
        <f t="shared" si="42"/>
        <v/>
      </c>
      <c r="AR119" s="66" t="str">
        <f t="shared" si="43"/>
        <v/>
      </c>
      <c r="AS119" s="39" t="str">
        <f t="shared" si="44"/>
        <v/>
      </c>
      <c r="AT119" s="83"/>
      <c r="AU119" s="85"/>
      <c r="AY119" s="35"/>
      <c r="AZ119" s="35"/>
      <c r="BA119" s="51"/>
      <c r="BE119" s="48"/>
      <c r="BF119" s="48"/>
      <c r="BH119" s="49"/>
      <c r="BI119" s="49"/>
      <c r="CA119" s="37"/>
      <c r="CB119" s="37"/>
    </row>
    <row r="120" spans="2:80" x14ac:dyDescent="0.35">
      <c r="B120" s="94">
        <f>IF(B118="","",B118+7)</f>
        <v>43425</v>
      </c>
      <c r="C120" s="27" t="str">
        <f t="shared" si="33"/>
        <v>Weight</v>
      </c>
      <c r="D120" s="17"/>
      <c r="E120" s="38"/>
      <c r="F120" s="38"/>
      <c r="G120" s="47"/>
      <c r="H120" s="38"/>
      <c r="I120" s="38"/>
      <c r="J120" s="7"/>
      <c r="K120" s="33" t="str">
        <f t="shared" si="35"/>
        <v/>
      </c>
      <c r="L120" s="126" t="str">
        <f>IF(K120="","",AT120)</f>
        <v/>
      </c>
      <c r="M120" s="90" t="str">
        <f ca="1">IF(AV120="","",IF(L120="","",AU120))</f>
        <v/>
      </c>
      <c r="N120" s="36"/>
      <c r="O120" s="69"/>
      <c r="P120" s="69"/>
      <c r="Q120" s="69"/>
      <c r="R120" s="70" t="str">
        <f>IF(S$3="male",IF(S$4="cm",IF(OR(ISBLANK(O120),ISBLANK(P120)),"",ROUND(((86.01*LOG10(O120/2.54-P120/2.54))-(70.041*LOG10(S$5/2.54))+36.76),0)/100),IF(S$4="inch",IF(OR(ISBLANK(O120),ISBLANK(P120)),"",ROUND(((86.01*LOG10(O120-P120))-(70.041*LOG10(S$5))+36.76),0)/100),"")),IF(S$3="female",IF(S$4="cm",IF(OR(ISBLANK(O120),ISBLANK(P120),ISBLANK(Q120)),"",ROUND(((163.205*LOG10(O120/2.54+Q120/2.54-P120/2.54))-(97.684*LOG10(S$5/2.54))-78.387),0)/100),IF(S$4="inch",IF(OR(ISBLANK(O120),ISBLANK(P120),ISBLANK(Q120)),"",ROUND(((163.205*LOG10(O120+Q120-P120))-(97.684*LOG10(S$5))-78.387),0)/100),"")),""))</f>
        <v/>
      </c>
      <c r="S120" s="36"/>
      <c r="T120" s="36"/>
      <c r="U120" s="36"/>
      <c r="V120" s="128" t="str">
        <f ca="1">IF(M122="","",IF(K122=K114,"No Weight Change",IF(K122&gt;K114,"You Gained:","You Lost:")))</f>
        <v/>
      </c>
      <c r="W120" s="129"/>
      <c r="X120" s="129"/>
      <c r="Y120" s="129"/>
      <c r="Z120" s="129"/>
      <c r="AA120" s="129"/>
      <c r="AB120" s="42" t="str">
        <f ca="1">IF(M122="","",IF(K122=K114,"",IF(K122&gt;K114,K122-K114,K114-K122)))</f>
        <v/>
      </c>
      <c r="AC120" s="160" t="str">
        <f ca="1">IF(V120="","",IF(V120="No Weight Change","",IF($F$4="Lb","Lb",IF($F$4="Kg","Kg",""))))</f>
        <v/>
      </c>
      <c r="AD120" s="161"/>
      <c r="AE120" s="162"/>
      <c r="AF120" s="36"/>
      <c r="AG120" s="56">
        <f>AG118+1</f>
        <v>55</v>
      </c>
      <c r="AH120" s="35">
        <f t="shared" si="36"/>
        <v>0</v>
      </c>
      <c r="AI120" s="35">
        <f>IF(K120="",AI118,K120)</f>
        <v>189.22857142857146</v>
      </c>
      <c r="AJ120" s="35">
        <f t="shared" si="37"/>
        <v>183</v>
      </c>
      <c r="AK120" s="35">
        <f>IF($F$6&gt;$F$7,IF(AK118&gt;AJ120,AK118+$AJ$9,AJ120),IF($F$6&lt;$F$7,IF(AK118&lt;AJ120,AK118+$AJ$9,AJ120),AJ120))</f>
        <v>183</v>
      </c>
      <c r="AL120" s="57" t="str">
        <f t="shared" si="45"/>
        <v/>
      </c>
      <c r="AM120" s="58" t="str">
        <f t="shared" si="38"/>
        <v/>
      </c>
      <c r="AN120" s="58" t="str">
        <f t="shared" si="39"/>
        <v/>
      </c>
      <c r="AO120" s="58" t="str">
        <f t="shared" si="40"/>
        <v/>
      </c>
      <c r="AP120" s="58" t="str">
        <f t="shared" si="41"/>
        <v/>
      </c>
      <c r="AQ120" s="58" t="str">
        <f t="shared" si="42"/>
        <v/>
      </c>
      <c r="AR120" s="59" t="str">
        <f t="shared" si="43"/>
        <v/>
      </c>
      <c r="AS120" s="61" t="str">
        <f t="shared" si="44"/>
        <v/>
      </c>
      <c r="AT120" s="82" t="str">
        <f>IF(AS120="","",AS120-AS118)</f>
        <v/>
      </c>
      <c r="AU120" s="84" t="str">
        <f ca="1">IF(AV120="","",IF(AT120="","",MROUND(AV120,5)))</f>
        <v/>
      </c>
      <c r="AV120" s="35">
        <f ca="1">IF(AH121&lt;7,AV118,IF(AH120&lt;7,AV118,((K121+(((-L120)*$AV$7)/AH121)))+SUM(OFFSET(IF(ROW()/2-5&gt;$S$8,INDEX(M:M,ROW()-(($S$8-1)*2)),$M$12),0,0,IF(ROW()/2-6&gt;($S$8-1),($S$8-1)*2,(ROW()/2-6)*2),1)))/IF(ROW()/2-5&gt;$S$8,$S$8,ROW()/2-5))</f>
        <v>2682.7551020408164</v>
      </c>
      <c r="AY120" s="35"/>
      <c r="AZ120" s="35"/>
      <c r="BA120" s="51"/>
      <c r="BE120" s="48"/>
      <c r="BF120" s="48"/>
      <c r="BH120" s="49"/>
      <c r="BI120" s="49"/>
      <c r="CA120" s="37"/>
      <c r="CB120" s="37"/>
    </row>
    <row r="121" spans="2:80" x14ac:dyDescent="0.35">
      <c r="B121" s="93"/>
      <c r="C121" s="28" t="str">
        <f t="shared" si="33"/>
        <v>Cal.</v>
      </c>
      <c r="D121" s="17"/>
      <c r="E121" s="38"/>
      <c r="F121" s="38"/>
      <c r="G121" s="47"/>
      <c r="H121" s="38"/>
      <c r="I121" s="38"/>
      <c r="J121" s="7"/>
      <c r="K121" s="40" t="str">
        <f t="shared" si="35"/>
        <v/>
      </c>
      <c r="L121" s="125"/>
      <c r="M121" s="89"/>
      <c r="N121" s="36"/>
      <c r="O121" s="36"/>
      <c r="P121" s="36"/>
      <c r="Q121" s="36"/>
      <c r="R121" s="36"/>
      <c r="S121" s="36"/>
      <c r="T121" s="36"/>
      <c r="U121" s="36"/>
      <c r="V121" s="130" t="str">
        <f ca="1">IF(M122="","",IF(K122=K114,"","At a Rate Of"))</f>
        <v/>
      </c>
      <c r="W121" s="131"/>
      <c r="X121" s="131"/>
      <c r="Y121" s="131"/>
      <c r="Z121" s="131"/>
      <c r="AA121" s="132" t="str">
        <f ca="1">IF(V121="","",AB120/4)</f>
        <v/>
      </c>
      <c r="AB121" s="133"/>
      <c r="AC121" s="134" t="str">
        <f ca="1">IF(V120="","",IF(V120="No Weight Change","",IF($F$4="Lb","Lb/Wk",IF($F$4="Kg","Kg/Wk",""))))</f>
        <v/>
      </c>
      <c r="AD121" s="135"/>
      <c r="AE121" s="136"/>
      <c r="AF121" s="36"/>
      <c r="AG121" s="56">
        <f>AG120+0.5</f>
        <v>55.5</v>
      </c>
      <c r="AH121" s="35">
        <f t="shared" si="36"/>
        <v>0</v>
      </c>
      <c r="AI121" s="35">
        <f>AI120</f>
        <v>189.22857142857146</v>
      </c>
      <c r="AJ121" s="35">
        <f t="shared" si="37"/>
        <v>183</v>
      </c>
      <c r="AK121" s="35">
        <f>IF($AJ$9=0,0,(AK120+AK122)/2)</f>
        <v>183</v>
      </c>
      <c r="AL121" s="64" t="str">
        <f t="shared" si="45"/>
        <v/>
      </c>
      <c r="AM121" s="65" t="str">
        <f t="shared" si="38"/>
        <v/>
      </c>
      <c r="AN121" s="65" t="str">
        <f t="shared" si="39"/>
        <v/>
      </c>
      <c r="AO121" s="65" t="str">
        <f t="shared" si="40"/>
        <v/>
      </c>
      <c r="AP121" s="65" t="str">
        <f t="shared" si="41"/>
        <v/>
      </c>
      <c r="AQ121" s="65" t="str">
        <f t="shared" si="42"/>
        <v/>
      </c>
      <c r="AR121" s="66" t="str">
        <f t="shared" si="43"/>
        <v/>
      </c>
      <c r="AS121" s="39" t="str">
        <f t="shared" si="44"/>
        <v/>
      </c>
      <c r="AT121" s="83"/>
      <c r="AU121" s="85"/>
      <c r="AY121" s="35"/>
      <c r="AZ121" s="35"/>
      <c r="BA121" s="51"/>
      <c r="BE121" s="48"/>
      <c r="BF121" s="48"/>
      <c r="BH121" s="49"/>
      <c r="BI121" s="49"/>
      <c r="CA121" s="37"/>
      <c r="CB121" s="37"/>
    </row>
    <row r="122" spans="2:80" x14ac:dyDescent="0.35">
      <c r="B122" s="94">
        <f>IF(B120="","",B120+7)</f>
        <v>43432</v>
      </c>
      <c r="C122" s="27" t="str">
        <f t="shared" si="33"/>
        <v>Weight</v>
      </c>
      <c r="D122" s="17"/>
      <c r="E122" s="38"/>
      <c r="F122" s="38"/>
      <c r="G122" s="47"/>
      <c r="H122" s="38"/>
      <c r="I122" s="38"/>
      <c r="J122" s="7"/>
      <c r="K122" s="33" t="str">
        <f t="shared" si="35"/>
        <v/>
      </c>
      <c r="L122" s="126" t="str">
        <f>IF(K122="","",AT122)</f>
        <v/>
      </c>
      <c r="M122" s="90" t="str">
        <f ca="1">IF(AV122="","",IF(L122="","",AU122))</f>
        <v/>
      </c>
      <c r="N122" s="36"/>
      <c r="O122" s="69"/>
      <c r="P122" s="69"/>
      <c r="Q122" s="69"/>
      <c r="R122" s="70" t="str">
        <f>IF(S$3="male",IF(S$4="cm",IF(OR(ISBLANK(O122),ISBLANK(P122)),"",ROUND(((86.01*LOG10(O122/2.54-P122/2.54))-(70.041*LOG10(S$5/2.54))+36.76),0)/100),IF(S$4="inch",IF(OR(ISBLANK(O122),ISBLANK(P122)),"",ROUND(((86.01*LOG10(O122-P122))-(70.041*LOG10(S$5))+36.76),0)/100),"")),IF(S$3="female",IF(S$4="cm",IF(OR(ISBLANK(O122),ISBLANK(P122),ISBLANK(Q122)),"",ROUND(((163.205*LOG10(O122/2.54+Q122/2.54-P122/2.54))-(97.684*LOG10(S$5/2.54))-78.387),0)/100),IF(S$4="inch",IF(OR(ISBLANK(O122),ISBLANK(P122),ISBLANK(Q122)),"",ROUND(((163.205*LOG10(O122+Q122-P122))-(97.684*LOG10(S$5))-78.387),0)/100),"")),""))</f>
        <v/>
      </c>
      <c r="S122" s="36"/>
      <c r="T122" s="36"/>
      <c r="U122" s="36"/>
      <c r="V122" s="149" t="str">
        <f ca="1">IF(AA121="","","You have")</f>
        <v/>
      </c>
      <c r="W122" s="150"/>
      <c r="X122" s="150"/>
      <c r="Y122" s="150"/>
      <c r="Z122" s="153" t="str">
        <f ca="1">IF(AA121="","",IF(K122&gt;$F$7,K122-$F$7,$F$7-K122))</f>
        <v/>
      </c>
      <c r="AA122" s="155" t="str">
        <f ca="1">IF(AA121="","",IF(AA121="No Weight Change","",IF($F$4="Lb","Lb to go!",IF($F$4="Kg","Kg to go!",""))))</f>
        <v/>
      </c>
      <c r="AB122" s="156"/>
      <c r="AC122" s="156"/>
      <c r="AD122" s="156"/>
      <c r="AE122" s="157"/>
      <c r="AF122" s="36"/>
      <c r="AG122" s="56">
        <f>AG120+1</f>
        <v>56</v>
      </c>
      <c r="AH122" s="35">
        <f t="shared" si="36"/>
        <v>0</v>
      </c>
      <c r="AI122" s="35">
        <f>IF(K122="",AI120,K122)</f>
        <v>189.22857142857146</v>
      </c>
      <c r="AJ122" s="35">
        <f t="shared" si="37"/>
        <v>183</v>
      </c>
      <c r="AK122" s="35">
        <f>IF($F$6&gt;$F$7,IF(AK120&gt;AJ122,AK120+$AJ$9,AJ122),IF($F$6&lt;$F$7,IF(AK120&lt;AJ122,AK120+$AJ$9,AJ122),AJ122))</f>
        <v>183</v>
      </c>
      <c r="AL122" s="57" t="str">
        <f t="shared" si="45"/>
        <v/>
      </c>
      <c r="AM122" s="58" t="str">
        <f t="shared" si="38"/>
        <v/>
      </c>
      <c r="AN122" s="58" t="str">
        <f t="shared" si="39"/>
        <v/>
      </c>
      <c r="AO122" s="58" t="str">
        <f t="shared" si="40"/>
        <v/>
      </c>
      <c r="AP122" s="58" t="str">
        <f t="shared" si="41"/>
        <v/>
      </c>
      <c r="AQ122" s="58" t="str">
        <f t="shared" si="42"/>
        <v/>
      </c>
      <c r="AR122" s="59" t="str">
        <f t="shared" si="43"/>
        <v/>
      </c>
      <c r="AS122" s="61" t="str">
        <f t="shared" si="44"/>
        <v/>
      </c>
      <c r="AT122" s="82" t="str">
        <f>IF(AS122="","",AS122-AS120)</f>
        <v/>
      </c>
      <c r="AU122" s="84" t="str">
        <f ca="1">IF(AV122="","",IF(AT122="","",MROUND(AV122,5)))</f>
        <v/>
      </c>
      <c r="AV122" s="35">
        <f ca="1">IF(AH123&lt;7,AV120,IF(AH122&lt;7,AV120,((K123+(((-L122)*$AV$7)/AH123)))+SUM(OFFSET(IF(ROW()/2-5&gt;$S$8,INDEX(M:M,ROW()-(($S$8-1)*2)),$M$12),0,0,IF(ROW()/2-6&gt;($S$8-1),($S$8-1)*2,(ROW()/2-6)*2),1)))/IF(ROW()/2-5&gt;$S$8,$S$8,ROW()/2-5))</f>
        <v>2682.7551020408164</v>
      </c>
      <c r="AY122" s="35"/>
      <c r="AZ122" s="35"/>
      <c r="BA122" s="51"/>
      <c r="BE122" s="48"/>
      <c r="BF122" s="48"/>
      <c r="BH122" s="49"/>
      <c r="BI122" s="49"/>
      <c r="CA122" s="37"/>
      <c r="CB122" s="37"/>
    </row>
    <row r="123" spans="2:80" x14ac:dyDescent="0.35">
      <c r="B123" s="95"/>
      <c r="C123" s="11" t="str">
        <f t="shared" si="33"/>
        <v>Cal.</v>
      </c>
      <c r="D123" s="18"/>
      <c r="E123" s="19"/>
      <c r="F123" s="19"/>
      <c r="G123" s="19"/>
      <c r="H123" s="19"/>
      <c r="I123" s="19"/>
      <c r="J123" s="24"/>
      <c r="K123" s="39" t="str">
        <f t="shared" si="35"/>
        <v/>
      </c>
      <c r="L123" s="127"/>
      <c r="M123" s="91"/>
      <c r="N123" s="36"/>
      <c r="O123" s="36"/>
      <c r="P123" s="36"/>
      <c r="Q123" s="36"/>
      <c r="R123" s="36"/>
      <c r="S123" s="36"/>
      <c r="T123" s="36"/>
      <c r="U123" s="36"/>
      <c r="V123" s="151"/>
      <c r="W123" s="152"/>
      <c r="X123" s="152"/>
      <c r="Y123" s="152"/>
      <c r="Z123" s="154"/>
      <c r="AA123" s="158"/>
      <c r="AB123" s="158"/>
      <c r="AC123" s="158"/>
      <c r="AD123" s="158"/>
      <c r="AE123" s="159"/>
      <c r="AF123" s="36"/>
      <c r="AG123" s="56">
        <f>AG122+0.5</f>
        <v>56.5</v>
      </c>
      <c r="AH123" s="35">
        <f t="shared" si="36"/>
        <v>0</v>
      </c>
      <c r="AI123" s="35">
        <f>AI122</f>
        <v>189.22857142857146</v>
      </c>
      <c r="AJ123" s="35">
        <f t="shared" si="37"/>
        <v>183</v>
      </c>
      <c r="AK123" s="35"/>
      <c r="AL123" s="60" t="str">
        <f t="shared" si="45"/>
        <v/>
      </c>
      <c r="AM123" s="44" t="str">
        <f t="shared" si="38"/>
        <v/>
      </c>
      <c r="AN123" s="44" t="str">
        <f t="shared" si="39"/>
        <v/>
      </c>
      <c r="AO123" s="44" t="str">
        <f t="shared" si="40"/>
        <v/>
      </c>
      <c r="AP123" s="44" t="str">
        <f t="shared" si="41"/>
        <v/>
      </c>
      <c r="AQ123" s="44" t="str">
        <f t="shared" si="42"/>
        <v/>
      </c>
      <c r="AR123" s="67" t="str">
        <f t="shared" si="43"/>
        <v/>
      </c>
      <c r="AS123" s="41" t="str">
        <f t="shared" si="44"/>
        <v/>
      </c>
      <c r="AT123" s="83"/>
      <c r="AU123" s="85"/>
      <c r="AY123" s="35"/>
      <c r="AZ123" s="35"/>
      <c r="BA123" s="51"/>
      <c r="BE123" s="48"/>
      <c r="BF123" s="48"/>
      <c r="BH123" s="49"/>
      <c r="BI123" s="49"/>
      <c r="CA123" s="37"/>
      <c r="CB123" s="37"/>
    </row>
    <row r="124" spans="2:80" x14ac:dyDescent="0.35">
      <c r="K124" s="46" t="str">
        <f>K122</f>
        <v/>
      </c>
      <c r="AE124" s="34"/>
      <c r="AF124" s="34"/>
      <c r="AG124" s="56"/>
      <c r="AH124" s="35" t="s">
        <v>21</v>
      </c>
      <c r="AI124" s="35">
        <f>MROUND(AI123,0.5)</f>
        <v>189</v>
      </c>
      <c r="AJ124" s="35"/>
      <c r="AK124" s="35"/>
      <c r="AQ124" s="44"/>
      <c r="AR124" s="44"/>
      <c r="AU124" s="35" t="s">
        <v>20</v>
      </c>
      <c r="AV124" s="35">
        <f ca="1">AV122</f>
        <v>2682.7551020408164</v>
      </c>
      <c r="AY124" s="35"/>
      <c r="AZ124" s="35"/>
      <c r="BA124" s="51"/>
      <c r="BE124" s="48"/>
      <c r="BF124" s="48"/>
      <c r="BH124" s="49"/>
      <c r="BI124" s="49"/>
      <c r="CA124" s="37"/>
      <c r="CB124" s="37"/>
    </row>
    <row r="125" spans="2:80" x14ac:dyDescent="0.35">
      <c r="AE125" s="34"/>
      <c r="AF125" s="34"/>
      <c r="AG125" s="44"/>
      <c r="AJ125" s="35"/>
      <c r="AK125" s="35"/>
      <c r="AQ125" s="44"/>
      <c r="AR125" s="44"/>
      <c r="AY125" s="35"/>
      <c r="AZ125" s="35"/>
      <c r="BA125" s="51"/>
      <c r="BE125" s="48"/>
      <c r="BF125" s="48"/>
      <c r="BH125" s="49"/>
      <c r="BI125" s="49"/>
      <c r="CA125" s="37"/>
      <c r="CB125" s="37"/>
    </row>
    <row r="126" spans="2:80" x14ac:dyDescent="0.35">
      <c r="AE126" s="34"/>
      <c r="AF126" s="34"/>
      <c r="AG126" s="44"/>
      <c r="AJ126" s="35"/>
      <c r="AK126" s="35"/>
      <c r="AQ126" s="44"/>
      <c r="AR126" s="44"/>
      <c r="AY126" s="35"/>
      <c r="AZ126" s="35"/>
      <c r="BA126" s="51"/>
      <c r="BE126" s="48"/>
      <c r="BF126" s="48"/>
      <c r="BH126" s="49"/>
      <c r="BI126" s="49"/>
      <c r="CA126" s="37"/>
      <c r="CB126" s="37"/>
    </row>
    <row r="127" spans="2:80" x14ac:dyDescent="0.35">
      <c r="AE127" s="34"/>
      <c r="AF127" s="34"/>
      <c r="AG127" s="44"/>
      <c r="AJ127" s="35"/>
      <c r="AK127" s="35"/>
      <c r="AQ127" s="44"/>
      <c r="AR127" s="44"/>
      <c r="AY127" s="35"/>
      <c r="AZ127" s="35"/>
      <c r="BA127" s="51"/>
      <c r="BE127" s="48"/>
      <c r="BF127" s="48"/>
      <c r="BH127" s="49"/>
      <c r="BI127" s="49"/>
      <c r="CA127" s="37"/>
      <c r="CB127" s="37"/>
    </row>
    <row r="128" spans="2:80" x14ac:dyDescent="0.35">
      <c r="AE128" s="34"/>
      <c r="AF128" s="34"/>
      <c r="AG128" s="44"/>
      <c r="AJ128" s="35"/>
      <c r="AK128" s="35"/>
      <c r="AQ128" s="44"/>
      <c r="AR128" s="44"/>
      <c r="AY128" s="35"/>
      <c r="AZ128" s="35"/>
      <c r="BA128" s="51"/>
      <c r="BE128" s="48"/>
      <c r="BF128" s="48"/>
      <c r="BH128" s="49"/>
      <c r="BI128" s="49"/>
      <c r="CA128" s="37"/>
      <c r="CB128" s="37"/>
    </row>
    <row r="129" spans="31:80" x14ac:dyDescent="0.35">
      <c r="AE129" s="34"/>
      <c r="AF129" s="34"/>
      <c r="AG129" s="44"/>
      <c r="AJ129" s="35"/>
      <c r="AK129" s="35"/>
      <c r="AQ129" s="44"/>
      <c r="AR129" s="44"/>
      <c r="AY129" s="35"/>
      <c r="AZ129" s="35"/>
      <c r="BA129" s="51"/>
      <c r="BE129" s="48"/>
      <c r="BF129" s="48"/>
      <c r="BH129" s="49"/>
      <c r="BI129" s="49"/>
      <c r="CA129" s="37"/>
      <c r="CB129" s="37"/>
    </row>
    <row r="130" spans="31:80" x14ac:dyDescent="0.35">
      <c r="AE130" s="34"/>
      <c r="AF130" s="34"/>
      <c r="AG130" s="44"/>
      <c r="AJ130" s="35"/>
      <c r="AK130" s="35"/>
      <c r="AQ130" s="44"/>
      <c r="AR130" s="44"/>
      <c r="AY130" s="35"/>
      <c r="AZ130" s="35"/>
      <c r="BA130" s="51"/>
      <c r="BE130" s="48"/>
      <c r="BF130" s="48"/>
      <c r="BH130" s="49"/>
      <c r="BI130" s="49"/>
      <c r="CA130" s="37"/>
      <c r="CB130" s="37"/>
    </row>
    <row r="131" spans="31:80" x14ac:dyDescent="0.35">
      <c r="AE131" s="34"/>
      <c r="AF131" s="34"/>
      <c r="AG131" s="44"/>
      <c r="AJ131" s="35"/>
      <c r="AK131" s="35"/>
      <c r="AQ131" s="44"/>
      <c r="AR131" s="44"/>
      <c r="AY131" s="35"/>
      <c r="AZ131" s="35"/>
      <c r="BA131" s="51"/>
      <c r="BE131" s="48"/>
      <c r="BF131" s="48"/>
      <c r="BH131" s="49"/>
      <c r="BI131" s="49"/>
      <c r="CA131" s="37"/>
      <c r="CB131" s="37"/>
    </row>
    <row r="132" spans="31:80" x14ac:dyDescent="0.35">
      <c r="AE132" s="34"/>
      <c r="AF132" s="34"/>
      <c r="AG132" s="44"/>
      <c r="AJ132" s="35"/>
      <c r="AK132" s="35"/>
      <c r="AQ132" s="44"/>
      <c r="AR132" s="44"/>
      <c r="AY132" s="35"/>
      <c r="AZ132" s="35"/>
      <c r="BA132" s="51"/>
      <c r="BE132" s="48"/>
      <c r="BF132" s="48"/>
      <c r="BH132" s="49"/>
      <c r="BI132" s="49"/>
      <c r="CA132" s="37"/>
      <c r="CB132" s="37"/>
    </row>
    <row r="133" spans="31:80" x14ac:dyDescent="0.35">
      <c r="AE133" s="34"/>
      <c r="AF133" s="34"/>
      <c r="AG133" s="44"/>
      <c r="AJ133" s="35"/>
      <c r="AK133" s="35"/>
      <c r="AQ133" s="44"/>
      <c r="AR133" s="44"/>
      <c r="AY133" s="35"/>
      <c r="AZ133" s="35"/>
      <c r="BA133" s="51"/>
      <c r="BE133" s="48"/>
      <c r="BF133" s="48"/>
      <c r="BH133" s="49"/>
      <c r="BI133" s="49"/>
      <c r="CA133" s="37"/>
      <c r="CB133" s="37"/>
    </row>
    <row r="134" spans="31:80" x14ac:dyDescent="0.35">
      <c r="AE134" s="34"/>
      <c r="AF134" s="34"/>
      <c r="AG134" s="44"/>
      <c r="AI134" s="35">
        <f>IF(K134="",AI132,K134)</f>
        <v>0</v>
      </c>
      <c r="AJ134" s="35"/>
      <c r="AK134" s="35"/>
      <c r="AQ134" s="44"/>
      <c r="AR134" s="44"/>
      <c r="AY134" s="35"/>
      <c r="AZ134" s="35"/>
      <c r="BA134" s="51"/>
      <c r="BE134" s="48"/>
      <c r="BF134" s="48"/>
      <c r="BH134" s="49"/>
      <c r="BI134" s="49"/>
      <c r="CA134" s="37"/>
      <c r="CB134" s="37"/>
    </row>
    <row r="135" spans="31:80" x14ac:dyDescent="0.35">
      <c r="AE135" s="34"/>
      <c r="AF135" s="34"/>
      <c r="AG135" s="44"/>
      <c r="AJ135" s="35"/>
      <c r="AK135" s="35"/>
      <c r="AQ135" s="44"/>
      <c r="AR135" s="44"/>
      <c r="AY135" s="35"/>
      <c r="AZ135" s="35"/>
      <c r="BA135" s="51"/>
      <c r="BE135" s="48"/>
      <c r="BF135" s="48"/>
      <c r="BH135" s="49"/>
      <c r="BI135" s="49"/>
      <c r="CA135" s="37"/>
      <c r="CB135" s="37"/>
    </row>
    <row r="136" spans="31:80" x14ac:dyDescent="0.35">
      <c r="AE136" s="34"/>
      <c r="AF136" s="34"/>
      <c r="AG136" s="44"/>
      <c r="AI136" s="35">
        <f>IF(K136="",AI134,K136)</f>
        <v>0</v>
      </c>
      <c r="AJ136" s="35"/>
      <c r="AK136" s="35"/>
      <c r="AQ136" s="44"/>
      <c r="AR136" s="44"/>
      <c r="AY136" s="35"/>
      <c r="AZ136" s="35"/>
      <c r="BA136" s="51"/>
      <c r="BE136" s="48"/>
      <c r="BF136" s="48"/>
      <c r="BH136" s="49"/>
      <c r="BI136" s="49"/>
      <c r="CA136" s="37"/>
      <c r="CB136" s="37"/>
    </row>
    <row r="137" spans="31:80" x14ac:dyDescent="0.35">
      <c r="AE137" s="34"/>
      <c r="AF137" s="34"/>
      <c r="AG137" s="44"/>
      <c r="AJ137" s="35"/>
      <c r="AK137" s="35"/>
      <c r="AQ137" s="44"/>
      <c r="AR137" s="44"/>
      <c r="AY137" s="35"/>
      <c r="AZ137" s="35"/>
      <c r="BA137" s="51"/>
      <c r="BE137" s="48"/>
      <c r="BF137" s="48"/>
      <c r="BH137" s="49"/>
      <c r="BI137" s="49"/>
      <c r="CA137" s="37"/>
      <c r="CB137" s="37"/>
    </row>
    <row r="138" spans="31:80" x14ac:dyDescent="0.35">
      <c r="AE138" s="34"/>
      <c r="AF138" s="34"/>
      <c r="AG138" s="44"/>
      <c r="AI138" s="35">
        <f>IF(K138="",AI136,K138)</f>
        <v>0</v>
      </c>
      <c r="AJ138" s="35"/>
      <c r="AK138" s="35"/>
      <c r="AQ138" s="44"/>
      <c r="AR138" s="44"/>
      <c r="AY138" s="35"/>
      <c r="AZ138" s="35"/>
      <c r="BA138" s="51"/>
      <c r="BE138" s="48"/>
      <c r="BF138" s="48"/>
      <c r="BH138" s="49"/>
      <c r="BI138" s="49"/>
      <c r="CA138" s="37"/>
      <c r="CB138" s="37"/>
    </row>
    <row r="139" spans="31:80" x14ac:dyDescent="0.35">
      <c r="AE139" s="34"/>
      <c r="AF139" s="34"/>
      <c r="AG139" s="44"/>
      <c r="AJ139" s="35"/>
      <c r="AK139" s="35"/>
      <c r="AQ139" s="44"/>
      <c r="AR139" s="44"/>
      <c r="AY139" s="35"/>
      <c r="AZ139" s="35"/>
      <c r="BA139" s="51"/>
      <c r="BE139" s="48"/>
      <c r="BF139" s="48"/>
      <c r="BH139" s="49"/>
      <c r="BI139" s="49"/>
      <c r="CA139" s="37"/>
      <c r="CB139" s="37"/>
    </row>
    <row r="140" spans="31:80" x14ac:dyDescent="0.35">
      <c r="AE140" s="34"/>
      <c r="AF140" s="34"/>
      <c r="AG140" s="44"/>
      <c r="AI140" s="35">
        <f>IF(K140="",AI138,K140)</f>
        <v>0</v>
      </c>
      <c r="AJ140" s="35"/>
      <c r="AK140" s="35"/>
      <c r="AQ140" s="44"/>
      <c r="AR140" s="44"/>
      <c r="AY140" s="35"/>
      <c r="AZ140" s="35"/>
      <c r="BA140" s="51"/>
      <c r="BE140" s="48"/>
      <c r="BF140" s="48"/>
      <c r="BH140" s="49"/>
      <c r="BI140" s="49"/>
      <c r="CA140" s="37"/>
      <c r="CB140" s="37"/>
    </row>
    <row r="141" spans="31:80" x14ac:dyDescent="0.35">
      <c r="AE141" s="34"/>
      <c r="AF141" s="34"/>
      <c r="AG141" s="44"/>
      <c r="AJ141" s="35"/>
      <c r="AK141" s="35"/>
      <c r="AQ141" s="44"/>
      <c r="AR141" s="44"/>
      <c r="AY141" s="35"/>
      <c r="AZ141" s="35"/>
      <c r="BA141" s="51"/>
      <c r="BE141" s="48"/>
      <c r="BF141" s="48"/>
      <c r="BH141" s="49"/>
      <c r="BI141" s="49"/>
      <c r="CA141" s="37"/>
      <c r="CB141" s="37"/>
    </row>
    <row r="142" spans="31:80" x14ac:dyDescent="0.35">
      <c r="AE142" s="34"/>
      <c r="AF142" s="34"/>
      <c r="AG142" s="44"/>
      <c r="AI142" s="35">
        <f>IF(K142="",AI140,K142)</f>
        <v>0</v>
      </c>
      <c r="AJ142" s="35"/>
      <c r="AK142" s="35"/>
      <c r="AQ142" s="44"/>
      <c r="AR142" s="44"/>
      <c r="AY142" s="35"/>
      <c r="AZ142" s="35"/>
      <c r="BA142" s="51"/>
      <c r="BE142" s="48"/>
      <c r="BF142" s="48"/>
      <c r="BH142" s="49"/>
      <c r="BI142" s="49"/>
      <c r="CA142" s="37"/>
      <c r="CB142" s="37"/>
    </row>
    <row r="143" spans="31:80" x14ac:dyDescent="0.35">
      <c r="AE143" s="34"/>
      <c r="AF143" s="34"/>
      <c r="AG143" s="44"/>
      <c r="AJ143" s="35"/>
      <c r="AK143" s="35"/>
      <c r="AQ143" s="44"/>
      <c r="AR143" s="44"/>
      <c r="AY143" s="35"/>
      <c r="AZ143" s="35"/>
      <c r="BA143" s="51"/>
      <c r="BE143" s="48"/>
      <c r="BF143" s="48"/>
      <c r="BH143" s="49"/>
      <c r="BI143" s="49"/>
      <c r="CA143" s="37"/>
      <c r="CB143" s="37"/>
    </row>
    <row r="144" spans="31:80" x14ac:dyDescent="0.35">
      <c r="AE144" s="34"/>
      <c r="AF144" s="34"/>
      <c r="AG144" s="44"/>
      <c r="AJ144" s="35"/>
      <c r="AK144" s="35"/>
      <c r="AQ144" s="44"/>
      <c r="AR144" s="44"/>
      <c r="AY144" s="35"/>
      <c r="AZ144" s="35"/>
      <c r="BA144" s="51"/>
      <c r="BE144" s="48"/>
      <c r="BF144" s="48"/>
      <c r="BH144" s="49"/>
      <c r="BI144" s="49"/>
      <c r="CA144" s="37"/>
      <c r="CB144" s="37"/>
    </row>
    <row r="145" spans="31:80" x14ac:dyDescent="0.35">
      <c r="AE145" s="34"/>
      <c r="AF145" s="34"/>
      <c r="AG145" s="44"/>
      <c r="AJ145" s="35"/>
      <c r="AK145" s="35"/>
      <c r="AQ145" s="44"/>
      <c r="AR145" s="44"/>
      <c r="AY145" s="35"/>
      <c r="AZ145" s="35"/>
      <c r="BA145" s="51"/>
      <c r="BE145" s="48"/>
      <c r="BF145" s="48"/>
      <c r="BH145" s="49"/>
      <c r="BI145" s="49"/>
      <c r="CA145" s="37"/>
      <c r="CB145" s="37"/>
    </row>
    <row r="146" spans="31:80" x14ac:dyDescent="0.35">
      <c r="AE146" s="34"/>
      <c r="AF146" s="34"/>
      <c r="AG146" s="44"/>
      <c r="AJ146" s="35"/>
      <c r="AK146" s="35"/>
      <c r="AQ146" s="44"/>
      <c r="AR146" s="44"/>
      <c r="AY146" s="35"/>
      <c r="AZ146" s="35"/>
      <c r="BA146" s="51"/>
      <c r="BE146" s="48"/>
      <c r="BF146" s="48"/>
      <c r="BH146" s="49"/>
      <c r="BI146" s="49"/>
      <c r="CA146" s="37"/>
      <c r="CB146" s="37"/>
    </row>
  </sheetData>
  <mergeCells count="477">
    <mergeCell ref="O7:T7"/>
    <mergeCell ref="O8:R8"/>
    <mergeCell ref="V120:AA120"/>
    <mergeCell ref="AC120:AE120"/>
    <mergeCell ref="V121:Z121"/>
    <mergeCell ref="AA121:AB121"/>
    <mergeCell ref="AC121:AE121"/>
    <mergeCell ref="V122:Y123"/>
    <mergeCell ref="Z122:Z123"/>
    <mergeCell ref="AA122:AE123"/>
    <mergeCell ref="V112:AA112"/>
    <mergeCell ref="AC112:AE112"/>
    <mergeCell ref="V113:Z113"/>
    <mergeCell ref="AA113:AB113"/>
    <mergeCell ref="AC113:AE113"/>
    <mergeCell ref="V114:Y115"/>
    <mergeCell ref="Z114:Z115"/>
    <mergeCell ref="AA114:AE115"/>
    <mergeCell ref="V118:W119"/>
    <mergeCell ref="X118:Z119"/>
    <mergeCell ref="AA118:AA119"/>
    <mergeCell ref="AB118:AE119"/>
    <mergeCell ref="V104:AA104"/>
    <mergeCell ref="AC104:AE104"/>
    <mergeCell ref="V105:Z105"/>
    <mergeCell ref="AA105:AB105"/>
    <mergeCell ref="AC105:AE105"/>
    <mergeCell ref="V106:Y107"/>
    <mergeCell ref="Z106:Z107"/>
    <mergeCell ref="AA106:AE107"/>
    <mergeCell ref="V110:W111"/>
    <mergeCell ref="X110:Z111"/>
    <mergeCell ref="AA110:AA111"/>
    <mergeCell ref="AB110:AE111"/>
    <mergeCell ref="V96:AA96"/>
    <mergeCell ref="AC96:AE96"/>
    <mergeCell ref="V97:Z97"/>
    <mergeCell ref="AA97:AB97"/>
    <mergeCell ref="AC97:AE97"/>
    <mergeCell ref="V98:Y99"/>
    <mergeCell ref="Z98:Z99"/>
    <mergeCell ref="AA98:AE99"/>
    <mergeCell ref="V102:W103"/>
    <mergeCell ref="X102:Z103"/>
    <mergeCell ref="AA102:AA103"/>
    <mergeCell ref="AB102:AE103"/>
    <mergeCell ref="V88:AA88"/>
    <mergeCell ref="AC88:AE88"/>
    <mergeCell ref="V89:Z89"/>
    <mergeCell ref="AA89:AB89"/>
    <mergeCell ref="AC89:AE89"/>
    <mergeCell ref="V90:Y91"/>
    <mergeCell ref="Z90:Z91"/>
    <mergeCell ref="AA90:AE91"/>
    <mergeCell ref="V94:W95"/>
    <mergeCell ref="X94:Z95"/>
    <mergeCell ref="AA94:AA95"/>
    <mergeCell ref="AB94:AE95"/>
    <mergeCell ref="V81:Z81"/>
    <mergeCell ref="AA81:AB81"/>
    <mergeCell ref="AC81:AE81"/>
    <mergeCell ref="V82:Y83"/>
    <mergeCell ref="Z82:Z83"/>
    <mergeCell ref="AA82:AE83"/>
    <mergeCell ref="V86:W87"/>
    <mergeCell ref="X86:Z87"/>
    <mergeCell ref="AA86:AA87"/>
    <mergeCell ref="AB86:AE87"/>
    <mergeCell ref="V74:Y75"/>
    <mergeCell ref="Z74:Z75"/>
    <mergeCell ref="AA74:AE75"/>
    <mergeCell ref="AC72:AE72"/>
    <mergeCell ref="V78:W79"/>
    <mergeCell ref="X78:Z79"/>
    <mergeCell ref="AA78:AA79"/>
    <mergeCell ref="AB78:AE79"/>
    <mergeCell ref="V80:AA80"/>
    <mergeCell ref="AC80:AE80"/>
    <mergeCell ref="V34:Y35"/>
    <mergeCell ref="Z34:Z35"/>
    <mergeCell ref="AA34:AE35"/>
    <mergeCell ref="X70:Z71"/>
    <mergeCell ref="AA70:AA71"/>
    <mergeCell ref="AB70:AE71"/>
    <mergeCell ref="V72:AA72"/>
    <mergeCell ref="V73:Z73"/>
    <mergeCell ref="AA73:AB73"/>
    <mergeCell ref="AC73:AE73"/>
    <mergeCell ref="V64:AA64"/>
    <mergeCell ref="AC48:AE48"/>
    <mergeCell ref="V46:W47"/>
    <mergeCell ref="X46:Z47"/>
    <mergeCell ref="AA46:AA47"/>
    <mergeCell ref="AB46:AE47"/>
    <mergeCell ref="V48:AA48"/>
    <mergeCell ref="V49:Z49"/>
    <mergeCell ref="AA49:AB49"/>
    <mergeCell ref="AC49:AE49"/>
    <mergeCell ref="V50:Y51"/>
    <mergeCell ref="Z50:Z51"/>
    <mergeCell ref="AA50:AE51"/>
    <mergeCell ref="V65:Z65"/>
    <mergeCell ref="AA65:AB65"/>
    <mergeCell ref="AC65:AE65"/>
    <mergeCell ref="V66:Y67"/>
    <mergeCell ref="Z66:Z67"/>
    <mergeCell ref="AA66:AE67"/>
    <mergeCell ref="V70:W71"/>
    <mergeCell ref="AC56:AE56"/>
    <mergeCell ref="V54:W55"/>
    <mergeCell ref="X54:Z55"/>
    <mergeCell ref="AA54:AA55"/>
    <mergeCell ref="AB54:AE55"/>
    <mergeCell ref="V56:AA56"/>
    <mergeCell ref="V57:Z57"/>
    <mergeCell ref="AA57:AB57"/>
    <mergeCell ref="AC57:AE57"/>
    <mergeCell ref="V58:Y59"/>
    <mergeCell ref="Z58:Z59"/>
    <mergeCell ref="AA58:AE59"/>
    <mergeCell ref="AC64:AE64"/>
    <mergeCell ref="V62:W63"/>
    <mergeCell ref="X62:Z63"/>
    <mergeCell ref="AA62:AA63"/>
    <mergeCell ref="AB62:AE63"/>
    <mergeCell ref="V41:Z41"/>
    <mergeCell ref="AA41:AB41"/>
    <mergeCell ref="AC41:AE41"/>
    <mergeCell ref="V42:Y43"/>
    <mergeCell ref="Z42:Z43"/>
    <mergeCell ref="AA42:AE43"/>
    <mergeCell ref="AC32:AE32"/>
    <mergeCell ref="V26:Y27"/>
    <mergeCell ref="Z26:Z27"/>
    <mergeCell ref="AA26:AE27"/>
    <mergeCell ref="V38:W39"/>
    <mergeCell ref="X38:Z39"/>
    <mergeCell ref="AA38:AA39"/>
    <mergeCell ref="AB38:AE39"/>
    <mergeCell ref="V40:AA40"/>
    <mergeCell ref="AC40:AE40"/>
    <mergeCell ref="V30:W31"/>
    <mergeCell ref="X30:Z31"/>
    <mergeCell ref="AA30:AA31"/>
    <mergeCell ref="AB30:AE31"/>
    <mergeCell ref="V32:AA32"/>
    <mergeCell ref="V33:Z33"/>
    <mergeCell ref="AA33:AB33"/>
    <mergeCell ref="AC33:AE33"/>
    <mergeCell ref="V22:W23"/>
    <mergeCell ref="X22:Z23"/>
    <mergeCell ref="AA22:AA23"/>
    <mergeCell ref="AB22:AE23"/>
    <mergeCell ref="V24:AA24"/>
    <mergeCell ref="AC24:AE24"/>
    <mergeCell ref="V25:Z25"/>
    <mergeCell ref="AA25:AB25"/>
    <mergeCell ref="AC25:AE25"/>
    <mergeCell ref="V16:AA16"/>
    <mergeCell ref="V17:Z17"/>
    <mergeCell ref="AA17:AB17"/>
    <mergeCell ref="AC17:AE17"/>
    <mergeCell ref="V14:W15"/>
    <mergeCell ref="X14:Z15"/>
    <mergeCell ref="AA14:AA15"/>
    <mergeCell ref="AB14:AE15"/>
    <mergeCell ref="V18:Y19"/>
    <mergeCell ref="Z18:Z19"/>
    <mergeCell ref="AA18:AE19"/>
    <mergeCell ref="AC16:AE16"/>
    <mergeCell ref="L20:L21"/>
    <mergeCell ref="L22:L23"/>
    <mergeCell ref="L24:L25"/>
    <mergeCell ref="L26:L27"/>
    <mergeCell ref="B118:B119"/>
    <mergeCell ref="M118:M119"/>
    <mergeCell ref="B120:B121"/>
    <mergeCell ref="M120:M121"/>
    <mergeCell ref="B106:B107"/>
    <mergeCell ref="M106:M107"/>
    <mergeCell ref="B108:B109"/>
    <mergeCell ref="M108:M109"/>
    <mergeCell ref="B110:B111"/>
    <mergeCell ref="M110:M111"/>
    <mergeCell ref="L106:L107"/>
    <mergeCell ref="L108:L109"/>
    <mergeCell ref="L110:L111"/>
    <mergeCell ref="B100:B101"/>
    <mergeCell ref="M100:M101"/>
    <mergeCell ref="B102:B103"/>
    <mergeCell ref="M102:M103"/>
    <mergeCell ref="B104:B105"/>
    <mergeCell ref="M104:M105"/>
    <mergeCell ref="L100:L101"/>
    <mergeCell ref="B122:B123"/>
    <mergeCell ref="M122:M123"/>
    <mergeCell ref="L118:L119"/>
    <mergeCell ref="L120:L121"/>
    <mergeCell ref="L122:L123"/>
    <mergeCell ref="B112:B113"/>
    <mergeCell ref="M112:M113"/>
    <mergeCell ref="B114:B115"/>
    <mergeCell ref="M114:M115"/>
    <mergeCell ref="B116:B117"/>
    <mergeCell ref="M116:M117"/>
    <mergeCell ref="L112:L113"/>
    <mergeCell ref="L114:L115"/>
    <mergeCell ref="L116:L117"/>
    <mergeCell ref="L102:L103"/>
    <mergeCell ref="L104:L105"/>
    <mergeCell ref="B94:B95"/>
    <mergeCell ref="M94:M95"/>
    <mergeCell ref="B96:B97"/>
    <mergeCell ref="M96:M97"/>
    <mergeCell ref="B98:B99"/>
    <mergeCell ref="M98:M99"/>
    <mergeCell ref="L94:L95"/>
    <mergeCell ref="L96:L97"/>
    <mergeCell ref="L98:L99"/>
    <mergeCell ref="B88:B89"/>
    <mergeCell ref="M88:M89"/>
    <mergeCell ref="B90:B91"/>
    <mergeCell ref="M90:M91"/>
    <mergeCell ref="B92:B93"/>
    <mergeCell ref="M92:M93"/>
    <mergeCell ref="L88:L89"/>
    <mergeCell ref="L90:L91"/>
    <mergeCell ref="L92:L93"/>
    <mergeCell ref="B82:B83"/>
    <mergeCell ref="M82:M83"/>
    <mergeCell ref="B84:B85"/>
    <mergeCell ref="M84:M85"/>
    <mergeCell ref="B86:B87"/>
    <mergeCell ref="M86:M87"/>
    <mergeCell ref="L82:L83"/>
    <mergeCell ref="L84:L85"/>
    <mergeCell ref="L86:L87"/>
    <mergeCell ref="B76:B77"/>
    <mergeCell ref="M76:M77"/>
    <mergeCell ref="B78:B79"/>
    <mergeCell ref="M78:M79"/>
    <mergeCell ref="B80:B81"/>
    <mergeCell ref="M80:M81"/>
    <mergeCell ref="L76:L77"/>
    <mergeCell ref="L78:L79"/>
    <mergeCell ref="L80:L81"/>
    <mergeCell ref="B70:B71"/>
    <mergeCell ref="M70:M71"/>
    <mergeCell ref="B72:B73"/>
    <mergeCell ref="M72:M73"/>
    <mergeCell ref="B74:B75"/>
    <mergeCell ref="M74:M75"/>
    <mergeCell ref="L70:L71"/>
    <mergeCell ref="L72:L73"/>
    <mergeCell ref="L74:L75"/>
    <mergeCell ref="B64:B65"/>
    <mergeCell ref="M64:M65"/>
    <mergeCell ref="B66:B67"/>
    <mergeCell ref="M66:M67"/>
    <mergeCell ref="B68:B69"/>
    <mergeCell ref="M68:M69"/>
    <mergeCell ref="L64:L65"/>
    <mergeCell ref="L66:L67"/>
    <mergeCell ref="L68:L69"/>
    <mergeCell ref="B58:B59"/>
    <mergeCell ref="M58:M59"/>
    <mergeCell ref="B60:B61"/>
    <mergeCell ref="M60:M61"/>
    <mergeCell ref="B62:B63"/>
    <mergeCell ref="M62:M63"/>
    <mergeCell ref="L58:L59"/>
    <mergeCell ref="L60:L61"/>
    <mergeCell ref="L62:L63"/>
    <mergeCell ref="B52:B53"/>
    <mergeCell ref="M52:M53"/>
    <mergeCell ref="B54:B55"/>
    <mergeCell ref="M54:M55"/>
    <mergeCell ref="B56:B57"/>
    <mergeCell ref="M56:M57"/>
    <mergeCell ref="L52:L53"/>
    <mergeCell ref="L54:L55"/>
    <mergeCell ref="L56:L57"/>
    <mergeCell ref="B46:B47"/>
    <mergeCell ref="M46:M47"/>
    <mergeCell ref="B48:B49"/>
    <mergeCell ref="M48:M49"/>
    <mergeCell ref="B50:B51"/>
    <mergeCell ref="M50:M51"/>
    <mergeCell ref="L46:L47"/>
    <mergeCell ref="L48:L49"/>
    <mergeCell ref="L50:L51"/>
    <mergeCell ref="B40:B41"/>
    <mergeCell ref="M40:M41"/>
    <mergeCell ref="B42:B43"/>
    <mergeCell ref="M42:M43"/>
    <mergeCell ref="B44:B45"/>
    <mergeCell ref="M44:M45"/>
    <mergeCell ref="L40:L41"/>
    <mergeCell ref="L42:L43"/>
    <mergeCell ref="L44:L45"/>
    <mergeCell ref="B34:B35"/>
    <mergeCell ref="M34:M35"/>
    <mergeCell ref="B36:B37"/>
    <mergeCell ref="M36:M37"/>
    <mergeCell ref="B38:B39"/>
    <mergeCell ref="M38:M39"/>
    <mergeCell ref="L34:L35"/>
    <mergeCell ref="L36:L37"/>
    <mergeCell ref="L38:L39"/>
    <mergeCell ref="B28:B29"/>
    <mergeCell ref="M28:M29"/>
    <mergeCell ref="B30:B31"/>
    <mergeCell ref="M30:M31"/>
    <mergeCell ref="B32:B33"/>
    <mergeCell ref="M32:M33"/>
    <mergeCell ref="L28:L29"/>
    <mergeCell ref="L30:L31"/>
    <mergeCell ref="L32:L33"/>
    <mergeCell ref="B18:B19"/>
    <mergeCell ref="H8:K8"/>
    <mergeCell ref="H7:K7"/>
    <mergeCell ref="L7:M7"/>
    <mergeCell ref="B9:E9"/>
    <mergeCell ref="B12:B13"/>
    <mergeCell ref="I9:M9"/>
    <mergeCell ref="M12:M13"/>
    <mergeCell ref="B14:B15"/>
    <mergeCell ref="B16:B17"/>
    <mergeCell ref="L12:L13"/>
    <mergeCell ref="L14:L15"/>
    <mergeCell ref="L16:L17"/>
    <mergeCell ref="M14:M15"/>
    <mergeCell ref="M16:M17"/>
    <mergeCell ref="M18:M19"/>
    <mergeCell ref="L18:L19"/>
    <mergeCell ref="M20:M21"/>
    <mergeCell ref="M22:M23"/>
    <mergeCell ref="M26:M27"/>
    <mergeCell ref="B20:B21"/>
    <mergeCell ref="B22:B23"/>
    <mergeCell ref="B24:B25"/>
    <mergeCell ref="B26:B27"/>
    <mergeCell ref="M24:M25"/>
    <mergeCell ref="B2:G2"/>
    <mergeCell ref="H2:M2"/>
    <mergeCell ref="H3:K3"/>
    <mergeCell ref="L3:M3"/>
    <mergeCell ref="H4:K4"/>
    <mergeCell ref="H5:K5"/>
    <mergeCell ref="H6:K6"/>
    <mergeCell ref="B7:E7"/>
    <mergeCell ref="B8:E8"/>
    <mergeCell ref="B3:E3"/>
    <mergeCell ref="B4:E4"/>
    <mergeCell ref="B6:E6"/>
    <mergeCell ref="F5:G5"/>
    <mergeCell ref="B5:E5"/>
    <mergeCell ref="F3:G3"/>
    <mergeCell ref="F4:G4"/>
    <mergeCell ref="AT12:AT13"/>
    <mergeCell ref="AU12:AU13"/>
    <mergeCell ref="AT14:AT15"/>
    <mergeCell ref="AU14:AU15"/>
    <mergeCell ref="AT16:AT17"/>
    <mergeCell ref="AU16:AU17"/>
    <mergeCell ref="AT18:AT19"/>
    <mergeCell ref="AU18:AU19"/>
    <mergeCell ref="AT20:AT21"/>
    <mergeCell ref="AU20:AU21"/>
    <mergeCell ref="AT22:AT23"/>
    <mergeCell ref="AU22:AU23"/>
    <mergeCell ref="AT24:AT25"/>
    <mergeCell ref="AU24:AU25"/>
    <mergeCell ref="AT26:AT27"/>
    <mergeCell ref="AU26:AU27"/>
    <mergeCell ref="AT28:AT29"/>
    <mergeCell ref="AU28:AU29"/>
    <mergeCell ref="AT30:AT31"/>
    <mergeCell ref="AU30:AU31"/>
    <mergeCell ref="AT32:AT33"/>
    <mergeCell ref="AU32:AU33"/>
    <mergeCell ref="AT34:AT35"/>
    <mergeCell ref="AU34:AU35"/>
    <mergeCell ref="AT36:AT37"/>
    <mergeCell ref="AU36:AU37"/>
    <mergeCell ref="AT38:AT39"/>
    <mergeCell ref="AU38:AU39"/>
    <mergeCell ref="AT40:AT41"/>
    <mergeCell ref="AU40:AU41"/>
    <mergeCell ref="AT42:AT43"/>
    <mergeCell ref="AU42:AU43"/>
    <mergeCell ref="AT44:AT45"/>
    <mergeCell ref="AU44:AU45"/>
    <mergeCell ref="AT46:AT47"/>
    <mergeCell ref="AU46:AU47"/>
    <mergeCell ref="AT48:AT49"/>
    <mergeCell ref="AU48:AU49"/>
    <mergeCell ref="AT50:AT51"/>
    <mergeCell ref="AU50:AU51"/>
    <mergeCell ref="AT52:AT53"/>
    <mergeCell ref="AU52:AU53"/>
    <mergeCell ref="AT54:AT55"/>
    <mergeCell ref="AU54:AU55"/>
    <mergeCell ref="AT56:AT57"/>
    <mergeCell ref="AU56:AU57"/>
    <mergeCell ref="AT58:AT59"/>
    <mergeCell ref="AU58:AU59"/>
    <mergeCell ref="AT60:AT61"/>
    <mergeCell ref="AU60:AU61"/>
    <mergeCell ref="AT62:AT63"/>
    <mergeCell ref="AU62:AU63"/>
    <mergeCell ref="AT64:AT65"/>
    <mergeCell ref="AU64:AU65"/>
    <mergeCell ref="AT66:AT67"/>
    <mergeCell ref="AU66:AU67"/>
    <mergeCell ref="AT68:AT69"/>
    <mergeCell ref="AU68:AU69"/>
    <mergeCell ref="AT70:AT71"/>
    <mergeCell ref="AU70:AU71"/>
    <mergeCell ref="AT72:AT73"/>
    <mergeCell ref="AU72:AU73"/>
    <mergeCell ref="AT74:AT75"/>
    <mergeCell ref="AU74:AU75"/>
    <mergeCell ref="AT76:AT77"/>
    <mergeCell ref="AU76:AU77"/>
    <mergeCell ref="AT78:AT79"/>
    <mergeCell ref="AU78:AU79"/>
    <mergeCell ref="AT80:AT81"/>
    <mergeCell ref="AU80:AU81"/>
    <mergeCell ref="AT82:AT83"/>
    <mergeCell ref="AU82:AU83"/>
    <mergeCell ref="AT84:AT85"/>
    <mergeCell ref="AU84:AU85"/>
    <mergeCell ref="AT86:AT87"/>
    <mergeCell ref="AU86:AU87"/>
    <mergeCell ref="AT88:AT89"/>
    <mergeCell ref="AU88:AU89"/>
    <mergeCell ref="AT90:AT91"/>
    <mergeCell ref="AU90:AU91"/>
    <mergeCell ref="AT108:AT109"/>
    <mergeCell ref="AU108:AU109"/>
    <mergeCell ref="AT110:AT111"/>
    <mergeCell ref="AU110:AU111"/>
    <mergeCell ref="AT92:AT93"/>
    <mergeCell ref="AU92:AU93"/>
    <mergeCell ref="AT94:AT95"/>
    <mergeCell ref="AU94:AU95"/>
    <mergeCell ref="AT96:AT97"/>
    <mergeCell ref="AU96:AU97"/>
    <mergeCell ref="AT98:AT99"/>
    <mergeCell ref="AU98:AU99"/>
    <mergeCell ref="AT100:AT101"/>
    <mergeCell ref="AU100:AU101"/>
    <mergeCell ref="O2:T2"/>
    <mergeCell ref="O3:R3"/>
    <mergeCell ref="S3:T3"/>
    <mergeCell ref="O4:R4"/>
    <mergeCell ref="S4:T4"/>
    <mergeCell ref="O5:R5"/>
    <mergeCell ref="AT122:AT123"/>
    <mergeCell ref="AU122:AU123"/>
    <mergeCell ref="AT112:AT113"/>
    <mergeCell ref="AU112:AU113"/>
    <mergeCell ref="AT114:AT115"/>
    <mergeCell ref="AU114:AU115"/>
    <mergeCell ref="AT116:AT117"/>
    <mergeCell ref="AU116:AU117"/>
    <mergeCell ref="AT118:AT119"/>
    <mergeCell ref="AU118:AU119"/>
    <mergeCell ref="AT120:AT121"/>
    <mergeCell ref="AU120:AU121"/>
    <mergeCell ref="AT102:AT103"/>
    <mergeCell ref="AU102:AU103"/>
    <mergeCell ref="AT104:AT105"/>
    <mergeCell ref="AU104:AU105"/>
    <mergeCell ref="AT106:AT107"/>
    <mergeCell ref="AU106:AU107"/>
  </mergeCells>
  <conditionalFormatting sqref="V18:AE19 V26:AE27">
    <cfRule type="expression" dxfId="38" priority="42">
      <formula>$Z$18=""</formula>
    </cfRule>
  </conditionalFormatting>
  <conditionalFormatting sqref="V34:AE35">
    <cfRule type="expression" dxfId="37" priority="27">
      <formula>$Z$34=""</formula>
    </cfRule>
    <cfRule type="expression" dxfId="36" priority="40">
      <formula>$Z$18=""</formula>
    </cfRule>
  </conditionalFormatting>
  <conditionalFormatting sqref="V42:AE43">
    <cfRule type="expression" dxfId="35" priority="26">
      <formula>$Z$42=""</formula>
    </cfRule>
    <cfRule type="expression" dxfId="34" priority="39">
      <formula>$Z$18=""</formula>
    </cfRule>
  </conditionalFormatting>
  <conditionalFormatting sqref="V50:AE51">
    <cfRule type="expression" dxfId="33" priority="25">
      <formula>$Z$50=""</formula>
    </cfRule>
    <cfRule type="expression" dxfId="32" priority="38">
      <formula>$Z$18=""</formula>
    </cfRule>
  </conditionalFormatting>
  <conditionalFormatting sqref="V58:AE59">
    <cfRule type="expression" dxfId="31" priority="24">
      <formula>$Z$58=""</formula>
    </cfRule>
    <cfRule type="expression" dxfId="30" priority="37">
      <formula>$Z$18=""</formula>
    </cfRule>
  </conditionalFormatting>
  <conditionalFormatting sqref="V66:AE67">
    <cfRule type="expression" dxfId="29" priority="23">
      <formula>$Z$66=""</formula>
    </cfRule>
    <cfRule type="expression" dxfId="28" priority="36">
      <formula>$Z$18=""</formula>
    </cfRule>
  </conditionalFormatting>
  <conditionalFormatting sqref="V74:AE75">
    <cfRule type="expression" dxfId="27" priority="22">
      <formula>$Z$74=""</formula>
    </cfRule>
    <cfRule type="expression" dxfId="26" priority="35">
      <formula>$Z$18=""</formula>
    </cfRule>
  </conditionalFormatting>
  <conditionalFormatting sqref="V82:AE83">
    <cfRule type="expression" dxfId="25" priority="21">
      <formula>$Z$82=""</formula>
    </cfRule>
    <cfRule type="expression" dxfId="24" priority="34">
      <formula>$Z$18=""</formula>
    </cfRule>
  </conditionalFormatting>
  <conditionalFormatting sqref="V90:AE91">
    <cfRule type="expression" dxfId="23" priority="20">
      <formula>$Z$90=""</formula>
    </cfRule>
    <cfRule type="expression" dxfId="22" priority="33">
      <formula>$Z$18=""</formula>
    </cfRule>
  </conditionalFormatting>
  <conditionalFormatting sqref="V98:AE99">
    <cfRule type="expression" dxfId="21" priority="18">
      <formula>$Z$98=""</formula>
    </cfRule>
    <cfRule type="expression" dxfId="20" priority="19">
      <formula>""</formula>
    </cfRule>
    <cfRule type="expression" dxfId="19" priority="32">
      <formula>$Z$18=""</formula>
    </cfRule>
  </conditionalFormatting>
  <conditionalFormatting sqref="V106:AE107">
    <cfRule type="expression" dxfId="18" priority="17">
      <formula>$Z$106=""</formula>
    </cfRule>
    <cfRule type="expression" dxfId="17" priority="31">
      <formula>$Z$18=""</formula>
    </cfRule>
  </conditionalFormatting>
  <conditionalFormatting sqref="V114:AE115">
    <cfRule type="expression" dxfId="16" priority="16">
      <formula>$Z$114=""</formula>
    </cfRule>
    <cfRule type="expression" dxfId="15" priority="30">
      <formula>$Z$18=""</formula>
    </cfRule>
  </conditionalFormatting>
  <conditionalFormatting sqref="V122:AE123">
    <cfRule type="expression" dxfId="14" priority="15">
      <formula>$Z$122=""</formula>
    </cfRule>
    <cfRule type="expression" dxfId="13" priority="29">
      <formula>$Z$18=""</formula>
    </cfRule>
  </conditionalFormatting>
  <conditionalFormatting sqref="V26:AE27">
    <cfRule type="expression" dxfId="12" priority="28">
      <formula>$Z$26=""</formula>
    </cfRule>
  </conditionalFormatting>
  <conditionalFormatting sqref="L4">
    <cfRule type="cellIs" dxfId="11" priority="13" operator="greaterThan">
      <formula>$F$6</formula>
    </cfRule>
    <cfRule type="cellIs" dxfId="10" priority="14" operator="lessThan">
      <formula>$F$6</formula>
    </cfRule>
  </conditionalFormatting>
  <conditionalFormatting sqref="L5">
    <cfRule type="expression" dxfId="9" priority="11">
      <formula>$L$4&gt;$F$6</formula>
    </cfRule>
    <cfRule type="expression" dxfId="8" priority="12">
      <formula>$F$6&gt;$L$4</formula>
    </cfRule>
  </conditionalFormatting>
  <conditionalFormatting sqref="B8:E8">
    <cfRule type="expression" dxfId="7" priority="9">
      <formula>$F$6&lt;$F$7</formula>
    </cfRule>
    <cfRule type="expression" dxfId="6" priority="10">
      <formula>$F$7&lt;$F$6</formula>
    </cfRule>
  </conditionalFormatting>
  <conditionalFormatting sqref="L12:L123">
    <cfRule type="cellIs" dxfId="5" priority="8" operator="greaterThan">
      <formula>0</formula>
    </cfRule>
  </conditionalFormatting>
  <conditionalFormatting sqref="H9">
    <cfRule type="cellIs" dxfId="4" priority="5" operator="lessThan">
      <formula>0.5</formula>
    </cfRule>
    <cfRule type="expression" dxfId="3" priority="6">
      <formula>0</formula>
    </cfRule>
    <cfRule type="cellIs" dxfId="2" priority="7" operator="equal">
      <formula>"="</formula>
    </cfRule>
  </conditionalFormatting>
  <conditionalFormatting sqref="F9:G9">
    <cfRule type="expression" dxfId="1" priority="4">
      <formula>$B$8=""</formula>
    </cfRule>
  </conditionalFormatting>
  <conditionalFormatting sqref="S9:T9">
    <cfRule type="expression" dxfId="0" priority="1">
      <formula>$B$8=""</formula>
    </cfRule>
  </conditionalFormatting>
  <dataValidations count="4">
    <dataValidation type="list" allowBlank="1" showInputMessage="1" showErrorMessage="1" sqref="F4" xr:uid="{00000000-0002-0000-0000-000000000000}">
      <formula1>$AZ$3:$AZ$5</formula1>
    </dataValidation>
    <dataValidation type="list" allowBlank="1" showInputMessage="1" showErrorMessage="1" sqref="F5:G5" xr:uid="{00000000-0002-0000-0000-000001000000}">
      <formula1>$BC$3:$BC$5</formula1>
    </dataValidation>
    <dataValidation type="list" allowBlank="1" showInputMessage="1" showErrorMessage="1" sqref="S4:T4" xr:uid="{00000000-0002-0000-0000-000002000000}">
      <formula1>$BA$3:$BA$5</formula1>
    </dataValidation>
    <dataValidation type="list" allowBlank="1" showInputMessage="1" showErrorMessage="1" sqref="S3:T3" xr:uid="{00000000-0002-0000-0000-000003000000}">
      <formula1>$BB$3:$BB$5</formula1>
    </dataValidation>
  </dataValidations>
  <hyperlinks>
    <hyperlink ref="AX1" location="TDEE!A1" display="TDEE!A1" xr:uid="{00000000-0004-0000-0000-000000000000}"/>
  </hyperlinks>
  <pageMargins left="0.7" right="0.7" top="0.75" bottom="0.75" header="0.3" footer="0.3"/>
  <pageSetup orientation="portrait" r:id="rId1"/>
  <ignoredErrors>
    <ignoredError sqref="AI124 AJ15 AI17:AJ17 AI19:AJ19 AI21:AJ21 AI23:AJ23 AI25:AJ25 AI27:AJ27 AI29:AJ29 AI31:AJ31 AI33:AJ33 AI35:AJ123 AW26:AW123 AV25:AW25 AW22:AW24 AW20 AV21:AW21 AW18 AV19:AW19 AW16 AV17:AW17 AV15:AW15 AJ14:AK14 AJ16:AK16 AI18:AK18 AI20:AK20 AI22:AK22 AI24:AK24 AI26:AK26 AI28:AK28 AI30:AK30 AI32:AK32 AI34:AK34 AX14:BH20 AV13:BH13 AG11:AJ11 AW12:BH12 AU6:BG9 AU4:AV4 AU5 AX4:AZ5 AG3:AJ3 AH4:AJ5 AF6:AJ9 AG2:AK2 AJ12:AJ13 AG14:AG122 AU3:AZ3 BC3:BG5 AV2:AY2 AG10:AK10 AV10:BH11 BE2:BH2 AX43:BH122 AX21:BG42 AW124 BC1:BF1 AT1:AW1 AE1:AI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Furstenau</dc:creator>
  <cp:lastModifiedBy>Mark Blum</cp:lastModifiedBy>
  <dcterms:created xsi:type="dcterms:W3CDTF">2016-05-05T14:57:46Z</dcterms:created>
  <dcterms:modified xsi:type="dcterms:W3CDTF">2017-12-20T13:19:59Z</dcterms:modified>
</cp:coreProperties>
</file>