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730"/>
  <workbookPr showInkAnnotation="0" codeName="ThisWorkbook" autoCompressPictures="0"/>
  <mc:AlternateContent xmlns:mc="http://schemas.openxmlformats.org/markup-compatibility/2006">
    <mc:Choice Requires="x15">
      <x15ac:absPath xmlns:x15ac="http://schemas.microsoft.com/office/spreadsheetml/2010/11/ac" url="C:\Users\mark.blum\Desktop\weight track\"/>
    </mc:Choice>
  </mc:AlternateContent>
  <bookViews>
    <workbookView xWindow="4040" yWindow="2900" windowWidth="15140" windowHeight="4060" tabRatio="500" activeTab="1" xr2:uid="{00000000-000D-0000-FFFF-FFFF00000000}"/>
  </bookViews>
  <sheets>
    <sheet name="INSTRUCTIONS" sheetId="8" r:id="rId1"/>
    <sheet name="ATTEMPTS" sheetId="2" r:id="rId2"/>
    <sheet name="WARMUPS" sheetId="6" r:id="rId3"/>
    <sheet name="WARMUP LOADS" sheetId="7" state="hidden" r:id="rId4"/>
  </sheets>
  <externalReferences>
    <externalReference r:id="rId5"/>
  </externalReferences>
  <definedNames>
    <definedName name="a" localSheetId="0">#REF!</definedName>
    <definedName name="b" localSheetId="0">#REF!</definedName>
    <definedName name="BNOPEN">ATTEMPTS!$J$18</definedName>
    <definedName name="c." localSheetId="0">#REF!</definedName>
    <definedName name="d" localSheetId="0">#REF!</definedName>
    <definedName name="DLOPEN">ATTEMPTS!$Q$18</definedName>
    <definedName name="e" localSheetId="0">#REF!</definedName>
    <definedName name="ExpThis">OFFSET([1]NUTRITION!$C$31, 1, 0, [1]NUTRITION!$B$29, 1)</definedName>
    <definedName name="f" localSheetId="0">#REF!</definedName>
    <definedName name="k" localSheetId="0">#REF!</definedName>
    <definedName name="SQOPEN">ATTEMPTS!$C$18</definedName>
    <definedName name="unit" localSheetId="0">#REF!</definedName>
  </definedNames>
  <calcPr calcId="171027"/>
  <extLst>
    <ext xmlns:mx="http://schemas.microsoft.com/office/mac/excel/2008/main" uri="{7523E5D3-25F3-A5E0-1632-64F254C22452}">
      <mx:ArchID Flags="2"/>
    </ext>
  </extLst>
</workbook>
</file>

<file path=xl/calcChain.xml><?xml version="1.0" encoding="utf-8"?>
<calcChain xmlns="http://schemas.openxmlformats.org/spreadsheetml/2006/main">
  <c r="P32" i="2" l="1"/>
  <c r="P31" i="2"/>
  <c r="I32" i="2"/>
  <c r="I31" i="2"/>
  <c r="S30" i="2"/>
  <c r="R30" i="2"/>
  <c r="Q30" i="2"/>
  <c r="L30" i="2"/>
  <c r="K30" i="2"/>
  <c r="J30" i="2"/>
  <c r="K35" i="2"/>
  <c r="J26" i="2"/>
  <c r="K26" i="2" s="1"/>
  <c r="K34" i="2"/>
  <c r="R35" i="2"/>
  <c r="R34" i="2"/>
  <c r="C26" i="2"/>
  <c r="C36" i="2" s="1"/>
  <c r="D34" i="2"/>
  <c r="D35" i="2"/>
  <c r="C9" i="2"/>
  <c r="C10" i="2"/>
  <c r="C8" i="2"/>
  <c r="C17" i="2"/>
  <c r="D17" i="2" s="1"/>
  <c r="E6" i="6"/>
  <c r="E4" i="6"/>
  <c r="C18" i="2"/>
  <c r="E18" i="6" s="1"/>
  <c r="AG6" i="2"/>
  <c r="AG7" i="2"/>
  <c r="AG8" i="2"/>
  <c r="AC32" i="2" s="1"/>
  <c r="AA32" i="2" s="1"/>
  <c r="AG14" i="2"/>
  <c r="AE32" i="2"/>
  <c r="AG9" i="2"/>
  <c r="AG10" i="2"/>
  <c r="AG11" i="2"/>
  <c r="AC19" i="2" s="1"/>
  <c r="AG12" i="2"/>
  <c r="D32" i="2"/>
  <c r="K32" i="2"/>
  <c r="R32" i="2"/>
  <c r="AD32" i="2"/>
  <c r="AE31" i="2"/>
  <c r="AC31" i="2"/>
  <c r="AA31" i="2" s="1"/>
  <c r="D31" i="2"/>
  <c r="K31" i="2"/>
  <c r="R31" i="2"/>
  <c r="AD31" i="2"/>
  <c r="Y32" i="2"/>
  <c r="Y31" i="2"/>
  <c r="AE22" i="2"/>
  <c r="C22" i="2"/>
  <c r="J22" i="2"/>
  <c r="K22" i="2" s="1"/>
  <c r="Q22" i="2"/>
  <c r="R22" i="2" s="1"/>
  <c r="R5" i="7"/>
  <c r="R6" i="7"/>
  <c r="R7" i="7"/>
  <c r="R8" i="7"/>
  <c r="R9" i="7"/>
  <c r="S9" i="7"/>
  <c r="T9" i="7"/>
  <c r="R10" i="7"/>
  <c r="S10" i="7"/>
  <c r="T10" i="7"/>
  <c r="U10" i="7"/>
  <c r="R11" i="7"/>
  <c r="S11" i="7"/>
  <c r="T11" i="7"/>
  <c r="U11" i="7"/>
  <c r="R12" i="7"/>
  <c r="S12" i="7"/>
  <c r="T12" i="7"/>
  <c r="U12" i="7"/>
  <c r="R13" i="7"/>
  <c r="S13" i="7"/>
  <c r="T13" i="7"/>
  <c r="U13" i="7"/>
  <c r="R14" i="7"/>
  <c r="S14" i="7"/>
  <c r="T14" i="7"/>
  <c r="U14" i="7"/>
  <c r="R15" i="7"/>
  <c r="S15" i="7"/>
  <c r="T15" i="7"/>
  <c r="U15" i="7"/>
  <c r="R16" i="7"/>
  <c r="S16" i="7"/>
  <c r="T16" i="7"/>
  <c r="U16" i="7"/>
  <c r="R17" i="7"/>
  <c r="S17" i="7"/>
  <c r="T17" i="7"/>
  <c r="U17" i="7"/>
  <c r="V17" i="7"/>
  <c r="R18" i="7"/>
  <c r="S18" i="7"/>
  <c r="T18" i="7"/>
  <c r="U18" i="7"/>
  <c r="V18" i="7"/>
  <c r="R19" i="7"/>
  <c r="S19" i="7"/>
  <c r="T19" i="7"/>
  <c r="U19" i="7"/>
  <c r="V19" i="7"/>
  <c r="R20" i="7"/>
  <c r="S20" i="7"/>
  <c r="T20" i="7"/>
  <c r="U20" i="7"/>
  <c r="V20" i="7"/>
  <c r="R21" i="7"/>
  <c r="S21" i="7"/>
  <c r="T21" i="7"/>
  <c r="U21" i="7"/>
  <c r="V21" i="7"/>
  <c r="R22" i="7"/>
  <c r="S22" i="7"/>
  <c r="T22" i="7"/>
  <c r="U22" i="7"/>
  <c r="V22" i="7"/>
  <c r="R23" i="7"/>
  <c r="S23" i="7"/>
  <c r="T23" i="7"/>
  <c r="U23" i="7"/>
  <c r="V23" i="7"/>
  <c r="R24" i="7"/>
  <c r="S24" i="7"/>
  <c r="T24" i="7"/>
  <c r="U24" i="7"/>
  <c r="V24" i="7"/>
  <c r="R25" i="7"/>
  <c r="S25" i="7"/>
  <c r="T25" i="7"/>
  <c r="U25" i="7"/>
  <c r="V25" i="7"/>
  <c r="R26" i="7"/>
  <c r="S26" i="7"/>
  <c r="T26" i="7"/>
  <c r="U26" i="7"/>
  <c r="V26" i="7"/>
  <c r="R27" i="7"/>
  <c r="S27" i="7"/>
  <c r="T27" i="7"/>
  <c r="U27" i="7"/>
  <c r="V27" i="7"/>
  <c r="R28" i="7"/>
  <c r="S28" i="7"/>
  <c r="T28" i="7"/>
  <c r="U28" i="7"/>
  <c r="V28" i="7"/>
  <c r="R29" i="7"/>
  <c r="S29" i="7"/>
  <c r="T29" i="7"/>
  <c r="U29" i="7"/>
  <c r="V29" i="7"/>
  <c r="R30" i="7"/>
  <c r="S30" i="7"/>
  <c r="T30" i="7"/>
  <c r="U30" i="7"/>
  <c r="V30" i="7"/>
  <c r="R31" i="7"/>
  <c r="S31" i="7"/>
  <c r="T31" i="7"/>
  <c r="U31" i="7"/>
  <c r="V31" i="7"/>
  <c r="R32" i="7"/>
  <c r="S32" i="7"/>
  <c r="T32" i="7"/>
  <c r="U32" i="7"/>
  <c r="V32" i="7"/>
  <c r="R33" i="7"/>
  <c r="S33" i="7"/>
  <c r="T33" i="7"/>
  <c r="U33" i="7"/>
  <c r="V33" i="7"/>
  <c r="R34" i="7"/>
  <c r="S34" i="7"/>
  <c r="T34" i="7"/>
  <c r="U34" i="7"/>
  <c r="V34" i="7"/>
  <c r="R35" i="7"/>
  <c r="S35" i="7"/>
  <c r="T35" i="7"/>
  <c r="U35" i="7"/>
  <c r="V35" i="7"/>
  <c r="R36" i="7"/>
  <c r="S36" i="7"/>
  <c r="T36" i="7"/>
  <c r="U36" i="7"/>
  <c r="V36" i="7"/>
  <c r="R37" i="7"/>
  <c r="S37" i="7"/>
  <c r="T37" i="7"/>
  <c r="U37" i="7"/>
  <c r="V37" i="7"/>
  <c r="R38" i="7"/>
  <c r="S38" i="7"/>
  <c r="T38" i="7"/>
  <c r="U38" i="7"/>
  <c r="V38" i="7"/>
  <c r="R39" i="7"/>
  <c r="S39" i="7"/>
  <c r="T39" i="7"/>
  <c r="U39" i="7"/>
  <c r="V39" i="7"/>
  <c r="R40" i="7"/>
  <c r="S40" i="7"/>
  <c r="T40" i="7"/>
  <c r="U40" i="7"/>
  <c r="V40" i="7"/>
  <c r="R41" i="7"/>
  <c r="S41" i="7"/>
  <c r="T41" i="7"/>
  <c r="U41" i="7"/>
  <c r="V41" i="7"/>
  <c r="R42" i="7"/>
  <c r="S42" i="7"/>
  <c r="T42" i="7"/>
  <c r="U42" i="7"/>
  <c r="V42" i="7"/>
  <c r="R43" i="7"/>
  <c r="S43" i="7"/>
  <c r="T43" i="7"/>
  <c r="U43" i="7"/>
  <c r="V43" i="7"/>
  <c r="R44" i="7"/>
  <c r="S44" i="7"/>
  <c r="T44" i="7"/>
  <c r="U44" i="7"/>
  <c r="V44" i="7"/>
  <c r="R45" i="7"/>
  <c r="S45" i="7"/>
  <c r="T45" i="7"/>
  <c r="U45" i="7"/>
  <c r="V45" i="7"/>
  <c r="R46" i="7"/>
  <c r="S46" i="7"/>
  <c r="T46" i="7"/>
  <c r="U46" i="7"/>
  <c r="V46" i="7"/>
  <c r="R47" i="7"/>
  <c r="S47" i="7"/>
  <c r="T47" i="7"/>
  <c r="U47" i="7"/>
  <c r="V47" i="7"/>
  <c r="R48" i="7"/>
  <c r="S48" i="7"/>
  <c r="T48" i="7"/>
  <c r="U48" i="7"/>
  <c r="V48" i="7"/>
  <c r="R49" i="7"/>
  <c r="S49" i="7"/>
  <c r="T49" i="7"/>
  <c r="U49" i="7"/>
  <c r="V49" i="7"/>
  <c r="R50" i="7"/>
  <c r="S50" i="7"/>
  <c r="T50" i="7"/>
  <c r="U50" i="7"/>
  <c r="V50" i="7"/>
  <c r="R51" i="7"/>
  <c r="S51" i="7"/>
  <c r="T51" i="7"/>
  <c r="U51" i="7"/>
  <c r="V51" i="7"/>
  <c r="R52" i="7"/>
  <c r="S52" i="7"/>
  <c r="T52" i="7"/>
  <c r="U52" i="7"/>
  <c r="V52" i="7"/>
  <c r="R53" i="7"/>
  <c r="S53" i="7"/>
  <c r="T53" i="7"/>
  <c r="U53" i="7"/>
  <c r="V53" i="7"/>
  <c r="R54" i="7"/>
  <c r="S54" i="7"/>
  <c r="T54" i="7"/>
  <c r="U54" i="7"/>
  <c r="V54" i="7"/>
  <c r="R55" i="7"/>
  <c r="S55" i="7"/>
  <c r="T55" i="7"/>
  <c r="U55" i="7"/>
  <c r="V55" i="7"/>
  <c r="R56" i="7"/>
  <c r="S56" i="7"/>
  <c r="T56" i="7"/>
  <c r="U56" i="7"/>
  <c r="V56" i="7"/>
  <c r="R57" i="7"/>
  <c r="S57" i="7"/>
  <c r="T57" i="7"/>
  <c r="U57" i="7"/>
  <c r="V57" i="7"/>
  <c r="R58" i="7"/>
  <c r="S58" i="7"/>
  <c r="T58" i="7"/>
  <c r="U58" i="7"/>
  <c r="V58" i="7"/>
  <c r="R59" i="7"/>
  <c r="S59" i="7"/>
  <c r="T59" i="7"/>
  <c r="U59" i="7"/>
  <c r="V59" i="7"/>
  <c r="R60" i="7"/>
  <c r="S60" i="7"/>
  <c r="T60" i="7"/>
  <c r="U60" i="7"/>
  <c r="V60" i="7"/>
  <c r="R61" i="7"/>
  <c r="S61" i="7"/>
  <c r="T61" i="7"/>
  <c r="U61" i="7"/>
  <c r="V61" i="7"/>
  <c r="R62" i="7"/>
  <c r="S62" i="7"/>
  <c r="T62" i="7"/>
  <c r="U62" i="7"/>
  <c r="V62" i="7"/>
  <c r="R63" i="7"/>
  <c r="S63" i="7"/>
  <c r="T63" i="7"/>
  <c r="U63" i="7"/>
  <c r="V63" i="7"/>
  <c r="R64" i="7"/>
  <c r="S64" i="7"/>
  <c r="T64" i="7"/>
  <c r="U64" i="7"/>
  <c r="V64" i="7"/>
  <c r="R65" i="7"/>
  <c r="S65" i="7"/>
  <c r="T65" i="7"/>
  <c r="U65" i="7"/>
  <c r="V65" i="7"/>
  <c r="R66" i="7"/>
  <c r="S66" i="7"/>
  <c r="T66" i="7"/>
  <c r="U66" i="7"/>
  <c r="V66" i="7"/>
  <c r="R67" i="7"/>
  <c r="S67" i="7"/>
  <c r="T67" i="7"/>
  <c r="U67" i="7"/>
  <c r="V67" i="7"/>
  <c r="R68" i="7"/>
  <c r="S68" i="7"/>
  <c r="T68" i="7"/>
  <c r="U68" i="7"/>
  <c r="V68" i="7"/>
  <c r="R69" i="7"/>
  <c r="S69" i="7"/>
  <c r="T69" i="7"/>
  <c r="U69" i="7"/>
  <c r="V69" i="7"/>
  <c r="R70" i="7"/>
  <c r="S70" i="7"/>
  <c r="T70" i="7"/>
  <c r="U70" i="7"/>
  <c r="V70" i="7"/>
  <c r="R71" i="7"/>
  <c r="S71" i="7"/>
  <c r="T71" i="7"/>
  <c r="U71" i="7"/>
  <c r="V71" i="7"/>
  <c r="R72" i="7"/>
  <c r="S72" i="7"/>
  <c r="T72" i="7"/>
  <c r="U72" i="7"/>
  <c r="V72" i="7"/>
  <c r="R73" i="7"/>
  <c r="S73" i="7"/>
  <c r="T73" i="7"/>
  <c r="U73" i="7"/>
  <c r="V73" i="7"/>
  <c r="R74" i="7"/>
  <c r="S74" i="7"/>
  <c r="T74" i="7"/>
  <c r="U74" i="7"/>
  <c r="V74" i="7"/>
  <c r="R75" i="7"/>
  <c r="S75" i="7"/>
  <c r="T75" i="7"/>
  <c r="U75" i="7"/>
  <c r="V75" i="7"/>
  <c r="R76" i="7"/>
  <c r="S76" i="7"/>
  <c r="T76" i="7"/>
  <c r="U76" i="7"/>
  <c r="V76" i="7"/>
  <c r="R77" i="7"/>
  <c r="S77" i="7"/>
  <c r="T77" i="7"/>
  <c r="U77" i="7"/>
  <c r="V77" i="7"/>
  <c r="R78" i="7"/>
  <c r="S78" i="7"/>
  <c r="T78" i="7"/>
  <c r="U78" i="7"/>
  <c r="V78" i="7"/>
  <c r="R79" i="7"/>
  <c r="S79" i="7"/>
  <c r="T79" i="7"/>
  <c r="U79" i="7"/>
  <c r="V79" i="7"/>
  <c r="R80" i="7"/>
  <c r="S80" i="7"/>
  <c r="T80" i="7"/>
  <c r="U80" i="7"/>
  <c r="V80" i="7"/>
  <c r="R81" i="7"/>
  <c r="S81" i="7"/>
  <c r="T81" i="7"/>
  <c r="U81" i="7"/>
  <c r="V81" i="7"/>
  <c r="R82" i="7"/>
  <c r="S82" i="7"/>
  <c r="T82" i="7"/>
  <c r="U82" i="7"/>
  <c r="V82" i="7"/>
  <c r="W82" i="7"/>
  <c r="R83" i="7"/>
  <c r="S83" i="7"/>
  <c r="T83" i="7"/>
  <c r="U83" i="7"/>
  <c r="V83" i="7"/>
  <c r="W83" i="7"/>
  <c r="R84" i="7"/>
  <c r="S84" i="7"/>
  <c r="T84" i="7"/>
  <c r="U84" i="7"/>
  <c r="V84" i="7"/>
  <c r="W84" i="7"/>
  <c r="R85" i="7"/>
  <c r="S85" i="7"/>
  <c r="T85" i="7"/>
  <c r="U85" i="7"/>
  <c r="V85" i="7"/>
  <c r="W85" i="7"/>
  <c r="R86" i="7"/>
  <c r="S86" i="7"/>
  <c r="T86" i="7"/>
  <c r="U86" i="7"/>
  <c r="V86" i="7"/>
  <c r="W86" i="7"/>
  <c r="R87" i="7"/>
  <c r="S87" i="7"/>
  <c r="T87" i="7"/>
  <c r="U87" i="7"/>
  <c r="V87" i="7"/>
  <c r="W87" i="7"/>
  <c r="X87" i="7"/>
  <c r="R88" i="7"/>
  <c r="S88" i="7"/>
  <c r="T88" i="7"/>
  <c r="U88" i="7"/>
  <c r="V88" i="7"/>
  <c r="W88" i="7"/>
  <c r="X88" i="7"/>
  <c r="R89" i="7"/>
  <c r="S89" i="7"/>
  <c r="T89" i="7"/>
  <c r="U89" i="7"/>
  <c r="V89" i="7"/>
  <c r="W89" i="7"/>
  <c r="X89" i="7"/>
  <c r="R90" i="7"/>
  <c r="S90" i="7"/>
  <c r="T90" i="7"/>
  <c r="U90" i="7"/>
  <c r="V90" i="7"/>
  <c r="W90" i="7"/>
  <c r="X90" i="7"/>
  <c r="R91" i="7"/>
  <c r="S91" i="7"/>
  <c r="T91" i="7"/>
  <c r="U91" i="7"/>
  <c r="V91" i="7"/>
  <c r="W91" i="7"/>
  <c r="X91" i="7"/>
  <c r="R92" i="7"/>
  <c r="S92" i="7"/>
  <c r="T92" i="7"/>
  <c r="U92" i="7"/>
  <c r="V92" i="7"/>
  <c r="W92" i="7"/>
  <c r="X92" i="7"/>
  <c r="R93" i="7"/>
  <c r="S93" i="7"/>
  <c r="T93" i="7"/>
  <c r="U93" i="7"/>
  <c r="V93" i="7"/>
  <c r="W93" i="7"/>
  <c r="X93" i="7"/>
  <c r="R94" i="7"/>
  <c r="S94" i="7"/>
  <c r="T94" i="7"/>
  <c r="U94" i="7"/>
  <c r="V94" i="7"/>
  <c r="W94" i="7"/>
  <c r="X94" i="7"/>
  <c r="R95" i="7"/>
  <c r="S95" i="7"/>
  <c r="T95" i="7"/>
  <c r="U95" i="7"/>
  <c r="V95" i="7"/>
  <c r="W95" i="7"/>
  <c r="X95" i="7"/>
  <c r="R96" i="7"/>
  <c r="S96" i="7"/>
  <c r="T96" i="7"/>
  <c r="U96" i="7"/>
  <c r="V96" i="7"/>
  <c r="W96" i="7"/>
  <c r="X96" i="7"/>
  <c r="R97" i="7"/>
  <c r="S97" i="7"/>
  <c r="T97" i="7"/>
  <c r="U97" i="7"/>
  <c r="V97" i="7"/>
  <c r="W97" i="7"/>
  <c r="X97" i="7"/>
  <c r="R98" i="7"/>
  <c r="S98" i="7"/>
  <c r="T98" i="7"/>
  <c r="U98" i="7"/>
  <c r="V98" i="7"/>
  <c r="W98" i="7"/>
  <c r="X98" i="7"/>
  <c r="R99" i="7"/>
  <c r="S99" i="7"/>
  <c r="T99" i="7"/>
  <c r="U99" i="7"/>
  <c r="V99" i="7"/>
  <c r="W99" i="7"/>
  <c r="X99" i="7"/>
  <c r="R100" i="7"/>
  <c r="S100" i="7"/>
  <c r="T100" i="7"/>
  <c r="U100" i="7"/>
  <c r="V100" i="7"/>
  <c r="W100" i="7"/>
  <c r="X100" i="7"/>
  <c r="R101" i="7"/>
  <c r="S101" i="7"/>
  <c r="T101" i="7"/>
  <c r="U101" i="7"/>
  <c r="V101" i="7"/>
  <c r="W101" i="7"/>
  <c r="X101" i="7"/>
  <c r="R102" i="7"/>
  <c r="S102" i="7"/>
  <c r="T102" i="7"/>
  <c r="U102" i="7"/>
  <c r="V102" i="7"/>
  <c r="W102" i="7"/>
  <c r="X102" i="7"/>
  <c r="R103" i="7"/>
  <c r="S103" i="7"/>
  <c r="T103" i="7"/>
  <c r="U103" i="7"/>
  <c r="V103" i="7"/>
  <c r="W103" i="7"/>
  <c r="X103" i="7"/>
  <c r="R104" i="7"/>
  <c r="S104" i="7"/>
  <c r="T104" i="7"/>
  <c r="U104" i="7"/>
  <c r="V104" i="7"/>
  <c r="W104" i="7"/>
  <c r="X104" i="7"/>
  <c r="Y104" i="7"/>
  <c r="R105" i="7"/>
  <c r="S105" i="7"/>
  <c r="T105" i="7"/>
  <c r="U105" i="7"/>
  <c r="V105" i="7"/>
  <c r="W105" i="7"/>
  <c r="X105" i="7"/>
  <c r="Y105" i="7"/>
  <c r="R106" i="7"/>
  <c r="S106" i="7"/>
  <c r="T106" i="7"/>
  <c r="U106" i="7"/>
  <c r="V106" i="7"/>
  <c r="W106" i="7"/>
  <c r="X106" i="7"/>
  <c r="Y106" i="7"/>
  <c r="R107" i="7"/>
  <c r="S107" i="7"/>
  <c r="T107" i="7"/>
  <c r="U107" i="7"/>
  <c r="V107" i="7"/>
  <c r="W107" i="7"/>
  <c r="X107" i="7"/>
  <c r="Y107" i="7"/>
  <c r="R108" i="7"/>
  <c r="S108" i="7"/>
  <c r="T108" i="7"/>
  <c r="U108" i="7"/>
  <c r="V108" i="7"/>
  <c r="W108" i="7"/>
  <c r="X108" i="7"/>
  <c r="Y108" i="7"/>
  <c r="R109" i="7"/>
  <c r="S109" i="7"/>
  <c r="T109" i="7"/>
  <c r="U109" i="7"/>
  <c r="V109" i="7"/>
  <c r="W109" i="7"/>
  <c r="X109" i="7"/>
  <c r="Y109" i="7"/>
  <c r="R110" i="7"/>
  <c r="S110" i="7"/>
  <c r="T110" i="7"/>
  <c r="U110" i="7"/>
  <c r="V110" i="7"/>
  <c r="W110" i="7"/>
  <c r="X110" i="7"/>
  <c r="Y110" i="7"/>
  <c r="R111" i="7"/>
  <c r="S111" i="7"/>
  <c r="T111" i="7"/>
  <c r="U111" i="7"/>
  <c r="V111" i="7"/>
  <c r="W111" i="7"/>
  <c r="X111" i="7"/>
  <c r="Y111" i="7"/>
  <c r="R112" i="7"/>
  <c r="S112" i="7"/>
  <c r="T112" i="7"/>
  <c r="U112" i="7"/>
  <c r="V112" i="7"/>
  <c r="W112" i="7"/>
  <c r="X112" i="7"/>
  <c r="Y112" i="7"/>
  <c r="R113" i="7"/>
  <c r="S113" i="7"/>
  <c r="T113" i="7"/>
  <c r="U113" i="7"/>
  <c r="V113" i="7"/>
  <c r="W113" i="7"/>
  <c r="X113" i="7"/>
  <c r="Y113" i="7"/>
  <c r="R114" i="7"/>
  <c r="S114" i="7"/>
  <c r="T114" i="7"/>
  <c r="U114" i="7"/>
  <c r="V114" i="7"/>
  <c r="W114" i="7"/>
  <c r="X114" i="7"/>
  <c r="Y114" i="7"/>
  <c r="R115" i="7"/>
  <c r="S115" i="7"/>
  <c r="T115" i="7"/>
  <c r="U115" i="7"/>
  <c r="V115" i="7"/>
  <c r="W115" i="7"/>
  <c r="X115" i="7"/>
  <c r="Y115" i="7"/>
  <c r="R116" i="7"/>
  <c r="S116" i="7"/>
  <c r="T116" i="7"/>
  <c r="U116" i="7"/>
  <c r="V116" i="7"/>
  <c r="W116" i="7"/>
  <c r="X116" i="7"/>
  <c r="Y116" i="7"/>
  <c r="R117" i="7"/>
  <c r="S117" i="7"/>
  <c r="T117" i="7"/>
  <c r="U117" i="7"/>
  <c r="V117" i="7"/>
  <c r="W117" i="7"/>
  <c r="X117" i="7"/>
  <c r="Y117" i="7"/>
  <c r="R118" i="7"/>
  <c r="S118" i="7"/>
  <c r="T118" i="7"/>
  <c r="U118" i="7"/>
  <c r="V118" i="7"/>
  <c r="W118" i="7"/>
  <c r="X118" i="7"/>
  <c r="Y118" i="7"/>
  <c r="R119" i="7"/>
  <c r="S119" i="7"/>
  <c r="T119" i="7"/>
  <c r="U119" i="7"/>
  <c r="V119" i="7"/>
  <c r="W119" i="7"/>
  <c r="X119" i="7"/>
  <c r="Y119" i="7"/>
  <c r="R120" i="7"/>
  <c r="S120" i="7"/>
  <c r="T120" i="7"/>
  <c r="U120" i="7"/>
  <c r="V120" i="7"/>
  <c r="W120" i="7"/>
  <c r="X120" i="7"/>
  <c r="Y120" i="7"/>
  <c r="R121" i="7"/>
  <c r="S121" i="7"/>
  <c r="T121" i="7"/>
  <c r="U121" i="7"/>
  <c r="V121" i="7"/>
  <c r="W121" i="7"/>
  <c r="X121" i="7"/>
  <c r="Y121" i="7"/>
  <c r="R122" i="7"/>
  <c r="S122" i="7"/>
  <c r="T122" i="7"/>
  <c r="U122" i="7"/>
  <c r="V122" i="7"/>
  <c r="W122" i="7"/>
  <c r="X122" i="7"/>
  <c r="Y122" i="7"/>
  <c r="R123" i="7"/>
  <c r="S123" i="7"/>
  <c r="T123" i="7"/>
  <c r="U123" i="7"/>
  <c r="V123" i="7"/>
  <c r="W123" i="7"/>
  <c r="X123" i="7"/>
  <c r="Y123" i="7"/>
  <c r="R124" i="7"/>
  <c r="S124" i="7"/>
  <c r="T124" i="7"/>
  <c r="U124" i="7"/>
  <c r="V124" i="7"/>
  <c r="W124" i="7"/>
  <c r="X124" i="7"/>
  <c r="Y124" i="7"/>
  <c r="R125" i="7"/>
  <c r="S125" i="7"/>
  <c r="T125" i="7"/>
  <c r="U125" i="7"/>
  <c r="V125" i="7"/>
  <c r="W125" i="7"/>
  <c r="X125" i="7"/>
  <c r="Y125" i="7"/>
  <c r="R126" i="7"/>
  <c r="S126" i="7"/>
  <c r="T126" i="7"/>
  <c r="U126" i="7"/>
  <c r="V126" i="7"/>
  <c r="W126" i="7"/>
  <c r="X126" i="7"/>
  <c r="Y126" i="7"/>
  <c r="R127" i="7"/>
  <c r="S127" i="7"/>
  <c r="T127" i="7"/>
  <c r="U127" i="7"/>
  <c r="V127" i="7"/>
  <c r="W127" i="7"/>
  <c r="X127" i="7"/>
  <c r="Y127" i="7"/>
  <c r="R128" i="7"/>
  <c r="S128" i="7"/>
  <c r="T128" i="7"/>
  <c r="U128" i="7"/>
  <c r="V128" i="7"/>
  <c r="W128" i="7"/>
  <c r="X128" i="7"/>
  <c r="Y128" i="7"/>
  <c r="R129" i="7"/>
  <c r="S129" i="7"/>
  <c r="T129" i="7"/>
  <c r="U129" i="7"/>
  <c r="V129" i="7"/>
  <c r="W129" i="7"/>
  <c r="X129" i="7"/>
  <c r="Y129" i="7"/>
  <c r="R130" i="7"/>
  <c r="S130" i="7"/>
  <c r="T130" i="7"/>
  <c r="U130" i="7"/>
  <c r="V130" i="7"/>
  <c r="W130" i="7"/>
  <c r="X130" i="7"/>
  <c r="Y130" i="7"/>
  <c r="R131" i="7"/>
  <c r="S131" i="7"/>
  <c r="T131" i="7"/>
  <c r="U131" i="7"/>
  <c r="V131" i="7"/>
  <c r="W131" i="7"/>
  <c r="X131" i="7"/>
  <c r="Y131" i="7"/>
  <c r="R132" i="7"/>
  <c r="S132" i="7"/>
  <c r="T132" i="7"/>
  <c r="U132" i="7"/>
  <c r="V132" i="7"/>
  <c r="W132" i="7"/>
  <c r="X132" i="7"/>
  <c r="Y132" i="7"/>
  <c r="R133" i="7"/>
  <c r="S133" i="7"/>
  <c r="T133" i="7"/>
  <c r="U133" i="7"/>
  <c r="V133" i="7"/>
  <c r="W133" i="7"/>
  <c r="X133" i="7"/>
  <c r="Y133" i="7"/>
  <c r="R134" i="7"/>
  <c r="S134" i="7"/>
  <c r="T134" i="7"/>
  <c r="U134" i="7"/>
  <c r="V134" i="7"/>
  <c r="W134" i="7"/>
  <c r="X134" i="7"/>
  <c r="Y134" i="7"/>
  <c r="R135" i="7"/>
  <c r="S135" i="7"/>
  <c r="T135" i="7"/>
  <c r="U135" i="7"/>
  <c r="V135" i="7"/>
  <c r="W135" i="7"/>
  <c r="X135" i="7"/>
  <c r="Y135" i="7"/>
  <c r="R136" i="7"/>
  <c r="S136" i="7"/>
  <c r="T136" i="7"/>
  <c r="U136" i="7"/>
  <c r="V136" i="7"/>
  <c r="W136" i="7"/>
  <c r="X136" i="7"/>
  <c r="Y136" i="7"/>
  <c r="R137" i="7"/>
  <c r="S137" i="7"/>
  <c r="T137" i="7"/>
  <c r="U137" i="7"/>
  <c r="V137" i="7"/>
  <c r="W137" i="7"/>
  <c r="X137" i="7"/>
  <c r="Y137" i="7"/>
  <c r="R138" i="7"/>
  <c r="S138" i="7"/>
  <c r="T138" i="7"/>
  <c r="U138" i="7"/>
  <c r="V138" i="7"/>
  <c r="W138" i="7"/>
  <c r="X138" i="7"/>
  <c r="Y138" i="7"/>
  <c r="R139" i="7"/>
  <c r="S139" i="7"/>
  <c r="T139" i="7"/>
  <c r="U139" i="7"/>
  <c r="V139" i="7"/>
  <c r="W139" i="7"/>
  <c r="X139" i="7"/>
  <c r="Y139" i="7"/>
  <c r="R140" i="7"/>
  <c r="S140" i="7"/>
  <c r="T140" i="7"/>
  <c r="U140" i="7"/>
  <c r="V140" i="7"/>
  <c r="W140" i="7"/>
  <c r="X140" i="7"/>
  <c r="Y140" i="7"/>
  <c r="R141" i="7"/>
  <c r="S141" i="7"/>
  <c r="T141" i="7"/>
  <c r="U141" i="7"/>
  <c r="V141" i="7"/>
  <c r="W141" i="7"/>
  <c r="X141" i="7"/>
  <c r="Y141" i="7"/>
  <c r="R142" i="7"/>
  <c r="S142" i="7"/>
  <c r="T142" i="7"/>
  <c r="U142" i="7"/>
  <c r="V142" i="7"/>
  <c r="W142" i="7"/>
  <c r="X142" i="7"/>
  <c r="Y142" i="7"/>
  <c r="R143" i="7"/>
  <c r="S143" i="7"/>
  <c r="T143" i="7"/>
  <c r="U143" i="7"/>
  <c r="V143" i="7"/>
  <c r="W143" i="7"/>
  <c r="X143" i="7"/>
  <c r="Y143" i="7"/>
  <c r="R144" i="7"/>
  <c r="S144" i="7"/>
  <c r="T144" i="7"/>
  <c r="U144" i="7"/>
  <c r="V144" i="7"/>
  <c r="W144" i="7"/>
  <c r="X144" i="7"/>
  <c r="Y144" i="7"/>
  <c r="Z144" i="7"/>
  <c r="R145" i="7"/>
  <c r="S145" i="7"/>
  <c r="T145" i="7"/>
  <c r="U145" i="7"/>
  <c r="V145" i="7"/>
  <c r="W145" i="7"/>
  <c r="X145" i="7"/>
  <c r="Y145" i="7"/>
  <c r="Z145" i="7"/>
  <c r="R146" i="7"/>
  <c r="S146" i="7"/>
  <c r="T146" i="7"/>
  <c r="U146" i="7"/>
  <c r="V146" i="7"/>
  <c r="W146" i="7"/>
  <c r="X146" i="7"/>
  <c r="Y146" i="7"/>
  <c r="Z146" i="7"/>
  <c r="R147" i="7"/>
  <c r="S147" i="7"/>
  <c r="T147" i="7"/>
  <c r="U147" i="7"/>
  <c r="V147" i="7"/>
  <c r="W147" i="7"/>
  <c r="X147" i="7"/>
  <c r="Y147" i="7"/>
  <c r="Z147" i="7"/>
  <c r="R148" i="7"/>
  <c r="S148" i="7"/>
  <c r="T148" i="7"/>
  <c r="U148" i="7"/>
  <c r="V148" i="7"/>
  <c r="W148" i="7"/>
  <c r="X148" i="7"/>
  <c r="Y148" i="7"/>
  <c r="Z148" i="7"/>
  <c r="R149" i="7"/>
  <c r="S149" i="7"/>
  <c r="T149" i="7"/>
  <c r="U149" i="7"/>
  <c r="V149" i="7"/>
  <c r="W149" i="7"/>
  <c r="X149" i="7"/>
  <c r="Y149" i="7"/>
  <c r="Z149" i="7"/>
  <c r="R150" i="7"/>
  <c r="S150" i="7"/>
  <c r="T150" i="7"/>
  <c r="U150" i="7"/>
  <c r="V150" i="7"/>
  <c r="W150" i="7"/>
  <c r="X150" i="7"/>
  <c r="Y150" i="7"/>
  <c r="Z150" i="7"/>
  <c r="R151" i="7"/>
  <c r="S151" i="7"/>
  <c r="T151" i="7"/>
  <c r="U151" i="7"/>
  <c r="V151" i="7"/>
  <c r="W151" i="7"/>
  <c r="X151" i="7"/>
  <c r="Y151" i="7"/>
  <c r="Z151" i="7"/>
  <c r="R152" i="7"/>
  <c r="S152" i="7"/>
  <c r="T152" i="7"/>
  <c r="U152" i="7"/>
  <c r="V152" i="7"/>
  <c r="W152" i="7"/>
  <c r="X152" i="7"/>
  <c r="Y152" i="7"/>
  <c r="Z152" i="7"/>
  <c r="R153" i="7"/>
  <c r="S153" i="7"/>
  <c r="T153" i="7"/>
  <c r="U153" i="7"/>
  <c r="V153" i="7"/>
  <c r="W153" i="7"/>
  <c r="X153" i="7"/>
  <c r="Y153" i="7"/>
  <c r="Z153" i="7"/>
  <c r="R154" i="7"/>
  <c r="S154" i="7"/>
  <c r="T154" i="7"/>
  <c r="U154" i="7"/>
  <c r="V154" i="7"/>
  <c r="W154" i="7"/>
  <c r="X154" i="7"/>
  <c r="Y154" i="7"/>
  <c r="Z154" i="7"/>
  <c r="R155" i="7"/>
  <c r="S155" i="7"/>
  <c r="T155" i="7"/>
  <c r="U155" i="7"/>
  <c r="V155" i="7"/>
  <c r="W155" i="7"/>
  <c r="X155" i="7"/>
  <c r="Y155" i="7"/>
  <c r="Z155" i="7"/>
  <c r="R156" i="7"/>
  <c r="S156" i="7"/>
  <c r="T156" i="7"/>
  <c r="U156" i="7"/>
  <c r="V156" i="7"/>
  <c r="W156" i="7"/>
  <c r="X156" i="7"/>
  <c r="Y156" i="7"/>
  <c r="Z156" i="7"/>
  <c r="R157" i="7"/>
  <c r="S157" i="7"/>
  <c r="T157" i="7"/>
  <c r="U157" i="7"/>
  <c r="V157" i="7"/>
  <c r="W157" i="7"/>
  <c r="X157" i="7"/>
  <c r="Y157" i="7"/>
  <c r="Z157" i="7"/>
  <c r="R158" i="7"/>
  <c r="S158" i="7"/>
  <c r="T158" i="7"/>
  <c r="U158" i="7"/>
  <c r="V158" i="7"/>
  <c r="W158" i="7"/>
  <c r="X158" i="7"/>
  <c r="Y158" i="7"/>
  <c r="Z158" i="7"/>
  <c r="R159" i="7"/>
  <c r="S159" i="7"/>
  <c r="T159" i="7"/>
  <c r="U159" i="7"/>
  <c r="V159" i="7"/>
  <c r="W159" i="7"/>
  <c r="X159" i="7"/>
  <c r="Y159" i="7"/>
  <c r="Z159" i="7"/>
  <c r="R160" i="7"/>
  <c r="S160" i="7"/>
  <c r="T160" i="7"/>
  <c r="U160" i="7"/>
  <c r="V160" i="7"/>
  <c r="W160" i="7"/>
  <c r="X160" i="7"/>
  <c r="Y160" i="7"/>
  <c r="Z160" i="7"/>
  <c r="R161" i="7"/>
  <c r="S161" i="7"/>
  <c r="T161" i="7"/>
  <c r="U161" i="7"/>
  <c r="V161" i="7"/>
  <c r="W161" i="7"/>
  <c r="X161" i="7"/>
  <c r="Y161" i="7"/>
  <c r="Z161" i="7"/>
  <c r="Q18" i="2"/>
  <c r="BF17" i="6" s="1"/>
  <c r="J18" i="2"/>
  <c r="AK18" i="6" s="1"/>
  <c r="AI14" i="6"/>
  <c r="AH14" i="6" s="1"/>
  <c r="AI12" i="6"/>
  <c r="AH12" i="6" s="1"/>
  <c r="C16" i="6"/>
  <c r="AW16" i="6" s="1"/>
  <c r="M4" i="7"/>
  <c r="M5" i="7"/>
  <c r="M6" i="7"/>
  <c r="M7" i="7"/>
  <c r="M8" i="7"/>
  <c r="M9" i="7"/>
  <c r="M11" i="7"/>
  <c r="M12" i="7"/>
  <c r="M13" i="7"/>
  <c r="M14" i="7"/>
  <c r="M15" i="7"/>
  <c r="M16" i="7"/>
  <c r="M17" i="7"/>
  <c r="M18" i="7"/>
  <c r="M19" i="7"/>
  <c r="M20" i="7"/>
  <c r="M21" i="7"/>
  <c r="M22" i="7"/>
  <c r="M23" i="7"/>
  <c r="M24" i="7"/>
  <c r="M25" i="7"/>
  <c r="M26" i="7"/>
  <c r="M27" i="7"/>
  <c r="M28" i="7"/>
  <c r="M29" i="7"/>
  <c r="M30" i="7"/>
  <c r="M31" i="7"/>
  <c r="M32" i="7"/>
  <c r="M33" i="7"/>
  <c r="M34" i="7"/>
  <c r="M35" i="7"/>
  <c r="M36" i="7"/>
  <c r="M37" i="7"/>
  <c r="M38" i="7"/>
  <c r="M39" i="7"/>
  <c r="M40" i="7"/>
  <c r="M41" i="7"/>
  <c r="M42" i="7"/>
  <c r="M43" i="7"/>
  <c r="M44" i="7"/>
  <c r="M45" i="7"/>
  <c r="M46" i="7"/>
  <c r="M47" i="7"/>
  <c r="M48" i="7"/>
  <c r="M49" i="7"/>
  <c r="M50" i="7"/>
  <c r="M51" i="7"/>
  <c r="M52" i="7"/>
  <c r="M53" i="7"/>
  <c r="M54" i="7"/>
  <c r="M55" i="7"/>
  <c r="M56" i="7"/>
  <c r="M57" i="7"/>
  <c r="M58" i="7"/>
  <c r="M59" i="7"/>
  <c r="M60" i="7"/>
  <c r="M61" i="7"/>
  <c r="M62" i="7"/>
  <c r="M63" i="7"/>
  <c r="M64" i="7"/>
  <c r="M65" i="7"/>
  <c r="M66" i="7"/>
  <c r="M67" i="7"/>
  <c r="M68" i="7"/>
  <c r="M69" i="7"/>
  <c r="M70" i="7"/>
  <c r="M71" i="7"/>
  <c r="M72" i="7"/>
  <c r="M73" i="7"/>
  <c r="M74" i="7"/>
  <c r="M75" i="7"/>
  <c r="M76" i="7"/>
  <c r="M77" i="7"/>
  <c r="M78" i="7"/>
  <c r="M79" i="7"/>
  <c r="M80" i="7"/>
  <c r="M81" i="7"/>
  <c r="M82" i="7"/>
  <c r="M83" i="7"/>
  <c r="M84" i="7"/>
  <c r="M85" i="7"/>
  <c r="M86" i="7"/>
  <c r="M87" i="7"/>
  <c r="M88" i="7"/>
  <c r="M89" i="7"/>
  <c r="M90" i="7"/>
  <c r="M91" i="7"/>
  <c r="M92" i="7"/>
  <c r="M93" i="7"/>
  <c r="M94" i="7"/>
  <c r="M95" i="7"/>
  <c r="M96" i="7"/>
  <c r="M97" i="7"/>
  <c r="M98" i="7"/>
  <c r="M99" i="7"/>
  <c r="M100" i="7"/>
  <c r="M101" i="7"/>
  <c r="M102" i="7"/>
  <c r="M103" i="7"/>
  <c r="M104" i="7"/>
  <c r="M105" i="7"/>
  <c r="M106" i="7"/>
  <c r="M107" i="7"/>
  <c r="M108" i="7"/>
  <c r="M109" i="7"/>
  <c r="M110" i="7"/>
  <c r="M111" i="7"/>
  <c r="M112" i="7"/>
  <c r="M113" i="7"/>
  <c r="M114" i="7"/>
  <c r="M115" i="7"/>
  <c r="M116" i="7"/>
  <c r="M117" i="7"/>
  <c r="M118" i="7"/>
  <c r="M119" i="7"/>
  <c r="M120" i="7"/>
  <c r="M121" i="7"/>
  <c r="M122" i="7"/>
  <c r="M123" i="7"/>
  <c r="M124" i="7"/>
  <c r="M125" i="7"/>
  <c r="M126" i="7"/>
  <c r="M127" i="7"/>
  <c r="M128" i="7"/>
  <c r="M129" i="7"/>
  <c r="M130" i="7"/>
  <c r="M131" i="7"/>
  <c r="M132" i="7"/>
  <c r="M133" i="7"/>
  <c r="M134" i="7"/>
  <c r="M135" i="7"/>
  <c r="M136" i="7"/>
  <c r="M137" i="7"/>
  <c r="M138" i="7"/>
  <c r="M139" i="7"/>
  <c r="M140" i="7"/>
  <c r="M141" i="7"/>
  <c r="M142" i="7"/>
  <c r="M143" i="7"/>
  <c r="M144" i="7"/>
  <c r="M145" i="7"/>
  <c r="M146" i="7"/>
  <c r="M147" i="7"/>
  <c r="M148" i="7"/>
  <c r="M149" i="7"/>
  <c r="M150" i="7"/>
  <c r="M151" i="7"/>
  <c r="M152" i="7"/>
  <c r="M153" i="7"/>
  <c r="M154" i="7"/>
  <c r="M155" i="7"/>
  <c r="M156" i="7"/>
  <c r="M157" i="7"/>
  <c r="M158" i="7"/>
  <c r="M159" i="7"/>
  <c r="M160" i="7"/>
  <c r="M161" i="7"/>
  <c r="M10" i="7"/>
  <c r="AE35" i="2"/>
  <c r="C25" i="2"/>
  <c r="D25" i="2" s="1"/>
  <c r="J25" i="2"/>
  <c r="K25" i="2" s="1"/>
  <c r="Q25" i="2"/>
  <c r="R25" i="2" s="1"/>
  <c r="AE25" i="2"/>
  <c r="AC25" i="2"/>
  <c r="Q26" i="2"/>
  <c r="X26" i="2" s="1"/>
  <c r="X36" i="2" s="1"/>
  <c r="AE26" i="2"/>
  <c r="AC26" i="2"/>
  <c r="C27" i="2"/>
  <c r="D27" i="2" s="1"/>
  <c r="J27" i="2"/>
  <c r="K27" i="2" s="1"/>
  <c r="Q27" i="2"/>
  <c r="R27" i="2" s="1"/>
  <c r="AE27" i="2"/>
  <c r="AC27" i="2"/>
  <c r="C21" i="2"/>
  <c r="D21" i="2" s="1"/>
  <c r="J21" i="2"/>
  <c r="K21" i="2" s="1"/>
  <c r="Q21" i="2"/>
  <c r="R21" i="2" s="1"/>
  <c r="AE21" i="2"/>
  <c r="AC21" i="2"/>
  <c r="C23" i="2"/>
  <c r="D23" i="2" s="1"/>
  <c r="J23" i="2"/>
  <c r="Q23" i="2"/>
  <c r="R23" i="2" s="1"/>
  <c r="K23" i="2"/>
  <c r="AE23" i="2"/>
  <c r="AE34" i="2"/>
  <c r="AC34" i="2"/>
  <c r="AA34" i="2" s="1"/>
  <c r="AD34" i="2"/>
  <c r="Y34" i="2"/>
  <c r="X34" i="2"/>
  <c r="J36" i="2"/>
  <c r="S24" i="2"/>
  <c r="Q24" i="2"/>
  <c r="L24" i="2"/>
  <c r="J24" i="2"/>
  <c r="E24" i="2"/>
  <c r="C24" i="2"/>
  <c r="E20" i="2"/>
  <c r="S20" i="2"/>
  <c r="Q20" i="2"/>
  <c r="L20" i="2"/>
  <c r="Q17" i="2"/>
  <c r="R17" i="2" s="1"/>
  <c r="Q19" i="2"/>
  <c r="R19" i="2" s="1"/>
  <c r="J17" i="2"/>
  <c r="K17" i="2" s="1"/>
  <c r="J19" i="2"/>
  <c r="K19" i="2" s="1"/>
  <c r="AE17" i="2"/>
  <c r="AC17" i="2"/>
  <c r="AD18" i="2"/>
  <c r="AA18" i="2" s="1"/>
  <c r="AE18" i="2"/>
  <c r="AC18" i="2"/>
  <c r="AD6" i="6"/>
  <c r="AB6" i="6"/>
  <c r="Z6" i="6"/>
  <c r="X6" i="6"/>
  <c r="V6" i="6"/>
  <c r="T6" i="6"/>
  <c r="R6" i="6"/>
  <c r="BD20" i="6"/>
  <c r="AF6" i="6"/>
  <c r="C20" i="6"/>
  <c r="AF4" i="6"/>
  <c r="AD4" i="6"/>
  <c r="AB4" i="6"/>
  <c r="Z4" i="6"/>
  <c r="X4" i="6"/>
  <c r="V4" i="6"/>
  <c r="T4" i="6"/>
  <c r="R4" i="6"/>
  <c r="C19" i="2"/>
  <c r="AD19" i="2" s="1"/>
  <c r="AE19" i="2"/>
  <c r="D19" i="2"/>
  <c r="AF5" i="2"/>
  <c r="X19" i="2"/>
  <c r="AD35" i="2"/>
  <c r="X35" i="2"/>
  <c r="Y35" i="2"/>
  <c r="AI10" i="6" l="1"/>
  <c r="BA10" i="6" s="1"/>
  <c r="AB16" i="6"/>
  <c r="BR16" i="6"/>
  <c r="AU16" i="6"/>
  <c r="BL16" i="6"/>
  <c r="D18" i="2"/>
  <c r="C21" i="6" s="1"/>
  <c r="AY16" i="6"/>
  <c r="V16" i="6"/>
  <c r="BT16" i="6"/>
  <c r="AI11" i="6"/>
  <c r="AH11" i="6" s="1"/>
  <c r="AI15" i="6"/>
  <c r="AH15" i="6" s="1"/>
  <c r="X22" i="2"/>
  <c r="AI20" i="6"/>
  <c r="J20" i="2"/>
  <c r="BA14" i="6"/>
  <c r="AI13" i="6"/>
  <c r="AH13" i="6" s="1"/>
  <c r="Z16" i="6"/>
  <c r="C13" i="6"/>
  <c r="R13" i="6" s="1"/>
  <c r="C18" i="6"/>
  <c r="C11" i="6"/>
  <c r="D22" i="2"/>
  <c r="D20" i="2" s="1"/>
  <c r="C10" i="6"/>
  <c r="BN11" i="6"/>
  <c r="BP11" i="6"/>
  <c r="AF11" i="6"/>
  <c r="BJ11" i="6"/>
  <c r="BT11" i="6"/>
  <c r="AQ11" i="6"/>
  <c r="AO11" i="6"/>
  <c r="AM11" i="6"/>
  <c r="T11" i="6"/>
  <c r="BL11" i="6"/>
  <c r="V11" i="6"/>
  <c r="Z11" i="6"/>
  <c r="AF16" i="6"/>
  <c r="BN16" i="6"/>
  <c r="AS16" i="6"/>
  <c r="AD16" i="6"/>
  <c r="X16" i="6"/>
  <c r="R16" i="6"/>
  <c r="BH16" i="6"/>
  <c r="BP16" i="6"/>
  <c r="AQ16" i="6"/>
  <c r="AO16" i="6"/>
  <c r="AM16" i="6"/>
  <c r="T16" i="6"/>
  <c r="BJ16" i="6"/>
  <c r="X13" i="6"/>
  <c r="AD10" i="6"/>
  <c r="AB18" i="6"/>
  <c r="C20" i="2"/>
  <c r="C15" i="6"/>
  <c r="C12" i="6"/>
  <c r="D26" i="2"/>
  <c r="D36" i="2" s="1"/>
  <c r="E12" i="6"/>
  <c r="E17" i="6"/>
  <c r="AD13" i="6"/>
  <c r="T18" i="6"/>
  <c r="AS13" i="6"/>
  <c r="AU18" i="6"/>
  <c r="AW18" i="6"/>
  <c r="AY18" i="6"/>
  <c r="BH10" i="6"/>
  <c r="BT18" i="6"/>
  <c r="BL18" i="6"/>
  <c r="BR13" i="6"/>
  <c r="AB10" i="6"/>
  <c r="AB13" i="6"/>
  <c r="Z18" i="6"/>
  <c r="R18" i="6"/>
  <c r="AM10" i="6"/>
  <c r="AU13" i="6"/>
  <c r="AW13" i="6"/>
  <c r="AY13" i="6"/>
  <c r="BJ10" i="6"/>
  <c r="BR18" i="6"/>
  <c r="BJ18" i="6"/>
  <c r="BP13" i="6"/>
  <c r="BH13" i="6"/>
  <c r="B18" i="6"/>
  <c r="C17" i="6"/>
  <c r="C14" i="6"/>
  <c r="E13" i="6"/>
  <c r="E15" i="6"/>
  <c r="E11" i="6"/>
  <c r="E16" i="6"/>
  <c r="Y23" i="2"/>
  <c r="X18" i="2"/>
  <c r="Q36" i="2"/>
  <c r="X23" i="2"/>
  <c r="AI16" i="6"/>
  <c r="AI17" i="6"/>
  <c r="AH17" i="6" s="1"/>
  <c r="AI18" i="6"/>
  <c r="Y27" i="2"/>
  <c r="AD23" i="2"/>
  <c r="AD27" i="2"/>
  <c r="BA12" i="6"/>
  <c r="X21" i="2"/>
  <c r="Y21" i="2"/>
  <c r="X27" i="2"/>
  <c r="AD25" i="2"/>
  <c r="AA25" i="2" s="1"/>
  <c r="AD22" i="2"/>
  <c r="BF10" i="6"/>
  <c r="BF14" i="6"/>
  <c r="BF18" i="6"/>
  <c r="AD17" i="2"/>
  <c r="AA17" i="2" s="1"/>
  <c r="AD21" i="2"/>
  <c r="AA21" i="2" s="1"/>
  <c r="R26" i="2"/>
  <c r="BD10" i="6"/>
  <c r="BD12" i="6"/>
  <c r="BD14" i="6"/>
  <c r="BD16" i="6"/>
  <c r="BD18" i="6"/>
  <c r="BF11" i="6"/>
  <c r="BF15" i="6"/>
  <c r="AD26" i="2"/>
  <c r="AA26" i="2" s="1"/>
  <c r="AA36" i="2" s="1"/>
  <c r="BF12" i="6"/>
  <c r="BF16" i="6"/>
  <c r="BD11" i="6"/>
  <c r="BD13" i="6"/>
  <c r="BD15" i="6"/>
  <c r="BD17" i="6"/>
  <c r="R18" i="2"/>
  <c r="BD21" i="6" s="1"/>
  <c r="BF13" i="6"/>
  <c r="K24" i="2"/>
  <c r="K36" i="2"/>
  <c r="L36" i="2"/>
  <c r="Y22" i="2"/>
  <c r="Y17" i="2"/>
  <c r="AK11" i="6"/>
  <c r="AK15" i="6"/>
  <c r="Y19" i="2"/>
  <c r="Y25" i="2"/>
  <c r="BA17" i="6"/>
  <c r="BA13" i="6"/>
  <c r="AH10" i="6"/>
  <c r="K18" i="2"/>
  <c r="AK12" i="6"/>
  <c r="AK16" i="6"/>
  <c r="AK13" i="6"/>
  <c r="AK17" i="6"/>
  <c r="X17" i="2"/>
  <c r="BA11" i="6"/>
  <c r="AK10" i="6"/>
  <c r="AK14" i="6"/>
  <c r="E36" i="2"/>
  <c r="AA27" i="2"/>
  <c r="X25" i="2"/>
  <c r="AA19" i="2"/>
  <c r="D24" i="2"/>
  <c r="Y26" i="2"/>
  <c r="Y36" i="2" s="1"/>
  <c r="B12" i="6"/>
  <c r="B16" i="6"/>
  <c r="E10" i="6"/>
  <c r="E14" i="6"/>
  <c r="Z10" i="6"/>
  <c r="AW10" i="6"/>
  <c r="BT10" i="6"/>
  <c r="AC23" i="2"/>
  <c r="AC35" i="2"/>
  <c r="AA35" i="2" s="1"/>
  <c r="R10" i="6"/>
  <c r="AO10" i="6"/>
  <c r="BL10" i="6"/>
  <c r="X10" i="6"/>
  <c r="AQ10" i="6"/>
  <c r="AY10" i="6"/>
  <c r="BN10" i="6"/>
  <c r="R20" i="2"/>
  <c r="AC22" i="2"/>
  <c r="AA22" i="2" s="1"/>
  <c r="BJ13" i="6" l="1"/>
  <c r="BA15" i="6"/>
  <c r="B11" i="6"/>
  <c r="BH11" i="6"/>
  <c r="AS11" i="6"/>
  <c r="AD11" i="6"/>
  <c r="BR11" i="6"/>
  <c r="AY11" i="6"/>
  <c r="AU11" i="6"/>
  <c r="AB11" i="6"/>
  <c r="X11" i="6"/>
  <c r="AW11" i="6"/>
  <c r="R11" i="6"/>
  <c r="AF18" i="6"/>
  <c r="BP18" i="6"/>
  <c r="AO18" i="6"/>
  <c r="X18" i="6"/>
  <c r="BH18" i="6"/>
  <c r="AQ18" i="6"/>
  <c r="AM18" i="6"/>
  <c r="BN18" i="6"/>
  <c r="AS18" i="6"/>
  <c r="V18" i="6"/>
  <c r="AD18" i="6"/>
  <c r="B10" i="6"/>
  <c r="AS10" i="6"/>
  <c r="T10" i="6"/>
  <c r="AF10" i="6"/>
  <c r="BP10" i="6"/>
  <c r="V10" i="6"/>
  <c r="BR10" i="6"/>
  <c r="AU10" i="6"/>
  <c r="B13" i="6"/>
  <c r="BL13" i="6"/>
  <c r="V13" i="6"/>
  <c r="BT13" i="6"/>
  <c r="AF13" i="6"/>
  <c r="AO13" i="6"/>
  <c r="T13" i="6"/>
  <c r="BN13" i="6"/>
  <c r="AQ13" i="6"/>
  <c r="AM13" i="6"/>
  <c r="Z13" i="6"/>
  <c r="BL15" i="6"/>
  <c r="BT15" i="6"/>
  <c r="AQ15" i="6"/>
  <c r="AO15" i="6"/>
  <c r="AM15" i="6"/>
  <c r="T15" i="6"/>
  <c r="BN15" i="6"/>
  <c r="Z15" i="6"/>
  <c r="V15" i="6"/>
  <c r="BH15" i="6"/>
  <c r="BP15" i="6"/>
  <c r="B15" i="6"/>
  <c r="AF15" i="6"/>
  <c r="BJ15" i="6"/>
  <c r="AS15" i="6"/>
  <c r="AD15" i="6"/>
  <c r="R15" i="6"/>
  <c r="BR15" i="6"/>
  <c r="X15" i="6"/>
  <c r="AY15" i="6"/>
  <c r="AW15" i="6"/>
  <c r="AU15" i="6"/>
  <c r="AB15" i="6"/>
  <c r="AF14" i="6"/>
  <c r="B14" i="6"/>
  <c r="BJ14" i="6"/>
  <c r="BR14" i="6"/>
  <c r="Z14" i="6"/>
  <c r="V14" i="6"/>
  <c r="BL14" i="6"/>
  <c r="BT14" i="6"/>
  <c r="AB14" i="6"/>
  <c r="BN14" i="6"/>
  <c r="AY14" i="6"/>
  <c r="AW14" i="6"/>
  <c r="AU14" i="6"/>
  <c r="AQ14" i="6"/>
  <c r="AO14" i="6"/>
  <c r="AM14" i="6"/>
  <c r="T14" i="6"/>
  <c r="X14" i="6"/>
  <c r="BH14" i="6"/>
  <c r="BP14" i="6"/>
  <c r="AS14" i="6"/>
  <c r="AD14" i="6"/>
  <c r="R14" i="6"/>
  <c r="AA23" i="2"/>
  <c r="B17" i="6"/>
  <c r="BH17" i="6"/>
  <c r="BP17" i="6"/>
  <c r="AY17" i="6"/>
  <c r="AW17" i="6"/>
  <c r="AU17" i="6"/>
  <c r="X17" i="6"/>
  <c r="BJ17" i="6"/>
  <c r="R17" i="6"/>
  <c r="AF17" i="6"/>
  <c r="BR17" i="6"/>
  <c r="AS17" i="6"/>
  <c r="Z17" i="6"/>
  <c r="V17" i="6"/>
  <c r="BL17" i="6"/>
  <c r="AQ17" i="6"/>
  <c r="AO17" i="6"/>
  <c r="AM17" i="6"/>
  <c r="AB17" i="6"/>
  <c r="BN17" i="6"/>
  <c r="AD17" i="6"/>
  <c r="BT17" i="6"/>
  <c r="T17" i="6"/>
  <c r="AF12" i="6"/>
  <c r="BR12" i="6"/>
  <c r="BN12" i="6"/>
  <c r="AS12" i="6"/>
  <c r="AD12" i="6"/>
  <c r="X12" i="6"/>
  <c r="R12" i="6"/>
  <c r="BH12" i="6"/>
  <c r="BP12" i="6"/>
  <c r="AQ12" i="6"/>
  <c r="AO12" i="6"/>
  <c r="AM12" i="6"/>
  <c r="T12" i="6"/>
  <c r="BJ12" i="6"/>
  <c r="BL12" i="6"/>
  <c r="Z12" i="6"/>
  <c r="BT12" i="6"/>
  <c r="AY12" i="6"/>
  <c r="AW12" i="6"/>
  <c r="AU12" i="6"/>
  <c r="AB12" i="6"/>
  <c r="V12" i="6"/>
  <c r="AH18" i="6"/>
  <c r="BA18" i="6"/>
  <c r="AH16" i="6"/>
  <c r="BA16" i="6"/>
  <c r="BV11" i="6"/>
  <c r="BC11" i="6"/>
  <c r="BC16" i="6"/>
  <c r="BV16" i="6"/>
  <c r="S36" i="2"/>
  <c r="R36" i="2"/>
  <c r="BC17" i="6"/>
  <c r="BV17" i="6"/>
  <c r="BV14" i="6"/>
  <c r="BC14" i="6"/>
  <c r="BV15" i="6"/>
  <c r="BC15" i="6"/>
  <c r="BC12" i="6"/>
  <c r="BV12" i="6"/>
  <c r="BC13" i="6"/>
  <c r="BV13" i="6"/>
  <c r="BV18" i="6"/>
  <c r="BC18" i="6"/>
  <c r="BV10" i="6"/>
  <c r="BC10" i="6"/>
  <c r="R24" i="2"/>
  <c r="AI21" i="6"/>
  <c r="Y18" i="2"/>
  <c r="K20" i="2"/>
</calcChain>
</file>

<file path=xl/sharedStrings.xml><?xml version="1.0" encoding="utf-8"?>
<sst xmlns="http://schemas.openxmlformats.org/spreadsheetml/2006/main" count="250" uniqueCount="136">
  <si>
    <t>SQUAT</t>
  </si>
  <si>
    <t>BENCH PRESS</t>
  </si>
  <si>
    <t>DEADLIFT</t>
  </si>
  <si>
    <t>ATTEMPTS FOR THE MEET:</t>
  </si>
  <si>
    <t>FIRST</t>
  </si>
  <si>
    <t>SECOND</t>
  </si>
  <si>
    <t>THIRD</t>
  </si>
  <si>
    <t>ATTEMPTS:</t>
  </si>
  <si>
    <t>NAME</t>
  </si>
  <si>
    <t>ENTER HERE</t>
  </si>
  <si>
    <t>GOALS OF COMPETITION:</t>
  </si>
  <si>
    <t>• the strongest lifters aren't always the best lifters</t>
  </si>
  <si>
    <t>• the winners aren't always the strongest lifters</t>
  </si>
  <si>
    <t>• the winners are often those who make the most attempts</t>
  </si>
  <si>
    <t>last PR:</t>
  </si>
  <si>
    <t>LBS.</t>
  </si>
  <si>
    <t>KGs</t>
  </si>
  <si>
    <t>%1RM</t>
  </si>
  <si>
    <t>TOTAL</t>
  </si>
  <si>
    <t>male</t>
  </si>
  <si>
    <t>wilks coefficients per definition</t>
  </si>
  <si>
    <t>gender</t>
  </si>
  <si>
    <t>row</t>
  </si>
  <si>
    <t>female</t>
  </si>
  <si>
    <t>a</t>
  </si>
  <si>
    <t>b</t>
  </si>
  <si>
    <t>c</t>
  </si>
  <si>
    <t>d</t>
  </si>
  <si>
    <t>e</t>
  </si>
  <si>
    <t>WILKS</t>
  </si>
  <si>
    <t>x</t>
  </si>
  <si>
    <t>COEFF</t>
  </si>
  <si>
    <t>f</t>
  </si>
  <si>
    <t>k</t>
  </si>
  <si>
    <t>Wilks</t>
  </si>
  <si>
    <t>total</t>
  </si>
  <si>
    <t>BN Rack HT:</t>
  </si>
  <si>
    <t>*raw lifters only, pooled from statistical data collected by Matt Gary</t>
  </si>
  <si>
    <t>IMPORTANT STATS</t>
  </si>
  <si>
    <t>WARMING UP:</t>
  </si>
  <si>
    <t>reds (25)</t>
  </si>
  <si>
    <t>blues (20)</t>
  </si>
  <si>
    <t>yellow (15)</t>
  </si>
  <si>
    <t>green (10)</t>
  </si>
  <si>
    <t>white (5)</t>
  </si>
  <si>
    <t>collar</t>
  </si>
  <si>
    <t>(http://www.loadingcharts.com)</t>
  </si>
  <si>
    <t>Wt (kgs)</t>
  </si>
  <si>
    <t>Wt (lbs)</t>
  </si>
  <si>
    <t>C</t>
  </si>
  <si>
    <t>The Strength Athlete, LLC</t>
  </si>
  <si>
    <t>www.thestrengthathlete.com</t>
  </si>
  <si>
    <t>SQUAT:</t>
  </si>
  <si>
    <t>BENCH:</t>
  </si>
  <si>
    <t>reps</t>
  </si>
  <si>
    <t>DEADLIFT:</t>
  </si>
  <si>
    <t>lbs =</t>
  </si>
  <si>
    <t>opener:</t>
  </si>
  <si>
    <t>kgs =</t>
  </si>
  <si>
    <t>enter</t>
  </si>
  <si>
    <t>INFO:</t>
  </si>
  <si>
    <t>XXXXX</t>
  </si>
  <si>
    <r>
      <rPr>
        <b/>
        <i/>
        <sz val="10"/>
        <color theme="0" tint="-0.34998626667073579"/>
        <rFont val="Calibri"/>
        <scheme val="minor"/>
      </rPr>
      <t>• primary:</t>
    </r>
    <r>
      <rPr>
        <i/>
        <sz val="10"/>
        <color theme="0" tint="-0.34998626667073579"/>
        <rFont val="Calibri"/>
        <scheme val="minor"/>
      </rPr>
      <t xml:space="preserve"> lifting the most weight possible</t>
    </r>
  </si>
  <si>
    <r>
      <t>• the best are making, on average,</t>
    </r>
    <r>
      <rPr>
        <b/>
        <i/>
        <sz val="10"/>
        <color theme="0" tint="-0.34998626667073579"/>
        <rFont val="Calibri"/>
        <scheme val="minor"/>
      </rPr>
      <t xml:space="preserve"> 7.4 attempts</t>
    </r>
  </si>
  <si>
    <r>
      <rPr>
        <b/>
        <i/>
        <sz val="10"/>
        <color theme="0" tint="-0.34998626667073579"/>
        <rFont val="Calibri"/>
        <scheme val="minor"/>
      </rPr>
      <t>• secondary:</t>
    </r>
    <r>
      <rPr>
        <i/>
        <sz val="10"/>
        <color theme="0" tint="-0.34998626667073579"/>
        <rFont val="Calibri"/>
        <scheme val="minor"/>
      </rPr>
      <t xml:space="preserve"> achieving PRs</t>
    </r>
  </si>
  <si>
    <r>
      <t xml:space="preserve">• </t>
    </r>
    <r>
      <rPr>
        <b/>
        <i/>
        <sz val="10"/>
        <color theme="0" tint="-0.34998626667073579"/>
        <rFont val="Calibri"/>
        <scheme val="minor"/>
      </rPr>
      <t>19.1%</t>
    </r>
    <r>
      <rPr>
        <i/>
        <sz val="10"/>
        <color theme="0" tint="-0.34998626667073579"/>
        <rFont val="Calibri"/>
        <scheme val="minor"/>
      </rPr>
      <t xml:space="preserve"> miss their squat opener, </t>
    </r>
    <r>
      <rPr>
        <b/>
        <i/>
        <sz val="10"/>
        <color theme="0" tint="-0.34998626667073579"/>
        <rFont val="Calibri"/>
        <scheme val="minor"/>
      </rPr>
      <t>67%</t>
    </r>
    <r>
      <rPr>
        <i/>
        <sz val="10"/>
        <color theme="0" tint="-0.34998626667073579"/>
        <rFont val="Calibri"/>
        <scheme val="minor"/>
      </rPr>
      <t xml:space="preserve"> go on to miss an additional attempt</t>
    </r>
  </si>
  <si>
    <r>
      <rPr>
        <b/>
        <i/>
        <sz val="10"/>
        <color theme="0" tint="-0.34998626667073579"/>
        <rFont val="Calibri"/>
        <scheme val="minor"/>
      </rPr>
      <t>• tertiary</t>
    </r>
    <r>
      <rPr>
        <i/>
        <sz val="10"/>
        <color theme="0" tint="-0.34998626667073579"/>
        <rFont val="Calibri"/>
        <scheme val="minor"/>
      </rPr>
      <t>: winning (or placing in team scoring)</t>
    </r>
  </si>
  <si>
    <r>
      <t xml:space="preserve">• </t>
    </r>
    <r>
      <rPr>
        <b/>
        <i/>
        <sz val="10"/>
        <color theme="0" tint="-0.34998626667073579"/>
        <rFont val="Calibri"/>
        <scheme val="minor"/>
      </rPr>
      <t>15%</t>
    </r>
    <r>
      <rPr>
        <i/>
        <sz val="10"/>
        <color theme="0" tint="-0.34998626667073579"/>
        <rFont val="Calibri"/>
        <scheme val="minor"/>
      </rPr>
      <t xml:space="preserve"> miss their bench opener, </t>
    </r>
    <r>
      <rPr>
        <b/>
        <i/>
        <sz val="10"/>
        <color theme="0" tint="-0.34998626667073579"/>
        <rFont val="Calibri"/>
        <scheme val="minor"/>
      </rPr>
      <t>67%</t>
    </r>
    <r>
      <rPr>
        <i/>
        <sz val="10"/>
        <color theme="0" tint="-0.34998626667073579"/>
        <rFont val="Calibri"/>
        <scheme val="minor"/>
      </rPr>
      <t xml:space="preserve"> go on to miss an additional attempt</t>
    </r>
  </si>
  <si>
    <r>
      <t xml:space="preserve">• </t>
    </r>
    <r>
      <rPr>
        <b/>
        <i/>
        <sz val="10"/>
        <color theme="0" tint="-0.34998626667073579"/>
        <rFont val="Calibri"/>
        <scheme val="minor"/>
      </rPr>
      <t>45.6%</t>
    </r>
    <r>
      <rPr>
        <i/>
        <sz val="10"/>
        <color theme="0" tint="-0.34998626667073579"/>
        <rFont val="Calibri"/>
        <scheme val="minor"/>
      </rPr>
      <t xml:space="preserve"> miss their 3rd squat</t>
    </r>
  </si>
  <si>
    <r>
      <t>• </t>
    </r>
    <r>
      <rPr>
        <b/>
        <i/>
        <sz val="10"/>
        <color theme="0" tint="-0.34998626667073579"/>
        <rFont val="Calibri"/>
        <scheme val="minor"/>
      </rPr>
      <t>50%</t>
    </r>
    <r>
      <rPr>
        <i/>
        <sz val="10"/>
        <color theme="0" tint="-0.34998626667073579"/>
        <rFont val="Calibri"/>
        <scheme val="minor"/>
      </rPr>
      <t xml:space="preserve"> miss their 3rd deadlift</t>
    </r>
  </si>
  <si>
    <t>low</t>
  </si>
  <si>
    <t>high</t>
  </si>
  <si>
    <t>USAPL</t>
  </si>
  <si>
    <t>CARD NO:</t>
  </si>
  <si>
    <t>fed:</t>
  </si>
  <si>
    <t>safe</t>
  </si>
  <si>
    <t>reach</t>
  </si>
  <si>
    <t>Rack HT</t>
  </si>
  <si>
    <r>
      <rPr>
        <b/>
        <i/>
        <sz val="9"/>
        <color theme="0" tint="-0.249977111117893"/>
        <rFont val="Calibri"/>
        <scheme val="minor"/>
      </rPr>
      <t>notes:</t>
    </r>
    <r>
      <rPr>
        <i/>
        <sz val="9"/>
        <color theme="0" tint="-0.249977111117893"/>
        <rFont val="Calibri"/>
        <scheme val="minor"/>
      </rPr>
      <t xml:space="preserve"> Same notes apply about building the total and opening easy. Use the speed and comfort of the second attempt to determine your third. Smaller jumps are more common on bench press</t>
    </r>
  </si>
  <si>
    <r>
      <rPr>
        <b/>
        <i/>
        <sz val="9"/>
        <color theme="0" tint="-0.249977111117893"/>
        <rFont val="Calibri"/>
        <scheme val="minor"/>
      </rPr>
      <t>notes:</t>
    </r>
    <r>
      <rPr>
        <i/>
        <sz val="9"/>
        <color theme="0" tint="-0.249977111117893"/>
        <rFont val="Calibri"/>
        <scheme val="minor"/>
      </rPr>
      <t xml:space="preserve"> Open light enough to save energy and stay in the meet. Make the second attempt wise to set yourself up for a big third attempt. If needed, third attempt changes allow you to jockey for final placing, only if a win is in the cards</t>
    </r>
  </si>
  <si>
    <t xml:space="preserve">athlete notes: </t>
  </si>
  <si>
    <t>HEIGHT</t>
  </si>
  <si>
    <t>difference:</t>
  </si>
  <si>
    <t>BEST IN MEET</t>
  </si>
  <si>
    <r>
      <rPr>
        <b/>
        <i/>
        <sz val="9"/>
        <color theme="0" tint="-0.249977111117893"/>
        <rFont val="Calibri"/>
        <scheme val="minor"/>
      </rPr>
      <t>notes:</t>
    </r>
    <r>
      <rPr>
        <i/>
        <sz val="9"/>
        <color theme="0" tint="-0.249977111117893"/>
        <rFont val="Calibri"/>
        <scheme val="minor"/>
      </rPr>
      <t xml:space="preserve"> Make your opener easy. First attempt should be roughly an easy triple or RPE 8.5. Second attempt builds confidence and should be a virtual lock. Third attempt is dependent on the second attempt's speed and decisiveness. If second attempt goes well, go for a small PR on your third. If you smoked your second, maybe take a bigger jump. </t>
    </r>
  </si>
  <si>
    <t>projected increase:</t>
  </si>
  <si>
    <t>projected:</t>
  </si>
  <si>
    <t xml:space="preserve"> prev best:</t>
  </si>
  <si>
    <t>ATTEMPT</t>
  </si>
  <si>
    <t>3 WARMUP</t>
  </si>
  <si>
    <t>4 WARMUP</t>
  </si>
  <si>
    <t>5 WARMUP</t>
  </si>
  <si>
    <t>6 WARMUP</t>
  </si>
  <si>
    <t>7 WARMUP</t>
  </si>
  <si>
    <t>8 WARMUP</t>
  </si>
  <si>
    <t>2 WARMUP</t>
  </si>
  <si>
    <t>1 WARMUP</t>
  </si>
  <si>
    <t>9 WARMUP</t>
  </si>
  <si>
    <t># WARMUPS</t>
  </si>
  <si>
    <t>1st warmup</t>
  </si>
  <si>
    <t>2nd warmup</t>
  </si>
  <si>
    <t>3rd warmup</t>
  </si>
  <si>
    <t>4th warmup</t>
  </si>
  <si>
    <t>5th warmup</t>
  </si>
  <si>
    <t>6th warmup</t>
  </si>
  <si>
    <t>7th warmup</t>
  </si>
  <si>
    <t>8th warmup</t>
  </si>
  <si>
    <t>9th warmup</t>
  </si>
  <si>
    <t>Safety:</t>
  </si>
  <si>
    <r>
      <rPr>
        <b/>
        <sz val="11"/>
        <color theme="0" tint="-0.499984740745262"/>
        <rFont val="Calibri"/>
        <scheme val="minor"/>
      </rPr>
      <t>NOTE:</t>
    </r>
    <r>
      <rPr>
        <sz val="11"/>
        <color theme="0" tint="-0.499984740745262"/>
        <rFont val="Calibri"/>
        <scheme val="minor"/>
      </rPr>
      <t xml:space="preserve"> </t>
    </r>
    <r>
      <rPr>
        <i/>
        <sz val="11"/>
        <color theme="0" tint="-0.499984740745262"/>
        <rFont val="Calibri"/>
        <scheme val="minor"/>
      </rPr>
      <t xml:space="preserve">Warmups are determined based on how we would typically warm up for your opener. However, in many cases these can be off both in number of reps, loads chosen, or progressive jumps. Feel free to adjust based on your own preferences…this is simply a guide. We feel like its still a great guide, but only a guide. </t>
    </r>
  </si>
  <si>
    <t>CONVERSION TOOL:</t>
  </si>
  <si>
    <t>RECORDS</t>
  </si>
  <si>
    <t>AGE DIV</t>
  </si>
  <si>
    <t>WT DIV</t>
  </si>
  <si>
    <t>TYPE</t>
  </si>
  <si>
    <t>CHOOSE LEVEL</t>
  </si>
  <si>
    <t>ENTER</t>
  </si>
  <si>
    <t>weight: (kgs)</t>
  </si>
  <si>
    <t>kgs</t>
  </si>
  <si>
    <t>note:</t>
  </si>
  <si>
    <t>straps</t>
  </si>
  <si>
    <t>CURRENT 1RMs</t>
  </si>
  <si>
    <t>@9.5</t>
  </si>
  <si>
    <t>INSTRUCTIONS</t>
  </si>
  <si>
    <t>begin here</t>
  </si>
  <si>
    <t>BEGIN</t>
  </si>
  <si>
    <t>If you'd like, donate at www.thestrengthathlete.com/freebies</t>
  </si>
  <si>
    <t>The primary goal is to lift the most weight possible. That means being wise with attempt selection. This sheet will help you choose smart attempts and perform as best as possible on the day of the competition.</t>
  </si>
  <si>
    <r>
      <rPr>
        <b/>
        <i/>
        <sz val="10"/>
        <color theme="1"/>
        <rFont val="Calibri"/>
      </rPr>
      <t>Enter</t>
    </r>
    <r>
      <rPr>
        <i/>
        <sz val="10"/>
        <color theme="1"/>
        <rFont val="Calibri"/>
      </rPr>
      <t xml:space="preserve"> your past meet best performances, gym PRs, any relevant records, and notes in the spaces provided.</t>
    </r>
  </si>
  <si>
    <r>
      <rPr>
        <b/>
        <i/>
        <sz val="10"/>
        <color theme="1"/>
        <rFont val="Calibri"/>
      </rPr>
      <t xml:space="preserve">Enter </t>
    </r>
    <r>
      <rPr>
        <i/>
        <sz val="10"/>
        <color theme="1"/>
        <rFont val="Calibri"/>
      </rPr>
      <t>your current/projected 1RMs, or a number you feel represents your third attempt for squat, bench press, and deadlift on the ATTEMPTS sheet. This will automatically populate the attempts for you. Don't be stupid and populate unrealistic numbers</t>
    </r>
  </si>
  <si>
    <t>•</t>
  </si>
  <si>
    <t>The WARMUPS tab gives you an approximation of how to warm up for your opener. Refine as necessary based on your own preference</t>
  </si>
  <si>
    <t>There is a conversion tool for use from pounds to kilograms at the top of the WARMUPS tab. Enter your load in pounds or kilograms for accurate conversion.</t>
  </si>
  <si>
    <r>
      <rPr>
        <b/>
        <i/>
        <sz val="10"/>
        <color theme="1"/>
        <rFont val="Calibri"/>
      </rPr>
      <t>Read</t>
    </r>
    <r>
      <rPr>
        <i/>
        <sz val="10"/>
        <color theme="1"/>
        <rFont val="Calibri"/>
      </rPr>
      <t xml:space="preserve"> through the features  below, and if you have further questions, don't hesitate to ask via email to </t>
    </r>
    <r>
      <rPr>
        <b/>
        <i/>
        <sz val="10"/>
        <color theme="1"/>
        <rFont val="Calibri"/>
      </rPr>
      <t>hani@thestrengthathlete.com or info@thestrengthathlete.com</t>
    </r>
  </si>
  <si>
    <r>
      <rPr>
        <b/>
        <i/>
        <sz val="10"/>
        <color theme="1"/>
        <rFont val="Calibri"/>
      </rPr>
      <t>These</t>
    </r>
    <r>
      <rPr>
        <i/>
        <sz val="10"/>
        <color theme="1"/>
        <rFont val="Calibri"/>
      </rPr>
      <t xml:space="preserve"> attempts may need refining. Use the percentages to the right of the attempts to adjust them, based on your own needs. We suggest small adjustments, not radical changes, if needed. Modify so that the d</t>
    </r>
    <r>
      <rPr>
        <b/>
        <i/>
        <sz val="10"/>
        <color theme="1"/>
        <rFont val="Calibri"/>
      </rPr>
      <t xml:space="preserve">ifference </t>
    </r>
    <r>
      <rPr>
        <i/>
        <sz val="10"/>
        <color theme="1"/>
        <rFont val="Calibri"/>
      </rPr>
      <t xml:space="preserve">between the first and second attempts are larger or equal to the difference between the second and third attempts. </t>
    </r>
  </si>
  <si>
    <t>ATTEMPT SELECTION - KGS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</si>
</sst>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00"/>
  </numFmts>
  <fonts count="92">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sz val="11"/>
      <color theme="1"/>
      <name val="Calibri"/>
      <scheme val="minor"/>
    </font>
    <font>
      <sz val="11"/>
      <name val="Calibri"/>
      <scheme val="minor"/>
    </font>
    <font>
      <b/>
      <sz val="11"/>
      <color theme="1"/>
      <name val="Calibri"/>
      <scheme val="minor"/>
    </font>
    <font>
      <b/>
      <sz val="11"/>
      <color theme="0"/>
      <name val="Calibri"/>
      <scheme val="minor"/>
    </font>
    <font>
      <b/>
      <sz val="12"/>
      <color theme="0"/>
      <name val="Calibri"/>
      <family val="2"/>
      <scheme val="minor"/>
    </font>
    <font>
      <b/>
      <sz val="12"/>
      <color theme="1"/>
      <name val="Calibri"/>
      <family val="2"/>
      <scheme val="minor"/>
    </font>
    <font>
      <b/>
      <shadow/>
      <sz val="11"/>
      <color theme="0"/>
      <name val="Calibri"/>
      <scheme val="minor"/>
    </font>
    <font>
      <i/>
      <sz val="11"/>
      <color theme="1"/>
      <name val="Calibri"/>
      <scheme val="minor"/>
    </font>
    <font>
      <sz val="11"/>
      <color rgb="FF000000"/>
      <name val="Calibri"/>
      <scheme val="minor"/>
    </font>
    <font>
      <i/>
      <sz val="11"/>
      <color rgb="FF000000"/>
      <name val="Calibri"/>
      <scheme val="minor"/>
    </font>
    <font>
      <sz val="12"/>
      <color rgb="FF000000"/>
      <name val="Calibri"/>
      <family val="2"/>
      <scheme val="minor"/>
    </font>
    <font>
      <b/>
      <sz val="11"/>
      <color rgb="FF000000"/>
      <name val="Calibri"/>
      <scheme val="minor"/>
    </font>
    <font>
      <sz val="8"/>
      <name val="Calibri"/>
      <family val="2"/>
      <scheme val="minor"/>
    </font>
    <font>
      <b/>
      <sz val="11"/>
      <name val="Calibri"/>
      <scheme val="minor"/>
    </font>
    <font>
      <b/>
      <sz val="12"/>
      <name val="Calibri"/>
      <scheme val="minor"/>
    </font>
    <font>
      <i/>
      <sz val="11"/>
      <name val="Calibri"/>
      <scheme val="minor"/>
    </font>
    <font>
      <sz val="12"/>
      <name val="Calibri"/>
      <family val="2"/>
      <scheme val="minor"/>
    </font>
    <font>
      <b/>
      <i/>
      <sz val="11"/>
      <name val="Calibri"/>
      <scheme val="minor"/>
    </font>
    <font>
      <i/>
      <sz val="9"/>
      <color theme="1"/>
      <name val="Calibri"/>
      <scheme val="minor"/>
    </font>
    <font>
      <sz val="10"/>
      <name val="Calibri"/>
      <scheme val="minor"/>
    </font>
    <font>
      <sz val="10"/>
      <color theme="1"/>
      <name val="Calibri"/>
      <scheme val="minor"/>
    </font>
    <font>
      <b/>
      <sz val="10"/>
      <name val="Calibri"/>
      <scheme val="minor"/>
    </font>
    <font>
      <b/>
      <sz val="10"/>
      <color theme="1"/>
      <name val="Calibri"/>
      <scheme val="minor"/>
    </font>
    <font>
      <u/>
      <sz val="10"/>
      <color theme="10"/>
      <name val="Arial"/>
      <family val="2"/>
    </font>
    <font>
      <u/>
      <sz val="10"/>
      <color indexed="12"/>
      <name val="Arial"/>
      <family val="2"/>
    </font>
    <font>
      <sz val="8"/>
      <name val="Arial Narrow"/>
      <family val="2"/>
    </font>
    <font>
      <b/>
      <sz val="14"/>
      <name val="Calibri"/>
      <scheme val="minor"/>
    </font>
    <font>
      <b/>
      <sz val="14"/>
      <color theme="1"/>
      <name val="Calibri"/>
      <scheme val="minor"/>
    </font>
    <font>
      <i/>
      <sz val="14"/>
      <name val="Calibri"/>
      <scheme val="minor"/>
    </font>
    <font>
      <sz val="14"/>
      <color theme="1"/>
      <name val="Calibri"/>
      <scheme val="minor"/>
    </font>
    <font>
      <sz val="9"/>
      <color theme="1"/>
      <name val="Calibri"/>
      <scheme val="minor"/>
    </font>
    <font>
      <b/>
      <sz val="11"/>
      <color theme="5" tint="-0.249977111117893"/>
      <name val="Calibri"/>
      <scheme val="minor"/>
    </font>
    <font>
      <sz val="11"/>
      <color rgb="FF3F3F76"/>
      <name val="Calibri"/>
      <family val="2"/>
      <scheme val="minor"/>
    </font>
    <font>
      <i/>
      <sz val="10"/>
      <color theme="1"/>
      <name val="Calibri"/>
      <scheme val="minor"/>
    </font>
    <font>
      <sz val="9"/>
      <color rgb="FFFF0000"/>
      <name val="Calibri"/>
      <scheme val="minor"/>
    </font>
    <font>
      <sz val="9"/>
      <color theme="3"/>
      <name val="Calibri"/>
      <scheme val="minor"/>
    </font>
    <font>
      <sz val="9"/>
      <color rgb="FF008000"/>
      <name val="Calibri"/>
      <scheme val="minor"/>
    </font>
    <font>
      <i/>
      <sz val="10"/>
      <color theme="5" tint="-0.249977111117893"/>
      <name val="Calibri"/>
      <scheme val="minor"/>
    </font>
    <font>
      <sz val="10"/>
      <color theme="5" tint="-0.249977111117893"/>
      <name val="Calibri"/>
      <scheme val="minor"/>
    </font>
    <font>
      <sz val="8"/>
      <color theme="1"/>
      <name val="Calibri"/>
      <scheme val="minor"/>
    </font>
    <font>
      <sz val="9"/>
      <name val="Calibri"/>
      <scheme val="minor"/>
    </font>
    <font>
      <b/>
      <sz val="14"/>
      <color theme="5" tint="-0.249977111117893"/>
      <name val="Calibri"/>
      <scheme val="minor"/>
    </font>
    <font>
      <b/>
      <sz val="9"/>
      <color theme="1"/>
      <name val="Calibri"/>
      <scheme val="minor"/>
    </font>
    <font>
      <u/>
      <sz val="9"/>
      <color theme="10"/>
      <name val="Calibri"/>
      <scheme val="minor"/>
    </font>
    <font>
      <sz val="10"/>
      <name val="Arial"/>
    </font>
    <font>
      <i/>
      <sz val="10"/>
      <name val="Calibri"/>
      <scheme val="minor"/>
    </font>
    <font>
      <i/>
      <sz val="10"/>
      <color rgb="FFFF0000"/>
      <name val="Calibri"/>
      <scheme val="minor"/>
    </font>
    <font>
      <b/>
      <i/>
      <sz val="12"/>
      <color theme="5" tint="-0.249977111117893"/>
      <name val="Calibri"/>
      <scheme val="minor"/>
    </font>
    <font>
      <b/>
      <i/>
      <sz val="11"/>
      <color theme="0" tint="-0.499984740745262"/>
      <name val="Calibri"/>
      <scheme val="minor"/>
    </font>
    <font>
      <i/>
      <sz val="11"/>
      <color theme="0" tint="-0.499984740745262"/>
      <name val="Calibri"/>
      <scheme val="minor"/>
    </font>
    <font>
      <b/>
      <i/>
      <sz val="11"/>
      <color theme="0" tint="-0.34998626667073579"/>
      <name val="Calibri"/>
      <scheme val="minor"/>
    </font>
    <font>
      <b/>
      <sz val="16"/>
      <name val="Calibri"/>
      <scheme val="minor"/>
    </font>
    <font>
      <sz val="10"/>
      <color theme="0" tint="-0.34998626667073579"/>
      <name val="Calibri"/>
      <scheme val="minor"/>
    </font>
    <font>
      <sz val="12"/>
      <color theme="0" tint="-0.34998626667073579"/>
      <name val="Calibri"/>
      <scheme val="minor"/>
    </font>
    <font>
      <sz val="11"/>
      <color theme="0" tint="-0.34998626667073579"/>
      <name val="Calibri"/>
      <scheme val="minor"/>
    </font>
    <font>
      <i/>
      <sz val="9"/>
      <color theme="0" tint="-0.34998626667073579"/>
      <name val="Calibri"/>
      <scheme val="minor"/>
    </font>
    <font>
      <i/>
      <sz val="10"/>
      <color theme="0" tint="-0.34998626667073579"/>
      <name val="Calibri"/>
      <scheme val="minor"/>
    </font>
    <font>
      <b/>
      <i/>
      <sz val="10"/>
      <color theme="0" tint="-0.34998626667073579"/>
      <name val="Calibri"/>
      <scheme val="minor"/>
    </font>
    <font>
      <i/>
      <sz val="12"/>
      <color theme="0" tint="-0.34998626667073579"/>
      <name val="Calibri"/>
      <scheme val="minor"/>
    </font>
    <font>
      <b/>
      <i/>
      <sz val="9"/>
      <color theme="0" tint="-0.34998626667073579"/>
      <name val="Calibri"/>
      <scheme val="minor"/>
    </font>
    <font>
      <i/>
      <sz val="9"/>
      <color theme="0" tint="-0.249977111117893"/>
      <name val="Calibri"/>
      <scheme val="minor"/>
    </font>
    <font>
      <i/>
      <sz val="10"/>
      <color theme="1" tint="0.249977111117893"/>
      <name val="Calibri"/>
      <scheme val="minor"/>
    </font>
    <font>
      <b/>
      <sz val="14"/>
      <color theme="1" tint="0.14999847407452621"/>
      <name val="Calibri"/>
      <scheme val="minor"/>
    </font>
    <font>
      <i/>
      <sz val="9"/>
      <color theme="5" tint="0.39997558519241921"/>
      <name val="Calibri"/>
      <scheme val="minor"/>
    </font>
    <font>
      <i/>
      <sz val="9"/>
      <color theme="5"/>
      <name val="Calibri"/>
      <scheme val="minor"/>
    </font>
    <font>
      <b/>
      <sz val="10"/>
      <color theme="5" tint="-0.249977111117893"/>
      <name val="Calibri"/>
      <scheme val="minor"/>
    </font>
    <font>
      <b/>
      <i/>
      <sz val="9"/>
      <color theme="0" tint="-0.249977111117893"/>
      <name val="Calibri"/>
      <scheme val="minor"/>
    </font>
    <font>
      <i/>
      <sz val="9"/>
      <color theme="0" tint="-0.14999847407452621"/>
      <name val="Calibri"/>
      <scheme val="minor"/>
    </font>
    <font>
      <b/>
      <sz val="12"/>
      <color theme="1" tint="0.249977111117893"/>
      <name val="Calibri"/>
      <scheme val="minor"/>
    </font>
    <font>
      <i/>
      <sz val="9"/>
      <color theme="1" tint="0.249977111117893"/>
      <name val="Calibri"/>
      <scheme val="minor"/>
    </font>
    <font>
      <sz val="11"/>
      <color theme="0" tint="-0.499984740745262"/>
      <name val="Calibri"/>
      <scheme val="minor"/>
    </font>
    <font>
      <b/>
      <sz val="11"/>
      <color theme="0" tint="-0.499984740745262"/>
      <name val="Calibri"/>
      <scheme val="minor"/>
    </font>
    <font>
      <b/>
      <i/>
      <sz val="9"/>
      <color theme="0" tint="-0.14999847407452621"/>
      <name val="Calibri"/>
      <scheme val="minor"/>
    </font>
    <font>
      <b/>
      <sz val="9"/>
      <name val="Calibri"/>
      <scheme val="minor"/>
    </font>
    <font>
      <sz val="12"/>
      <color theme="1"/>
      <name val="Calibri"/>
    </font>
    <font>
      <sz val="11"/>
      <color theme="1"/>
      <name val="Calibri"/>
    </font>
    <font>
      <b/>
      <sz val="11"/>
      <color theme="1"/>
      <name val="Calibri"/>
    </font>
    <font>
      <b/>
      <sz val="16"/>
      <color theme="1"/>
      <name val="Calibri"/>
    </font>
    <font>
      <i/>
      <sz val="12"/>
      <color theme="0" tint="-0.499984740745262"/>
      <name val="Calibri"/>
    </font>
    <font>
      <i/>
      <sz val="14"/>
      <color theme="0" tint="-0.499984740745262"/>
      <name val="Calibri"/>
    </font>
    <font>
      <b/>
      <sz val="12"/>
      <color theme="0"/>
      <name val="Calibri"/>
    </font>
    <font>
      <i/>
      <sz val="12"/>
      <color theme="1"/>
      <name val="Calibri"/>
    </font>
    <font>
      <i/>
      <sz val="10"/>
      <color theme="1"/>
      <name val="Calibri"/>
    </font>
    <font>
      <b/>
      <i/>
      <sz val="10"/>
      <color theme="1"/>
      <name val="Calibri"/>
    </font>
    <font>
      <b/>
      <sz val="10"/>
      <color theme="1"/>
      <name val="Calibri"/>
    </font>
  </fonts>
  <fills count="19">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rgb="FFFFFF66"/>
        <bgColor indexed="64"/>
      </patternFill>
    </fill>
    <fill>
      <patternFill patternType="solid">
        <fgColor rgb="FFFFF9D9"/>
        <bgColor indexed="64"/>
      </patternFill>
    </fill>
    <fill>
      <patternFill patternType="solid">
        <fgColor rgb="FFFFCC99"/>
      </patternFill>
    </fill>
    <fill>
      <patternFill patternType="solid">
        <fgColor rgb="FFFF0000"/>
        <bgColor indexed="64"/>
      </patternFill>
    </fill>
    <fill>
      <patternFill patternType="solid">
        <fgColor theme="4" tint="-0.249977111117893"/>
        <bgColor indexed="64"/>
      </patternFill>
    </fill>
    <fill>
      <patternFill patternType="solid">
        <fgColor rgb="FFFFFF00"/>
        <bgColor indexed="64"/>
      </patternFill>
    </fill>
    <fill>
      <patternFill patternType="solid">
        <fgColor rgb="FF00800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0" tint="-0.499984740745262"/>
        <bgColor indexed="64"/>
      </patternFill>
    </fill>
    <fill>
      <patternFill patternType="solid">
        <fgColor theme="5" tint="-0.249977111117893"/>
        <bgColor indexed="64"/>
      </patternFill>
    </fill>
    <fill>
      <patternFill patternType="solid">
        <fgColor rgb="FFFFFBDA"/>
        <bgColor indexed="64"/>
      </patternFill>
    </fill>
  </fills>
  <borders count="43">
    <border>
      <left/>
      <right/>
      <top/>
      <bottom/>
      <diagonal/>
    </border>
    <border>
      <left/>
      <right style="thin">
        <color indexed="9"/>
      </right>
      <top/>
      <bottom/>
      <diagonal/>
    </border>
    <border>
      <left style="thin">
        <color indexed="9"/>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hair">
        <color auto="1"/>
      </left>
      <right style="hair">
        <color auto="1"/>
      </right>
      <top style="hair">
        <color auto="1"/>
      </top>
      <bottom style="hair">
        <color auto="1"/>
      </bottom>
      <diagonal/>
    </border>
    <border>
      <left/>
      <right style="medium">
        <color auto="1"/>
      </right>
      <top/>
      <bottom style="medium">
        <color auto="1"/>
      </bottom>
      <diagonal/>
    </border>
    <border>
      <left/>
      <right/>
      <top style="medium">
        <color auto="1"/>
      </top>
      <bottom style="medium">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medium">
        <color auto="1"/>
      </left>
      <right style="hair">
        <color auto="1"/>
      </right>
      <top/>
      <bottom style="medium">
        <color auto="1"/>
      </bottom>
      <diagonal/>
    </border>
    <border>
      <left style="medium">
        <color auto="1"/>
      </left>
      <right style="hair">
        <color auto="1"/>
      </right>
      <top/>
      <bottom style="hair">
        <color auto="1"/>
      </bottom>
      <diagonal/>
    </border>
    <border>
      <left/>
      <right style="medium">
        <color auto="1"/>
      </right>
      <top/>
      <bottom style="hair">
        <color auto="1"/>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right/>
      <top/>
      <bottom style="thick">
        <color theme="5" tint="-0.249977111117893"/>
      </bottom>
      <diagonal/>
    </border>
    <border>
      <left style="hair">
        <color theme="1" tint="0.499984740745262"/>
      </left>
      <right/>
      <top style="hair">
        <color theme="1" tint="0.499984740745262"/>
      </top>
      <bottom/>
      <diagonal/>
    </border>
    <border>
      <left/>
      <right/>
      <top style="hair">
        <color theme="1" tint="0.499984740745262"/>
      </top>
      <bottom/>
      <diagonal/>
    </border>
    <border>
      <left/>
      <right style="hair">
        <color theme="1" tint="0.499984740745262"/>
      </right>
      <top style="hair">
        <color theme="1" tint="0.499984740745262"/>
      </top>
      <bottom/>
      <diagonal/>
    </border>
    <border>
      <left style="hair">
        <color theme="1" tint="0.499984740745262"/>
      </left>
      <right/>
      <top/>
      <bottom/>
      <diagonal/>
    </border>
    <border>
      <left/>
      <right style="hair">
        <color theme="1" tint="0.499984740745262"/>
      </right>
      <top/>
      <bottom/>
      <diagonal/>
    </border>
    <border>
      <left style="hair">
        <color theme="1" tint="0.499984740745262"/>
      </left>
      <right/>
      <top/>
      <bottom style="hair">
        <color theme="1" tint="0.499984740745262"/>
      </bottom>
      <diagonal/>
    </border>
    <border>
      <left/>
      <right/>
      <top/>
      <bottom style="hair">
        <color theme="1" tint="0.499984740745262"/>
      </bottom>
      <diagonal/>
    </border>
    <border>
      <left/>
      <right style="hair">
        <color theme="1" tint="0.499984740745262"/>
      </right>
      <top/>
      <bottom style="hair">
        <color theme="1" tint="0.499984740745262"/>
      </bottom>
      <diagonal/>
    </border>
    <border>
      <left/>
      <right/>
      <top style="thick">
        <color theme="5" tint="0.39997558519241921"/>
      </top>
      <bottom/>
      <diagonal/>
    </border>
    <border>
      <left/>
      <right style="hair">
        <color theme="5" tint="-0.249977111117893"/>
      </right>
      <top/>
      <bottom style="hair">
        <color theme="5" tint="-0.249977111117893"/>
      </bottom>
      <diagonal/>
    </border>
    <border>
      <left style="hair">
        <color theme="5" tint="-0.249977111117893"/>
      </left>
      <right style="hair">
        <color theme="5" tint="-0.249977111117893"/>
      </right>
      <top/>
      <bottom style="hair">
        <color theme="5" tint="-0.249977111117893"/>
      </bottom>
      <diagonal/>
    </border>
    <border>
      <left/>
      <right style="hair">
        <color theme="5" tint="-0.249977111117893"/>
      </right>
      <top style="hair">
        <color theme="5" tint="-0.249977111117893"/>
      </top>
      <bottom style="hair">
        <color theme="5" tint="-0.249977111117893"/>
      </bottom>
      <diagonal/>
    </border>
    <border>
      <left style="hair">
        <color theme="5" tint="-0.249977111117893"/>
      </left>
      <right style="hair">
        <color theme="5" tint="-0.249977111117893"/>
      </right>
      <top style="hair">
        <color theme="5" tint="-0.249977111117893"/>
      </top>
      <bottom style="hair">
        <color theme="5" tint="-0.249977111117893"/>
      </bottom>
      <diagonal/>
    </border>
    <border>
      <left/>
      <right/>
      <top/>
      <bottom style="medium">
        <color theme="5" tint="-0.249977111117893"/>
      </bottom>
      <diagonal/>
    </border>
    <border>
      <left/>
      <right style="hair">
        <color theme="5" tint="-0.24994659260841701"/>
      </right>
      <top/>
      <bottom/>
      <diagonal/>
    </border>
    <border>
      <left style="hair">
        <color theme="5" tint="-0.24994659260841701"/>
      </left>
      <right/>
      <top/>
      <bottom/>
      <diagonal/>
    </border>
    <border>
      <left style="hair">
        <color theme="5" tint="-0.24994659260841701"/>
      </left>
      <right/>
      <top style="hair">
        <color theme="5" tint="-0.24994659260841701"/>
      </top>
      <bottom style="hair">
        <color theme="5" tint="-0.24994659260841701"/>
      </bottom>
      <diagonal/>
    </border>
    <border>
      <left/>
      <right/>
      <top style="hair">
        <color theme="5" tint="-0.24994659260841701"/>
      </top>
      <bottom style="hair">
        <color theme="5" tint="-0.24994659260841701"/>
      </bottom>
      <diagonal/>
    </border>
    <border>
      <left style="hair">
        <color theme="5" tint="-0.24994659260841701"/>
      </left>
      <right/>
      <top/>
      <bottom style="hair">
        <color theme="5" tint="-0.24994659260841701"/>
      </bottom>
      <diagonal/>
    </border>
    <border>
      <left/>
      <right/>
      <top/>
      <bottom style="hair">
        <color theme="5" tint="-0.24994659260841701"/>
      </bottom>
      <diagonal/>
    </border>
  </borders>
  <cellStyleXfs count="566">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7" fillId="0" borderId="0"/>
    <xf numFmtId="0" fontId="4"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alignment vertical="top"/>
      <protection locked="0"/>
    </xf>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49" fontId="32" fillId="0" borderId="0" applyFill="0" applyBorder="0" applyProtection="0">
      <alignment horizontal="left" vertical="top" wrapText="1"/>
    </xf>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39" fillId="6" borderId="4" applyNumberFormat="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51" fillId="0" borderId="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9" fontId="2" fillId="0" borderId="0" applyFon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1" fillId="0" borderId="0"/>
  </cellStyleXfs>
  <cellXfs count="395">
    <xf numFmtId="0" fontId="0" fillId="0" borderId="0" xfId="0"/>
    <xf numFmtId="0" fontId="0" fillId="2" borderId="0" xfId="0" applyFill="1"/>
    <xf numFmtId="0" fontId="0" fillId="0" borderId="0" xfId="0" applyAlignment="1">
      <alignment wrapText="1"/>
    </xf>
    <xf numFmtId="0" fontId="0" fillId="2" borderId="0" xfId="0" applyFill="1" applyBorder="1"/>
    <xf numFmtId="0" fontId="0" fillId="2" borderId="0" xfId="0" applyFill="1" applyBorder="1" applyAlignment="1">
      <alignment wrapText="1"/>
    </xf>
    <xf numFmtId="0" fontId="7" fillId="2" borderId="0" xfId="0" applyFont="1" applyFill="1"/>
    <xf numFmtId="0" fontId="8" fillId="2" borderId="0" xfId="0" applyFont="1" applyFill="1" applyBorder="1" applyAlignment="1">
      <alignment vertical="top" wrapText="1"/>
    </xf>
    <xf numFmtId="0" fontId="0" fillId="0" borderId="0" xfId="0" applyFill="1"/>
    <xf numFmtId="0" fontId="8" fillId="0" borderId="0" xfId="0" applyFont="1" applyFill="1" applyBorder="1" applyAlignment="1">
      <alignment horizontal="left"/>
    </xf>
    <xf numFmtId="0" fontId="7" fillId="2" borderId="0" xfId="0" applyFont="1" applyFill="1" applyBorder="1" applyAlignment="1">
      <alignment horizontal="center"/>
    </xf>
    <xf numFmtId="0" fontId="7" fillId="0" borderId="0" xfId="0" applyFont="1" applyFill="1"/>
    <xf numFmtId="0" fontId="7" fillId="0" borderId="0" xfId="0" applyFont="1" applyFill="1" applyAlignment="1">
      <alignment wrapText="1"/>
    </xf>
    <xf numFmtId="0" fontId="0" fillId="0" borderId="0" xfId="0" applyFill="1" applyAlignment="1">
      <alignment wrapText="1"/>
    </xf>
    <xf numFmtId="0" fontId="7" fillId="0" borderId="0" xfId="0" applyFont="1" applyFill="1" applyAlignment="1">
      <alignment horizontal="center"/>
    </xf>
    <xf numFmtId="0" fontId="10" fillId="2" borderId="0" xfId="0" applyFont="1" applyFill="1" applyBorder="1"/>
    <xf numFmtId="0" fontId="14" fillId="2" borderId="0" xfId="0" applyFont="1" applyFill="1" applyBorder="1" applyAlignment="1">
      <alignment vertical="top" wrapText="1"/>
    </xf>
    <xf numFmtId="49" fontId="11" fillId="2" borderId="0" xfId="0" applyNumberFormat="1" applyFont="1" applyFill="1" applyBorder="1" applyAlignment="1">
      <alignment horizontal="center" vertical="center"/>
    </xf>
    <xf numFmtId="49" fontId="0" fillId="2" borderId="0" xfId="0" applyNumberFormat="1" applyFont="1" applyFill="1" applyBorder="1" applyAlignment="1">
      <alignment horizontal="center" vertical="center"/>
    </xf>
    <xf numFmtId="0" fontId="0" fillId="2" borderId="0" xfId="0" applyFont="1" applyFill="1" applyBorder="1" applyAlignment="1">
      <alignment horizontal="center" vertical="center"/>
    </xf>
    <xf numFmtId="0" fontId="22" fillId="2" borderId="0" xfId="0" applyFont="1" applyFill="1" applyBorder="1" applyAlignment="1">
      <alignment vertical="top" wrapText="1"/>
    </xf>
    <xf numFmtId="0" fontId="7" fillId="2" borderId="0" xfId="0" applyFont="1" applyFill="1" applyBorder="1" applyAlignment="1">
      <alignment vertical="center"/>
    </xf>
    <xf numFmtId="0" fontId="8" fillId="2" borderId="1" xfId="0" applyFont="1" applyFill="1" applyBorder="1" applyAlignment="1">
      <alignment vertical="top" wrapText="1"/>
    </xf>
    <xf numFmtId="0" fontId="9" fillId="2" borderId="0" xfId="0" applyFont="1" applyFill="1" applyBorder="1"/>
    <xf numFmtId="0" fontId="20" fillId="2" borderId="0" xfId="0" applyFont="1" applyFill="1" applyBorder="1" applyAlignment="1">
      <alignment vertical="top" wrapText="1"/>
    </xf>
    <xf numFmtId="0" fontId="9" fillId="2" borderId="0" xfId="0" applyFont="1" applyFill="1" applyBorder="1" applyAlignment="1">
      <alignment horizontal="center"/>
    </xf>
    <xf numFmtId="0" fontId="20" fillId="3" borderId="0" xfId="0" applyFont="1" applyFill="1" applyBorder="1" applyAlignment="1">
      <alignment vertical="top" wrapText="1"/>
    </xf>
    <xf numFmtId="0" fontId="7" fillId="2" borderId="1" xfId="0" applyFont="1" applyFill="1" applyBorder="1" applyAlignment="1">
      <alignment horizontal="left"/>
    </xf>
    <xf numFmtId="0" fontId="0" fillId="2" borderId="0" xfId="0" applyFont="1" applyFill="1" applyBorder="1" applyAlignment="1">
      <alignment vertical="center"/>
    </xf>
    <xf numFmtId="0" fontId="8" fillId="2" borderId="2" xfId="0" applyFont="1" applyFill="1" applyBorder="1" applyAlignment="1">
      <alignment vertical="top" wrapText="1"/>
    </xf>
    <xf numFmtId="0" fontId="20" fillId="2" borderId="2" xfId="0" applyFont="1" applyFill="1" applyBorder="1" applyAlignment="1">
      <alignment vertical="top" wrapText="1"/>
    </xf>
    <xf numFmtId="0" fontId="12" fillId="2" borderId="0" xfId="0" applyFont="1" applyFill="1"/>
    <xf numFmtId="0" fontId="10" fillId="2" borderId="0" xfId="0" applyFont="1" applyFill="1" applyBorder="1" applyAlignment="1">
      <alignment horizontal="center" vertical="center"/>
    </xf>
    <xf numFmtId="0" fontId="14" fillId="2" borderId="0" xfId="0" applyFont="1" applyFill="1" applyBorder="1" applyAlignment="1">
      <alignment wrapText="1"/>
    </xf>
    <xf numFmtId="0" fontId="7" fillId="2" borderId="0" xfId="0" applyFont="1" applyFill="1" applyBorder="1" applyAlignment="1">
      <alignment wrapText="1"/>
    </xf>
    <xf numFmtId="0" fontId="18" fillId="2" borderId="0" xfId="0" applyFont="1" applyFill="1" applyBorder="1"/>
    <xf numFmtId="0" fontId="16" fillId="2" borderId="0" xfId="0" applyFont="1" applyFill="1" applyBorder="1" applyAlignment="1">
      <alignment wrapText="1"/>
    </xf>
    <xf numFmtId="0" fontId="15" fillId="2" borderId="0" xfId="0" applyFont="1" applyFill="1" applyBorder="1" applyAlignment="1">
      <alignment wrapText="1"/>
    </xf>
    <xf numFmtId="0" fontId="16" fillId="2" borderId="0" xfId="0" applyFont="1" applyFill="1" applyBorder="1" applyAlignment="1">
      <alignment vertical="top" wrapText="1"/>
    </xf>
    <xf numFmtId="0" fontId="15" fillId="2" borderId="0" xfId="0" applyFont="1" applyFill="1" applyBorder="1"/>
    <xf numFmtId="49" fontId="0" fillId="2" borderId="0" xfId="0" applyNumberFormat="1" applyFont="1" applyFill="1" applyBorder="1" applyAlignment="1">
      <alignment vertical="center"/>
    </xf>
    <xf numFmtId="49" fontId="7" fillId="2" borderId="0" xfId="0" applyNumberFormat="1" applyFont="1" applyFill="1" applyBorder="1" applyAlignment="1">
      <alignment vertical="center"/>
    </xf>
    <xf numFmtId="0" fontId="17" fillId="2" borderId="0" xfId="0" applyFont="1" applyFill="1" applyBorder="1" applyAlignment="1">
      <alignment wrapText="1"/>
    </xf>
    <xf numFmtId="0" fontId="11" fillId="2" borderId="0" xfId="0" applyFont="1" applyFill="1" applyBorder="1" applyAlignment="1">
      <alignment vertical="center"/>
    </xf>
    <xf numFmtId="0" fontId="10" fillId="2" borderId="2" xfId="0" applyFont="1" applyFill="1" applyBorder="1" applyAlignment="1">
      <alignment vertical="center" wrapText="1"/>
    </xf>
    <xf numFmtId="0" fontId="23" fillId="2" borderId="0" xfId="0" applyFont="1" applyFill="1"/>
    <xf numFmtId="0" fontId="8" fillId="2" borderId="0" xfId="0" applyFont="1" applyFill="1" applyBorder="1" applyAlignment="1">
      <alignment horizontal="center"/>
    </xf>
    <xf numFmtId="0" fontId="23" fillId="0" borderId="0" xfId="0" applyFont="1" applyFill="1"/>
    <xf numFmtId="0" fontId="8" fillId="0" borderId="0" xfId="0" applyFont="1" applyFill="1"/>
    <xf numFmtId="0" fontId="8" fillId="0" borderId="0" xfId="0" applyFont="1" applyFill="1" applyBorder="1"/>
    <xf numFmtId="0" fontId="14" fillId="2" borderId="0" xfId="0" applyFont="1" applyFill="1" applyAlignment="1">
      <alignment vertical="top" wrapText="1"/>
    </xf>
    <xf numFmtId="164" fontId="26" fillId="2" borderId="0" xfId="0" applyNumberFormat="1" applyFont="1" applyFill="1" applyBorder="1" applyAlignment="1">
      <alignment horizontal="left" vertical="center" wrapText="1"/>
    </xf>
    <xf numFmtId="2" fontId="27" fillId="0" borderId="0" xfId="0" applyNumberFormat="1" applyFont="1" applyFill="1" applyAlignment="1">
      <alignment horizontal="left" vertical="center"/>
    </xf>
    <xf numFmtId="0" fontId="8" fillId="2" borderId="0" xfId="0" applyFont="1" applyFill="1" applyBorder="1" applyAlignment="1">
      <alignment vertical="center" wrapText="1"/>
    </xf>
    <xf numFmtId="0" fontId="23" fillId="2" borderId="0" xfId="0" applyFont="1" applyFill="1" applyBorder="1" applyAlignment="1">
      <alignment vertical="center" wrapText="1"/>
    </xf>
    <xf numFmtId="0" fontId="4" fillId="0" borderId="0" xfId="0" applyFont="1"/>
    <xf numFmtId="0" fontId="23" fillId="0" borderId="0" xfId="0" applyFont="1" applyBorder="1"/>
    <xf numFmtId="0" fontId="23" fillId="0" borderId="3" xfId="0" applyFont="1" applyBorder="1" applyAlignment="1">
      <alignment horizontal="center"/>
    </xf>
    <xf numFmtId="2" fontId="23" fillId="0" borderId="3" xfId="0" applyNumberFormat="1" applyFont="1" applyBorder="1" applyAlignment="1">
      <alignment horizontal="center"/>
    </xf>
    <xf numFmtId="11" fontId="23" fillId="0" borderId="3" xfId="0" applyNumberFormat="1" applyFont="1" applyBorder="1" applyAlignment="1">
      <alignment horizontal="center"/>
    </xf>
    <xf numFmtId="0" fontId="4" fillId="3" borderId="0" xfId="0" applyFont="1" applyFill="1"/>
    <xf numFmtId="0" fontId="23" fillId="0" borderId="0" xfId="0" applyFont="1"/>
    <xf numFmtId="2" fontId="4" fillId="0" borderId="3" xfId="0" applyNumberFormat="1" applyFont="1" applyBorder="1"/>
    <xf numFmtId="0" fontId="0" fillId="0" borderId="0" xfId="0" applyFill="1" applyAlignment="1">
      <alignment horizontal="center"/>
    </xf>
    <xf numFmtId="0" fontId="0" fillId="0" borderId="0" xfId="0" applyAlignment="1">
      <alignment horizontal="center"/>
    </xf>
    <xf numFmtId="0" fontId="33" fillId="2" borderId="2" xfId="0" applyFont="1" applyFill="1" applyBorder="1" applyAlignment="1">
      <alignment vertical="center"/>
    </xf>
    <xf numFmtId="0" fontId="33" fillId="2" borderId="0" xfId="0" applyFont="1" applyFill="1" applyBorder="1" applyAlignment="1">
      <alignment vertical="top" wrapText="1"/>
    </xf>
    <xf numFmtId="0" fontId="34" fillId="2" borderId="0" xfId="0" applyFont="1" applyFill="1" applyBorder="1" applyAlignment="1">
      <alignment horizontal="center" vertical="center"/>
    </xf>
    <xf numFmtId="0" fontId="36" fillId="0" borderId="0" xfId="0" applyFont="1" applyFill="1"/>
    <xf numFmtId="0" fontId="36" fillId="0" borderId="0" xfId="0" applyFont="1"/>
    <xf numFmtId="0" fontId="33" fillId="2" borderId="2" xfId="0" applyFont="1" applyFill="1" applyBorder="1" applyAlignment="1">
      <alignment horizontal="left" vertical="center"/>
    </xf>
    <xf numFmtId="1" fontId="27" fillId="0" borderId="0" xfId="0" applyNumberFormat="1" applyFont="1" applyFill="1" applyAlignment="1">
      <alignment horizontal="left" vertical="center"/>
    </xf>
    <xf numFmtId="0" fontId="24" fillId="2" borderId="0" xfId="0" applyFont="1" applyFill="1" applyBorder="1" applyAlignment="1">
      <alignment vertical="top"/>
    </xf>
    <xf numFmtId="9" fontId="27" fillId="2" borderId="0" xfId="0" applyNumberFormat="1" applyFont="1" applyFill="1" applyBorder="1" applyAlignment="1">
      <alignment horizontal="left" vertical="center" wrapText="1"/>
    </xf>
    <xf numFmtId="164" fontId="26" fillId="0" borderId="0" xfId="0" applyNumberFormat="1" applyFont="1" applyFill="1" applyBorder="1" applyAlignment="1">
      <alignment horizontal="left" vertical="center" wrapText="1"/>
    </xf>
    <xf numFmtId="0" fontId="3" fillId="0" borderId="0" xfId="404" applyFont="1" applyProtection="1"/>
    <xf numFmtId="0" fontId="3" fillId="0" borderId="0" xfId="404" applyFont="1" applyAlignment="1" applyProtection="1">
      <alignment horizontal="right"/>
    </xf>
    <xf numFmtId="0" fontId="3" fillId="0" borderId="0" xfId="404" applyFont="1" applyBorder="1" applyProtection="1"/>
    <xf numFmtId="0" fontId="25" fillId="0" borderId="0" xfId="404" applyFont="1" applyProtection="1"/>
    <xf numFmtId="0" fontId="9" fillId="0" borderId="0" xfId="404" applyFont="1" applyBorder="1" applyAlignment="1" applyProtection="1">
      <alignment vertical="center" textRotation="90" wrapText="1"/>
    </xf>
    <xf numFmtId="0" fontId="40" fillId="0" borderId="0" xfId="404" applyFont="1" applyProtection="1"/>
    <xf numFmtId="164" fontId="3" fillId="0" borderId="0" xfId="404" applyNumberFormat="1" applyFont="1" applyProtection="1"/>
    <xf numFmtId="0" fontId="3" fillId="0" borderId="0" xfId="404" applyFont="1" applyAlignment="1" applyProtection="1">
      <alignment horizontal="center" textRotation="90"/>
    </xf>
    <xf numFmtId="0" fontId="44" fillId="0" borderId="6" xfId="404" applyFont="1" applyBorder="1" applyAlignment="1" applyProtection="1">
      <alignment horizontal="right" vertical="center"/>
    </xf>
    <xf numFmtId="0" fontId="44" fillId="0" borderId="7" xfId="404" applyFont="1" applyBorder="1" applyAlignment="1" applyProtection="1">
      <alignment horizontal="center"/>
    </xf>
    <xf numFmtId="0" fontId="37" fillId="0" borderId="12" xfId="404" applyFont="1" applyBorder="1" applyProtection="1"/>
    <xf numFmtId="0" fontId="3" fillId="7" borderId="12" xfId="404" applyFont="1" applyFill="1" applyBorder="1" applyAlignment="1" applyProtection="1">
      <alignment horizontal="center"/>
    </xf>
    <xf numFmtId="0" fontId="3" fillId="8" borderId="12" xfId="404" applyFont="1" applyFill="1" applyBorder="1" applyAlignment="1" applyProtection="1">
      <alignment horizontal="center"/>
    </xf>
    <xf numFmtId="0" fontId="3" fillId="9" borderId="12" xfId="404" applyFont="1" applyFill="1" applyBorder="1" applyAlignment="1" applyProtection="1">
      <alignment horizontal="center"/>
    </xf>
    <xf numFmtId="0" fontId="3" fillId="10" borderId="12" xfId="404" applyFont="1" applyFill="1" applyBorder="1" applyAlignment="1" applyProtection="1">
      <alignment horizontal="center"/>
    </xf>
    <xf numFmtId="0" fontId="3" fillId="2" borderId="12" xfId="404" applyFont="1" applyFill="1" applyBorder="1" applyAlignment="1" applyProtection="1">
      <alignment horizontal="center"/>
    </xf>
    <xf numFmtId="164" fontId="3" fillId="11" borderId="12" xfId="404" applyNumberFormat="1" applyFont="1" applyFill="1" applyBorder="1" applyAlignment="1" applyProtection="1">
      <alignment horizontal="center"/>
    </xf>
    <xf numFmtId="2" fontId="3" fillId="11" borderId="12" xfId="404" applyNumberFormat="1" applyFont="1" applyFill="1" applyBorder="1" applyAlignment="1" applyProtection="1">
      <alignment horizontal="center"/>
    </xf>
    <xf numFmtId="0" fontId="3" fillId="0" borderId="0" xfId="404" applyFont="1" applyFill="1" applyBorder="1" applyAlignment="1" applyProtection="1">
      <alignment horizontal="center"/>
    </xf>
    <xf numFmtId="0" fontId="37" fillId="0" borderId="0" xfId="404" applyFont="1" applyProtection="1"/>
    <xf numFmtId="0" fontId="37" fillId="0" borderId="13" xfId="404" applyNumberFormat="1" applyFont="1" applyBorder="1" applyAlignment="1" applyProtection="1">
      <alignment horizontal="center" vertical="center"/>
    </xf>
    <xf numFmtId="164" fontId="3" fillId="0" borderId="14" xfId="404" applyNumberFormat="1" applyFont="1" applyBorder="1" applyProtection="1"/>
    <xf numFmtId="164" fontId="3" fillId="0" borderId="15" xfId="404" applyNumberFormat="1" applyFont="1" applyBorder="1" applyProtection="1"/>
    <xf numFmtId="0" fontId="3" fillId="0" borderId="15" xfId="404" applyFont="1" applyBorder="1" applyProtection="1"/>
    <xf numFmtId="0" fontId="3" fillId="0" borderId="15" xfId="404" applyFont="1" applyBorder="1" applyAlignment="1" applyProtection="1">
      <alignment horizontal="right"/>
    </xf>
    <xf numFmtId="164" fontId="3" fillId="0" borderId="16" xfId="404" applyNumberFormat="1" applyFont="1" applyBorder="1" applyProtection="1"/>
    <xf numFmtId="164" fontId="3" fillId="0" borderId="10" xfId="404" applyNumberFormat="1" applyFont="1" applyBorder="1" applyProtection="1"/>
    <xf numFmtId="0" fontId="3" fillId="0" borderId="10" xfId="404" applyFont="1" applyBorder="1" applyProtection="1"/>
    <xf numFmtId="0" fontId="3" fillId="0" borderId="10" xfId="404" applyFont="1" applyBorder="1" applyAlignment="1" applyProtection="1">
      <alignment horizontal="right"/>
    </xf>
    <xf numFmtId="0" fontId="37" fillId="0" borderId="0" xfId="404" applyNumberFormat="1" applyFont="1" applyBorder="1" applyAlignment="1" applyProtection="1">
      <alignment horizontal="center" vertical="center"/>
    </xf>
    <xf numFmtId="0" fontId="3" fillId="0" borderId="0" xfId="404" applyFont="1" applyBorder="1" applyAlignment="1" applyProtection="1">
      <alignment vertical="center"/>
    </xf>
    <xf numFmtId="0" fontId="9" fillId="4" borderId="0" xfId="0" applyFont="1" applyFill="1" applyBorder="1" applyAlignment="1" applyProtection="1">
      <alignment horizontal="left" vertical="top" wrapText="1"/>
      <protection locked="0"/>
    </xf>
    <xf numFmtId="0" fontId="9" fillId="5" borderId="0" xfId="0" applyFont="1" applyFill="1" applyBorder="1" applyAlignment="1" applyProtection="1">
      <alignment horizontal="left" vertical="top" wrapText="1"/>
      <protection locked="0"/>
    </xf>
    <xf numFmtId="0" fontId="9" fillId="0" borderId="13" xfId="404" applyNumberFormat="1" applyFont="1" applyBorder="1" applyAlignment="1" applyProtection="1">
      <alignment horizontal="right" vertical="center"/>
      <protection locked="0"/>
    </xf>
    <xf numFmtId="0" fontId="37" fillId="0" borderId="0" xfId="404" applyFont="1" applyAlignment="1" applyProtection="1">
      <alignment horizontal="center" textRotation="90"/>
    </xf>
    <xf numFmtId="0" fontId="3" fillId="11" borderId="8" xfId="404" applyFont="1" applyFill="1" applyBorder="1" applyAlignment="1" applyProtection="1">
      <alignment horizontal="center"/>
    </xf>
    <xf numFmtId="0" fontId="37" fillId="0" borderId="5" xfId="404" applyNumberFormat="1" applyFont="1" applyBorder="1" applyAlignment="1" applyProtection="1">
      <alignment horizontal="center" vertical="center"/>
    </xf>
    <xf numFmtId="0" fontId="3" fillId="0" borderId="7" xfId="404" applyFont="1" applyBorder="1" applyAlignment="1" applyProtection="1">
      <alignment horizontal="right" vertical="center"/>
    </xf>
    <xf numFmtId="0" fontId="37" fillId="0" borderId="7" xfId="404" applyNumberFormat="1" applyFont="1" applyBorder="1" applyAlignment="1" applyProtection="1">
      <alignment horizontal="center" vertical="center"/>
    </xf>
    <xf numFmtId="0" fontId="3" fillId="0" borderId="0" xfId="404" applyFont="1" applyBorder="1" applyAlignment="1" applyProtection="1">
      <alignment horizontal="right" vertical="center"/>
    </xf>
    <xf numFmtId="0" fontId="38" fillId="0" borderId="0" xfId="404" applyFont="1" applyFill="1" applyBorder="1" applyAlignment="1" applyProtection="1">
      <alignment horizontal="right"/>
    </xf>
    <xf numFmtId="0" fontId="48" fillId="0" borderId="0" xfId="404" applyFont="1" applyProtection="1"/>
    <xf numFmtId="0" fontId="3" fillId="0" borderId="18" xfId="404" applyFont="1" applyBorder="1" applyAlignment="1" applyProtection="1">
      <alignment horizontal="center" vertical="center"/>
    </xf>
    <xf numFmtId="0" fontId="3" fillId="0" borderId="17" xfId="404" applyFont="1" applyBorder="1" applyAlignment="1" applyProtection="1">
      <alignment horizontal="center" vertical="center"/>
    </xf>
    <xf numFmtId="0" fontId="52" fillId="0" borderId="0" xfId="404" applyFont="1" applyBorder="1" applyAlignment="1" applyProtection="1">
      <alignment horizontal="center"/>
    </xf>
    <xf numFmtId="0" fontId="52" fillId="0" borderId="8" xfId="404" applyFont="1" applyBorder="1" applyAlignment="1" applyProtection="1">
      <alignment horizontal="center"/>
    </xf>
    <xf numFmtId="0" fontId="9" fillId="0" borderId="19" xfId="404" applyNumberFormat="1" applyFont="1" applyBorder="1" applyAlignment="1" applyProtection="1">
      <alignment horizontal="left" vertical="center"/>
      <protection locked="0"/>
    </xf>
    <xf numFmtId="0" fontId="9" fillId="0" borderId="11" xfId="404" applyNumberFormat="1" applyFont="1" applyBorder="1" applyAlignment="1" applyProtection="1">
      <alignment horizontal="left" vertical="center"/>
      <protection locked="0"/>
    </xf>
    <xf numFmtId="0" fontId="46" fillId="0" borderId="12" xfId="404" applyFont="1" applyBorder="1" applyAlignment="1" applyProtection="1">
      <alignment horizontal="center"/>
    </xf>
    <xf numFmtId="0" fontId="52" fillId="0" borderId="9" xfId="404" applyFont="1" applyBorder="1" applyAlignment="1" applyProtection="1">
      <alignment horizontal="center"/>
    </xf>
    <xf numFmtId="0" fontId="37" fillId="0" borderId="21" xfId="404" applyFont="1" applyBorder="1" applyAlignment="1" applyProtection="1">
      <alignment horizontal="center" vertical="center"/>
    </xf>
    <xf numFmtId="0" fontId="47" fillId="0" borderId="20" xfId="404" applyFont="1" applyBorder="1" applyAlignment="1" applyProtection="1">
      <alignment horizontal="center" vertical="center"/>
    </xf>
    <xf numFmtId="0" fontId="37" fillId="0" borderId="20" xfId="404" applyFont="1" applyBorder="1" applyAlignment="1" applyProtection="1">
      <alignment horizontal="center" vertical="center"/>
    </xf>
    <xf numFmtId="0" fontId="54" fillId="0" borderId="0" xfId="404" applyFont="1" applyAlignment="1" applyProtection="1">
      <alignment horizontal="left"/>
    </xf>
    <xf numFmtId="0" fontId="47" fillId="0" borderId="0" xfId="404" applyFont="1" applyBorder="1" applyAlignment="1" applyProtection="1">
      <alignment horizontal="center" vertical="center"/>
    </xf>
    <xf numFmtId="0" fontId="47" fillId="0" borderId="0" xfId="404" applyFont="1" applyBorder="1" applyAlignment="1" applyProtection="1">
      <alignment textRotation="90"/>
    </xf>
    <xf numFmtId="0" fontId="8" fillId="0" borderId="0" xfId="404" applyFont="1" applyBorder="1" applyAlignment="1" applyProtection="1">
      <alignment horizontal="center" textRotation="90"/>
    </xf>
    <xf numFmtId="2" fontId="47" fillId="0" borderId="0" xfId="404" applyNumberFormat="1" applyFont="1" applyBorder="1" applyAlignment="1" applyProtection="1">
      <alignment textRotation="90"/>
    </xf>
    <xf numFmtId="0" fontId="47" fillId="0" borderId="0" xfId="404" applyFont="1" applyBorder="1" applyAlignment="1" applyProtection="1">
      <alignment horizontal="center" textRotation="90"/>
    </xf>
    <xf numFmtId="0" fontId="47" fillId="0" borderId="0" xfId="404" applyFont="1" applyFill="1" applyBorder="1" applyAlignment="1" applyProtection="1">
      <alignment textRotation="90"/>
    </xf>
    <xf numFmtId="0" fontId="8" fillId="0" borderId="0" xfId="404" applyFont="1" applyFill="1" applyBorder="1" applyAlignment="1" applyProtection="1">
      <alignment horizontal="center" textRotation="90"/>
    </xf>
    <xf numFmtId="2" fontId="47" fillId="0" borderId="0" xfId="404" applyNumberFormat="1" applyFont="1" applyFill="1" applyBorder="1" applyAlignment="1" applyProtection="1">
      <alignment textRotation="90"/>
    </xf>
    <xf numFmtId="0" fontId="8" fillId="0" borderId="0" xfId="404" applyFont="1" applyBorder="1" applyProtection="1"/>
    <xf numFmtId="0" fontId="56" fillId="0" borderId="0" xfId="404" applyFont="1" applyAlignment="1" applyProtection="1">
      <alignment horizontal="right"/>
    </xf>
    <xf numFmtId="0" fontId="3" fillId="0" borderId="13" xfId="404" applyFont="1" applyBorder="1" applyAlignment="1" applyProtection="1">
      <alignment horizontal="center" vertical="center"/>
    </xf>
    <xf numFmtId="0" fontId="3" fillId="0" borderId="0" xfId="404" applyFont="1" applyBorder="1" applyAlignment="1" applyProtection="1">
      <alignment horizontal="center" vertical="center"/>
    </xf>
    <xf numFmtId="2" fontId="55" fillId="0" borderId="13" xfId="404" applyNumberFormat="1" applyFont="1" applyBorder="1" applyAlignment="1" applyProtection="1">
      <alignment horizontal="left" vertical="center"/>
    </xf>
    <xf numFmtId="0" fontId="9" fillId="0" borderId="0" xfId="404" applyNumberFormat="1" applyFont="1" applyBorder="1" applyAlignment="1" applyProtection="1">
      <alignment horizontal="right" vertical="center"/>
    </xf>
    <xf numFmtId="2" fontId="55" fillId="0" borderId="0" xfId="404" applyNumberFormat="1" applyFont="1" applyBorder="1" applyAlignment="1" applyProtection="1">
      <alignment horizontal="left" vertical="center"/>
    </xf>
    <xf numFmtId="0" fontId="9" fillId="0" borderId="0" xfId="404" applyNumberFormat="1" applyFont="1" applyBorder="1" applyAlignment="1" applyProtection="1">
      <alignment horizontal="center" vertical="center"/>
    </xf>
    <xf numFmtId="0" fontId="9" fillId="0" borderId="7" xfId="404" applyNumberFormat="1" applyFont="1" applyBorder="1" applyAlignment="1" applyProtection="1">
      <alignment horizontal="right" vertical="center"/>
    </xf>
    <xf numFmtId="2" fontId="57" fillId="0" borderId="0" xfId="404" applyNumberFormat="1" applyFont="1" applyBorder="1" applyAlignment="1" applyProtection="1">
      <alignment vertical="center"/>
    </xf>
    <xf numFmtId="0" fontId="26" fillId="0" borderId="0" xfId="0" applyFont="1" applyFill="1" applyProtection="1"/>
    <xf numFmtId="0" fontId="60" fillId="2" borderId="0" xfId="0" applyFont="1" applyFill="1" applyBorder="1"/>
    <xf numFmtId="0" fontId="61" fillId="2" borderId="0" xfId="0" applyFont="1" applyFill="1" applyBorder="1" applyAlignment="1">
      <alignment vertical="top" wrapText="1"/>
    </xf>
    <xf numFmtId="0" fontId="60" fillId="2" borderId="0" xfId="0" applyFont="1" applyFill="1"/>
    <xf numFmtId="2" fontId="60" fillId="2" borderId="0" xfId="0" applyNumberFormat="1" applyFont="1" applyFill="1" applyBorder="1" applyAlignment="1">
      <alignment horizontal="left"/>
    </xf>
    <xf numFmtId="9" fontId="61" fillId="2" borderId="0" xfId="0" applyNumberFormat="1" applyFont="1" applyFill="1" applyBorder="1" applyAlignment="1">
      <alignment horizontal="left" vertical="center"/>
    </xf>
    <xf numFmtId="0" fontId="61" fillId="2" borderId="0" xfId="0" applyFont="1" applyFill="1" applyBorder="1" applyAlignment="1">
      <alignment vertical="center"/>
    </xf>
    <xf numFmtId="0" fontId="62" fillId="0" borderId="0" xfId="0" quotePrefix="1" applyFont="1" applyFill="1" applyAlignment="1">
      <alignment vertical="center"/>
    </xf>
    <xf numFmtId="0" fontId="60" fillId="0" borderId="0" xfId="0" applyFont="1" applyFill="1"/>
    <xf numFmtId="0" fontId="63" fillId="2" borderId="0" xfId="0" applyFont="1" applyFill="1" applyBorder="1" applyAlignment="1">
      <alignment vertical="center"/>
    </xf>
    <xf numFmtId="0" fontId="63" fillId="2" borderId="0" xfId="0" applyFont="1" applyFill="1" applyBorder="1" applyAlignment="1">
      <alignment vertical="center" wrapText="1"/>
    </xf>
    <xf numFmtId="0" fontId="65" fillId="2" borderId="0" xfId="0" applyFont="1" applyFill="1" applyBorder="1"/>
    <xf numFmtId="164" fontId="63" fillId="2" borderId="0" xfId="0" applyNumberFormat="1" applyFont="1" applyFill="1" applyBorder="1" applyAlignment="1">
      <alignment horizontal="left" vertical="center"/>
    </xf>
    <xf numFmtId="2" fontId="63" fillId="2" borderId="0" xfId="0" applyNumberFormat="1" applyFont="1" applyFill="1" applyBorder="1" applyAlignment="1">
      <alignment horizontal="left" vertical="center"/>
    </xf>
    <xf numFmtId="9" fontId="63" fillId="2" borderId="0" xfId="0" applyNumberFormat="1" applyFont="1" applyFill="1" applyBorder="1" applyAlignment="1">
      <alignment horizontal="left" vertical="center"/>
    </xf>
    <xf numFmtId="0" fontId="21" fillId="13" borderId="2" xfId="0" applyFont="1" applyFill="1" applyBorder="1" applyAlignment="1">
      <alignment vertical="center" wrapText="1"/>
    </xf>
    <xf numFmtId="164" fontId="28" fillId="13" borderId="0" xfId="0" applyNumberFormat="1" applyFont="1" applyFill="1" applyBorder="1" applyAlignment="1">
      <alignment horizontal="left" vertical="center" wrapText="1"/>
    </xf>
    <xf numFmtId="1" fontId="29" fillId="13" borderId="0" xfId="0" applyNumberFormat="1" applyFont="1" applyFill="1" applyAlignment="1">
      <alignment horizontal="left" vertical="center"/>
    </xf>
    <xf numFmtId="9" fontId="29" fillId="13" borderId="0" xfId="0" applyNumberFormat="1" applyFont="1" applyFill="1" applyBorder="1" applyAlignment="1" applyProtection="1">
      <alignment horizontal="left" vertical="center"/>
      <protection locked="0"/>
    </xf>
    <xf numFmtId="164" fontId="52" fillId="14" borderId="0" xfId="0" applyNumberFormat="1" applyFont="1" applyFill="1" applyBorder="1" applyAlignment="1">
      <alignment horizontal="left" vertical="center" wrapText="1"/>
    </xf>
    <xf numFmtId="1" fontId="40" fillId="14" borderId="0" xfId="0" applyNumberFormat="1" applyFont="1" applyFill="1" applyAlignment="1">
      <alignment horizontal="left" vertical="center"/>
    </xf>
    <xf numFmtId="9" fontId="40" fillId="14" borderId="0" xfId="0" applyNumberFormat="1" applyFont="1" applyFill="1" applyBorder="1" applyAlignment="1" applyProtection="1">
      <alignment horizontal="left" vertical="center"/>
      <protection locked="0"/>
    </xf>
    <xf numFmtId="164" fontId="52" fillId="15" borderId="0" xfId="0" applyNumberFormat="1" applyFont="1" applyFill="1" applyBorder="1" applyAlignment="1">
      <alignment horizontal="left" vertical="center" wrapText="1"/>
    </xf>
    <xf numFmtId="1" fontId="40" fillId="15" borderId="0" xfId="0" applyNumberFormat="1" applyFont="1" applyFill="1" applyAlignment="1">
      <alignment horizontal="left" vertical="center"/>
    </xf>
    <xf numFmtId="9" fontId="40" fillId="15" borderId="0" xfId="0" applyNumberFormat="1" applyFont="1" applyFill="1" applyBorder="1" applyAlignment="1" applyProtection="1">
      <alignment horizontal="left" vertical="center"/>
      <protection locked="0"/>
    </xf>
    <xf numFmtId="0" fontId="10" fillId="16" borderId="2" xfId="0" applyFont="1" applyFill="1" applyBorder="1" applyAlignment="1">
      <alignment horizontal="left" vertical="center" wrapText="1"/>
    </xf>
    <xf numFmtId="0" fontId="10" fillId="16" borderId="0" xfId="0" applyFont="1" applyFill="1" applyBorder="1" applyAlignment="1">
      <alignment horizontal="left" vertical="center" wrapText="1"/>
    </xf>
    <xf numFmtId="0" fontId="10" fillId="16" borderId="0" xfId="0" applyFont="1" applyFill="1" applyBorder="1" applyAlignment="1">
      <alignment horizontal="left" vertical="center"/>
    </xf>
    <xf numFmtId="0" fontId="11" fillId="16" borderId="0" xfId="0" applyFont="1" applyFill="1" applyBorder="1" applyAlignment="1">
      <alignment vertical="center"/>
    </xf>
    <xf numFmtId="0" fontId="0" fillId="16" borderId="0" xfId="0" applyFill="1"/>
    <xf numFmtId="0" fontId="10" fillId="16" borderId="0" xfId="0" applyFont="1" applyFill="1" applyBorder="1" applyAlignment="1">
      <alignment vertical="center"/>
    </xf>
    <xf numFmtId="0" fontId="11" fillId="16" borderId="0" xfId="0" applyFont="1" applyFill="1" applyAlignment="1">
      <alignment vertical="center"/>
    </xf>
    <xf numFmtId="0" fontId="10" fillId="16" borderId="0" xfId="0" applyFont="1" applyFill="1" applyBorder="1" applyAlignment="1">
      <alignment vertical="top" wrapText="1"/>
    </xf>
    <xf numFmtId="0" fontId="10" fillId="16" borderId="0" xfId="0" applyFont="1" applyFill="1" applyBorder="1"/>
    <xf numFmtId="0" fontId="11" fillId="16" borderId="0" xfId="0" applyFont="1" applyFill="1" applyBorder="1"/>
    <xf numFmtId="0" fontId="7" fillId="16" borderId="0" xfId="0" applyFont="1" applyFill="1" applyBorder="1" applyAlignment="1">
      <alignment wrapText="1"/>
    </xf>
    <xf numFmtId="0" fontId="28" fillId="2" borderId="22" xfId="0" applyFont="1" applyFill="1" applyBorder="1" applyProtection="1"/>
    <xf numFmtId="0" fontId="26" fillId="2" borderId="22" xfId="0" applyFont="1" applyFill="1" applyBorder="1" applyAlignment="1" applyProtection="1">
      <alignment horizontal="right"/>
    </xf>
    <xf numFmtId="0" fontId="26" fillId="2" borderId="22" xfId="0" applyFont="1" applyFill="1" applyBorder="1" applyAlignment="1" applyProtection="1">
      <alignment horizontal="left" vertical="center"/>
      <protection locked="0"/>
    </xf>
    <xf numFmtId="0" fontId="28" fillId="2" borderId="22" xfId="0" applyFont="1" applyFill="1" applyBorder="1" applyAlignment="1" applyProtection="1">
      <alignment horizontal="left" vertical="center"/>
    </xf>
    <xf numFmtId="0" fontId="28" fillId="2" borderId="22" xfId="0" applyFont="1" applyFill="1" applyBorder="1" applyAlignment="1" applyProtection="1">
      <alignment horizontal="right"/>
    </xf>
    <xf numFmtId="0" fontId="28" fillId="0" borderId="22" xfId="0" applyFont="1" applyFill="1" applyBorder="1" applyProtection="1"/>
    <xf numFmtId="0" fontId="67" fillId="0" borderId="0" xfId="0" applyFont="1" applyFill="1" applyAlignment="1">
      <alignment horizontal="center"/>
    </xf>
    <xf numFmtId="0" fontId="26" fillId="0" borderId="22" xfId="0" applyFont="1" applyFill="1" applyBorder="1" applyAlignment="1" applyProtection="1"/>
    <xf numFmtId="9" fontId="68" fillId="12" borderId="0" xfId="0" applyNumberFormat="1" applyFont="1" applyFill="1" applyBorder="1" applyAlignment="1" applyProtection="1">
      <alignment horizontal="left" vertical="center"/>
      <protection locked="0"/>
    </xf>
    <xf numFmtId="164" fontId="68" fillId="11" borderId="0" xfId="0" applyNumberFormat="1" applyFont="1" applyFill="1" applyBorder="1" applyAlignment="1">
      <alignment horizontal="left" vertical="center" wrapText="1"/>
    </xf>
    <xf numFmtId="1" fontId="68" fillId="11" borderId="0" xfId="0" applyNumberFormat="1" applyFont="1" applyFill="1" applyAlignment="1">
      <alignment horizontal="left" vertical="center"/>
    </xf>
    <xf numFmtId="0" fontId="70" fillId="14" borderId="2" xfId="0" applyFont="1" applyFill="1" applyBorder="1" applyAlignment="1">
      <alignment vertical="center" wrapText="1"/>
    </xf>
    <xf numFmtId="0" fontId="71" fillId="15" borderId="2" xfId="0" applyFont="1" applyFill="1" applyBorder="1" applyAlignment="1">
      <alignment vertical="center" wrapText="1"/>
    </xf>
    <xf numFmtId="0" fontId="37" fillId="0" borderId="0" xfId="404" applyFont="1" applyAlignment="1" applyProtection="1">
      <alignment horizontal="center" textRotation="90"/>
    </xf>
    <xf numFmtId="0" fontId="42" fillId="0" borderId="0" xfId="404" applyFont="1" applyAlignment="1" applyProtection="1">
      <alignment horizontal="center" textRotation="90"/>
    </xf>
    <xf numFmtId="0" fontId="43" fillId="0" borderId="0" xfId="404" applyFont="1" applyAlignment="1" applyProtection="1">
      <alignment horizontal="center" textRotation="90"/>
    </xf>
    <xf numFmtId="2" fontId="37" fillId="0" borderId="0" xfId="404" applyNumberFormat="1" applyFont="1" applyAlignment="1" applyProtection="1">
      <alignment horizontal="center" textRotation="90"/>
    </xf>
    <xf numFmtId="0" fontId="41" fillId="0" borderId="0" xfId="404" applyFont="1" applyAlignment="1" applyProtection="1">
      <alignment horizontal="center" textRotation="90"/>
    </xf>
    <xf numFmtId="0" fontId="72" fillId="2" borderId="22" xfId="0" applyFont="1" applyFill="1" applyBorder="1" applyAlignment="1" applyProtection="1">
      <alignment horizontal="left" vertical="center"/>
      <protection locked="0"/>
    </xf>
    <xf numFmtId="0" fontId="72" fillId="2" borderId="22" xfId="0" applyFont="1" applyFill="1" applyBorder="1" applyAlignment="1" applyProtection="1">
      <alignment horizontal="right" vertical="center" wrapText="1"/>
      <protection locked="0"/>
    </xf>
    <xf numFmtId="0" fontId="45" fillId="2" borderId="22" xfId="0" applyFont="1" applyFill="1" applyBorder="1" applyAlignment="1" applyProtection="1">
      <alignment horizontal="left" vertical="center" wrapText="1"/>
      <protection locked="0"/>
    </xf>
    <xf numFmtId="0" fontId="45" fillId="2" borderId="22" xfId="0" applyFont="1" applyFill="1" applyBorder="1" applyAlignment="1" applyProtection="1">
      <alignment horizontal="left" vertical="center"/>
      <protection locked="0"/>
    </xf>
    <xf numFmtId="0" fontId="45" fillId="2" borderId="22" xfId="0" applyFont="1" applyFill="1" applyBorder="1" applyAlignment="1" applyProtection="1">
      <alignment horizontal="right" vertical="center"/>
      <protection locked="0"/>
    </xf>
    <xf numFmtId="0" fontId="28" fillId="2" borderId="0" xfId="0" applyFont="1" applyFill="1" applyBorder="1" applyAlignment="1" applyProtection="1">
      <alignment vertical="center"/>
    </xf>
    <xf numFmtId="0" fontId="10" fillId="2" borderId="0" xfId="0" applyFont="1" applyFill="1" applyBorder="1" applyAlignment="1">
      <alignment vertical="center" wrapText="1"/>
    </xf>
    <xf numFmtId="0" fontId="9" fillId="2" borderId="0" xfId="0" applyFont="1" applyFill="1" applyBorder="1" applyAlignment="1"/>
    <xf numFmtId="0" fontId="28" fillId="0" borderId="22" xfId="0" applyFont="1" applyFill="1" applyBorder="1" applyAlignment="1" applyProtection="1">
      <alignment horizontal="center"/>
      <protection locked="0"/>
    </xf>
    <xf numFmtId="0" fontId="58" fillId="2" borderId="0" xfId="0" applyFont="1" applyFill="1" applyBorder="1" applyAlignment="1"/>
    <xf numFmtId="0" fontId="0" fillId="0" borderId="0" xfId="0" applyAlignment="1">
      <alignment vertical="center"/>
    </xf>
    <xf numFmtId="0" fontId="0" fillId="0" borderId="0" xfId="0" applyFill="1" applyAlignment="1">
      <alignment vertical="center"/>
    </xf>
    <xf numFmtId="0" fontId="4" fillId="3" borderId="0" xfId="0" applyFont="1" applyFill="1" applyAlignment="1">
      <alignment vertical="center"/>
    </xf>
    <xf numFmtId="0" fontId="42" fillId="0" borderId="0" xfId="404" applyFont="1" applyAlignment="1" applyProtection="1">
      <alignment textRotation="90"/>
    </xf>
    <xf numFmtId="0" fontId="37" fillId="0" borderId="0" xfId="404" applyFont="1" applyAlignment="1" applyProtection="1">
      <alignment textRotation="90"/>
    </xf>
    <xf numFmtId="0" fontId="43" fillId="0" borderId="0" xfId="404" applyFont="1" applyAlignment="1" applyProtection="1">
      <alignment textRotation="90"/>
    </xf>
    <xf numFmtId="2" fontId="37" fillId="0" borderId="0" xfId="404" applyNumberFormat="1" applyFont="1" applyAlignment="1" applyProtection="1">
      <alignment textRotation="90"/>
    </xf>
    <xf numFmtId="0" fontId="58" fillId="0" borderId="22" xfId="404" applyFont="1" applyBorder="1" applyAlignment="1" applyProtection="1">
      <alignment horizontal="left"/>
    </xf>
    <xf numFmtId="0" fontId="3" fillId="0" borderId="22" xfId="404" applyFont="1" applyBorder="1" applyProtection="1"/>
    <xf numFmtId="0" fontId="3" fillId="0" borderId="22" xfId="404" applyFont="1" applyBorder="1" applyAlignment="1" applyProtection="1">
      <alignment horizontal="right"/>
    </xf>
    <xf numFmtId="0" fontId="41" fillId="0" borderId="22" xfId="404" applyFont="1" applyBorder="1" applyAlignment="1" applyProtection="1">
      <alignment horizontal="center" textRotation="90"/>
    </xf>
    <xf numFmtId="0" fontId="3" fillId="0" borderId="22" xfId="404" applyFont="1" applyBorder="1" applyAlignment="1" applyProtection="1">
      <alignment horizontal="center" textRotation="90"/>
    </xf>
    <xf numFmtId="0" fontId="42" fillId="0" borderId="22" xfId="404" applyFont="1" applyBorder="1" applyAlignment="1" applyProtection="1">
      <alignment textRotation="90"/>
    </xf>
    <xf numFmtId="0" fontId="37" fillId="0" borderId="22" xfId="404" applyFont="1" applyBorder="1" applyAlignment="1" applyProtection="1">
      <alignment textRotation="90"/>
    </xf>
    <xf numFmtId="0" fontId="43" fillId="0" borderId="22" xfId="404" applyFont="1" applyBorder="1" applyAlignment="1" applyProtection="1">
      <alignment textRotation="90"/>
    </xf>
    <xf numFmtId="2" fontId="37" fillId="0" borderId="22" xfId="404" applyNumberFormat="1" applyFont="1" applyBorder="1" applyAlignment="1" applyProtection="1">
      <alignment textRotation="90"/>
    </xf>
    <xf numFmtId="0" fontId="47" fillId="0" borderId="22" xfId="404" applyFont="1" applyFill="1" applyBorder="1" applyAlignment="1" applyProtection="1">
      <alignment textRotation="90"/>
    </xf>
    <xf numFmtId="0" fontId="8" fillId="0" borderId="22" xfId="404" applyFont="1" applyFill="1" applyBorder="1" applyAlignment="1" applyProtection="1">
      <alignment horizontal="center" textRotation="90"/>
    </xf>
    <xf numFmtId="2" fontId="47" fillId="0" borderId="22" xfId="404" applyNumberFormat="1" applyFont="1" applyFill="1" applyBorder="1" applyAlignment="1" applyProtection="1">
      <alignment textRotation="90"/>
    </xf>
    <xf numFmtId="0" fontId="45" fillId="2" borderId="22" xfId="0" applyFont="1" applyFill="1" applyBorder="1" applyAlignment="1" applyProtection="1">
      <alignment horizontal="left" vertical="center"/>
    </xf>
    <xf numFmtId="0" fontId="66" fillId="2" borderId="0" xfId="0" applyFont="1" applyFill="1" applyAlignment="1">
      <alignment horizontal="left" wrapText="1"/>
    </xf>
    <xf numFmtId="0" fontId="7" fillId="2" borderId="0" xfId="0" applyFont="1" applyFill="1" applyProtection="1"/>
    <xf numFmtId="0" fontId="8" fillId="0" borderId="0" xfId="0" applyFont="1" applyFill="1" applyBorder="1" applyAlignment="1" applyProtection="1">
      <alignment horizontal="left"/>
    </xf>
    <xf numFmtId="0" fontId="8" fillId="2" borderId="0" xfId="0" applyFont="1" applyFill="1" applyBorder="1" applyAlignment="1" applyProtection="1">
      <alignment vertical="top" wrapText="1"/>
    </xf>
    <xf numFmtId="0" fontId="11" fillId="2" borderId="0" xfId="0" applyFont="1" applyFill="1" applyBorder="1" applyAlignment="1" applyProtection="1">
      <alignment vertical="center"/>
    </xf>
    <xf numFmtId="0" fontId="10" fillId="2" borderId="0" xfId="0" applyFont="1" applyFill="1" applyBorder="1" applyAlignment="1" applyProtection="1">
      <alignment vertical="center" wrapText="1"/>
    </xf>
    <xf numFmtId="0" fontId="20" fillId="2" borderId="0" xfId="0" applyFont="1" applyFill="1" applyBorder="1" applyAlignment="1" applyProtection="1">
      <alignment vertical="top" wrapText="1"/>
    </xf>
    <xf numFmtId="0" fontId="9" fillId="2" borderId="0" xfId="0" applyFont="1" applyFill="1" applyBorder="1" applyAlignment="1" applyProtection="1"/>
    <xf numFmtId="0" fontId="12" fillId="2" borderId="0" xfId="0" applyFont="1" applyFill="1" applyProtection="1"/>
    <xf numFmtId="0" fontId="24" fillId="2" borderId="0" xfId="0" applyFont="1" applyFill="1" applyBorder="1" applyAlignment="1" applyProtection="1">
      <alignment vertical="top" wrapText="1"/>
    </xf>
    <xf numFmtId="0" fontId="35" fillId="2" borderId="0" xfId="0" applyFont="1" applyFill="1" applyBorder="1" applyAlignment="1" applyProtection="1">
      <alignment vertical="top" wrapText="1"/>
    </xf>
    <xf numFmtId="0" fontId="27" fillId="0" borderId="0" xfId="0" applyFont="1" applyAlignment="1" applyProtection="1">
      <alignment horizontal="left" vertical="top" wrapText="1"/>
    </xf>
    <xf numFmtId="0" fontId="27" fillId="0" borderId="0" xfId="0" applyFont="1" applyAlignment="1" applyProtection="1">
      <alignment horizontal="left" vertical="center" wrapText="1"/>
    </xf>
    <xf numFmtId="0" fontId="0" fillId="0" borderId="0" xfId="0" applyFill="1" applyAlignment="1" applyProtection="1">
      <alignment vertical="center"/>
    </xf>
    <xf numFmtId="0" fontId="28" fillId="2" borderId="0" xfId="0" applyFont="1" applyFill="1" applyBorder="1" applyAlignment="1" applyProtection="1">
      <alignment vertical="center" wrapText="1"/>
    </xf>
    <xf numFmtId="49" fontId="26" fillId="2" borderId="0" xfId="0" applyNumberFormat="1" applyFont="1" applyFill="1" applyBorder="1" applyAlignment="1" applyProtection="1">
      <alignment horizontal="left" vertical="center" wrapText="1"/>
    </xf>
    <xf numFmtId="0" fontId="27" fillId="2" borderId="0" xfId="0" applyFont="1" applyFill="1" applyBorder="1" applyAlignment="1" applyProtection="1">
      <alignment vertical="center"/>
    </xf>
    <xf numFmtId="0" fontId="59" fillId="2" borderId="0" xfId="0" applyFont="1" applyFill="1" applyBorder="1" applyProtection="1"/>
    <xf numFmtId="0" fontId="0" fillId="2" borderId="0" xfId="0" applyFill="1" applyBorder="1" applyProtection="1"/>
    <xf numFmtId="0" fontId="0" fillId="2" borderId="0" xfId="0" applyFill="1" applyProtection="1"/>
    <xf numFmtId="0" fontId="0" fillId="0" borderId="0" xfId="0" applyFill="1" applyProtection="1"/>
    <xf numFmtId="0" fontId="0" fillId="0" borderId="0" xfId="0" applyProtection="1"/>
    <xf numFmtId="0" fontId="13" fillId="2" borderId="0" xfId="0" applyFont="1" applyFill="1" applyBorder="1" applyAlignment="1"/>
    <xf numFmtId="0" fontId="13" fillId="2" borderId="0" xfId="0" applyFont="1" applyFill="1" applyBorder="1" applyAlignment="1" applyProtection="1"/>
    <xf numFmtId="0" fontId="13" fillId="2" borderId="0" xfId="0" applyFont="1" applyFill="1" applyBorder="1" applyAlignment="1" applyProtection="1">
      <alignment horizontal="center"/>
    </xf>
    <xf numFmtId="0" fontId="74" fillId="2" borderId="2" xfId="0" applyFont="1" applyFill="1" applyBorder="1" applyAlignment="1">
      <alignment vertical="center"/>
    </xf>
    <xf numFmtId="9" fontId="74" fillId="2" borderId="0" xfId="0" applyNumberFormat="1" applyFont="1" applyFill="1" applyBorder="1" applyAlignment="1">
      <alignment horizontal="left" vertical="center"/>
    </xf>
    <xf numFmtId="0" fontId="75" fillId="16" borderId="0" xfId="0" applyFont="1" applyFill="1" applyAlignment="1">
      <alignment vertical="center"/>
    </xf>
    <xf numFmtId="0" fontId="74" fillId="12" borderId="0" xfId="0" applyFont="1" applyFill="1" applyBorder="1" applyAlignment="1">
      <alignment vertical="center" wrapText="1"/>
    </xf>
    <xf numFmtId="0" fontId="59" fillId="2" borderId="0" xfId="0" applyFont="1" applyFill="1" applyBorder="1" applyAlignment="1" applyProtection="1">
      <alignment vertical="top"/>
    </xf>
    <xf numFmtId="164" fontId="76" fillId="11" borderId="0" xfId="0" applyNumberFormat="1" applyFont="1" applyFill="1" applyBorder="1" applyAlignment="1">
      <alignment horizontal="left" vertical="center" wrapText="1"/>
    </xf>
    <xf numFmtId="164" fontId="26" fillId="15" borderId="0" xfId="0" applyNumberFormat="1" applyFont="1" applyFill="1" applyBorder="1" applyAlignment="1">
      <alignment horizontal="left" vertical="center" wrapText="1"/>
    </xf>
    <xf numFmtId="164" fontId="26" fillId="13" borderId="0" xfId="0" applyNumberFormat="1" applyFont="1" applyFill="1" applyBorder="1" applyAlignment="1">
      <alignment horizontal="left" vertical="center" wrapText="1"/>
    </xf>
    <xf numFmtId="1" fontId="27" fillId="13" borderId="0" xfId="0" applyNumberFormat="1" applyFont="1" applyFill="1" applyAlignment="1">
      <alignment horizontal="left" vertical="center"/>
    </xf>
    <xf numFmtId="2" fontId="27" fillId="13" borderId="0" xfId="0" applyNumberFormat="1" applyFont="1" applyFill="1" applyAlignment="1">
      <alignment horizontal="left" vertical="center"/>
    </xf>
    <xf numFmtId="1" fontId="26" fillId="15" borderId="0" xfId="0" applyNumberFormat="1" applyFont="1" applyFill="1" applyAlignment="1">
      <alignment horizontal="left" vertical="center"/>
    </xf>
    <xf numFmtId="2" fontId="27" fillId="15" borderId="0" xfId="0" applyNumberFormat="1" applyFont="1" applyFill="1" applyAlignment="1">
      <alignment horizontal="left" vertical="center"/>
    </xf>
    <xf numFmtId="164" fontId="26" fillId="14" borderId="0" xfId="0" applyNumberFormat="1" applyFont="1" applyFill="1" applyBorder="1" applyAlignment="1">
      <alignment horizontal="left" vertical="center" wrapText="1"/>
    </xf>
    <xf numFmtId="1" fontId="27" fillId="14" borderId="0" xfId="0" applyNumberFormat="1" applyFont="1" applyFill="1" applyAlignment="1">
      <alignment horizontal="left" vertical="center"/>
    </xf>
    <xf numFmtId="2" fontId="27" fillId="14" borderId="0" xfId="0" applyNumberFormat="1" applyFont="1" applyFill="1" applyAlignment="1">
      <alignment horizontal="left" vertical="center"/>
    </xf>
    <xf numFmtId="0" fontId="12" fillId="0" borderId="0" xfId="0" applyFont="1" applyAlignment="1">
      <alignment vertical="center"/>
    </xf>
    <xf numFmtId="2" fontId="29" fillId="13" borderId="0" xfId="0" applyNumberFormat="1" applyFont="1" applyFill="1" applyAlignment="1">
      <alignment horizontal="left" vertical="center"/>
    </xf>
    <xf numFmtId="0" fontId="8" fillId="2" borderId="31" xfId="0" applyFont="1" applyFill="1" applyBorder="1" applyAlignment="1">
      <alignment vertical="center" wrapText="1"/>
    </xf>
    <xf numFmtId="164" fontId="26" fillId="0" borderId="31" xfId="0" applyNumberFormat="1" applyFont="1" applyFill="1" applyBorder="1" applyAlignment="1">
      <alignment horizontal="left" vertical="center" wrapText="1"/>
    </xf>
    <xf numFmtId="1" fontId="27" fillId="0" borderId="31" xfId="0" applyNumberFormat="1" applyFont="1" applyFill="1" applyBorder="1" applyAlignment="1">
      <alignment horizontal="left" vertical="center"/>
    </xf>
    <xf numFmtId="9" fontId="27" fillId="2" borderId="31" xfId="0" applyNumberFormat="1" applyFont="1" applyFill="1" applyBorder="1" applyAlignment="1">
      <alignment horizontal="left" vertical="center" wrapText="1"/>
    </xf>
    <xf numFmtId="0" fontId="23" fillId="2" borderId="31" xfId="0" applyFont="1" applyFill="1" applyBorder="1" applyAlignment="1">
      <alignment vertical="center" wrapText="1"/>
    </xf>
    <xf numFmtId="164" fontId="26" fillId="2" borderId="31" xfId="0" applyNumberFormat="1" applyFont="1" applyFill="1" applyBorder="1" applyAlignment="1">
      <alignment horizontal="left" vertical="center" wrapText="1"/>
    </xf>
    <xf numFmtId="2" fontId="27" fillId="0" borderId="31" xfId="0" applyNumberFormat="1" applyFont="1" applyFill="1" applyBorder="1" applyAlignment="1">
      <alignment horizontal="left" vertical="center"/>
    </xf>
    <xf numFmtId="0" fontId="0" fillId="0" borderId="0" xfId="0" applyBorder="1"/>
    <xf numFmtId="1" fontId="29" fillId="16" borderId="0" xfId="0" applyNumberFormat="1" applyFont="1" applyFill="1" applyAlignment="1" applyProtection="1">
      <alignment horizontal="left" vertical="center"/>
      <protection locked="0"/>
    </xf>
    <xf numFmtId="1" fontId="68" fillId="12" borderId="0" xfId="0" applyNumberFormat="1" applyFont="1" applyFill="1" applyBorder="1" applyAlignment="1" applyProtection="1">
      <alignment horizontal="left" vertical="center"/>
      <protection locked="0"/>
    </xf>
    <xf numFmtId="0" fontId="20" fillId="2" borderId="2" xfId="0" applyFont="1" applyFill="1" applyBorder="1" applyAlignment="1" applyProtection="1">
      <alignment vertical="top" wrapText="1"/>
    </xf>
    <xf numFmtId="0" fontId="9" fillId="2" borderId="2" xfId="0" applyFont="1" applyFill="1" applyBorder="1" applyAlignment="1" applyProtection="1"/>
    <xf numFmtId="0" fontId="52" fillId="2" borderId="0" xfId="0" applyFont="1" applyFill="1" applyBorder="1" applyAlignment="1" applyProtection="1"/>
    <xf numFmtId="0" fontId="52" fillId="0" borderId="0" xfId="0" applyFont="1" applyBorder="1" applyAlignment="1" applyProtection="1">
      <alignment vertical="top" wrapText="1"/>
    </xf>
    <xf numFmtId="0" fontId="52" fillId="0" borderId="0" xfId="0" applyFont="1" applyFill="1" applyBorder="1" applyAlignment="1" applyProtection="1"/>
    <xf numFmtId="0" fontId="52" fillId="2" borderId="0" xfId="0" applyFont="1" applyFill="1" applyBorder="1" applyAlignment="1" applyProtection="1">
      <alignment vertical="top" wrapText="1"/>
    </xf>
    <xf numFmtId="0" fontId="26" fillId="2" borderId="0" xfId="0" applyFont="1" applyFill="1" applyBorder="1" applyAlignment="1" applyProtection="1">
      <alignment vertical="center"/>
    </xf>
    <xf numFmtId="0" fontId="7" fillId="0" borderId="0" xfId="0" applyFont="1" applyFill="1" applyAlignment="1" applyProtection="1">
      <alignment wrapText="1"/>
    </xf>
    <xf numFmtId="0" fontId="7" fillId="0" borderId="0" xfId="0" applyFont="1" applyFill="1" applyProtection="1"/>
    <xf numFmtId="0" fontId="7" fillId="0" borderId="0" xfId="0" applyFont="1" applyFill="1" applyAlignment="1" applyProtection="1">
      <alignment horizontal="center"/>
    </xf>
    <xf numFmtId="164" fontId="76" fillId="0" borderId="0" xfId="0" applyNumberFormat="1" applyFont="1" applyFill="1" applyBorder="1" applyAlignment="1" applyProtection="1">
      <alignment horizontal="right" vertical="center" wrapText="1"/>
    </xf>
    <xf numFmtId="164" fontId="28" fillId="16" borderId="0" xfId="0" applyNumberFormat="1" applyFont="1" applyFill="1" applyBorder="1" applyAlignment="1" applyProtection="1">
      <alignment horizontal="left" vertical="center" wrapText="1"/>
    </xf>
    <xf numFmtId="1" fontId="29" fillId="16" borderId="0" xfId="0" applyNumberFormat="1" applyFont="1" applyFill="1" applyAlignment="1" applyProtection="1">
      <alignment horizontal="left" vertical="center"/>
    </xf>
    <xf numFmtId="164" fontId="29" fillId="16" borderId="0" xfId="0" applyNumberFormat="1" applyFont="1" applyFill="1" applyAlignment="1" applyProtection="1">
      <alignment horizontal="left" vertical="center"/>
    </xf>
    <xf numFmtId="164" fontId="68" fillId="12" borderId="0" xfId="0" applyNumberFormat="1" applyFont="1" applyFill="1" applyBorder="1" applyAlignment="1" applyProtection="1">
      <alignment horizontal="left" vertical="center" wrapText="1"/>
    </xf>
    <xf numFmtId="1" fontId="68" fillId="12" borderId="0" xfId="0" applyNumberFormat="1" applyFont="1" applyFill="1" applyBorder="1" applyAlignment="1" applyProtection="1">
      <alignment horizontal="left" vertical="center"/>
    </xf>
    <xf numFmtId="164" fontId="68" fillId="12" borderId="0" xfId="0" applyNumberFormat="1" applyFont="1" applyFill="1" applyBorder="1" applyAlignment="1" applyProtection="1">
      <alignment horizontal="left" vertical="center"/>
    </xf>
    <xf numFmtId="164" fontId="68" fillId="11" borderId="0" xfId="0" applyNumberFormat="1" applyFont="1" applyFill="1" applyBorder="1" applyAlignment="1" applyProtection="1">
      <alignment horizontal="left" vertical="center" wrapText="1"/>
    </xf>
    <xf numFmtId="1" fontId="52" fillId="0" borderId="0" xfId="0" applyNumberFormat="1" applyFont="1" applyFill="1" applyAlignment="1" applyProtection="1">
      <alignment horizontal="left" vertical="center"/>
    </xf>
    <xf numFmtId="164" fontId="68" fillId="11" borderId="0" xfId="0" applyNumberFormat="1" applyFont="1" applyFill="1" applyBorder="1" applyAlignment="1" applyProtection="1">
      <alignment horizontal="left" vertical="center"/>
    </xf>
    <xf numFmtId="0" fontId="12" fillId="0" borderId="0" xfId="0" applyFont="1"/>
    <xf numFmtId="0" fontId="0" fillId="0" borderId="0" xfId="0" applyNumberFormat="1"/>
    <xf numFmtId="0" fontId="12" fillId="0" borderId="0" xfId="0" applyNumberFormat="1" applyFont="1"/>
    <xf numFmtId="0" fontId="11" fillId="17" borderId="0" xfId="0" applyFont="1" applyFill="1"/>
    <xf numFmtId="0" fontId="11" fillId="17" borderId="0" xfId="0" applyNumberFormat="1" applyFont="1" applyFill="1"/>
    <xf numFmtId="0" fontId="0" fillId="0" borderId="32" xfId="0" applyBorder="1"/>
    <xf numFmtId="9" fontId="0" fillId="0" borderId="32" xfId="544" applyFont="1" applyBorder="1"/>
    <xf numFmtId="9" fontId="0" fillId="0" borderId="33" xfId="544" applyFont="1" applyBorder="1"/>
    <xf numFmtId="9" fontId="0" fillId="0" borderId="34" xfId="544" applyFont="1" applyBorder="1"/>
    <xf numFmtId="9" fontId="0" fillId="0" borderId="35" xfId="544" applyFont="1" applyBorder="1"/>
    <xf numFmtId="0" fontId="69" fillId="2" borderId="2" xfId="0" applyFont="1" applyFill="1" applyBorder="1" applyAlignment="1"/>
    <xf numFmtId="0" fontId="33" fillId="2" borderId="0" xfId="0" applyFont="1" applyFill="1" applyBorder="1" applyAlignment="1">
      <alignment wrapText="1"/>
    </xf>
    <xf numFmtId="0" fontId="34" fillId="2" borderId="0" xfId="0" applyFont="1" applyFill="1" applyBorder="1" applyAlignment="1">
      <alignment horizontal="center"/>
    </xf>
    <xf numFmtId="0" fontId="35" fillId="2" borderId="0" xfId="0" applyFont="1" applyFill="1" applyBorder="1" applyAlignment="1" applyProtection="1">
      <alignment wrapText="1"/>
    </xf>
    <xf numFmtId="0" fontId="53" fillId="0" borderId="7" xfId="404" applyFont="1" applyBorder="1" applyAlignment="1" applyProtection="1">
      <alignment horizontal="right"/>
      <protection locked="0"/>
    </xf>
    <xf numFmtId="1" fontId="27" fillId="0" borderId="0" xfId="0" applyNumberFormat="1" applyFont="1" applyFill="1" applyBorder="1" applyAlignment="1">
      <alignment horizontal="left" vertical="center"/>
    </xf>
    <xf numFmtId="2" fontId="27" fillId="0" borderId="0" xfId="0" applyNumberFormat="1" applyFont="1" applyFill="1" applyBorder="1" applyAlignment="1">
      <alignment horizontal="left" vertical="center"/>
    </xf>
    <xf numFmtId="0" fontId="74" fillId="12" borderId="0" xfId="0" applyFont="1" applyFill="1" applyBorder="1" applyAlignment="1" applyProtection="1">
      <alignment vertical="center" wrapText="1"/>
      <protection locked="0"/>
    </xf>
    <xf numFmtId="164" fontId="76" fillId="11" borderId="0" xfId="0" applyNumberFormat="1" applyFont="1" applyFill="1" applyBorder="1" applyAlignment="1" applyProtection="1">
      <alignment horizontal="left" vertical="center" wrapText="1"/>
      <protection locked="0"/>
    </xf>
    <xf numFmtId="164" fontId="28" fillId="16" borderId="0" xfId="0" applyNumberFormat="1" applyFont="1" applyFill="1" applyBorder="1" applyAlignment="1" applyProtection="1">
      <alignment horizontal="left" vertical="center" wrapText="1"/>
      <protection locked="0"/>
    </xf>
    <xf numFmtId="1" fontId="68" fillId="11" borderId="0" xfId="0" applyNumberFormat="1" applyFont="1" applyFill="1" applyAlignment="1" applyProtection="1">
      <alignment horizontal="left" vertical="center"/>
    </xf>
    <xf numFmtId="164" fontId="68" fillId="12" borderId="0" xfId="0" applyNumberFormat="1" applyFont="1" applyFill="1" applyBorder="1" applyAlignment="1" applyProtection="1">
      <alignment horizontal="left" vertical="center" wrapText="1"/>
      <protection locked="0"/>
    </xf>
    <xf numFmtId="164" fontId="68" fillId="11" borderId="0" xfId="0" applyNumberFormat="1" applyFont="1" applyFill="1" applyBorder="1" applyAlignment="1" applyProtection="1">
      <alignment horizontal="left" vertical="center" wrapText="1"/>
      <protection locked="0"/>
    </xf>
    <xf numFmtId="1" fontId="68" fillId="11" borderId="0" xfId="0" applyNumberFormat="1" applyFont="1" applyFill="1" applyBorder="1" applyAlignment="1" applyProtection="1">
      <alignment horizontal="left" vertical="center" wrapText="1"/>
    </xf>
    <xf numFmtId="9" fontId="68" fillId="12" borderId="0" xfId="0" applyNumberFormat="1" applyFont="1" applyFill="1" applyBorder="1" applyAlignment="1" applyProtection="1">
      <alignment horizontal="left" vertical="center"/>
    </xf>
    <xf numFmtId="9" fontId="68" fillId="11" borderId="0" xfId="0" applyNumberFormat="1" applyFont="1" applyFill="1" applyBorder="1" applyAlignment="1" applyProtection="1">
      <alignment horizontal="left" vertical="center"/>
    </xf>
    <xf numFmtId="164" fontId="79" fillId="0" borderId="0" xfId="0" applyNumberFormat="1" applyFont="1" applyFill="1" applyBorder="1" applyAlignment="1">
      <alignment horizontal="left" vertical="center" wrapText="1"/>
    </xf>
    <xf numFmtId="1" fontId="79" fillId="0" borderId="0" xfId="0" applyNumberFormat="1" applyFont="1" applyFill="1" applyAlignment="1">
      <alignment horizontal="left" vertical="center"/>
    </xf>
    <xf numFmtId="164" fontId="9" fillId="0" borderId="13" xfId="404" applyNumberFormat="1" applyFont="1" applyBorder="1" applyAlignment="1" applyProtection="1">
      <alignment horizontal="right" vertical="center"/>
      <protection locked="0"/>
    </xf>
    <xf numFmtId="164" fontId="9" fillId="0" borderId="5" xfId="404" applyNumberFormat="1" applyFont="1" applyBorder="1" applyAlignment="1" applyProtection="1">
      <alignment horizontal="right" vertical="center"/>
      <protection locked="0"/>
    </xf>
    <xf numFmtId="0" fontId="9" fillId="0" borderId="0" xfId="404" applyFont="1" applyProtection="1"/>
    <xf numFmtId="1" fontId="20" fillId="3" borderId="0" xfId="0" applyNumberFormat="1" applyFont="1" applyFill="1" applyBorder="1" applyAlignment="1" applyProtection="1">
      <alignment horizontal="left" vertical="top" wrapText="1"/>
    </xf>
    <xf numFmtId="1" fontId="20" fillId="2" borderId="0" xfId="0" applyNumberFormat="1" applyFont="1" applyFill="1" applyBorder="1" applyAlignment="1" applyProtection="1">
      <alignment horizontal="left" vertical="top" wrapText="1"/>
    </xf>
    <xf numFmtId="165" fontId="68" fillId="11" borderId="0" xfId="0" applyNumberFormat="1" applyFont="1" applyFill="1" applyAlignment="1">
      <alignment horizontal="left" vertical="center"/>
    </xf>
    <xf numFmtId="0" fontId="9" fillId="0" borderId="7" xfId="404" quotePrefix="1" applyNumberFormat="1" applyFont="1" applyBorder="1" applyAlignment="1" applyProtection="1">
      <alignment horizontal="left" vertical="center"/>
    </xf>
    <xf numFmtId="9" fontId="25" fillId="2" borderId="0" xfId="0" applyNumberFormat="1" applyFont="1" applyFill="1" applyBorder="1" applyAlignment="1">
      <alignment horizontal="left" vertical="center" wrapText="1"/>
    </xf>
    <xf numFmtId="0" fontId="10" fillId="16" borderId="0" xfId="0" applyFont="1" applyFill="1" applyBorder="1" applyAlignment="1">
      <alignment horizontal="left"/>
    </xf>
    <xf numFmtId="164" fontId="80" fillId="16" borderId="0" xfId="0" applyNumberFormat="1" applyFont="1" applyFill="1" applyBorder="1" applyAlignment="1" applyProtection="1">
      <alignment horizontal="left" vertical="center" wrapText="1"/>
      <protection locked="0"/>
    </xf>
    <xf numFmtId="1" fontId="49" fillId="16" borderId="0" xfId="0" applyNumberFormat="1" applyFont="1" applyFill="1" applyAlignment="1" applyProtection="1">
      <alignment horizontal="left" vertical="center"/>
      <protection locked="0"/>
    </xf>
    <xf numFmtId="9" fontId="49" fillId="16" borderId="0" xfId="0" quotePrefix="1" applyNumberFormat="1" applyFont="1" applyFill="1" applyBorder="1" applyAlignment="1" applyProtection="1">
      <alignment horizontal="left" vertical="center"/>
      <protection locked="0"/>
    </xf>
    <xf numFmtId="164" fontId="80" fillId="16" borderId="0" xfId="0" applyNumberFormat="1" applyFont="1" applyFill="1" applyBorder="1" applyAlignment="1" applyProtection="1">
      <alignment horizontal="left" vertical="center" wrapText="1"/>
    </xf>
    <xf numFmtId="9" fontId="40" fillId="16" borderId="0" xfId="0" quotePrefix="1" applyNumberFormat="1" applyFont="1" applyFill="1" applyBorder="1" applyAlignment="1" applyProtection="1">
      <alignment horizontal="left" vertical="center"/>
      <protection locked="0"/>
    </xf>
    <xf numFmtId="9" fontId="40" fillId="16" borderId="0" xfId="0" applyNumberFormat="1" applyFont="1" applyFill="1" applyBorder="1" applyAlignment="1" applyProtection="1">
      <alignment horizontal="left" vertical="center"/>
      <protection locked="0"/>
    </xf>
    <xf numFmtId="9" fontId="68" fillId="12" borderId="0" xfId="0" quotePrefix="1" applyNumberFormat="1" applyFont="1" applyFill="1" applyBorder="1" applyAlignment="1" applyProtection="1">
      <alignment horizontal="left" vertical="center"/>
      <protection locked="0"/>
    </xf>
    <xf numFmtId="0" fontId="81" fillId="0" borderId="0" xfId="565" applyFont="1"/>
    <xf numFmtId="0" fontId="82" fillId="0" borderId="0" xfId="565" applyFont="1"/>
    <xf numFmtId="0" fontId="83" fillId="0" borderId="0" xfId="565" applyFont="1"/>
    <xf numFmtId="0" fontId="81" fillId="0" borderId="36" xfId="565" applyFont="1" applyBorder="1"/>
    <xf numFmtId="0" fontId="84" fillId="0" borderId="36" xfId="565" applyFont="1" applyBorder="1"/>
    <xf numFmtId="0" fontId="85" fillId="0" borderId="0" xfId="565" applyFont="1" applyAlignment="1">
      <alignment vertical="center"/>
    </xf>
    <xf numFmtId="0" fontId="87" fillId="17" borderId="0" xfId="565" applyFont="1" applyFill="1" applyAlignment="1">
      <alignment vertical="center"/>
    </xf>
    <xf numFmtId="0" fontId="87" fillId="17" borderId="0" xfId="565" applyFont="1" applyFill="1"/>
    <xf numFmtId="0" fontId="88" fillId="0" borderId="0" xfId="565" applyFont="1" applyFill="1" applyBorder="1" applyAlignment="1">
      <alignment horizontal="right" vertical="top" wrapText="1"/>
    </xf>
    <xf numFmtId="0" fontId="81" fillId="0" borderId="0" xfId="565" applyFont="1" applyFill="1" applyAlignment="1">
      <alignment vertical="top" wrapText="1"/>
    </xf>
    <xf numFmtId="0" fontId="88" fillId="0" borderId="37" xfId="565" applyFont="1" applyFill="1" applyBorder="1" applyAlignment="1">
      <alignment horizontal="right" vertical="top" wrapText="1"/>
    </xf>
    <xf numFmtId="0" fontId="88" fillId="0" borderId="37" xfId="565" applyFont="1" applyBorder="1" applyAlignment="1">
      <alignment horizontal="right" vertical="top" wrapText="1"/>
    </xf>
    <xf numFmtId="0" fontId="81" fillId="0" borderId="0" xfId="565" applyFont="1" applyAlignment="1">
      <alignment horizontal="right" vertical="center"/>
    </xf>
    <xf numFmtId="0" fontId="89" fillId="18" borderId="41" xfId="565" applyFont="1" applyFill="1" applyBorder="1" applyAlignment="1">
      <alignment horizontal="left" vertical="top" wrapText="1"/>
    </xf>
    <xf numFmtId="0" fontId="89" fillId="18" borderId="42" xfId="565" applyFont="1" applyFill="1" applyBorder="1" applyAlignment="1">
      <alignment horizontal="left" vertical="top" wrapText="1"/>
    </xf>
    <xf numFmtId="0" fontId="91" fillId="0" borderId="38" xfId="565" applyFont="1" applyFill="1" applyBorder="1" applyAlignment="1">
      <alignment horizontal="left" vertical="top" wrapText="1"/>
    </xf>
    <xf numFmtId="0" fontId="91" fillId="0" borderId="0" xfId="565" applyFont="1" applyFill="1" applyAlignment="1">
      <alignment horizontal="left" vertical="top" wrapText="1"/>
    </xf>
    <xf numFmtId="0" fontId="86" fillId="0" borderId="0" xfId="565" applyFont="1" applyAlignment="1">
      <alignment horizontal="left" vertical="top" wrapText="1"/>
    </xf>
    <xf numFmtId="0" fontId="89" fillId="18" borderId="38" xfId="565" applyFont="1" applyFill="1" applyBorder="1" applyAlignment="1">
      <alignment horizontal="left" vertical="top" wrapText="1"/>
    </xf>
    <xf numFmtId="0" fontId="89" fillId="18" borderId="0" xfId="565" applyFont="1" applyFill="1" applyAlignment="1">
      <alignment horizontal="left" vertical="top" wrapText="1"/>
    </xf>
    <xf numFmtId="0" fontId="89" fillId="18" borderId="39" xfId="565" applyFont="1" applyFill="1" applyBorder="1" applyAlignment="1">
      <alignment horizontal="left" vertical="top" wrapText="1"/>
    </xf>
    <xf numFmtId="0" fontId="89" fillId="18" borderId="40" xfId="565" applyFont="1" applyFill="1" applyBorder="1" applyAlignment="1">
      <alignment horizontal="left" vertical="top" wrapText="1"/>
    </xf>
    <xf numFmtId="0" fontId="89" fillId="18" borderId="41" xfId="565" applyFont="1" applyFill="1" applyBorder="1" applyAlignment="1" applyProtection="1">
      <alignment horizontal="left" vertical="top" wrapText="1"/>
      <protection locked="0"/>
    </xf>
    <xf numFmtId="0" fontId="89" fillId="18" borderId="42" xfId="565" applyFont="1" applyFill="1" applyBorder="1" applyAlignment="1" applyProtection="1">
      <alignment horizontal="left" vertical="top" wrapText="1"/>
      <protection locked="0"/>
    </xf>
    <xf numFmtId="0" fontId="90" fillId="0" borderId="0" xfId="565" applyFont="1" applyFill="1" applyAlignment="1">
      <alignment horizontal="left" vertical="top" wrapText="1"/>
    </xf>
    <xf numFmtId="0" fontId="23" fillId="0" borderId="3" xfId="0" applyFont="1" applyBorder="1" applyAlignment="1">
      <alignment horizontal="center"/>
    </xf>
    <xf numFmtId="0" fontId="45" fillId="0" borderId="22" xfId="0" applyFont="1" applyFill="1" applyBorder="1" applyAlignment="1" applyProtection="1">
      <alignment horizontal="left"/>
      <protection locked="0"/>
    </xf>
    <xf numFmtId="0" fontId="10" fillId="16" borderId="0" xfId="0" applyFont="1" applyFill="1" applyBorder="1" applyAlignment="1">
      <alignment horizontal="left" vertical="center"/>
    </xf>
    <xf numFmtId="0" fontId="67" fillId="2" borderId="0" xfId="0" applyFont="1" applyFill="1" applyBorder="1" applyAlignment="1" applyProtection="1">
      <alignment horizontal="left" vertical="top" wrapText="1"/>
    </xf>
    <xf numFmtId="0" fontId="67" fillId="2" borderId="0" xfId="0" applyFont="1" applyFill="1" applyAlignment="1" applyProtection="1">
      <alignment horizontal="left" vertical="top" wrapText="1"/>
    </xf>
    <xf numFmtId="0" fontId="64" fillId="2" borderId="0" xfId="0" applyFont="1" applyFill="1" applyBorder="1" applyAlignment="1">
      <alignment horizontal="left" vertical="center" wrapText="1"/>
    </xf>
    <xf numFmtId="0" fontId="58" fillId="2" borderId="0" xfId="0" applyFont="1" applyFill="1" applyBorder="1" applyAlignment="1">
      <alignment horizontal="left"/>
    </xf>
    <xf numFmtId="0" fontId="50" fillId="0" borderId="0" xfId="430" applyFont="1" applyFill="1" applyAlignment="1" applyProtection="1">
      <alignment horizontal="right" vertical="top"/>
    </xf>
    <xf numFmtId="0" fontId="62" fillId="2" borderId="23" xfId="0" applyFont="1" applyFill="1" applyBorder="1" applyAlignment="1" applyProtection="1">
      <alignment horizontal="left" vertical="top" wrapText="1"/>
      <protection locked="0"/>
    </xf>
    <xf numFmtId="0" fontId="62" fillId="2" borderId="24" xfId="0" applyFont="1" applyFill="1" applyBorder="1" applyAlignment="1" applyProtection="1">
      <alignment horizontal="left" vertical="top" wrapText="1"/>
      <protection locked="0"/>
    </xf>
    <xf numFmtId="0" fontId="62" fillId="2" borderId="25" xfId="0" applyFont="1" applyFill="1" applyBorder="1" applyAlignment="1" applyProtection="1">
      <alignment horizontal="left" vertical="top" wrapText="1"/>
      <protection locked="0"/>
    </xf>
    <xf numFmtId="0" fontId="62" fillId="2" borderId="26" xfId="0" applyFont="1" applyFill="1" applyBorder="1" applyAlignment="1" applyProtection="1">
      <alignment horizontal="left" vertical="top" wrapText="1"/>
      <protection locked="0"/>
    </xf>
    <xf numFmtId="0" fontId="62" fillId="2" borderId="0" xfId="0" applyFont="1" applyFill="1" applyBorder="1" applyAlignment="1" applyProtection="1">
      <alignment horizontal="left" vertical="top" wrapText="1"/>
      <protection locked="0"/>
    </xf>
    <xf numFmtId="0" fontId="62" fillId="2" borderId="27" xfId="0" applyFont="1" applyFill="1" applyBorder="1" applyAlignment="1" applyProtection="1">
      <alignment horizontal="left" vertical="top" wrapText="1"/>
      <protection locked="0"/>
    </xf>
    <xf numFmtId="0" fontId="62" fillId="2" borderId="28" xfId="0" applyFont="1" applyFill="1" applyBorder="1" applyAlignment="1" applyProtection="1">
      <alignment horizontal="left" vertical="top" wrapText="1"/>
      <protection locked="0"/>
    </xf>
    <xf numFmtId="0" fontId="62" fillId="2" borderId="29" xfId="0" applyFont="1" applyFill="1" applyBorder="1" applyAlignment="1" applyProtection="1">
      <alignment horizontal="left" vertical="top" wrapText="1"/>
      <protection locked="0"/>
    </xf>
    <xf numFmtId="0" fontId="62" fillId="2" borderId="30" xfId="0" applyFont="1" applyFill="1" applyBorder="1" applyAlignment="1" applyProtection="1">
      <alignment horizontal="left" vertical="top" wrapText="1"/>
      <protection locked="0"/>
    </xf>
    <xf numFmtId="0" fontId="49" fillId="0" borderId="0" xfId="0" applyFont="1" applyFill="1" applyAlignment="1" applyProtection="1">
      <alignment horizontal="right"/>
    </xf>
    <xf numFmtId="0" fontId="77" fillId="0" borderId="0" xfId="404" applyFont="1" applyAlignment="1" applyProtection="1">
      <alignment horizontal="left" wrapText="1"/>
    </xf>
    <xf numFmtId="0" fontId="43" fillId="0" borderId="0" xfId="404" applyFont="1" applyAlignment="1" applyProtection="1">
      <alignment horizontal="center" textRotation="90"/>
    </xf>
    <xf numFmtId="0" fontId="37" fillId="0" borderId="0" xfId="404" applyFont="1" applyAlignment="1" applyProtection="1">
      <alignment horizontal="center" textRotation="90"/>
    </xf>
    <xf numFmtId="0" fontId="42" fillId="0" borderId="0" xfId="404" applyFont="1" applyAlignment="1" applyProtection="1">
      <alignment horizontal="center" textRotation="90"/>
    </xf>
    <xf numFmtId="2" fontId="37" fillId="0" borderId="0" xfId="404" applyNumberFormat="1" applyFont="1" applyAlignment="1" applyProtection="1">
      <alignment horizontal="center" textRotation="90"/>
    </xf>
    <xf numFmtId="0" fontId="41" fillId="0" borderId="0" xfId="404" applyFont="1" applyAlignment="1" applyProtection="1">
      <alignment horizontal="center" textRotation="90"/>
    </xf>
  </cellXfs>
  <cellStyles count="5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14" builtinId="9" hidden="1"/>
    <cellStyle name="Followed Hyperlink" xfId="415"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7" builtinId="9" hidden="1"/>
    <cellStyle name="Followed Hyperlink" xfId="429"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417" builtinId="8" hidden="1"/>
    <cellStyle name="Hyperlink" xfId="419" builtinId="8" hidden="1"/>
    <cellStyle name="Hyperlink" xfId="421" builtinId="8" hidden="1"/>
    <cellStyle name="Hyperlink" xfId="423" builtinId="8" hidden="1"/>
    <cellStyle name="Hyperlink" xfId="426" builtinId="8" hidden="1"/>
    <cellStyle name="Hyperlink" xfId="428" builtinId="8" hidden="1"/>
    <cellStyle name="Hyperlink" xfId="430" builtinId="8"/>
    <cellStyle name="Hyperlink 2" xfId="402" xr:uid="{00000000-0005-0000-0000-000023020000}"/>
    <cellStyle name="Hyperlink 3" xfId="403" xr:uid="{00000000-0005-0000-0000-000024020000}"/>
    <cellStyle name="Input 2" xfId="425" xr:uid="{00000000-0005-0000-0000-000025020000}"/>
    <cellStyle name="Normal" xfId="0" builtinId="0"/>
    <cellStyle name="Normal 2" xfId="187" xr:uid="{00000000-0005-0000-0000-000027020000}"/>
    <cellStyle name="Normal 2 2" xfId="404" xr:uid="{00000000-0005-0000-0000-000028020000}"/>
    <cellStyle name="Normal 2 2 2" xfId="405" xr:uid="{00000000-0005-0000-0000-000029020000}"/>
    <cellStyle name="Normal 2 2 2 2" xfId="406" xr:uid="{00000000-0005-0000-0000-00002A020000}"/>
    <cellStyle name="Normal 2 3" xfId="407" xr:uid="{00000000-0005-0000-0000-00002B020000}"/>
    <cellStyle name="Normal 2 4" xfId="565" xr:uid="{00000000-0005-0000-0000-00002C020000}"/>
    <cellStyle name="Normal 3" xfId="188" xr:uid="{00000000-0005-0000-0000-00002D020000}"/>
    <cellStyle name="Normal 4" xfId="408" xr:uid="{00000000-0005-0000-0000-00002E020000}"/>
    <cellStyle name="Normal 4 2" xfId="409" xr:uid="{00000000-0005-0000-0000-00002F020000}"/>
    <cellStyle name="Normal 4 3" xfId="410" xr:uid="{00000000-0005-0000-0000-000030020000}"/>
    <cellStyle name="Normal 4 3 2" xfId="411" xr:uid="{00000000-0005-0000-0000-000031020000}"/>
    <cellStyle name="Normal 4 4" xfId="412" xr:uid="{00000000-0005-0000-0000-000032020000}"/>
    <cellStyle name="Normal 5" xfId="431" xr:uid="{00000000-0005-0000-0000-000033020000}"/>
    <cellStyle name="Percent" xfId="544" builtinId="5"/>
    <cellStyle name="WinCalendar_BlankDates_28" xfId="413" xr:uid="{00000000-0005-0000-0000-000035020000}"/>
  </cellStyles>
  <dxfs count="34">
    <dxf>
      <font>
        <b/>
        <i val="0"/>
        <color auto="1"/>
      </font>
      <fill>
        <patternFill patternType="solid">
          <fgColor indexed="64"/>
          <bgColor theme="0" tint="-4.9989318521683403E-2"/>
        </patternFill>
      </fill>
    </dxf>
    <dxf>
      <font>
        <b/>
        <i val="0"/>
        <color auto="1"/>
      </font>
      <fill>
        <patternFill patternType="solid">
          <fgColor indexed="64"/>
          <bgColor theme="0" tint="-0.34998626667073579"/>
        </patternFill>
      </fill>
    </dxf>
    <dxf>
      <font>
        <b/>
        <i val="0"/>
        <color theme="1"/>
      </font>
      <fill>
        <patternFill patternType="solid">
          <fgColor indexed="64"/>
          <bgColor theme="0"/>
        </patternFill>
      </fill>
      <border>
        <left style="thin">
          <color auto="1"/>
        </left>
        <right style="thin">
          <color auto="1"/>
        </right>
        <top style="thin">
          <color auto="1"/>
        </top>
        <bottom style="thin">
          <color auto="1"/>
        </bottom>
      </border>
    </dxf>
    <dxf>
      <font>
        <b/>
        <i val="0"/>
        <color theme="0"/>
      </font>
      <fill>
        <patternFill patternType="solid">
          <fgColor indexed="64"/>
          <bgColor rgb="FF008000"/>
        </patternFill>
      </fill>
    </dxf>
    <dxf>
      <font>
        <b/>
        <i val="0"/>
        <color auto="1"/>
      </font>
      <fill>
        <patternFill patternType="solid">
          <fgColor indexed="64"/>
          <bgColor rgb="FFFFFF00"/>
        </patternFill>
      </fill>
    </dxf>
    <dxf>
      <font>
        <b/>
        <i val="0"/>
        <color theme="0"/>
      </font>
      <fill>
        <patternFill patternType="solid">
          <fgColor indexed="64"/>
          <bgColor theme="3"/>
        </patternFill>
      </fill>
    </dxf>
    <dxf>
      <font>
        <b/>
        <i val="0"/>
        <color theme="0"/>
      </font>
      <fill>
        <patternFill patternType="solid">
          <fgColor indexed="64"/>
          <bgColor rgb="FFFF0000"/>
        </patternFill>
      </fill>
    </dxf>
    <dxf>
      <font>
        <b/>
        <i val="0"/>
        <color auto="1"/>
      </font>
      <fill>
        <patternFill patternType="solid">
          <fgColor indexed="64"/>
          <bgColor theme="0" tint="-4.9989318521683403E-2"/>
        </patternFill>
      </fill>
    </dxf>
    <dxf>
      <font>
        <b/>
        <i val="0"/>
        <color auto="1"/>
      </font>
      <fill>
        <patternFill patternType="solid">
          <fgColor indexed="64"/>
          <bgColor theme="0" tint="-0.34998626667073579"/>
        </patternFill>
      </fill>
    </dxf>
    <dxf>
      <font>
        <b/>
        <i val="0"/>
        <color theme="1"/>
      </font>
      <fill>
        <patternFill patternType="solid">
          <fgColor indexed="64"/>
          <bgColor theme="0"/>
        </patternFill>
      </fill>
      <border>
        <left style="thin">
          <color auto="1"/>
        </left>
        <right style="thin">
          <color auto="1"/>
        </right>
        <top style="thin">
          <color auto="1"/>
        </top>
        <bottom style="thin">
          <color auto="1"/>
        </bottom>
      </border>
    </dxf>
    <dxf>
      <font>
        <b/>
        <i val="0"/>
        <color theme="0"/>
      </font>
      <fill>
        <patternFill patternType="solid">
          <fgColor indexed="64"/>
          <bgColor rgb="FF008000"/>
        </patternFill>
      </fill>
    </dxf>
    <dxf>
      <font>
        <b/>
        <i val="0"/>
        <color auto="1"/>
      </font>
      <fill>
        <patternFill patternType="solid">
          <fgColor indexed="64"/>
          <bgColor rgb="FFFFFF00"/>
        </patternFill>
      </fill>
    </dxf>
    <dxf>
      <font>
        <b/>
        <i val="0"/>
        <color theme="0"/>
      </font>
      <fill>
        <patternFill patternType="solid">
          <fgColor indexed="64"/>
          <bgColor theme="3"/>
        </patternFill>
      </fill>
    </dxf>
    <dxf>
      <font>
        <b/>
        <i val="0"/>
        <color theme="0"/>
      </font>
      <fill>
        <patternFill patternType="solid">
          <fgColor indexed="64"/>
          <bgColor rgb="FFFF0000"/>
        </patternFill>
      </fill>
    </dxf>
    <dxf>
      <font>
        <b/>
        <i val="0"/>
        <color auto="1"/>
      </font>
      <fill>
        <patternFill patternType="solid">
          <fgColor indexed="64"/>
          <bgColor theme="0" tint="-4.9989318521683403E-2"/>
        </patternFill>
      </fill>
    </dxf>
    <dxf>
      <font>
        <b/>
        <i val="0"/>
        <color auto="1"/>
      </font>
      <fill>
        <patternFill patternType="solid">
          <fgColor indexed="64"/>
          <bgColor theme="0" tint="-0.34998626667073579"/>
        </patternFill>
      </fill>
    </dxf>
    <dxf>
      <font>
        <b/>
        <i val="0"/>
        <color theme="1"/>
      </font>
      <fill>
        <patternFill patternType="solid">
          <fgColor indexed="64"/>
          <bgColor theme="0"/>
        </patternFill>
      </fill>
      <border>
        <left style="thin">
          <color auto="1"/>
        </left>
        <right style="thin">
          <color auto="1"/>
        </right>
        <top style="thin">
          <color auto="1"/>
        </top>
        <bottom style="thin">
          <color auto="1"/>
        </bottom>
      </border>
    </dxf>
    <dxf>
      <font>
        <b/>
        <i val="0"/>
        <color theme="0"/>
      </font>
      <fill>
        <patternFill patternType="solid">
          <fgColor indexed="64"/>
          <bgColor rgb="FF008000"/>
        </patternFill>
      </fill>
    </dxf>
    <dxf>
      <font>
        <b/>
        <i val="0"/>
        <color auto="1"/>
      </font>
      <fill>
        <patternFill patternType="solid">
          <fgColor indexed="64"/>
          <bgColor rgb="FFFFFF00"/>
        </patternFill>
      </fill>
    </dxf>
    <dxf>
      <font>
        <b/>
        <i val="0"/>
        <color theme="0"/>
      </font>
      <fill>
        <patternFill patternType="solid">
          <fgColor indexed="64"/>
          <bgColor theme="3"/>
        </patternFill>
      </fill>
    </dxf>
    <dxf>
      <font>
        <b/>
        <i val="0"/>
        <color theme="0"/>
      </font>
      <fill>
        <patternFill patternType="solid">
          <fgColor indexed="64"/>
          <bgColor rgb="FFFF0000"/>
        </patternFill>
      </fill>
    </dxf>
    <dxf>
      <font>
        <b/>
        <i val="0"/>
        <color auto="1"/>
      </font>
      <fill>
        <patternFill patternType="solid">
          <fgColor indexed="64"/>
          <bgColor theme="0" tint="-4.9989318521683403E-2"/>
        </patternFill>
      </fill>
    </dxf>
    <dxf>
      <font>
        <b/>
        <i val="0"/>
        <color auto="1"/>
      </font>
      <fill>
        <patternFill patternType="solid">
          <fgColor indexed="64"/>
          <bgColor theme="0" tint="-0.34998626667073579"/>
        </patternFill>
      </fill>
    </dxf>
    <dxf>
      <font>
        <b/>
        <i val="0"/>
        <color theme="1"/>
      </font>
      <fill>
        <patternFill patternType="solid">
          <fgColor indexed="64"/>
          <bgColor theme="0"/>
        </patternFill>
      </fill>
      <border>
        <left style="thin">
          <color auto="1"/>
        </left>
        <right style="thin">
          <color auto="1"/>
        </right>
        <top style="thin">
          <color auto="1"/>
        </top>
        <bottom style="thin">
          <color auto="1"/>
        </bottom>
      </border>
    </dxf>
    <dxf>
      <font>
        <b/>
        <i val="0"/>
        <color theme="0"/>
      </font>
      <fill>
        <patternFill patternType="solid">
          <fgColor indexed="64"/>
          <bgColor rgb="FF008000"/>
        </patternFill>
      </fill>
    </dxf>
    <dxf>
      <font>
        <b/>
        <i val="0"/>
        <color auto="1"/>
      </font>
      <fill>
        <patternFill patternType="solid">
          <fgColor indexed="64"/>
          <bgColor rgb="FFFFFF00"/>
        </patternFill>
      </fill>
    </dxf>
    <dxf>
      <font>
        <b/>
        <i val="0"/>
        <color theme="0"/>
      </font>
      <fill>
        <patternFill patternType="solid">
          <fgColor indexed="64"/>
          <bgColor theme="3"/>
        </patternFill>
      </fill>
    </dxf>
    <dxf>
      <font>
        <b/>
        <i val="0"/>
        <color theme="0"/>
      </font>
      <fill>
        <patternFill patternType="solid">
          <fgColor indexed="64"/>
          <bgColor rgb="FFFF0000"/>
        </patternFill>
      </fill>
    </dxf>
    <dxf>
      <border>
        <left/>
        <right/>
        <top style="hair">
          <color auto="1"/>
        </top>
        <bottom style="hair">
          <color auto="1"/>
        </bottom>
        <vertical/>
        <horizontal style="hair">
          <color auto="1"/>
        </horizontal>
      </border>
    </dxf>
    <dxf>
      <border>
        <left/>
        <right/>
        <top style="hair">
          <color auto="1"/>
        </top>
        <bottom style="hair">
          <color auto="1"/>
        </bottom>
        <vertical/>
        <horizontal style="hair">
          <color auto="1"/>
        </horizontal>
      </border>
    </dxf>
    <dxf>
      <fill>
        <patternFill patternType="solid">
          <fgColor indexed="64"/>
          <bgColor theme="5" tint="0.39997558519241921"/>
        </patternFill>
      </fill>
    </dxf>
    <dxf>
      <font>
        <color theme="0"/>
      </font>
      <fill>
        <patternFill patternType="solid">
          <fgColor indexed="64"/>
          <bgColor theme="5" tint="-0.249977111117893"/>
        </patternFill>
      </fill>
      <border>
        <left/>
        <right/>
        <top/>
        <bottom/>
        <vertical/>
        <horizontal/>
      </border>
    </dxf>
    <dxf>
      <font>
        <color theme="0"/>
      </font>
      <fill>
        <patternFill patternType="solid">
          <fgColor indexed="64"/>
          <bgColor theme="5" tint="-0.249977111117893"/>
        </patternFill>
      </fill>
    </dxf>
    <dxf>
      <border>
        <left/>
        <right/>
        <top style="hair">
          <color auto="1"/>
        </top>
        <bottom style="hair">
          <color auto="1"/>
        </bottom>
        <vertical/>
        <horizontal style="hair">
          <color auto="1"/>
        </horizontal>
      </border>
    </dxf>
  </dxfs>
  <tableStyles count="2" defaultTableStyle="TableStyleMedium9" defaultPivotStyle="PivotStyleMedium4">
    <tableStyle name="Meet History" pivot="0" count="1" xr9:uid="{00000000-0011-0000-FFFF-FFFF00000000}">
      <tableStyleElement type="firstRowStripe" dxfId="33"/>
    </tableStyle>
    <tableStyle name="MeetHistory" pivot="0" count="5" xr9:uid="{00000000-0011-0000-FFFF-FFFF01000000}">
      <tableStyleElement type="headerRow" dxfId="32"/>
      <tableStyleElement type="totalRow" dxfId="31"/>
      <tableStyleElement type="firstColumn" dxfId="30"/>
      <tableStyleElement type="firstRowStripe" dxfId="29"/>
      <tableStyleElement type="secondRowStripe" dxfId="2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ANALYSIS OF ONE SYSTEM OF WARMUPS FOR MEETS</a:t>
            </a:r>
          </a:p>
        </c:rich>
      </c:tx>
      <c:overlay val="0"/>
    </c:title>
    <c:autoTitleDeleted val="0"/>
    <c:plotArea>
      <c:layout/>
      <c:lineChart>
        <c:grouping val="standard"/>
        <c:varyColors val="0"/>
        <c:ser>
          <c:idx val="0"/>
          <c:order val="0"/>
          <c:tx>
            <c:strRef>
              <c:f>'WARMUP LOADS'!$R$4</c:f>
              <c:strCache>
                <c:ptCount val="1"/>
                <c:pt idx="0">
                  <c:v>1st warmup</c:v>
                </c:pt>
              </c:strCache>
            </c:strRef>
          </c:tx>
          <c:marker>
            <c:symbol val="none"/>
          </c:marker>
          <c:cat>
            <c:numRef>
              <c:f>'WARMUP LOADS'!$Q$5:$Q$161</c:f>
              <c:numCache>
                <c:formatCode>General</c:formatCode>
                <c:ptCount val="157"/>
                <c:pt idx="0">
                  <c:v>50</c:v>
                </c:pt>
                <c:pt idx="1">
                  <c:v>55</c:v>
                </c:pt>
                <c:pt idx="2">
                  <c:v>65</c:v>
                </c:pt>
                <c:pt idx="3">
                  <c:v>70</c:v>
                </c:pt>
                <c:pt idx="4">
                  <c:v>75</c:v>
                </c:pt>
                <c:pt idx="5">
                  <c:v>80</c:v>
                </c:pt>
                <c:pt idx="6">
                  <c:v>85</c:v>
                </c:pt>
                <c:pt idx="7">
                  <c:v>90</c:v>
                </c:pt>
                <c:pt idx="8">
                  <c:v>95</c:v>
                </c:pt>
                <c:pt idx="9">
                  <c:v>100</c:v>
                </c:pt>
                <c:pt idx="10">
                  <c:v>105</c:v>
                </c:pt>
                <c:pt idx="11">
                  <c:v>110</c:v>
                </c:pt>
                <c:pt idx="12">
                  <c:v>115</c:v>
                </c:pt>
                <c:pt idx="13">
                  <c:v>120</c:v>
                </c:pt>
                <c:pt idx="14">
                  <c:v>125</c:v>
                </c:pt>
                <c:pt idx="15">
                  <c:v>130</c:v>
                </c:pt>
                <c:pt idx="16">
                  <c:v>135</c:v>
                </c:pt>
                <c:pt idx="17">
                  <c:v>140</c:v>
                </c:pt>
                <c:pt idx="18">
                  <c:v>145</c:v>
                </c:pt>
                <c:pt idx="19">
                  <c:v>150</c:v>
                </c:pt>
                <c:pt idx="20">
                  <c:v>155</c:v>
                </c:pt>
                <c:pt idx="21">
                  <c:v>160</c:v>
                </c:pt>
                <c:pt idx="22">
                  <c:v>165</c:v>
                </c:pt>
                <c:pt idx="23">
                  <c:v>170</c:v>
                </c:pt>
                <c:pt idx="24">
                  <c:v>175</c:v>
                </c:pt>
                <c:pt idx="25">
                  <c:v>180</c:v>
                </c:pt>
                <c:pt idx="26">
                  <c:v>185</c:v>
                </c:pt>
                <c:pt idx="27">
                  <c:v>190</c:v>
                </c:pt>
                <c:pt idx="28">
                  <c:v>195</c:v>
                </c:pt>
                <c:pt idx="29">
                  <c:v>200</c:v>
                </c:pt>
                <c:pt idx="30">
                  <c:v>205</c:v>
                </c:pt>
                <c:pt idx="31">
                  <c:v>210</c:v>
                </c:pt>
                <c:pt idx="32">
                  <c:v>215</c:v>
                </c:pt>
                <c:pt idx="33">
                  <c:v>220</c:v>
                </c:pt>
                <c:pt idx="34">
                  <c:v>225</c:v>
                </c:pt>
                <c:pt idx="35">
                  <c:v>230</c:v>
                </c:pt>
                <c:pt idx="36">
                  <c:v>235</c:v>
                </c:pt>
                <c:pt idx="37">
                  <c:v>240</c:v>
                </c:pt>
                <c:pt idx="38">
                  <c:v>245</c:v>
                </c:pt>
                <c:pt idx="39">
                  <c:v>250</c:v>
                </c:pt>
                <c:pt idx="40">
                  <c:v>255</c:v>
                </c:pt>
                <c:pt idx="41">
                  <c:v>260</c:v>
                </c:pt>
                <c:pt idx="42">
                  <c:v>265</c:v>
                </c:pt>
                <c:pt idx="43">
                  <c:v>270</c:v>
                </c:pt>
                <c:pt idx="44">
                  <c:v>275</c:v>
                </c:pt>
                <c:pt idx="45">
                  <c:v>280</c:v>
                </c:pt>
                <c:pt idx="46">
                  <c:v>285</c:v>
                </c:pt>
                <c:pt idx="47">
                  <c:v>290</c:v>
                </c:pt>
                <c:pt idx="48">
                  <c:v>295</c:v>
                </c:pt>
                <c:pt idx="49">
                  <c:v>300</c:v>
                </c:pt>
                <c:pt idx="50">
                  <c:v>305</c:v>
                </c:pt>
                <c:pt idx="51">
                  <c:v>310</c:v>
                </c:pt>
                <c:pt idx="52">
                  <c:v>315</c:v>
                </c:pt>
                <c:pt idx="53">
                  <c:v>320</c:v>
                </c:pt>
                <c:pt idx="54">
                  <c:v>325</c:v>
                </c:pt>
                <c:pt idx="55">
                  <c:v>330</c:v>
                </c:pt>
                <c:pt idx="56">
                  <c:v>335</c:v>
                </c:pt>
                <c:pt idx="57">
                  <c:v>340</c:v>
                </c:pt>
                <c:pt idx="58">
                  <c:v>345</c:v>
                </c:pt>
                <c:pt idx="59">
                  <c:v>350</c:v>
                </c:pt>
                <c:pt idx="60">
                  <c:v>355</c:v>
                </c:pt>
                <c:pt idx="61">
                  <c:v>360</c:v>
                </c:pt>
                <c:pt idx="62">
                  <c:v>365</c:v>
                </c:pt>
                <c:pt idx="63">
                  <c:v>370</c:v>
                </c:pt>
                <c:pt idx="64">
                  <c:v>375</c:v>
                </c:pt>
                <c:pt idx="65">
                  <c:v>380</c:v>
                </c:pt>
                <c:pt idx="66">
                  <c:v>385</c:v>
                </c:pt>
                <c:pt idx="67">
                  <c:v>390</c:v>
                </c:pt>
                <c:pt idx="68">
                  <c:v>395</c:v>
                </c:pt>
                <c:pt idx="69">
                  <c:v>400</c:v>
                </c:pt>
                <c:pt idx="70">
                  <c:v>405</c:v>
                </c:pt>
                <c:pt idx="71">
                  <c:v>410</c:v>
                </c:pt>
                <c:pt idx="72">
                  <c:v>415</c:v>
                </c:pt>
                <c:pt idx="73">
                  <c:v>420</c:v>
                </c:pt>
                <c:pt idx="74">
                  <c:v>425</c:v>
                </c:pt>
                <c:pt idx="75">
                  <c:v>430</c:v>
                </c:pt>
                <c:pt idx="76">
                  <c:v>435</c:v>
                </c:pt>
                <c:pt idx="77">
                  <c:v>440</c:v>
                </c:pt>
                <c:pt idx="78">
                  <c:v>445</c:v>
                </c:pt>
                <c:pt idx="79">
                  <c:v>450</c:v>
                </c:pt>
                <c:pt idx="80">
                  <c:v>455</c:v>
                </c:pt>
                <c:pt idx="81">
                  <c:v>460</c:v>
                </c:pt>
                <c:pt idx="82">
                  <c:v>465</c:v>
                </c:pt>
                <c:pt idx="83">
                  <c:v>470</c:v>
                </c:pt>
                <c:pt idx="84">
                  <c:v>475</c:v>
                </c:pt>
                <c:pt idx="85">
                  <c:v>480</c:v>
                </c:pt>
                <c:pt idx="86">
                  <c:v>485</c:v>
                </c:pt>
                <c:pt idx="87">
                  <c:v>490</c:v>
                </c:pt>
                <c:pt idx="88">
                  <c:v>495</c:v>
                </c:pt>
                <c:pt idx="89">
                  <c:v>500</c:v>
                </c:pt>
                <c:pt idx="90">
                  <c:v>505</c:v>
                </c:pt>
                <c:pt idx="91">
                  <c:v>510</c:v>
                </c:pt>
                <c:pt idx="92">
                  <c:v>515</c:v>
                </c:pt>
                <c:pt idx="93">
                  <c:v>520</c:v>
                </c:pt>
                <c:pt idx="94">
                  <c:v>525</c:v>
                </c:pt>
                <c:pt idx="95">
                  <c:v>530</c:v>
                </c:pt>
                <c:pt idx="96">
                  <c:v>535</c:v>
                </c:pt>
                <c:pt idx="97">
                  <c:v>540</c:v>
                </c:pt>
                <c:pt idx="98">
                  <c:v>545</c:v>
                </c:pt>
                <c:pt idx="99">
                  <c:v>550</c:v>
                </c:pt>
                <c:pt idx="100">
                  <c:v>555</c:v>
                </c:pt>
                <c:pt idx="101">
                  <c:v>560</c:v>
                </c:pt>
                <c:pt idx="102">
                  <c:v>565</c:v>
                </c:pt>
                <c:pt idx="103">
                  <c:v>570</c:v>
                </c:pt>
                <c:pt idx="104">
                  <c:v>575</c:v>
                </c:pt>
                <c:pt idx="105">
                  <c:v>580</c:v>
                </c:pt>
                <c:pt idx="106">
                  <c:v>585</c:v>
                </c:pt>
                <c:pt idx="107">
                  <c:v>590</c:v>
                </c:pt>
                <c:pt idx="108">
                  <c:v>595</c:v>
                </c:pt>
                <c:pt idx="109">
                  <c:v>600</c:v>
                </c:pt>
                <c:pt idx="110">
                  <c:v>605</c:v>
                </c:pt>
                <c:pt idx="111">
                  <c:v>610</c:v>
                </c:pt>
                <c:pt idx="112">
                  <c:v>615</c:v>
                </c:pt>
                <c:pt idx="113">
                  <c:v>620</c:v>
                </c:pt>
                <c:pt idx="114">
                  <c:v>625</c:v>
                </c:pt>
                <c:pt idx="115">
                  <c:v>630</c:v>
                </c:pt>
                <c:pt idx="116">
                  <c:v>635</c:v>
                </c:pt>
                <c:pt idx="117">
                  <c:v>640</c:v>
                </c:pt>
                <c:pt idx="118">
                  <c:v>645</c:v>
                </c:pt>
                <c:pt idx="119">
                  <c:v>650</c:v>
                </c:pt>
                <c:pt idx="120">
                  <c:v>655</c:v>
                </c:pt>
                <c:pt idx="121">
                  <c:v>660</c:v>
                </c:pt>
                <c:pt idx="122">
                  <c:v>665</c:v>
                </c:pt>
                <c:pt idx="123">
                  <c:v>670</c:v>
                </c:pt>
                <c:pt idx="124">
                  <c:v>675</c:v>
                </c:pt>
                <c:pt idx="125">
                  <c:v>680</c:v>
                </c:pt>
                <c:pt idx="126">
                  <c:v>685</c:v>
                </c:pt>
                <c:pt idx="127">
                  <c:v>690</c:v>
                </c:pt>
                <c:pt idx="128">
                  <c:v>695</c:v>
                </c:pt>
                <c:pt idx="129">
                  <c:v>700</c:v>
                </c:pt>
                <c:pt idx="130">
                  <c:v>705</c:v>
                </c:pt>
                <c:pt idx="131">
                  <c:v>710</c:v>
                </c:pt>
                <c:pt idx="132">
                  <c:v>715</c:v>
                </c:pt>
                <c:pt idx="133">
                  <c:v>720</c:v>
                </c:pt>
                <c:pt idx="134">
                  <c:v>725</c:v>
                </c:pt>
                <c:pt idx="135">
                  <c:v>730</c:v>
                </c:pt>
                <c:pt idx="136">
                  <c:v>735</c:v>
                </c:pt>
                <c:pt idx="137">
                  <c:v>740</c:v>
                </c:pt>
                <c:pt idx="138">
                  <c:v>745</c:v>
                </c:pt>
                <c:pt idx="139">
                  <c:v>750</c:v>
                </c:pt>
                <c:pt idx="140">
                  <c:v>755</c:v>
                </c:pt>
                <c:pt idx="141">
                  <c:v>760</c:v>
                </c:pt>
                <c:pt idx="142">
                  <c:v>765</c:v>
                </c:pt>
                <c:pt idx="143">
                  <c:v>770</c:v>
                </c:pt>
                <c:pt idx="144">
                  <c:v>775</c:v>
                </c:pt>
                <c:pt idx="145">
                  <c:v>780</c:v>
                </c:pt>
                <c:pt idx="146">
                  <c:v>785</c:v>
                </c:pt>
                <c:pt idx="147">
                  <c:v>790</c:v>
                </c:pt>
                <c:pt idx="148">
                  <c:v>795</c:v>
                </c:pt>
                <c:pt idx="149">
                  <c:v>800</c:v>
                </c:pt>
                <c:pt idx="150">
                  <c:v>805</c:v>
                </c:pt>
                <c:pt idx="151">
                  <c:v>810</c:v>
                </c:pt>
                <c:pt idx="152">
                  <c:v>815</c:v>
                </c:pt>
                <c:pt idx="153">
                  <c:v>820</c:v>
                </c:pt>
                <c:pt idx="154">
                  <c:v>825</c:v>
                </c:pt>
                <c:pt idx="155">
                  <c:v>830</c:v>
                </c:pt>
                <c:pt idx="156">
                  <c:v>835</c:v>
                </c:pt>
              </c:numCache>
            </c:numRef>
          </c:cat>
          <c:val>
            <c:numRef>
              <c:f>'WARMUP LOADS'!$R$5:$R$161</c:f>
              <c:numCache>
                <c:formatCode>0%</c:formatCode>
                <c:ptCount val="157"/>
                <c:pt idx="0">
                  <c:v>0.4</c:v>
                </c:pt>
                <c:pt idx="1">
                  <c:v>0.36363636363636365</c:v>
                </c:pt>
                <c:pt idx="2">
                  <c:v>0.30769230769230771</c:v>
                </c:pt>
                <c:pt idx="3">
                  <c:v>0.2857142857142857</c:v>
                </c:pt>
                <c:pt idx="4">
                  <c:v>0.26666666666666666</c:v>
                </c:pt>
                <c:pt idx="5">
                  <c:v>0.25</c:v>
                </c:pt>
                <c:pt idx="6">
                  <c:v>0.23529411764705882</c:v>
                </c:pt>
                <c:pt idx="7">
                  <c:v>0.22222222222222221</c:v>
                </c:pt>
                <c:pt idx="8">
                  <c:v>0.21052631578947367</c:v>
                </c:pt>
                <c:pt idx="9">
                  <c:v>0.2</c:v>
                </c:pt>
                <c:pt idx="10">
                  <c:v>0.19047619047619047</c:v>
                </c:pt>
                <c:pt idx="11">
                  <c:v>0.18181818181818182</c:v>
                </c:pt>
                <c:pt idx="12">
                  <c:v>0.17391304347826086</c:v>
                </c:pt>
                <c:pt idx="13">
                  <c:v>0.16666666666666666</c:v>
                </c:pt>
                <c:pt idx="14">
                  <c:v>0.16</c:v>
                </c:pt>
                <c:pt idx="15">
                  <c:v>0.15384615384615385</c:v>
                </c:pt>
                <c:pt idx="16">
                  <c:v>0.14814814814814814</c:v>
                </c:pt>
                <c:pt idx="17">
                  <c:v>0.14285714285714285</c:v>
                </c:pt>
                <c:pt idx="18">
                  <c:v>0.13793103448275862</c:v>
                </c:pt>
                <c:pt idx="19">
                  <c:v>0.13333333333333333</c:v>
                </c:pt>
                <c:pt idx="20">
                  <c:v>0.12903225806451613</c:v>
                </c:pt>
                <c:pt idx="21">
                  <c:v>0.125</c:v>
                </c:pt>
                <c:pt idx="22">
                  <c:v>0.12121212121212122</c:v>
                </c:pt>
                <c:pt idx="23">
                  <c:v>0.11764705882352941</c:v>
                </c:pt>
                <c:pt idx="24">
                  <c:v>0.11428571428571428</c:v>
                </c:pt>
                <c:pt idx="25">
                  <c:v>0.1111111111111111</c:v>
                </c:pt>
                <c:pt idx="26">
                  <c:v>0.10810810810810811</c:v>
                </c:pt>
                <c:pt idx="27">
                  <c:v>0.10526315789473684</c:v>
                </c:pt>
                <c:pt idx="28">
                  <c:v>0.10256410256410256</c:v>
                </c:pt>
                <c:pt idx="29">
                  <c:v>0.1</c:v>
                </c:pt>
                <c:pt idx="30">
                  <c:v>9.7560975609756101E-2</c:v>
                </c:pt>
                <c:pt idx="31">
                  <c:v>9.5238095238095233E-2</c:v>
                </c:pt>
                <c:pt idx="32">
                  <c:v>9.3023255813953487E-2</c:v>
                </c:pt>
                <c:pt idx="33">
                  <c:v>9.0909090909090912E-2</c:v>
                </c:pt>
                <c:pt idx="34">
                  <c:v>8.8888888888888892E-2</c:v>
                </c:pt>
                <c:pt idx="35">
                  <c:v>8.6956521739130432E-2</c:v>
                </c:pt>
                <c:pt idx="36">
                  <c:v>8.5106382978723402E-2</c:v>
                </c:pt>
                <c:pt idx="37">
                  <c:v>8.3333333333333329E-2</c:v>
                </c:pt>
                <c:pt idx="38">
                  <c:v>8.1632653061224483E-2</c:v>
                </c:pt>
                <c:pt idx="39">
                  <c:v>0.08</c:v>
                </c:pt>
                <c:pt idx="40">
                  <c:v>7.8431372549019607E-2</c:v>
                </c:pt>
                <c:pt idx="41">
                  <c:v>7.6923076923076927E-2</c:v>
                </c:pt>
                <c:pt idx="42">
                  <c:v>7.5471698113207544E-2</c:v>
                </c:pt>
                <c:pt idx="43">
                  <c:v>7.407407407407407E-2</c:v>
                </c:pt>
                <c:pt idx="44">
                  <c:v>7.2727272727272724E-2</c:v>
                </c:pt>
                <c:pt idx="45">
                  <c:v>7.1428571428571425E-2</c:v>
                </c:pt>
                <c:pt idx="46">
                  <c:v>7.0175438596491224E-2</c:v>
                </c:pt>
                <c:pt idx="47">
                  <c:v>6.8965517241379309E-2</c:v>
                </c:pt>
                <c:pt idx="48">
                  <c:v>6.7796610169491525E-2</c:v>
                </c:pt>
                <c:pt idx="49">
                  <c:v>6.6666666666666666E-2</c:v>
                </c:pt>
                <c:pt idx="50">
                  <c:v>6.5573770491803282E-2</c:v>
                </c:pt>
                <c:pt idx="51">
                  <c:v>6.4516129032258063E-2</c:v>
                </c:pt>
                <c:pt idx="52">
                  <c:v>6.3492063492063489E-2</c:v>
                </c:pt>
                <c:pt idx="53">
                  <c:v>6.25E-2</c:v>
                </c:pt>
                <c:pt idx="54">
                  <c:v>6.1538461538461542E-2</c:v>
                </c:pt>
                <c:pt idx="55">
                  <c:v>6.0606060606060608E-2</c:v>
                </c:pt>
                <c:pt idx="56">
                  <c:v>5.9701492537313432E-2</c:v>
                </c:pt>
                <c:pt idx="57">
                  <c:v>5.8823529411764705E-2</c:v>
                </c:pt>
                <c:pt idx="58">
                  <c:v>5.7971014492753624E-2</c:v>
                </c:pt>
                <c:pt idx="59">
                  <c:v>5.7142857142857141E-2</c:v>
                </c:pt>
                <c:pt idx="60">
                  <c:v>5.6338028169014086E-2</c:v>
                </c:pt>
                <c:pt idx="61">
                  <c:v>5.5555555555555552E-2</c:v>
                </c:pt>
                <c:pt idx="62">
                  <c:v>5.4794520547945202E-2</c:v>
                </c:pt>
                <c:pt idx="63">
                  <c:v>5.4054054054054057E-2</c:v>
                </c:pt>
                <c:pt idx="64">
                  <c:v>5.3333333333333337E-2</c:v>
                </c:pt>
                <c:pt idx="65">
                  <c:v>5.2631578947368418E-2</c:v>
                </c:pt>
                <c:pt idx="66">
                  <c:v>5.1948051948051951E-2</c:v>
                </c:pt>
                <c:pt idx="67">
                  <c:v>5.128205128205128E-2</c:v>
                </c:pt>
                <c:pt idx="68">
                  <c:v>5.0632911392405063E-2</c:v>
                </c:pt>
                <c:pt idx="69">
                  <c:v>0.05</c:v>
                </c:pt>
                <c:pt idx="70">
                  <c:v>4.9382716049382713E-2</c:v>
                </c:pt>
                <c:pt idx="71">
                  <c:v>4.878048780487805E-2</c:v>
                </c:pt>
                <c:pt idx="72">
                  <c:v>4.8192771084337352E-2</c:v>
                </c:pt>
                <c:pt idx="73">
                  <c:v>4.7619047619047616E-2</c:v>
                </c:pt>
                <c:pt idx="74">
                  <c:v>4.7058823529411764E-2</c:v>
                </c:pt>
                <c:pt idx="75">
                  <c:v>4.6511627906976744E-2</c:v>
                </c:pt>
                <c:pt idx="76">
                  <c:v>4.5977011494252873E-2</c:v>
                </c:pt>
                <c:pt idx="77">
                  <c:v>4.5454545454545456E-2</c:v>
                </c:pt>
                <c:pt idx="78">
                  <c:v>4.49438202247191E-2</c:v>
                </c:pt>
                <c:pt idx="79">
                  <c:v>4.4444444444444446E-2</c:v>
                </c:pt>
                <c:pt idx="80">
                  <c:v>4.3956043956043959E-2</c:v>
                </c:pt>
                <c:pt idx="81">
                  <c:v>4.3478260869565216E-2</c:v>
                </c:pt>
                <c:pt idx="82">
                  <c:v>4.3010752688172046E-2</c:v>
                </c:pt>
                <c:pt idx="83">
                  <c:v>4.2553191489361701E-2</c:v>
                </c:pt>
                <c:pt idx="84">
                  <c:v>4.2105263157894736E-2</c:v>
                </c:pt>
                <c:pt idx="85">
                  <c:v>4.1666666666666664E-2</c:v>
                </c:pt>
                <c:pt idx="86">
                  <c:v>4.1237113402061855E-2</c:v>
                </c:pt>
                <c:pt idx="87">
                  <c:v>4.0816326530612242E-2</c:v>
                </c:pt>
                <c:pt idx="88">
                  <c:v>4.0404040404040407E-2</c:v>
                </c:pt>
                <c:pt idx="89">
                  <c:v>0.04</c:v>
                </c:pt>
                <c:pt idx="90">
                  <c:v>3.9603960396039604E-2</c:v>
                </c:pt>
                <c:pt idx="91">
                  <c:v>3.9215686274509803E-2</c:v>
                </c:pt>
                <c:pt idx="92">
                  <c:v>3.8834951456310676E-2</c:v>
                </c:pt>
                <c:pt idx="93">
                  <c:v>3.8461538461538464E-2</c:v>
                </c:pt>
                <c:pt idx="94">
                  <c:v>3.8095238095238099E-2</c:v>
                </c:pt>
                <c:pt idx="95">
                  <c:v>3.7735849056603772E-2</c:v>
                </c:pt>
                <c:pt idx="96">
                  <c:v>3.7383177570093455E-2</c:v>
                </c:pt>
                <c:pt idx="97">
                  <c:v>3.7037037037037035E-2</c:v>
                </c:pt>
                <c:pt idx="98">
                  <c:v>3.669724770642202E-2</c:v>
                </c:pt>
                <c:pt idx="99">
                  <c:v>3.6363636363636362E-2</c:v>
                </c:pt>
                <c:pt idx="100">
                  <c:v>3.6036036036036036E-2</c:v>
                </c:pt>
                <c:pt idx="101">
                  <c:v>3.5714285714285712E-2</c:v>
                </c:pt>
                <c:pt idx="102">
                  <c:v>3.5398230088495575E-2</c:v>
                </c:pt>
                <c:pt idx="103">
                  <c:v>3.5087719298245612E-2</c:v>
                </c:pt>
                <c:pt idx="104">
                  <c:v>3.4782608695652174E-2</c:v>
                </c:pt>
                <c:pt idx="105">
                  <c:v>3.4482758620689655E-2</c:v>
                </c:pt>
                <c:pt idx="106">
                  <c:v>3.4188034188034191E-2</c:v>
                </c:pt>
                <c:pt idx="107">
                  <c:v>3.3898305084745763E-2</c:v>
                </c:pt>
                <c:pt idx="108">
                  <c:v>3.3613445378151259E-2</c:v>
                </c:pt>
                <c:pt idx="109">
                  <c:v>3.3333333333333333E-2</c:v>
                </c:pt>
                <c:pt idx="110">
                  <c:v>3.3057851239669422E-2</c:v>
                </c:pt>
                <c:pt idx="111">
                  <c:v>3.2786885245901641E-2</c:v>
                </c:pt>
                <c:pt idx="112">
                  <c:v>3.2520325203252036E-2</c:v>
                </c:pt>
                <c:pt idx="113">
                  <c:v>3.2258064516129031E-2</c:v>
                </c:pt>
                <c:pt idx="114">
                  <c:v>3.2000000000000001E-2</c:v>
                </c:pt>
                <c:pt idx="115">
                  <c:v>3.1746031746031744E-2</c:v>
                </c:pt>
                <c:pt idx="116">
                  <c:v>3.1496062992125984E-2</c:v>
                </c:pt>
                <c:pt idx="117">
                  <c:v>3.125E-2</c:v>
                </c:pt>
                <c:pt idx="118">
                  <c:v>3.1007751937984496E-2</c:v>
                </c:pt>
                <c:pt idx="119">
                  <c:v>3.0769230769230771E-2</c:v>
                </c:pt>
                <c:pt idx="120">
                  <c:v>3.0534351145038167E-2</c:v>
                </c:pt>
                <c:pt idx="121">
                  <c:v>3.0303030303030304E-2</c:v>
                </c:pt>
                <c:pt idx="122">
                  <c:v>3.007518796992481E-2</c:v>
                </c:pt>
                <c:pt idx="123">
                  <c:v>2.9850746268656716E-2</c:v>
                </c:pt>
                <c:pt idx="124">
                  <c:v>2.9629629629629631E-2</c:v>
                </c:pt>
                <c:pt idx="125">
                  <c:v>2.9411764705882353E-2</c:v>
                </c:pt>
                <c:pt idx="126">
                  <c:v>2.9197080291970802E-2</c:v>
                </c:pt>
                <c:pt idx="127">
                  <c:v>2.8985507246376812E-2</c:v>
                </c:pt>
                <c:pt idx="128">
                  <c:v>2.8776978417266189E-2</c:v>
                </c:pt>
                <c:pt idx="129">
                  <c:v>2.8571428571428571E-2</c:v>
                </c:pt>
                <c:pt idx="130">
                  <c:v>2.8368794326241134E-2</c:v>
                </c:pt>
                <c:pt idx="131">
                  <c:v>2.8169014084507043E-2</c:v>
                </c:pt>
                <c:pt idx="132">
                  <c:v>2.7972027972027972E-2</c:v>
                </c:pt>
                <c:pt idx="133">
                  <c:v>2.7777777777777776E-2</c:v>
                </c:pt>
                <c:pt idx="134">
                  <c:v>2.7586206896551724E-2</c:v>
                </c:pt>
                <c:pt idx="135">
                  <c:v>2.7397260273972601E-2</c:v>
                </c:pt>
                <c:pt idx="136">
                  <c:v>2.7210884353741496E-2</c:v>
                </c:pt>
                <c:pt idx="137">
                  <c:v>2.7027027027027029E-2</c:v>
                </c:pt>
                <c:pt idx="138">
                  <c:v>2.6845637583892617E-2</c:v>
                </c:pt>
                <c:pt idx="139">
                  <c:v>2.6666666666666668E-2</c:v>
                </c:pt>
                <c:pt idx="140">
                  <c:v>2.6490066225165563E-2</c:v>
                </c:pt>
                <c:pt idx="141">
                  <c:v>2.6315789473684209E-2</c:v>
                </c:pt>
                <c:pt idx="142">
                  <c:v>2.6143790849673203E-2</c:v>
                </c:pt>
                <c:pt idx="143">
                  <c:v>2.5974025974025976E-2</c:v>
                </c:pt>
                <c:pt idx="144">
                  <c:v>2.5806451612903226E-2</c:v>
                </c:pt>
                <c:pt idx="145">
                  <c:v>2.564102564102564E-2</c:v>
                </c:pt>
                <c:pt idx="146">
                  <c:v>2.5477707006369428E-2</c:v>
                </c:pt>
                <c:pt idx="147">
                  <c:v>2.5316455696202531E-2</c:v>
                </c:pt>
                <c:pt idx="148">
                  <c:v>2.5157232704402517E-2</c:v>
                </c:pt>
                <c:pt idx="149">
                  <c:v>2.5000000000000001E-2</c:v>
                </c:pt>
                <c:pt idx="150">
                  <c:v>2.4844720496894408E-2</c:v>
                </c:pt>
                <c:pt idx="151">
                  <c:v>2.4691358024691357E-2</c:v>
                </c:pt>
                <c:pt idx="152">
                  <c:v>2.4539877300613498E-2</c:v>
                </c:pt>
                <c:pt idx="153">
                  <c:v>2.4390243902439025E-2</c:v>
                </c:pt>
                <c:pt idx="154">
                  <c:v>2.4242424242424242E-2</c:v>
                </c:pt>
                <c:pt idx="155">
                  <c:v>2.4096385542168676E-2</c:v>
                </c:pt>
                <c:pt idx="156">
                  <c:v>2.3952095808383235E-2</c:v>
                </c:pt>
              </c:numCache>
            </c:numRef>
          </c:val>
          <c:smooth val="0"/>
          <c:extLst>
            <c:ext xmlns:c16="http://schemas.microsoft.com/office/drawing/2014/chart" uri="{C3380CC4-5D6E-409C-BE32-E72D297353CC}">
              <c16:uniqueId val="{00000000-66F7-45E2-88EB-0A63EA5CE546}"/>
            </c:ext>
          </c:extLst>
        </c:ser>
        <c:ser>
          <c:idx val="1"/>
          <c:order val="1"/>
          <c:tx>
            <c:strRef>
              <c:f>'WARMUP LOADS'!$S$4</c:f>
              <c:strCache>
                <c:ptCount val="1"/>
                <c:pt idx="0">
                  <c:v>2nd warmup</c:v>
                </c:pt>
              </c:strCache>
            </c:strRef>
          </c:tx>
          <c:marker>
            <c:symbol val="none"/>
          </c:marker>
          <c:cat>
            <c:numRef>
              <c:f>'WARMUP LOADS'!$Q$5:$Q$161</c:f>
              <c:numCache>
                <c:formatCode>General</c:formatCode>
                <c:ptCount val="157"/>
                <c:pt idx="0">
                  <c:v>50</c:v>
                </c:pt>
                <c:pt idx="1">
                  <c:v>55</c:v>
                </c:pt>
                <c:pt idx="2">
                  <c:v>65</c:v>
                </c:pt>
                <c:pt idx="3">
                  <c:v>70</c:v>
                </c:pt>
                <c:pt idx="4">
                  <c:v>75</c:v>
                </c:pt>
                <c:pt idx="5">
                  <c:v>80</c:v>
                </c:pt>
                <c:pt idx="6">
                  <c:v>85</c:v>
                </c:pt>
                <c:pt idx="7">
                  <c:v>90</c:v>
                </c:pt>
                <c:pt idx="8">
                  <c:v>95</c:v>
                </c:pt>
                <c:pt idx="9">
                  <c:v>100</c:v>
                </c:pt>
                <c:pt idx="10">
                  <c:v>105</c:v>
                </c:pt>
                <c:pt idx="11">
                  <c:v>110</c:v>
                </c:pt>
                <c:pt idx="12">
                  <c:v>115</c:v>
                </c:pt>
                <c:pt idx="13">
                  <c:v>120</c:v>
                </c:pt>
                <c:pt idx="14">
                  <c:v>125</c:v>
                </c:pt>
                <c:pt idx="15">
                  <c:v>130</c:v>
                </c:pt>
                <c:pt idx="16">
                  <c:v>135</c:v>
                </c:pt>
                <c:pt idx="17">
                  <c:v>140</c:v>
                </c:pt>
                <c:pt idx="18">
                  <c:v>145</c:v>
                </c:pt>
                <c:pt idx="19">
                  <c:v>150</c:v>
                </c:pt>
                <c:pt idx="20">
                  <c:v>155</c:v>
                </c:pt>
                <c:pt idx="21">
                  <c:v>160</c:v>
                </c:pt>
                <c:pt idx="22">
                  <c:v>165</c:v>
                </c:pt>
                <c:pt idx="23">
                  <c:v>170</c:v>
                </c:pt>
                <c:pt idx="24">
                  <c:v>175</c:v>
                </c:pt>
                <c:pt idx="25">
                  <c:v>180</c:v>
                </c:pt>
                <c:pt idx="26">
                  <c:v>185</c:v>
                </c:pt>
                <c:pt idx="27">
                  <c:v>190</c:v>
                </c:pt>
                <c:pt idx="28">
                  <c:v>195</c:v>
                </c:pt>
                <c:pt idx="29">
                  <c:v>200</c:v>
                </c:pt>
                <c:pt idx="30">
                  <c:v>205</c:v>
                </c:pt>
                <c:pt idx="31">
                  <c:v>210</c:v>
                </c:pt>
                <c:pt idx="32">
                  <c:v>215</c:v>
                </c:pt>
                <c:pt idx="33">
                  <c:v>220</c:v>
                </c:pt>
                <c:pt idx="34">
                  <c:v>225</c:v>
                </c:pt>
                <c:pt idx="35">
                  <c:v>230</c:v>
                </c:pt>
                <c:pt idx="36">
                  <c:v>235</c:v>
                </c:pt>
                <c:pt idx="37">
                  <c:v>240</c:v>
                </c:pt>
                <c:pt idx="38">
                  <c:v>245</c:v>
                </c:pt>
                <c:pt idx="39">
                  <c:v>250</c:v>
                </c:pt>
                <c:pt idx="40">
                  <c:v>255</c:v>
                </c:pt>
                <c:pt idx="41">
                  <c:v>260</c:v>
                </c:pt>
                <c:pt idx="42">
                  <c:v>265</c:v>
                </c:pt>
                <c:pt idx="43">
                  <c:v>270</c:v>
                </c:pt>
                <c:pt idx="44">
                  <c:v>275</c:v>
                </c:pt>
                <c:pt idx="45">
                  <c:v>280</c:v>
                </c:pt>
                <c:pt idx="46">
                  <c:v>285</c:v>
                </c:pt>
                <c:pt idx="47">
                  <c:v>290</c:v>
                </c:pt>
                <c:pt idx="48">
                  <c:v>295</c:v>
                </c:pt>
                <c:pt idx="49">
                  <c:v>300</c:v>
                </c:pt>
                <c:pt idx="50">
                  <c:v>305</c:v>
                </c:pt>
                <c:pt idx="51">
                  <c:v>310</c:v>
                </c:pt>
                <c:pt idx="52">
                  <c:v>315</c:v>
                </c:pt>
                <c:pt idx="53">
                  <c:v>320</c:v>
                </c:pt>
                <c:pt idx="54">
                  <c:v>325</c:v>
                </c:pt>
                <c:pt idx="55">
                  <c:v>330</c:v>
                </c:pt>
                <c:pt idx="56">
                  <c:v>335</c:v>
                </c:pt>
                <c:pt idx="57">
                  <c:v>340</c:v>
                </c:pt>
                <c:pt idx="58">
                  <c:v>345</c:v>
                </c:pt>
                <c:pt idx="59">
                  <c:v>350</c:v>
                </c:pt>
                <c:pt idx="60">
                  <c:v>355</c:v>
                </c:pt>
                <c:pt idx="61">
                  <c:v>360</c:v>
                </c:pt>
                <c:pt idx="62">
                  <c:v>365</c:v>
                </c:pt>
                <c:pt idx="63">
                  <c:v>370</c:v>
                </c:pt>
                <c:pt idx="64">
                  <c:v>375</c:v>
                </c:pt>
                <c:pt idx="65">
                  <c:v>380</c:v>
                </c:pt>
                <c:pt idx="66">
                  <c:v>385</c:v>
                </c:pt>
                <c:pt idx="67">
                  <c:v>390</c:v>
                </c:pt>
                <c:pt idx="68">
                  <c:v>395</c:v>
                </c:pt>
                <c:pt idx="69">
                  <c:v>400</c:v>
                </c:pt>
                <c:pt idx="70">
                  <c:v>405</c:v>
                </c:pt>
                <c:pt idx="71">
                  <c:v>410</c:v>
                </c:pt>
                <c:pt idx="72">
                  <c:v>415</c:v>
                </c:pt>
                <c:pt idx="73">
                  <c:v>420</c:v>
                </c:pt>
                <c:pt idx="74">
                  <c:v>425</c:v>
                </c:pt>
                <c:pt idx="75">
                  <c:v>430</c:v>
                </c:pt>
                <c:pt idx="76">
                  <c:v>435</c:v>
                </c:pt>
                <c:pt idx="77">
                  <c:v>440</c:v>
                </c:pt>
                <c:pt idx="78">
                  <c:v>445</c:v>
                </c:pt>
                <c:pt idx="79">
                  <c:v>450</c:v>
                </c:pt>
                <c:pt idx="80">
                  <c:v>455</c:v>
                </c:pt>
                <c:pt idx="81">
                  <c:v>460</c:v>
                </c:pt>
                <c:pt idx="82">
                  <c:v>465</c:v>
                </c:pt>
                <c:pt idx="83">
                  <c:v>470</c:v>
                </c:pt>
                <c:pt idx="84">
                  <c:v>475</c:v>
                </c:pt>
                <c:pt idx="85">
                  <c:v>480</c:v>
                </c:pt>
                <c:pt idx="86">
                  <c:v>485</c:v>
                </c:pt>
                <c:pt idx="87">
                  <c:v>490</c:v>
                </c:pt>
                <c:pt idx="88">
                  <c:v>495</c:v>
                </c:pt>
                <c:pt idx="89">
                  <c:v>500</c:v>
                </c:pt>
                <c:pt idx="90">
                  <c:v>505</c:v>
                </c:pt>
                <c:pt idx="91">
                  <c:v>510</c:v>
                </c:pt>
                <c:pt idx="92">
                  <c:v>515</c:v>
                </c:pt>
                <c:pt idx="93">
                  <c:v>520</c:v>
                </c:pt>
                <c:pt idx="94">
                  <c:v>525</c:v>
                </c:pt>
                <c:pt idx="95">
                  <c:v>530</c:v>
                </c:pt>
                <c:pt idx="96">
                  <c:v>535</c:v>
                </c:pt>
                <c:pt idx="97">
                  <c:v>540</c:v>
                </c:pt>
                <c:pt idx="98">
                  <c:v>545</c:v>
                </c:pt>
                <c:pt idx="99">
                  <c:v>550</c:v>
                </c:pt>
                <c:pt idx="100">
                  <c:v>555</c:v>
                </c:pt>
                <c:pt idx="101">
                  <c:v>560</c:v>
                </c:pt>
                <c:pt idx="102">
                  <c:v>565</c:v>
                </c:pt>
                <c:pt idx="103">
                  <c:v>570</c:v>
                </c:pt>
                <c:pt idx="104">
                  <c:v>575</c:v>
                </c:pt>
                <c:pt idx="105">
                  <c:v>580</c:v>
                </c:pt>
                <c:pt idx="106">
                  <c:v>585</c:v>
                </c:pt>
                <c:pt idx="107">
                  <c:v>590</c:v>
                </c:pt>
                <c:pt idx="108">
                  <c:v>595</c:v>
                </c:pt>
                <c:pt idx="109">
                  <c:v>600</c:v>
                </c:pt>
                <c:pt idx="110">
                  <c:v>605</c:v>
                </c:pt>
                <c:pt idx="111">
                  <c:v>610</c:v>
                </c:pt>
                <c:pt idx="112">
                  <c:v>615</c:v>
                </c:pt>
                <c:pt idx="113">
                  <c:v>620</c:v>
                </c:pt>
                <c:pt idx="114">
                  <c:v>625</c:v>
                </c:pt>
                <c:pt idx="115">
                  <c:v>630</c:v>
                </c:pt>
                <c:pt idx="116">
                  <c:v>635</c:v>
                </c:pt>
                <c:pt idx="117">
                  <c:v>640</c:v>
                </c:pt>
                <c:pt idx="118">
                  <c:v>645</c:v>
                </c:pt>
                <c:pt idx="119">
                  <c:v>650</c:v>
                </c:pt>
                <c:pt idx="120">
                  <c:v>655</c:v>
                </c:pt>
                <c:pt idx="121">
                  <c:v>660</c:v>
                </c:pt>
                <c:pt idx="122">
                  <c:v>665</c:v>
                </c:pt>
                <c:pt idx="123">
                  <c:v>670</c:v>
                </c:pt>
                <c:pt idx="124">
                  <c:v>675</c:v>
                </c:pt>
                <c:pt idx="125">
                  <c:v>680</c:v>
                </c:pt>
                <c:pt idx="126">
                  <c:v>685</c:v>
                </c:pt>
                <c:pt idx="127">
                  <c:v>690</c:v>
                </c:pt>
                <c:pt idx="128">
                  <c:v>695</c:v>
                </c:pt>
                <c:pt idx="129">
                  <c:v>700</c:v>
                </c:pt>
                <c:pt idx="130">
                  <c:v>705</c:v>
                </c:pt>
                <c:pt idx="131">
                  <c:v>710</c:v>
                </c:pt>
                <c:pt idx="132">
                  <c:v>715</c:v>
                </c:pt>
                <c:pt idx="133">
                  <c:v>720</c:v>
                </c:pt>
                <c:pt idx="134">
                  <c:v>725</c:v>
                </c:pt>
                <c:pt idx="135">
                  <c:v>730</c:v>
                </c:pt>
                <c:pt idx="136">
                  <c:v>735</c:v>
                </c:pt>
                <c:pt idx="137">
                  <c:v>740</c:v>
                </c:pt>
                <c:pt idx="138">
                  <c:v>745</c:v>
                </c:pt>
                <c:pt idx="139">
                  <c:v>750</c:v>
                </c:pt>
                <c:pt idx="140">
                  <c:v>755</c:v>
                </c:pt>
                <c:pt idx="141">
                  <c:v>760</c:v>
                </c:pt>
                <c:pt idx="142">
                  <c:v>765</c:v>
                </c:pt>
                <c:pt idx="143">
                  <c:v>770</c:v>
                </c:pt>
                <c:pt idx="144">
                  <c:v>775</c:v>
                </c:pt>
                <c:pt idx="145">
                  <c:v>780</c:v>
                </c:pt>
                <c:pt idx="146">
                  <c:v>785</c:v>
                </c:pt>
                <c:pt idx="147">
                  <c:v>790</c:v>
                </c:pt>
                <c:pt idx="148">
                  <c:v>795</c:v>
                </c:pt>
                <c:pt idx="149">
                  <c:v>800</c:v>
                </c:pt>
                <c:pt idx="150">
                  <c:v>805</c:v>
                </c:pt>
                <c:pt idx="151">
                  <c:v>810</c:v>
                </c:pt>
                <c:pt idx="152">
                  <c:v>815</c:v>
                </c:pt>
                <c:pt idx="153">
                  <c:v>820</c:v>
                </c:pt>
                <c:pt idx="154">
                  <c:v>825</c:v>
                </c:pt>
                <c:pt idx="155">
                  <c:v>830</c:v>
                </c:pt>
                <c:pt idx="156">
                  <c:v>835</c:v>
                </c:pt>
              </c:numCache>
            </c:numRef>
          </c:cat>
          <c:val>
            <c:numRef>
              <c:f>'WARMUP LOADS'!$S$5:$S$161</c:f>
              <c:numCache>
                <c:formatCode>0%</c:formatCode>
                <c:ptCount val="157"/>
                <c:pt idx="4">
                  <c:v>0.3</c:v>
                </c:pt>
                <c:pt idx="5">
                  <c:v>0.3125</c:v>
                </c:pt>
                <c:pt idx="6">
                  <c:v>0.29411764705882354</c:v>
                </c:pt>
                <c:pt idx="7">
                  <c:v>0.27777777777777779</c:v>
                </c:pt>
                <c:pt idx="8">
                  <c:v>0.26315789473684209</c:v>
                </c:pt>
                <c:pt idx="9">
                  <c:v>0.3</c:v>
                </c:pt>
                <c:pt idx="10">
                  <c:v>0.2857142857142857</c:v>
                </c:pt>
                <c:pt idx="11">
                  <c:v>0.27272727272727271</c:v>
                </c:pt>
                <c:pt idx="12">
                  <c:v>0.2608695652173913</c:v>
                </c:pt>
                <c:pt idx="13">
                  <c:v>0.25</c:v>
                </c:pt>
                <c:pt idx="14">
                  <c:v>0.24</c:v>
                </c:pt>
                <c:pt idx="15">
                  <c:v>0.23076923076923078</c:v>
                </c:pt>
                <c:pt idx="16">
                  <c:v>0.22222222222222221</c:v>
                </c:pt>
                <c:pt idx="17">
                  <c:v>0.21428571428571427</c:v>
                </c:pt>
                <c:pt idx="18">
                  <c:v>0.20689655172413793</c:v>
                </c:pt>
                <c:pt idx="19">
                  <c:v>0.2</c:v>
                </c:pt>
                <c:pt idx="20">
                  <c:v>0.19354838709677419</c:v>
                </c:pt>
                <c:pt idx="21">
                  <c:v>0.265625</c:v>
                </c:pt>
                <c:pt idx="22">
                  <c:v>0.25757575757575757</c:v>
                </c:pt>
                <c:pt idx="23">
                  <c:v>0.25</c:v>
                </c:pt>
                <c:pt idx="24">
                  <c:v>0.24285714285714285</c:v>
                </c:pt>
                <c:pt idx="25">
                  <c:v>0.2361111111111111</c:v>
                </c:pt>
                <c:pt idx="26">
                  <c:v>0.22972972972972974</c:v>
                </c:pt>
                <c:pt idx="27">
                  <c:v>0.22368421052631579</c:v>
                </c:pt>
                <c:pt idx="28">
                  <c:v>0.21794871794871795</c:v>
                </c:pt>
                <c:pt idx="29">
                  <c:v>0.21249999999999999</c:v>
                </c:pt>
                <c:pt idx="30">
                  <c:v>0.2073170731707317</c:v>
                </c:pt>
                <c:pt idx="31">
                  <c:v>0.20238095238095238</c:v>
                </c:pt>
                <c:pt idx="32">
                  <c:v>0.19767441860465115</c:v>
                </c:pt>
                <c:pt idx="33">
                  <c:v>0.19318181818181818</c:v>
                </c:pt>
                <c:pt idx="34">
                  <c:v>0.18888888888888888</c:v>
                </c:pt>
                <c:pt idx="35">
                  <c:v>0.18478260869565216</c:v>
                </c:pt>
                <c:pt idx="36">
                  <c:v>0.18085106382978725</c:v>
                </c:pt>
                <c:pt idx="37">
                  <c:v>0.17708333333333334</c:v>
                </c:pt>
                <c:pt idx="38">
                  <c:v>0.17346938775510204</c:v>
                </c:pt>
                <c:pt idx="39">
                  <c:v>0.17</c:v>
                </c:pt>
                <c:pt idx="40">
                  <c:v>0.16666666666666666</c:v>
                </c:pt>
                <c:pt idx="41">
                  <c:v>0.23076923076923078</c:v>
                </c:pt>
                <c:pt idx="42">
                  <c:v>0.22641509433962265</c:v>
                </c:pt>
                <c:pt idx="43">
                  <c:v>0.22222222222222221</c:v>
                </c:pt>
                <c:pt idx="44">
                  <c:v>0.21818181818181817</c:v>
                </c:pt>
                <c:pt idx="45">
                  <c:v>0.21428571428571427</c:v>
                </c:pt>
                <c:pt idx="46">
                  <c:v>0.21052631578947367</c:v>
                </c:pt>
                <c:pt idx="47">
                  <c:v>0.20689655172413793</c:v>
                </c:pt>
                <c:pt idx="48">
                  <c:v>0.20338983050847459</c:v>
                </c:pt>
                <c:pt idx="49">
                  <c:v>0.2</c:v>
                </c:pt>
                <c:pt idx="50">
                  <c:v>0.19672131147540983</c:v>
                </c:pt>
                <c:pt idx="51">
                  <c:v>0.19354838709677419</c:v>
                </c:pt>
                <c:pt idx="52">
                  <c:v>0.19047619047619047</c:v>
                </c:pt>
                <c:pt idx="53">
                  <c:v>0.1875</c:v>
                </c:pt>
                <c:pt idx="54">
                  <c:v>0.18461538461538463</c:v>
                </c:pt>
                <c:pt idx="55">
                  <c:v>0.18181818181818182</c:v>
                </c:pt>
                <c:pt idx="56">
                  <c:v>0.17910447761194029</c:v>
                </c:pt>
                <c:pt idx="57">
                  <c:v>0.17647058823529413</c:v>
                </c:pt>
                <c:pt idx="58">
                  <c:v>0.17391304347826086</c:v>
                </c:pt>
                <c:pt idx="59">
                  <c:v>0.17142857142857143</c:v>
                </c:pt>
                <c:pt idx="60">
                  <c:v>0.16901408450704225</c:v>
                </c:pt>
                <c:pt idx="61">
                  <c:v>0.16666666666666666</c:v>
                </c:pt>
                <c:pt idx="62">
                  <c:v>0.16438356164383561</c:v>
                </c:pt>
                <c:pt idx="63">
                  <c:v>0.16216216216216217</c:v>
                </c:pt>
                <c:pt idx="64">
                  <c:v>0.16</c:v>
                </c:pt>
                <c:pt idx="65">
                  <c:v>0.15789473684210525</c:v>
                </c:pt>
                <c:pt idx="66">
                  <c:v>0.15584415584415584</c:v>
                </c:pt>
                <c:pt idx="67">
                  <c:v>0.15384615384615385</c:v>
                </c:pt>
                <c:pt idx="68">
                  <c:v>0.15189873417721519</c:v>
                </c:pt>
                <c:pt idx="69">
                  <c:v>0.15</c:v>
                </c:pt>
                <c:pt idx="70">
                  <c:v>0.14814814814814814</c:v>
                </c:pt>
                <c:pt idx="71">
                  <c:v>0.14634146341463414</c:v>
                </c:pt>
                <c:pt idx="72">
                  <c:v>0.14457831325301204</c:v>
                </c:pt>
                <c:pt idx="73">
                  <c:v>0.14285714285714285</c:v>
                </c:pt>
                <c:pt idx="74">
                  <c:v>0.14117647058823529</c:v>
                </c:pt>
                <c:pt idx="75">
                  <c:v>0.13953488372093023</c:v>
                </c:pt>
                <c:pt idx="76">
                  <c:v>0.13793103448275862</c:v>
                </c:pt>
                <c:pt idx="77">
                  <c:v>0.13636363636363635</c:v>
                </c:pt>
                <c:pt idx="78">
                  <c:v>0.1348314606741573</c:v>
                </c:pt>
                <c:pt idx="79">
                  <c:v>0.13333333333333333</c:v>
                </c:pt>
                <c:pt idx="80">
                  <c:v>0.13186813186813187</c:v>
                </c:pt>
                <c:pt idx="81">
                  <c:v>0.13043478260869565</c:v>
                </c:pt>
                <c:pt idx="82">
                  <c:v>0.12903225806451613</c:v>
                </c:pt>
                <c:pt idx="83">
                  <c:v>0.1276595744680851</c:v>
                </c:pt>
                <c:pt idx="84">
                  <c:v>0.12631578947368421</c:v>
                </c:pt>
                <c:pt idx="85">
                  <c:v>0.125</c:v>
                </c:pt>
                <c:pt idx="86">
                  <c:v>0.12371134020618557</c:v>
                </c:pt>
                <c:pt idx="87">
                  <c:v>0.12244897959183673</c:v>
                </c:pt>
                <c:pt idx="88">
                  <c:v>0.12121212121212122</c:v>
                </c:pt>
                <c:pt idx="89">
                  <c:v>0.12</c:v>
                </c:pt>
                <c:pt idx="90">
                  <c:v>0.11881188118811881</c:v>
                </c:pt>
                <c:pt idx="91">
                  <c:v>0.11764705882352941</c:v>
                </c:pt>
                <c:pt idx="92">
                  <c:v>0.11650485436893204</c:v>
                </c:pt>
                <c:pt idx="93">
                  <c:v>0.11538461538461539</c:v>
                </c:pt>
                <c:pt idx="94">
                  <c:v>0.11428571428571428</c:v>
                </c:pt>
                <c:pt idx="95">
                  <c:v>0.11320754716981132</c:v>
                </c:pt>
                <c:pt idx="96">
                  <c:v>0.11214953271028037</c:v>
                </c:pt>
                <c:pt idx="97">
                  <c:v>0.1111111111111111</c:v>
                </c:pt>
                <c:pt idx="98">
                  <c:v>0.11009174311926606</c:v>
                </c:pt>
                <c:pt idx="99">
                  <c:v>0.10909090909090909</c:v>
                </c:pt>
                <c:pt idx="100">
                  <c:v>0.10810810810810811</c:v>
                </c:pt>
                <c:pt idx="101">
                  <c:v>0.10714285714285714</c:v>
                </c:pt>
                <c:pt idx="102">
                  <c:v>0.10619469026548672</c:v>
                </c:pt>
                <c:pt idx="103">
                  <c:v>0.10526315789473684</c:v>
                </c:pt>
                <c:pt idx="104">
                  <c:v>0.10434782608695652</c:v>
                </c:pt>
                <c:pt idx="105">
                  <c:v>0.10344827586206896</c:v>
                </c:pt>
                <c:pt idx="106">
                  <c:v>0.10256410256410256</c:v>
                </c:pt>
                <c:pt idx="107">
                  <c:v>0.10169491525423729</c:v>
                </c:pt>
                <c:pt idx="108">
                  <c:v>0.10084033613445378</c:v>
                </c:pt>
                <c:pt idx="109">
                  <c:v>0.1</c:v>
                </c:pt>
                <c:pt idx="110">
                  <c:v>9.9173553719008267E-2</c:v>
                </c:pt>
                <c:pt idx="111">
                  <c:v>9.8360655737704916E-2</c:v>
                </c:pt>
                <c:pt idx="112">
                  <c:v>9.7560975609756101E-2</c:v>
                </c:pt>
                <c:pt idx="113">
                  <c:v>9.6774193548387094E-2</c:v>
                </c:pt>
                <c:pt idx="114">
                  <c:v>9.6000000000000002E-2</c:v>
                </c:pt>
                <c:pt idx="115">
                  <c:v>9.5238095238095233E-2</c:v>
                </c:pt>
                <c:pt idx="116">
                  <c:v>9.4488188976377951E-2</c:v>
                </c:pt>
                <c:pt idx="117">
                  <c:v>9.375E-2</c:v>
                </c:pt>
                <c:pt idx="118">
                  <c:v>9.3023255813953487E-2</c:v>
                </c:pt>
                <c:pt idx="119">
                  <c:v>9.2307692307692313E-2</c:v>
                </c:pt>
                <c:pt idx="120">
                  <c:v>9.1603053435114504E-2</c:v>
                </c:pt>
                <c:pt idx="121">
                  <c:v>9.0909090909090912E-2</c:v>
                </c:pt>
                <c:pt idx="122">
                  <c:v>9.0225563909774431E-2</c:v>
                </c:pt>
                <c:pt idx="123">
                  <c:v>8.9552238805970144E-2</c:v>
                </c:pt>
                <c:pt idx="124">
                  <c:v>8.8888888888888892E-2</c:v>
                </c:pt>
                <c:pt idx="125">
                  <c:v>8.8235294117647065E-2</c:v>
                </c:pt>
                <c:pt idx="126">
                  <c:v>8.7591240875912413E-2</c:v>
                </c:pt>
                <c:pt idx="127">
                  <c:v>8.6956521739130432E-2</c:v>
                </c:pt>
                <c:pt idx="128">
                  <c:v>8.6330935251798566E-2</c:v>
                </c:pt>
                <c:pt idx="129">
                  <c:v>8.5714285714285715E-2</c:v>
                </c:pt>
                <c:pt idx="130">
                  <c:v>8.5106382978723402E-2</c:v>
                </c:pt>
                <c:pt idx="131">
                  <c:v>8.4507042253521125E-2</c:v>
                </c:pt>
                <c:pt idx="132">
                  <c:v>8.3916083916083919E-2</c:v>
                </c:pt>
                <c:pt idx="133">
                  <c:v>8.3333333333333329E-2</c:v>
                </c:pt>
                <c:pt idx="134">
                  <c:v>8.2758620689655171E-2</c:v>
                </c:pt>
                <c:pt idx="135">
                  <c:v>8.2191780821917804E-2</c:v>
                </c:pt>
                <c:pt idx="136">
                  <c:v>8.1632653061224483E-2</c:v>
                </c:pt>
                <c:pt idx="137">
                  <c:v>8.1081081081081086E-2</c:v>
                </c:pt>
                <c:pt idx="138">
                  <c:v>8.0536912751677847E-2</c:v>
                </c:pt>
                <c:pt idx="139">
                  <c:v>0.08</c:v>
                </c:pt>
                <c:pt idx="140">
                  <c:v>7.9470198675496692E-2</c:v>
                </c:pt>
                <c:pt idx="141">
                  <c:v>7.8947368421052627E-2</c:v>
                </c:pt>
                <c:pt idx="142">
                  <c:v>7.8431372549019607E-2</c:v>
                </c:pt>
                <c:pt idx="143">
                  <c:v>7.792207792207792E-2</c:v>
                </c:pt>
                <c:pt idx="144">
                  <c:v>7.7419354838709681E-2</c:v>
                </c:pt>
                <c:pt idx="145">
                  <c:v>7.6923076923076927E-2</c:v>
                </c:pt>
                <c:pt idx="146">
                  <c:v>7.6433121019108277E-2</c:v>
                </c:pt>
                <c:pt idx="147">
                  <c:v>7.5949367088607597E-2</c:v>
                </c:pt>
                <c:pt idx="148">
                  <c:v>7.5471698113207544E-2</c:v>
                </c:pt>
                <c:pt idx="149">
                  <c:v>7.4999999999999997E-2</c:v>
                </c:pt>
                <c:pt idx="150">
                  <c:v>7.4534161490683232E-2</c:v>
                </c:pt>
                <c:pt idx="151">
                  <c:v>7.407407407407407E-2</c:v>
                </c:pt>
                <c:pt idx="152">
                  <c:v>7.3619631901840496E-2</c:v>
                </c:pt>
                <c:pt idx="153">
                  <c:v>7.3170731707317069E-2</c:v>
                </c:pt>
                <c:pt idx="154">
                  <c:v>7.2727272727272724E-2</c:v>
                </c:pt>
                <c:pt idx="155">
                  <c:v>7.2289156626506021E-2</c:v>
                </c:pt>
                <c:pt idx="156">
                  <c:v>7.1856287425149698E-2</c:v>
                </c:pt>
              </c:numCache>
            </c:numRef>
          </c:val>
          <c:smooth val="0"/>
          <c:extLst>
            <c:ext xmlns:c16="http://schemas.microsoft.com/office/drawing/2014/chart" uri="{C3380CC4-5D6E-409C-BE32-E72D297353CC}">
              <c16:uniqueId val="{00000001-66F7-45E2-88EB-0A63EA5CE546}"/>
            </c:ext>
          </c:extLst>
        </c:ser>
        <c:ser>
          <c:idx val="2"/>
          <c:order val="2"/>
          <c:tx>
            <c:strRef>
              <c:f>'WARMUP LOADS'!$T$4</c:f>
              <c:strCache>
                <c:ptCount val="1"/>
                <c:pt idx="0">
                  <c:v>3rd warmup</c:v>
                </c:pt>
              </c:strCache>
            </c:strRef>
          </c:tx>
          <c:marker>
            <c:symbol val="none"/>
          </c:marker>
          <c:cat>
            <c:numRef>
              <c:f>'WARMUP LOADS'!$Q$5:$Q$161</c:f>
              <c:numCache>
                <c:formatCode>General</c:formatCode>
                <c:ptCount val="157"/>
                <c:pt idx="0">
                  <c:v>50</c:v>
                </c:pt>
                <c:pt idx="1">
                  <c:v>55</c:v>
                </c:pt>
                <c:pt idx="2">
                  <c:v>65</c:v>
                </c:pt>
                <c:pt idx="3">
                  <c:v>70</c:v>
                </c:pt>
                <c:pt idx="4">
                  <c:v>75</c:v>
                </c:pt>
                <c:pt idx="5">
                  <c:v>80</c:v>
                </c:pt>
                <c:pt idx="6">
                  <c:v>85</c:v>
                </c:pt>
                <c:pt idx="7">
                  <c:v>90</c:v>
                </c:pt>
                <c:pt idx="8">
                  <c:v>95</c:v>
                </c:pt>
                <c:pt idx="9">
                  <c:v>100</c:v>
                </c:pt>
                <c:pt idx="10">
                  <c:v>105</c:v>
                </c:pt>
                <c:pt idx="11">
                  <c:v>110</c:v>
                </c:pt>
                <c:pt idx="12">
                  <c:v>115</c:v>
                </c:pt>
                <c:pt idx="13">
                  <c:v>120</c:v>
                </c:pt>
                <c:pt idx="14">
                  <c:v>125</c:v>
                </c:pt>
                <c:pt idx="15">
                  <c:v>130</c:v>
                </c:pt>
                <c:pt idx="16">
                  <c:v>135</c:v>
                </c:pt>
                <c:pt idx="17">
                  <c:v>140</c:v>
                </c:pt>
                <c:pt idx="18">
                  <c:v>145</c:v>
                </c:pt>
                <c:pt idx="19">
                  <c:v>150</c:v>
                </c:pt>
                <c:pt idx="20">
                  <c:v>155</c:v>
                </c:pt>
                <c:pt idx="21">
                  <c:v>160</c:v>
                </c:pt>
                <c:pt idx="22">
                  <c:v>165</c:v>
                </c:pt>
                <c:pt idx="23">
                  <c:v>170</c:v>
                </c:pt>
                <c:pt idx="24">
                  <c:v>175</c:v>
                </c:pt>
                <c:pt idx="25">
                  <c:v>180</c:v>
                </c:pt>
                <c:pt idx="26">
                  <c:v>185</c:v>
                </c:pt>
                <c:pt idx="27">
                  <c:v>190</c:v>
                </c:pt>
                <c:pt idx="28">
                  <c:v>195</c:v>
                </c:pt>
                <c:pt idx="29">
                  <c:v>200</c:v>
                </c:pt>
                <c:pt idx="30">
                  <c:v>205</c:v>
                </c:pt>
                <c:pt idx="31">
                  <c:v>210</c:v>
                </c:pt>
                <c:pt idx="32">
                  <c:v>215</c:v>
                </c:pt>
                <c:pt idx="33">
                  <c:v>220</c:v>
                </c:pt>
                <c:pt idx="34">
                  <c:v>225</c:v>
                </c:pt>
                <c:pt idx="35">
                  <c:v>230</c:v>
                </c:pt>
                <c:pt idx="36">
                  <c:v>235</c:v>
                </c:pt>
                <c:pt idx="37">
                  <c:v>240</c:v>
                </c:pt>
                <c:pt idx="38">
                  <c:v>245</c:v>
                </c:pt>
                <c:pt idx="39">
                  <c:v>250</c:v>
                </c:pt>
                <c:pt idx="40">
                  <c:v>255</c:v>
                </c:pt>
                <c:pt idx="41">
                  <c:v>260</c:v>
                </c:pt>
                <c:pt idx="42">
                  <c:v>265</c:v>
                </c:pt>
                <c:pt idx="43">
                  <c:v>270</c:v>
                </c:pt>
                <c:pt idx="44">
                  <c:v>275</c:v>
                </c:pt>
                <c:pt idx="45">
                  <c:v>280</c:v>
                </c:pt>
                <c:pt idx="46">
                  <c:v>285</c:v>
                </c:pt>
                <c:pt idx="47">
                  <c:v>290</c:v>
                </c:pt>
                <c:pt idx="48">
                  <c:v>295</c:v>
                </c:pt>
                <c:pt idx="49">
                  <c:v>300</c:v>
                </c:pt>
                <c:pt idx="50">
                  <c:v>305</c:v>
                </c:pt>
                <c:pt idx="51">
                  <c:v>310</c:v>
                </c:pt>
                <c:pt idx="52">
                  <c:v>315</c:v>
                </c:pt>
                <c:pt idx="53">
                  <c:v>320</c:v>
                </c:pt>
                <c:pt idx="54">
                  <c:v>325</c:v>
                </c:pt>
                <c:pt idx="55">
                  <c:v>330</c:v>
                </c:pt>
                <c:pt idx="56">
                  <c:v>335</c:v>
                </c:pt>
                <c:pt idx="57">
                  <c:v>340</c:v>
                </c:pt>
                <c:pt idx="58">
                  <c:v>345</c:v>
                </c:pt>
                <c:pt idx="59">
                  <c:v>350</c:v>
                </c:pt>
                <c:pt idx="60">
                  <c:v>355</c:v>
                </c:pt>
                <c:pt idx="61">
                  <c:v>360</c:v>
                </c:pt>
                <c:pt idx="62">
                  <c:v>365</c:v>
                </c:pt>
                <c:pt idx="63">
                  <c:v>370</c:v>
                </c:pt>
                <c:pt idx="64">
                  <c:v>375</c:v>
                </c:pt>
                <c:pt idx="65">
                  <c:v>380</c:v>
                </c:pt>
                <c:pt idx="66">
                  <c:v>385</c:v>
                </c:pt>
                <c:pt idx="67">
                  <c:v>390</c:v>
                </c:pt>
                <c:pt idx="68">
                  <c:v>395</c:v>
                </c:pt>
                <c:pt idx="69">
                  <c:v>400</c:v>
                </c:pt>
                <c:pt idx="70">
                  <c:v>405</c:v>
                </c:pt>
                <c:pt idx="71">
                  <c:v>410</c:v>
                </c:pt>
                <c:pt idx="72">
                  <c:v>415</c:v>
                </c:pt>
                <c:pt idx="73">
                  <c:v>420</c:v>
                </c:pt>
                <c:pt idx="74">
                  <c:v>425</c:v>
                </c:pt>
                <c:pt idx="75">
                  <c:v>430</c:v>
                </c:pt>
                <c:pt idx="76">
                  <c:v>435</c:v>
                </c:pt>
                <c:pt idx="77">
                  <c:v>440</c:v>
                </c:pt>
                <c:pt idx="78">
                  <c:v>445</c:v>
                </c:pt>
                <c:pt idx="79">
                  <c:v>450</c:v>
                </c:pt>
                <c:pt idx="80">
                  <c:v>455</c:v>
                </c:pt>
                <c:pt idx="81">
                  <c:v>460</c:v>
                </c:pt>
                <c:pt idx="82">
                  <c:v>465</c:v>
                </c:pt>
                <c:pt idx="83">
                  <c:v>470</c:v>
                </c:pt>
                <c:pt idx="84">
                  <c:v>475</c:v>
                </c:pt>
                <c:pt idx="85">
                  <c:v>480</c:v>
                </c:pt>
                <c:pt idx="86">
                  <c:v>485</c:v>
                </c:pt>
                <c:pt idx="87">
                  <c:v>490</c:v>
                </c:pt>
                <c:pt idx="88">
                  <c:v>495</c:v>
                </c:pt>
                <c:pt idx="89">
                  <c:v>500</c:v>
                </c:pt>
                <c:pt idx="90">
                  <c:v>505</c:v>
                </c:pt>
                <c:pt idx="91">
                  <c:v>510</c:v>
                </c:pt>
                <c:pt idx="92">
                  <c:v>515</c:v>
                </c:pt>
                <c:pt idx="93">
                  <c:v>520</c:v>
                </c:pt>
                <c:pt idx="94">
                  <c:v>525</c:v>
                </c:pt>
                <c:pt idx="95">
                  <c:v>530</c:v>
                </c:pt>
                <c:pt idx="96">
                  <c:v>535</c:v>
                </c:pt>
                <c:pt idx="97">
                  <c:v>540</c:v>
                </c:pt>
                <c:pt idx="98">
                  <c:v>545</c:v>
                </c:pt>
                <c:pt idx="99">
                  <c:v>550</c:v>
                </c:pt>
                <c:pt idx="100">
                  <c:v>555</c:v>
                </c:pt>
                <c:pt idx="101">
                  <c:v>560</c:v>
                </c:pt>
                <c:pt idx="102">
                  <c:v>565</c:v>
                </c:pt>
                <c:pt idx="103">
                  <c:v>570</c:v>
                </c:pt>
                <c:pt idx="104">
                  <c:v>575</c:v>
                </c:pt>
                <c:pt idx="105">
                  <c:v>580</c:v>
                </c:pt>
                <c:pt idx="106">
                  <c:v>585</c:v>
                </c:pt>
                <c:pt idx="107">
                  <c:v>590</c:v>
                </c:pt>
                <c:pt idx="108">
                  <c:v>595</c:v>
                </c:pt>
                <c:pt idx="109">
                  <c:v>600</c:v>
                </c:pt>
                <c:pt idx="110">
                  <c:v>605</c:v>
                </c:pt>
                <c:pt idx="111">
                  <c:v>610</c:v>
                </c:pt>
                <c:pt idx="112">
                  <c:v>615</c:v>
                </c:pt>
                <c:pt idx="113">
                  <c:v>620</c:v>
                </c:pt>
                <c:pt idx="114">
                  <c:v>625</c:v>
                </c:pt>
                <c:pt idx="115">
                  <c:v>630</c:v>
                </c:pt>
                <c:pt idx="116">
                  <c:v>635</c:v>
                </c:pt>
                <c:pt idx="117">
                  <c:v>640</c:v>
                </c:pt>
                <c:pt idx="118">
                  <c:v>645</c:v>
                </c:pt>
                <c:pt idx="119">
                  <c:v>650</c:v>
                </c:pt>
                <c:pt idx="120">
                  <c:v>655</c:v>
                </c:pt>
                <c:pt idx="121">
                  <c:v>660</c:v>
                </c:pt>
                <c:pt idx="122">
                  <c:v>665</c:v>
                </c:pt>
                <c:pt idx="123">
                  <c:v>670</c:v>
                </c:pt>
                <c:pt idx="124">
                  <c:v>675</c:v>
                </c:pt>
                <c:pt idx="125">
                  <c:v>680</c:v>
                </c:pt>
                <c:pt idx="126">
                  <c:v>685</c:v>
                </c:pt>
                <c:pt idx="127">
                  <c:v>690</c:v>
                </c:pt>
                <c:pt idx="128">
                  <c:v>695</c:v>
                </c:pt>
                <c:pt idx="129">
                  <c:v>700</c:v>
                </c:pt>
                <c:pt idx="130">
                  <c:v>705</c:v>
                </c:pt>
                <c:pt idx="131">
                  <c:v>710</c:v>
                </c:pt>
                <c:pt idx="132">
                  <c:v>715</c:v>
                </c:pt>
                <c:pt idx="133">
                  <c:v>720</c:v>
                </c:pt>
                <c:pt idx="134">
                  <c:v>725</c:v>
                </c:pt>
                <c:pt idx="135">
                  <c:v>730</c:v>
                </c:pt>
                <c:pt idx="136">
                  <c:v>735</c:v>
                </c:pt>
                <c:pt idx="137">
                  <c:v>740</c:v>
                </c:pt>
                <c:pt idx="138">
                  <c:v>745</c:v>
                </c:pt>
                <c:pt idx="139">
                  <c:v>750</c:v>
                </c:pt>
                <c:pt idx="140">
                  <c:v>755</c:v>
                </c:pt>
                <c:pt idx="141">
                  <c:v>760</c:v>
                </c:pt>
                <c:pt idx="142">
                  <c:v>765</c:v>
                </c:pt>
                <c:pt idx="143">
                  <c:v>770</c:v>
                </c:pt>
                <c:pt idx="144">
                  <c:v>775</c:v>
                </c:pt>
                <c:pt idx="145">
                  <c:v>780</c:v>
                </c:pt>
                <c:pt idx="146">
                  <c:v>785</c:v>
                </c:pt>
                <c:pt idx="147">
                  <c:v>790</c:v>
                </c:pt>
                <c:pt idx="148">
                  <c:v>795</c:v>
                </c:pt>
                <c:pt idx="149">
                  <c:v>800</c:v>
                </c:pt>
                <c:pt idx="150">
                  <c:v>805</c:v>
                </c:pt>
                <c:pt idx="151">
                  <c:v>810</c:v>
                </c:pt>
                <c:pt idx="152">
                  <c:v>815</c:v>
                </c:pt>
                <c:pt idx="153">
                  <c:v>820</c:v>
                </c:pt>
                <c:pt idx="154">
                  <c:v>825</c:v>
                </c:pt>
                <c:pt idx="155">
                  <c:v>830</c:v>
                </c:pt>
                <c:pt idx="156">
                  <c:v>835</c:v>
                </c:pt>
              </c:numCache>
            </c:numRef>
          </c:cat>
          <c:val>
            <c:numRef>
              <c:f>'WARMUP LOADS'!$T$5:$T$161</c:f>
              <c:numCache>
                <c:formatCode>0%</c:formatCode>
                <c:ptCount val="157"/>
                <c:pt idx="4">
                  <c:v>0.36666666666666664</c:v>
                </c:pt>
                <c:pt idx="5">
                  <c:v>0.375</c:v>
                </c:pt>
                <c:pt idx="6">
                  <c:v>0.35294117647058826</c:v>
                </c:pt>
                <c:pt idx="7">
                  <c:v>0.33333333333333331</c:v>
                </c:pt>
                <c:pt idx="8">
                  <c:v>0.34210526315789475</c:v>
                </c:pt>
                <c:pt idx="9">
                  <c:v>0.35</c:v>
                </c:pt>
                <c:pt idx="10">
                  <c:v>0.33333333333333331</c:v>
                </c:pt>
                <c:pt idx="11">
                  <c:v>0.34090909090909088</c:v>
                </c:pt>
                <c:pt idx="12">
                  <c:v>0.32608695652173914</c:v>
                </c:pt>
                <c:pt idx="13">
                  <c:v>0.3125</c:v>
                </c:pt>
                <c:pt idx="14">
                  <c:v>0.3</c:v>
                </c:pt>
                <c:pt idx="15">
                  <c:v>0.28846153846153844</c:v>
                </c:pt>
                <c:pt idx="16">
                  <c:v>0.31481481481481483</c:v>
                </c:pt>
                <c:pt idx="17">
                  <c:v>0.30357142857142855</c:v>
                </c:pt>
                <c:pt idx="18">
                  <c:v>0.29310344827586204</c:v>
                </c:pt>
                <c:pt idx="19">
                  <c:v>0.28333333333333333</c:v>
                </c:pt>
                <c:pt idx="20">
                  <c:v>0.27419354838709675</c:v>
                </c:pt>
                <c:pt idx="21">
                  <c:v>0.328125</c:v>
                </c:pt>
                <c:pt idx="22">
                  <c:v>0.31818181818181818</c:v>
                </c:pt>
                <c:pt idx="23">
                  <c:v>0.30882352941176472</c:v>
                </c:pt>
                <c:pt idx="24">
                  <c:v>0.3</c:v>
                </c:pt>
                <c:pt idx="25">
                  <c:v>0.29166666666666669</c:v>
                </c:pt>
                <c:pt idx="26">
                  <c:v>0.28378378378378377</c:v>
                </c:pt>
                <c:pt idx="27">
                  <c:v>0.27631578947368424</c:v>
                </c:pt>
                <c:pt idx="28">
                  <c:v>0.26923076923076922</c:v>
                </c:pt>
                <c:pt idx="29">
                  <c:v>0.26250000000000001</c:v>
                </c:pt>
                <c:pt idx="30">
                  <c:v>0.25609756097560976</c:v>
                </c:pt>
                <c:pt idx="31">
                  <c:v>0.2857142857142857</c:v>
                </c:pt>
                <c:pt idx="32">
                  <c:v>0.27906976744186046</c:v>
                </c:pt>
                <c:pt idx="33">
                  <c:v>0.27272727272727271</c:v>
                </c:pt>
                <c:pt idx="34">
                  <c:v>0.26666666666666666</c:v>
                </c:pt>
                <c:pt idx="35">
                  <c:v>0.2608695652173913</c:v>
                </c:pt>
                <c:pt idx="36">
                  <c:v>0.25531914893617019</c:v>
                </c:pt>
                <c:pt idx="37">
                  <c:v>0.25</c:v>
                </c:pt>
                <c:pt idx="38">
                  <c:v>0.24489795918367346</c:v>
                </c:pt>
                <c:pt idx="39">
                  <c:v>0.24</c:v>
                </c:pt>
                <c:pt idx="40">
                  <c:v>0.23529411764705882</c:v>
                </c:pt>
                <c:pt idx="41">
                  <c:v>0.26923076923076922</c:v>
                </c:pt>
                <c:pt idx="42">
                  <c:v>0.26415094339622641</c:v>
                </c:pt>
                <c:pt idx="43">
                  <c:v>0.25925925925925924</c:v>
                </c:pt>
                <c:pt idx="44">
                  <c:v>0.25454545454545452</c:v>
                </c:pt>
                <c:pt idx="45">
                  <c:v>0.25</c:v>
                </c:pt>
                <c:pt idx="46">
                  <c:v>0.24561403508771928</c:v>
                </c:pt>
                <c:pt idx="47">
                  <c:v>0.29310344827586204</c:v>
                </c:pt>
                <c:pt idx="48">
                  <c:v>0.28813559322033899</c:v>
                </c:pt>
                <c:pt idx="49">
                  <c:v>0.28333333333333333</c:v>
                </c:pt>
                <c:pt idx="50">
                  <c:v>0.27868852459016391</c:v>
                </c:pt>
                <c:pt idx="51">
                  <c:v>0.27419354838709675</c:v>
                </c:pt>
                <c:pt idx="52">
                  <c:v>0.26984126984126983</c:v>
                </c:pt>
                <c:pt idx="53">
                  <c:v>0.265625</c:v>
                </c:pt>
                <c:pt idx="54">
                  <c:v>0.26153846153846155</c:v>
                </c:pt>
                <c:pt idx="55">
                  <c:v>0.25757575757575757</c:v>
                </c:pt>
                <c:pt idx="56">
                  <c:v>0.2537313432835821</c:v>
                </c:pt>
                <c:pt idx="57">
                  <c:v>0.25</c:v>
                </c:pt>
                <c:pt idx="58">
                  <c:v>0.24637681159420291</c:v>
                </c:pt>
                <c:pt idx="59">
                  <c:v>0.24285714285714285</c:v>
                </c:pt>
                <c:pt idx="60">
                  <c:v>0.23943661971830985</c:v>
                </c:pt>
                <c:pt idx="61">
                  <c:v>0.28472222222222221</c:v>
                </c:pt>
                <c:pt idx="62">
                  <c:v>0.28082191780821919</c:v>
                </c:pt>
                <c:pt idx="63">
                  <c:v>0.27702702702702703</c:v>
                </c:pt>
                <c:pt idx="64">
                  <c:v>0.27333333333333332</c:v>
                </c:pt>
                <c:pt idx="65">
                  <c:v>0.26973684210526316</c:v>
                </c:pt>
                <c:pt idx="66">
                  <c:v>0.26623376623376621</c:v>
                </c:pt>
                <c:pt idx="67">
                  <c:v>0.26282051282051283</c:v>
                </c:pt>
                <c:pt idx="68">
                  <c:v>0.25949367088607594</c:v>
                </c:pt>
                <c:pt idx="69">
                  <c:v>0.25624999999999998</c:v>
                </c:pt>
                <c:pt idx="70">
                  <c:v>0.25308641975308643</c:v>
                </c:pt>
                <c:pt idx="71">
                  <c:v>0.25</c:v>
                </c:pt>
                <c:pt idx="72">
                  <c:v>0.24698795180722891</c:v>
                </c:pt>
                <c:pt idx="73">
                  <c:v>0.24404761904761904</c:v>
                </c:pt>
                <c:pt idx="74">
                  <c:v>0.2411764705882353</c:v>
                </c:pt>
                <c:pt idx="75">
                  <c:v>0.23837209302325582</c:v>
                </c:pt>
                <c:pt idx="76">
                  <c:v>0.23563218390804597</c:v>
                </c:pt>
                <c:pt idx="77">
                  <c:v>0.23295454545454544</c:v>
                </c:pt>
                <c:pt idx="78">
                  <c:v>0.2303370786516854</c:v>
                </c:pt>
                <c:pt idx="79">
                  <c:v>0.22777777777777777</c:v>
                </c:pt>
                <c:pt idx="80">
                  <c:v>0.22527472527472528</c:v>
                </c:pt>
                <c:pt idx="81">
                  <c:v>0.22282608695652173</c:v>
                </c:pt>
                <c:pt idx="82">
                  <c:v>0.22043010752688172</c:v>
                </c:pt>
                <c:pt idx="83">
                  <c:v>0.21808510638297873</c:v>
                </c:pt>
                <c:pt idx="84">
                  <c:v>0.21578947368421053</c:v>
                </c:pt>
                <c:pt idx="85">
                  <c:v>0.21354166666666666</c:v>
                </c:pt>
                <c:pt idx="86">
                  <c:v>0.21134020618556701</c:v>
                </c:pt>
                <c:pt idx="87">
                  <c:v>0.20918367346938777</c:v>
                </c:pt>
                <c:pt idx="88">
                  <c:v>0.20707070707070707</c:v>
                </c:pt>
                <c:pt idx="89">
                  <c:v>0.20499999999999999</c:v>
                </c:pt>
                <c:pt idx="90">
                  <c:v>0.20297029702970298</c:v>
                </c:pt>
                <c:pt idx="91">
                  <c:v>0.20098039215686275</c:v>
                </c:pt>
                <c:pt idx="92">
                  <c:v>0.19902912621359223</c:v>
                </c:pt>
                <c:pt idx="93">
                  <c:v>0.19711538461538461</c:v>
                </c:pt>
                <c:pt idx="94">
                  <c:v>0.19523809523809524</c:v>
                </c:pt>
                <c:pt idx="95">
                  <c:v>0.19339622641509435</c:v>
                </c:pt>
                <c:pt idx="96">
                  <c:v>0.19158878504672897</c:v>
                </c:pt>
                <c:pt idx="97">
                  <c:v>0.18981481481481483</c:v>
                </c:pt>
                <c:pt idx="98">
                  <c:v>0.18807339449541285</c:v>
                </c:pt>
                <c:pt idx="99">
                  <c:v>0.18636363636363637</c:v>
                </c:pt>
                <c:pt idx="100">
                  <c:v>0.18468468468468469</c:v>
                </c:pt>
                <c:pt idx="101">
                  <c:v>0.18303571428571427</c:v>
                </c:pt>
                <c:pt idx="102">
                  <c:v>0.18141592920353983</c:v>
                </c:pt>
                <c:pt idx="103">
                  <c:v>0.17982456140350878</c:v>
                </c:pt>
                <c:pt idx="104">
                  <c:v>0.17826086956521739</c:v>
                </c:pt>
                <c:pt idx="105">
                  <c:v>0.17672413793103448</c:v>
                </c:pt>
                <c:pt idx="106">
                  <c:v>0.1752136752136752</c:v>
                </c:pt>
                <c:pt idx="107">
                  <c:v>0.17372881355932204</c:v>
                </c:pt>
                <c:pt idx="108">
                  <c:v>0.17226890756302521</c:v>
                </c:pt>
                <c:pt idx="109">
                  <c:v>0.17083333333333334</c:v>
                </c:pt>
                <c:pt idx="110">
                  <c:v>0.16942148760330578</c:v>
                </c:pt>
                <c:pt idx="111">
                  <c:v>0.16803278688524589</c:v>
                </c:pt>
                <c:pt idx="112">
                  <c:v>0.16666666666666666</c:v>
                </c:pt>
                <c:pt idx="113">
                  <c:v>0.16532258064516128</c:v>
                </c:pt>
                <c:pt idx="114">
                  <c:v>0.16400000000000001</c:v>
                </c:pt>
                <c:pt idx="115">
                  <c:v>0.1626984126984127</c:v>
                </c:pt>
                <c:pt idx="116">
                  <c:v>0.16141732283464566</c:v>
                </c:pt>
                <c:pt idx="117">
                  <c:v>0.16015625</c:v>
                </c:pt>
                <c:pt idx="118">
                  <c:v>0.15891472868217055</c:v>
                </c:pt>
                <c:pt idx="119">
                  <c:v>0.15769230769230769</c:v>
                </c:pt>
                <c:pt idx="120">
                  <c:v>0.15648854961832062</c:v>
                </c:pt>
                <c:pt idx="121">
                  <c:v>0.1553030303030303</c:v>
                </c:pt>
                <c:pt idx="122">
                  <c:v>0.15413533834586465</c:v>
                </c:pt>
                <c:pt idx="123">
                  <c:v>0.15298507462686567</c:v>
                </c:pt>
                <c:pt idx="124">
                  <c:v>0.15185185185185185</c:v>
                </c:pt>
                <c:pt idx="125">
                  <c:v>0.15073529411764705</c:v>
                </c:pt>
                <c:pt idx="126">
                  <c:v>0.14963503649635038</c:v>
                </c:pt>
                <c:pt idx="127">
                  <c:v>0.14855072463768115</c:v>
                </c:pt>
                <c:pt idx="128">
                  <c:v>0.14748201438848921</c:v>
                </c:pt>
                <c:pt idx="129">
                  <c:v>0.14642857142857144</c:v>
                </c:pt>
                <c:pt idx="130">
                  <c:v>0.1453900709219858</c:v>
                </c:pt>
                <c:pt idx="131">
                  <c:v>0.14436619718309859</c:v>
                </c:pt>
                <c:pt idx="132">
                  <c:v>0.14335664335664336</c:v>
                </c:pt>
                <c:pt idx="133">
                  <c:v>0.1423611111111111</c:v>
                </c:pt>
                <c:pt idx="134">
                  <c:v>0.14137931034482759</c:v>
                </c:pt>
                <c:pt idx="135">
                  <c:v>0.1404109589041096</c:v>
                </c:pt>
                <c:pt idx="136">
                  <c:v>0.13945578231292516</c:v>
                </c:pt>
                <c:pt idx="137">
                  <c:v>0.13851351351351351</c:v>
                </c:pt>
                <c:pt idx="138">
                  <c:v>0.13758389261744966</c:v>
                </c:pt>
                <c:pt idx="139">
                  <c:v>0.13666666666666666</c:v>
                </c:pt>
                <c:pt idx="140">
                  <c:v>0.13576158940397351</c:v>
                </c:pt>
                <c:pt idx="141">
                  <c:v>0.13486842105263158</c:v>
                </c:pt>
                <c:pt idx="142">
                  <c:v>0.13398692810457516</c:v>
                </c:pt>
                <c:pt idx="143">
                  <c:v>0.13311688311688311</c:v>
                </c:pt>
                <c:pt idx="144">
                  <c:v>0.13225806451612904</c:v>
                </c:pt>
                <c:pt idx="145">
                  <c:v>0.13141025641025642</c:v>
                </c:pt>
                <c:pt idx="146">
                  <c:v>0.13057324840764331</c:v>
                </c:pt>
                <c:pt idx="147">
                  <c:v>0.12974683544303797</c:v>
                </c:pt>
                <c:pt idx="148">
                  <c:v>0.12893081761006289</c:v>
                </c:pt>
                <c:pt idx="149">
                  <c:v>0.12812499999999999</c:v>
                </c:pt>
                <c:pt idx="150">
                  <c:v>0.12732919254658384</c:v>
                </c:pt>
                <c:pt idx="151">
                  <c:v>0.12654320987654322</c:v>
                </c:pt>
                <c:pt idx="152">
                  <c:v>0.12576687116564417</c:v>
                </c:pt>
                <c:pt idx="153">
                  <c:v>0.125</c:v>
                </c:pt>
                <c:pt idx="154">
                  <c:v>0.12424242424242424</c:v>
                </c:pt>
                <c:pt idx="155">
                  <c:v>0.12349397590361445</c:v>
                </c:pt>
                <c:pt idx="156">
                  <c:v>0.12275449101796407</c:v>
                </c:pt>
              </c:numCache>
            </c:numRef>
          </c:val>
          <c:smooth val="0"/>
          <c:extLst>
            <c:ext xmlns:c16="http://schemas.microsoft.com/office/drawing/2014/chart" uri="{C3380CC4-5D6E-409C-BE32-E72D297353CC}">
              <c16:uniqueId val="{00000002-66F7-45E2-88EB-0A63EA5CE546}"/>
            </c:ext>
          </c:extLst>
        </c:ser>
        <c:ser>
          <c:idx val="3"/>
          <c:order val="3"/>
          <c:tx>
            <c:strRef>
              <c:f>'WARMUP LOADS'!$U$4</c:f>
              <c:strCache>
                <c:ptCount val="1"/>
                <c:pt idx="0">
                  <c:v>4th warmup</c:v>
                </c:pt>
              </c:strCache>
            </c:strRef>
          </c:tx>
          <c:marker>
            <c:symbol val="none"/>
          </c:marker>
          <c:cat>
            <c:numRef>
              <c:f>'WARMUP LOADS'!$Q$5:$Q$161</c:f>
              <c:numCache>
                <c:formatCode>General</c:formatCode>
                <c:ptCount val="157"/>
                <c:pt idx="0">
                  <c:v>50</c:v>
                </c:pt>
                <c:pt idx="1">
                  <c:v>55</c:v>
                </c:pt>
                <c:pt idx="2">
                  <c:v>65</c:v>
                </c:pt>
                <c:pt idx="3">
                  <c:v>70</c:v>
                </c:pt>
                <c:pt idx="4">
                  <c:v>75</c:v>
                </c:pt>
                <c:pt idx="5">
                  <c:v>80</c:v>
                </c:pt>
                <c:pt idx="6">
                  <c:v>85</c:v>
                </c:pt>
                <c:pt idx="7">
                  <c:v>90</c:v>
                </c:pt>
                <c:pt idx="8">
                  <c:v>95</c:v>
                </c:pt>
                <c:pt idx="9">
                  <c:v>100</c:v>
                </c:pt>
                <c:pt idx="10">
                  <c:v>105</c:v>
                </c:pt>
                <c:pt idx="11">
                  <c:v>110</c:v>
                </c:pt>
                <c:pt idx="12">
                  <c:v>115</c:v>
                </c:pt>
                <c:pt idx="13">
                  <c:v>120</c:v>
                </c:pt>
                <c:pt idx="14">
                  <c:v>125</c:v>
                </c:pt>
                <c:pt idx="15">
                  <c:v>130</c:v>
                </c:pt>
                <c:pt idx="16">
                  <c:v>135</c:v>
                </c:pt>
                <c:pt idx="17">
                  <c:v>140</c:v>
                </c:pt>
                <c:pt idx="18">
                  <c:v>145</c:v>
                </c:pt>
                <c:pt idx="19">
                  <c:v>150</c:v>
                </c:pt>
                <c:pt idx="20">
                  <c:v>155</c:v>
                </c:pt>
                <c:pt idx="21">
                  <c:v>160</c:v>
                </c:pt>
                <c:pt idx="22">
                  <c:v>165</c:v>
                </c:pt>
                <c:pt idx="23">
                  <c:v>170</c:v>
                </c:pt>
                <c:pt idx="24">
                  <c:v>175</c:v>
                </c:pt>
                <c:pt idx="25">
                  <c:v>180</c:v>
                </c:pt>
                <c:pt idx="26">
                  <c:v>185</c:v>
                </c:pt>
                <c:pt idx="27">
                  <c:v>190</c:v>
                </c:pt>
                <c:pt idx="28">
                  <c:v>195</c:v>
                </c:pt>
                <c:pt idx="29">
                  <c:v>200</c:v>
                </c:pt>
                <c:pt idx="30">
                  <c:v>205</c:v>
                </c:pt>
                <c:pt idx="31">
                  <c:v>210</c:v>
                </c:pt>
                <c:pt idx="32">
                  <c:v>215</c:v>
                </c:pt>
                <c:pt idx="33">
                  <c:v>220</c:v>
                </c:pt>
                <c:pt idx="34">
                  <c:v>225</c:v>
                </c:pt>
                <c:pt idx="35">
                  <c:v>230</c:v>
                </c:pt>
                <c:pt idx="36">
                  <c:v>235</c:v>
                </c:pt>
                <c:pt idx="37">
                  <c:v>240</c:v>
                </c:pt>
                <c:pt idx="38">
                  <c:v>245</c:v>
                </c:pt>
                <c:pt idx="39">
                  <c:v>250</c:v>
                </c:pt>
                <c:pt idx="40">
                  <c:v>255</c:v>
                </c:pt>
                <c:pt idx="41">
                  <c:v>260</c:v>
                </c:pt>
                <c:pt idx="42">
                  <c:v>265</c:v>
                </c:pt>
                <c:pt idx="43">
                  <c:v>270</c:v>
                </c:pt>
                <c:pt idx="44">
                  <c:v>275</c:v>
                </c:pt>
                <c:pt idx="45">
                  <c:v>280</c:v>
                </c:pt>
                <c:pt idx="46">
                  <c:v>285</c:v>
                </c:pt>
                <c:pt idx="47">
                  <c:v>290</c:v>
                </c:pt>
                <c:pt idx="48">
                  <c:v>295</c:v>
                </c:pt>
                <c:pt idx="49">
                  <c:v>300</c:v>
                </c:pt>
                <c:pt idx="50">
                  <c:v>305</c:v>
                </c:pt>
                <c:pt idx="51">
                  <c:v>310</c:v>
                </c:pt>
                <c:pt idx="52">
                  <c:v>315</c:v>
                </c:pt>
                <c:pt idx="53">
                  <c:v>320</c:v>
                </c:pt>
                <c:pt idx="54">
                  <c:v>325</c:v>
                </c:pt>
                <c:pt idx="55">
                  <c:v>330</c:v>
                </c:pt>
                <c:pt idx="56">
                  <c:v>335</c:v>
                </c:pt>
                <c:pt idx="57">
                  <c:v>340</c:v>
                </c:pt>
                <c:pt idx="58">
                  <c:v>345</c:v>
                </c:pt>
                <c:pt idx="59">
                  <c:v>350</c:v>
                </c:pt>
                <c:pt idx="60">
                  <c:v>355</c:v>
                </c:pt>
                <c:pt idx="61">
                  <c:v>360</c:v>
                </c:pt>
                <c:pt idx="62">
                  <c:v>365</c:v>
                </c:pt>
                <c:pt idx="63">
                  <c:v>370</c:v>
                </c:pt>
                <c:pt idx="64">
                  <c:v>375</c:v>
                </c:pt>
                <c:pt idx="65">
                  <c:v>380</c:v>
                </c:pt>
                <c:pt idx="66">
                  <c:v>385</c:v>
                </c:pt>
                <c:pt idx="67">
                  <c:v>390</c:v>
                </c:pt>
                <c:pt idx="68">
                  <c:v>395</c:v>
                </c:pt>
                <c:pt idx="69">
                  <c:v>400</c:v>
                </c:pt>
                <c:pt idx="70">
                  <c:v>405</c:v>
                </c:pt>
                <c:pt idx="71">
                  <c:v>410</c:v>
                </c:pt>
                <c:pt idx="72">
                  <c:v>415</c:v>
                </c:pt>
                <c:pt idx="73">
                  <c:v>420</c:v>
                </c:pt>
                <c:pt idx="74">
                  <c:v>425</c:v>
                </c:pt>
                <c:pt idx="75">
                  <c:v>430</c:v>
                </c:pt>
                <c:pt idx="76">
                  <c:v>435</c:v>
                </c:pt>
                <c:pt idx="77">
                  <c:v>440</c:v>
                </c:pt>
                <c:pt idx="78">
                  <c:v>445</c:v>
                </c:pt>
                <c:pt idx="79">
                  <c:v>450</c:v>
                </c:pt>
                <c:pt idx="80">
                  <c:v>455</c:v>
                </c:pt>
                <c:pt idx="81">
                  <c:v>460</c:v>
                </c:pt>
                <c:pt idx="82">
                  <c:v>465</c:v>
                </c:pt>
                <c:pt idx="83">
                  <c:v>470</c:v>
                </c:pt>
                <c:pt idx="84">
                  <c:v>475</c:v>
                </c:pt>
                <c:pt idx="85">
                  <c:v>480</c:v>
                </c:pt>
                <c:pt idx="86">
                  <c:v>485</c:v>
                </c:pt>
                <c:pt idx="87">
                  <c:v>490</c:v>
                </c:pt>
                <c:pt idx="88">
                  <c:v>495</c:v>
                </c:pt>
                <c:pt idx="89">
                  <c:v>500</c:v>
                </c:pt>
                <c:pt idx="90">
                  <c:v>505</c:v>
                </c:pt>
                <c:pt idx="91">
                  <c:v>510</c:v>
                </c:pt>
                <c:pt idx="92">
                  <c:v>515</c:v>
                </c:pt>
                <c:pt idx="93">
                  <c:v>520</c:v>
                </c:pt>
                <c:pt idx="94">
                  <c:v>525</c:v>
                </c:pt>
                <c:pt idx="95">
                  <c:v>530</c:v>
                </c:pt>
                <c:pt idx="96">
                  <c:v>535</c:v>
                </c:pt>
                <c:pt idx="97">
                  <c:v>540</c:v>
                </c:pt>
                <c:pt idx="98">
                  <c:v>545</c:v>
                </c:pt>
                <c:pt idx="99">
                  <c:v>550</c:v>
                </c:pt>
                <c:pt idx="100">
                  <c:v>555</c:v>
                </c:pt>
                <c:pt idx="101">
                  <c:v>560</c:v>
                </c:pt>
                <c:pt idx="102">
                  <c:v>565</c:v>
                </c:pt>
                <c:pt idx="103">
                  <c:v>570</c:v>
                </c:pt>
                <c:pt idx="104">
                  <c:v>575</c:v>
                </c:pt>
                <c:pt idx="105">
                  <c:v>580</c:v>
                </c:pt>
                <c:pt idx="106">
                  <c:v>585</c:v>
                </c:pt>
                <c:pt idx="107">
                  <c:v>590</c:v>
                </c:pt>
                <c:pt idx="108">
                  <c:v>595</c:v>
                </c:pt>
                <c:pt idx="109">
                  <c:v>600</c:v>
                </c:pt>
                <c:pt idx="110">
                  <c:v>605</c:v>
                </c:pt>
                <c:pt idx="111">
                  <c:v>610</c:v>
                </c:pt>
                <c:pt idx="112">
                  <c:v>615</c:v>
                </c:pt>
                <c:pt idx="113">
                  <c:v>620</c:v>
                </c:pt>
                <c:pt idx="114">
                  <c:v>625</c:v>
                </c:pt>
                <c:pt idx="115">
                  <c:v>630</c:v>
                </c:pt>
                <c:pt idx="116">
                  <c:v>635</c:v>
                </c:pt>
                <c:pt idx="117">
                  <c:v>640</c:v>
                </c:pt>
                <c:pt idx="118">
                  <c:v>645</c:v>
                </c:pt>
                <c:pt idx="119">
                  <c:v>650</c:v>
                </c:pt>
                <c:pt idx="120">
                  <c:v>655</c:v>
                </c:pt>
                <c:pt idx="121">
                  <c:v>660</c:v>
                </c:pt>
                <c:pt idx="122">
                  <c:v>665</c:v>
                </c:pt>
                <c:pt idx="123">
                  <c:v>670</c:v>
                </c:pt>
                <c:pt idx="124">
                  <c:v>675</c:v>
                </c:pt>
                <c:pt idx="125">
                  <c:v>680</c:v>
                </c:pt>
                <c:pt idx="126">
                  <c:v>685</c:v>
                </c:pt>
                <c:pt idx="127">
                  <c:v>690</c:v>
                </c:pt>
                <c:pt idx="128">
                  <c:v>695</c:v>
                </c:pt>
                <c:pt idx="129">
                  <c:v>700</c:v>
                </c:pt>
                <c:pt idx="130">
                  <c:v>705</c:v>
                </c:pt>
                <c:pt idx="131">
                  <c:v>710</c:v>
                </c:pt>
                <c:pt idx="132">
                  <c:v>715</c:v>
                </c:pt>
                <c:pt idx="133">
                  <c:v>720</c:v>
                </c:pt>
                <c:pt idx="134">
                  <c:v>725</c:v>
                </c:pt>
                <c:pt idx="135">
                  <c:v>730</c:v>
                </c:pt>
                <c:pt idx="136">
                  <c:v>735</c:v>
                </c:pt>
                <c:pt idx="137">
                  <c:v>740</c:v>
                </c:pt>
                <c:pt idx="138">
                  <c:v>745</c:v>
                </c:pt>
                <c:pt idx="139">
                  <c:v>750</c:v>
                </c:pt>
                <c:pt idx="140">
                  <c:v>755</c:v>
                </c:pt>
                <c:pt idx="141">
                  <c:v>760</c:v>
                </c:pt>
                <c:pt idx="142">
                  <c:v>765</c:v>
                </c:pt>
                <c:pt idx="143">
                  <c:v>770</c:v>
                </c:pt>
                <c:pt idx="144">
                  <c:v>775</c:v>
                </c:pt>
                <c:pt idx="145">
                  <c:v>780</c:v>
                </c:pt>
                <c:pt idx="146">
                  <c:v>785</c:v>
                </c:pt>
                <c:pt idx="147">
                  <c:v>790</c:v>
                </c:pt>
                <c:pt idx="148">
                  <c:v>795</c:v>
                </c:pt>
                <c:pt idx="149">
                  <c:v>800</c:v>
                </c:pt>
                <c:pt idx="150">
                  <c:v>805</c:v>
                </c:pt>
                <c:pt idx="151">
                  <c:v>810</c:v>
                </c:pt>
                <c:pt idx="152">
                  <c:v>815</c:v>
                </c:pt>
                <c:pt idx="153">
                  <c:v>820</c:v>
                </c:pt>
                <c:pt idx="154">
                  <c:v>825</c:v>
                </c:pt>
                <c:pt idx="155">
                  <c:v>830</c:v>
                </c:pt>
                <c:pt idx="156">
                  <c:v>835</c:v>
                </c:pt>
              </c:numCache>
            </c:numRef>
          </c:cat>
          <c:val>
            <c:numRef>
              <c:f>'WARMUP LOADS'!$U$5:$U$161</c:f>
              <c:numCache>
                <c:formatCode>0%</c:formatCode>
                <c:ptCount val="157"/>
                <c:pt idx="5">
                  <c:v>0.40625</c:v>
                </c:pt>
                <c:pt idx="6">
                  <c:v>0.38235294117647056</c:v>
                </c:pt>
                <c:pt idx="7">
                  <c:v>0.41666666666666669</c:v>
                </c:pt>
                <c:pt idx="8">
                  <c:v>0.39473684210526316</c:v>
                </c:pt>
                <c:pt idx="9">
                  <c:v>0.375</c:v>
                </c:pt>
                <c:pt idx="10">
                  <c:v>0.35714285714285715</c:v>
                </c:pt>
                <c:pt idx="11">
                  <c:v>0.36363636363636365</c:v>
                </c:pt>
                <c:pt idx="12">
                  <c:v>0.34782608695652173</c:v>
                </c:pt>
                <c:pt idx="13">
                  <c:v>0.33333333333333331</c:v>
                </c:pt>
                <c:pt idx="14">
                  <c:v>0.34</c:v>
                </c:pt>
                <c:pt idx="15">
                  <c:v>0.34615384615384615</c:v>
                </c:pt>
                <c:pt idx="16">
                  <c:v>0.35185185185185186</c:v>
                </c:pt>
                <c:pt idx="17">
                  <c:v>0.375</c:v>
                </c:pt>
                <c:pt idx="18">
                  <c:v>0.36206896551724138</c:v>
                </c:pt>
                <c:pt idx="19">
                  <c:v>0.35</c:v>
                </c:pt>
                <c:pt idx="20">
                  <c:v>0.33870967741935482</c:v>
                </c:pt>
                <c:pt idx="21">
                  <c:v>0.375</c:v>
                </c:pt>
                <c:pt idx="22">
                  <c:v>0.36363636363636365</c:v>
                </c:pt>
                <c:pt idx="23">
                  <c:v>0.35294117647058826</c:v>
                </c:pt>
                <c:pt idx="24">
                  <c:v>0.34285714285714286</c:v>
                </c:pt>
                <c:pt idx="25">
                  <c:v>0.33333333333333331</c:v>
                </c:pt>
                <c:pt idx="26">
                  <c:v>0.32432432432432434</c:v>
                </c:pt>
                <c:pt idx="27">
                  <c:v>0.31578947368421051</c:v>
                </c:pt>
                <c:pt idx="28">
                  <c:v>0.33333333333333331</c:v>
                </c:pt>
                <c:pt idx="29">
                  <c:v>0.35</c:v>
                </c:pt>
                <c:pt idx="30">
                  <c:v>0.34146341463414637</c:v>
                </c:pt>
                <c:pt idx="31">
                  <c:v>0.33333333333333331</c:v>
                </c:pt>
                <c:pt idx="32">
                  <c:v>0.32558139534883723</c:v>
                </c:pt>
                <c:pt idx="33">
                  <c:v>0.34090909090909088</c:v>
                </c:pt>
                <c:pt idx="34">
                  <c:v>0.35555555555555557</c:v>
                </c:pt>
                <c:pt idx="35">
                  <c:v>0.36956521739130432</c:v>
                </c:pt>
                <c:pt idx="36">
                  <c:v>0.36170212765957449</c:v>
                </c:pt>
                <c:pt idx="37">
                  <c:v>0.35416666666666669</c:v>
                </c:pt>
                <c:pt idx="38">
                  <c:v>0.34693877551020408</c:v>
                </c:pt>
                <c:pt idx="39">
                  <c:v>0.34</c:v>
                </c:pt>
                <c:pt idx="40">
                  <c:v>0.33333333333333331</c:v>
                </c:pt>
                <c:pt idx="41">
                  <c:v>0.32692307692307693</c:v>
                </c:pt>
                <c:pt idx="42">
                  <c:v>0.32075471698113206</c:v>
                </c:pt>
                <c:pt idx="43">
                  <c:v>0.31481481481481483</c:v>
                </c:pt>
                <c:pt idx="44">
                  <c:v>0.30909090909090908</c:v>
                </c:pt>
                <c:pt idx="45">
                  <c:v>0.30357142857142855</c:v>
                </c:pt>
                <c:pt idx="46">
                  <c:v>0.2982456140350877</c:v>
                </c:pt>
                <c:pt idx="47">
                  <c:v>0.35344827586206895</c:v>
                </c:pt>
                <c:pt idx="48">
                  <c:v>0.34745762711864409</c:v>
                </c:pt>
                <c:pt idx="49">
                  <c:v>0.34166666666666667</c:v>
                </c:pt>
                <c:pt idx="50">
                  <c:v>0.33606557377049179</c:v>
                </c:pt>
                <c:pt idx="51">
                  <c:v>0.33064516129032256</c:v>
                </c:pt>
                <c:pt idx="52">
                  <c:v>0.32539682539682541</c:v>
                </c:pt>
                <c:pt idx="53">
                  <c:v>0.3203125</c:v>
                </c:pt>
                <c:pt idx="54">
                  <c:v>0.31538461538461537</c:v>
                </c:pt>
                <c:pt idx="55">
                  <c:v>0.31060606060606061</c:v>
                </c:pt>
                <c:pt idx="56">
                  <c:v>0.37313432835820898</c:v>
                </c:pt>
                <c:pt idx="57">
                  <c:v>0.36764705882352944</c:v>
                </c:pt>
                <c:pt idx="58">
                  <c:v>0.36231884057971014</c:v>
                </c:pt>
                <c:pt idx="59">
                  <c:v>0.35714285714285715</c:v>
                </c:pt>
                <c:pt idx="60">
                  <c:v>0.352112676056338</c:v>
                </c:pt>
                <c:pt idx="61">
                  <c:v>0.39583333333333331</c:v>
                </c:pt>
                <c:pt idx="62">
                  <c:v>0.3904109589041096</c:v>
                </c:pt>
                <c:pt idx="63">
                  <c:v>0.38513513513513514</c:v>
                </c:pt>
                <c:pt idx="64">
                  <c:v>0.38</c:v>
                </c:pt>
                <c:pt idx="65">
                  <c:v>0.375</c:v>
                </c:pt>
                <c:pt idx="66">
                  <c:v>0.37012987012987014</c:v>
                </c:pt>
                <c:pt idx="67">
                  <c:v>0.36538461538461536</c:v>
                </c:pt>
                <c:pt idx="68">
                  <c:v>0.36075949367088606</c:v>
                </c:pt>
                <c:pt idx="69">
                  <c:v>0.35625000000000001</c:v>
                </c:pt>
                <c:pt idx="70">
                  <c:v>0.35185185185185186</c:v>
                </c:pt>
                <c:pt idx="71">
                  <c:v>0.34756097560975607</c:v>
                </c:pt>
                <c:pt idx="72">
                  <c:v>0.34337349397590361</c:v>
                </c:pt>
                <c:pt idx="73">
                  <c:v>0.3392857142857143</c:v>
                </c:pt>
                <c:pt idx="74">
                  <c:v>0.3352941176470588</c:v>
                </c:pt>
                <c:pt idx="75">
                  <c:v>0.33139534883720928</c:v>
                </c:pt>
                <c:pt idx="76">
                  <c:v>0.32758620689655171</c:v>
                </c:pt>
                <c:pt idx="77">
                  <c:v>0.32386363636363635</c:v>
                </c:pt>
                <c:pt idx="78">
                  <c:v>0.3202247191011236</c:v>
                </c:pt>
                <c:pt idx="79">
                  <c:v>0.31666666666666665</c:v>
                </c:pt>
                <c:pt idx="80">
                  <c:v>0.31318681318681318</c:v>
                </c:pt>
                <c:pt idx="81">
                  <c:v>0.30978260869565216</c:v>
                </c:pt>
                <c:pt idx="82">
                  <c:v>0.30645161290322581</c:v>
                </c:pt>
                <c:pt idx="83">
                  <c:v>0.30319148936170215</c:v>
                </c:pt>
                <c:pt idx="84">
                  <c:v>0.3</c:v>
                </c:pt>
                <c:pt idx="85">
                  <c:v>0.296875</c:v>
                </c:pt>
                <c:pt idx="86">
                  <c:v>0.29381443298969073</c:v>
                </c:pt>
                <c:pt idx="87">
                  <c:v>0.29081632653061223</c:v>
                </c:pt>
                <c:pt idx="88">
                  <c:v>0.2878787878787879</c:v>
                </c:pt>
                <c:pt idx="89">
                  <c:v>0.28499999999999998</c:v>
                </c:pt>
                <c:pt idx="90">
                  <c:v>0.28217821782178215</c:v>
                </c:pt>
                <c:pt idx="91">
                  <c:v>0.27941176470588236</c:v>
                </c:pt>
                <c:pt idx="92">
                  <c:v>0.27669902912621358</c:v>
                </c:pt>
                <c:pt idx="93">
                  <c:v>0.27403846153846156</c:v>
                </c:pt>
                <c:pt idx="94">
                  <c:v>0.27142857142857141</c:v>
                </c:pt>
                <c:pt idx="95">
                  <c:v>0.26886792452830188</c:v>
                </c:pt>
                <c:pt idx="96">
                  <c:v>0.26635514018691586</c:v>
                </c:pt>
                <c:pt idx="97">
                  <c:v>0.2638888888888889</c:v>
                </c:pt>
                <c:pt idx="98">
                  <c:v>0.26146788990825687</c:v>
                </c:pt>
                <c:pt idx="99">
                  <c:v>0.25909090909090909</c:v>
                </c:pt>
                <c:pt idx="100">
                  <c:v>0.25675675675675674</c:v>
                </c:pt>
                <c:pt idx="101">
                  <c:v>0.2544642857142857</c:v>
                </c:pt>
                <c:pt idx="102">
                  <c:v>0.25221238938053098</c:v>
                </c:pt>
                <c:pt idx="103">
                  <c:v>0.25</c:v>
                </c:pt>
                <c:pt idx="104">
                  <c:v>0.24782608695652175</c:v>
                </c:pt>
                <c:pt idx="105">
                  <c:v>0.24568965517241378</c:v>
                </c:pt>
                <c:pt idx="106">
                  <c:v>0.24358974358974358</c:v>
                </c:pt>
                <c:pt idx="107">
                  <c:v>0.24152542372881355</c:v>
                </c:pt>
                <c:pt idx="108">
                  <c:v>0.23949579831932774</c:v>
                </c:pt>
                <c:pt idx="109">
                  <c:v>0.23749999999999999</c:v>
                </c:pt>
                <c:pt idx="110">
                  <c:v>0.23553719008264462</c:v>
                </c:pt>
                <c:pt idx="111">
                  <c:v>0.23360655737704919</c:v>
                </c:pt>
                <c:pt idx="112">
                  <c:v>0.23170731707317074</c:v>
                </c:pt>
                <c:pt idx="113">
                  <c:v>0.22983870967741934</c:v>
                </c:pt>
                <c:pt idx="114">
                  <c:v>0.22800000000000001</c:v>
                </c:pt>
                <c:pt idx="115">
                  <c:v>0.22619047619047619</c:v>
                </c:pt>
                <c:pt idx="116">
                  <c:v>0.22440944881889763</c:v>
                </c:pt>
                <c:pt idx="117">
                  <c:v>0.22265625</c:v>
                </c:pt>
                <c:pt idx="118">
                  <c:v>0.22093023255813954</c:v>
                </c:pt>
                <c:pt idx="119">
                  <c:v>0.21923076923076923</c:v>
                </c:pt>
                <c:pt idx="120">
                  <c:v>0.21755725190839695</c:v>
                </c:pt>
                <c:pt idx="121">
                  <c:v>0.21590909090909091</c:v>
                </c:pt>
                <c:pt idx="122">
                  <c:v>0.21428571428571427</c:v>
                </c:pt>
                <c:pt idx="123">
                  <c:v>0.21268656716417911</c:v>
                </c:pt>
                <c:pt idx="124">
                  <c:v>0.21111111111111111</c:v>
                </c:pt>
                <c:pt idx="125">
                  <c:v>0.20955882352941177</c:v>
                </c:pt>
                <c:pt idx="126">
                  <c:v>0.20802919708029197</c:v>
                </c:pt>
                <c:pt idx="127">
                  <c:v>0.20652173913043478</c:v>
                </c:pt>
                <c:pt idx="128">
                  <c:v>0.20503597122302158</c:v>
                </c:pt>
                <c:pt idx="129">
                  <c:v>0.20357142857142857</c:v>
                </c:pt>
                <c:pt idx="130">
                  <c:v>0.20212765957446807</c:v>
                </c:pt>
                <c:pt idx="131">
                  <c:v>0.20070422535211269</c:v>
                </c:pt>
                <c:pt idx="132">
                  <c:v>0.1993006993006993</c:v>
                </c:pt>
                <c:pt idx="133">
                  <c:v>0.19791666666666666</c:v>
                </c:pt>
                <c:pt idx="134">
                  <c:v>0.19655172413793104</c:v>
                </c:pt>
                <c:pt idx="135">
                  <c:v>0.1952054794520548</c:v>
                </c:pt>
                <c:pt idx="136">
                  <c:v>0.19387755102040816</c:v>
                </c:pt>
                <c:pt idx="137">
                  <c:v>0.19256756756756757</c:v>
                </c:pt>
                <c:pt idx="138">
                  <c:v>0.1912751677852349</c:v>
                </c:pt>
                <c:pt idx="139">
                  <c:v>0.19</c:v>
                </c:pt>
                <c:pt idx="140">
                  <c:v>0.18874172185430463</c:v>
                </c:pt>
                <c:pt idx="141">
                  <c:v>0.1875</c:v>
                </c:pt>
                <c:pt idx="142">
                  <c:v>0.18627450980392157</c:v>
                </c:pt>
                <c:pt idx="143">
                  <c:v>0.18506493506493507</c:v>
                </c:pt>
                <c:pt idx="144">
                  <c:v>0.18387096774193548</c:v>
                </c:pt>
                <c:pt idx="145">
                  <c:v>0.18269230769230768</c:v>
                </c:pt>
                <c:pt idx="146">
                  <c:v>0.18152866242038215</c:v>
                </c:pt>
                <c:pt idx="147">
                  <c:v>0.18037974683544303</c:v>
                </c:pt>
                <c:pt idx="148">
                  <c:v>0.17924528301886791</c:v>
                </c:pt>
                <c:pt idx="149">
                  <c:v>0.17812500000000001</c:v>
                </c:pt>
                <c:pt idx="150">
                  <c:v>0.17701863354037267</c:v>
                </c:pt>
                <c:pt idx="151">
                  <c:v>0.17592592592592593</c:v>
                </c:pt>
                <c:pt idx="152">
                  <c:v>0.17484662576687116</c:v>
                </c:pt>
                <c:pt idx="153">
                  <c:v>0.17378048780487804</c:v>
                </c:pt>
                <c:pt idx="154">
                  <c:v>0.17272727272727273</c:v>
                </c:pt>
                <c:pt idx="155">
                  <c:v>0.1716867469879518</c:v>
                </c:pt>
                <c:pt idx="156">
                  <c:v>0.17065868263473055</c:v>
                </c:pt>
              </c:numCache>
            </c:numRef>
          </c:val>
          <c:smooth val="0"/>
          <c:extLst>
            <c:ext xmlns:c16="http://schemas.microsoft.com/office/drawing/2014/chart" uri="{C3380CC4-5D6E-409C-BE32-E72D297353CC}">
              <c16:uniqueId val="{00000003-66F7-45E2-88EB-0A63EA5CE546}"/>
            </c:ext>
          </c:extLst>
        </c:ser>
        <c:ser>
          <c:idx val="4"/>
          <c:order val="4"/>
          <c:tx>
            <c:strRef>
              <c:f>'WARMUP LOADS'!$V$4</c:f>
              <c:strCache>
                <c:ptCount val="1"/>
                <c:pt idx="0">
                  <c:v>5th warmup</c:v>
                </c:pt>
              </c:strCache>
            </c:strRef>
          </c:tx>
          <c:marker>
            <c:symbol val="none"/>
          </c:marker>
          <c:cat>
            <c:numRef>
              <c:f>'WARMUP LOADS'!$Q$5:$Q$161</c:f>
              <c:numCache>
                <c:formatCode>General</c:formatCode>
                <c:ptCount val="157"/>
                <c:pt idx="0">
                  <c:v>50</c:v>
                </c:pt>
                <c:pt idx="1">
                  <c:v>55</c:v>
                </c:pt>
                <c:pt idx="2">
                  <c:v>65</c:v>
                </c:pt>
                <c:pt idx="3">
                  <c:v>70</c:v>
                </c:pt>
                <c:pt idx="4">
                  <c:v>75</c:v>
                </c:pt>
                <c:pt idx="5">
                  <c:v>80</c:v>
                </c:pt>
                <c:pt idx="6">
                  <c:v>85</c:v>
                </c:pt>
                <c:pt idx="7">
                  <c:v>90</c:v>
                </c:pt>
                <c:pt idx="8">
                  <c:v>95</c:v>
                </c:pt>
                <c:pt idx="9">
                  <c:v>100</c:v>
                </c:pt>
                <c:pt idx="10">
                  <c:v>105</c:v>
                </c:pt>
                <c:pt idx="11">
                  <c:v>110</c:v>
                </c:pt>
                <c:pt idx="12">
                  <c:v>115</c:v>
                </c:pt>
                <c:pt idx="13">
                  <c:v>120</c:v>
                </c:pt>
                <c:pt idx="14">
                  <c:v>125</c:v>
                </c:pt>
                <c:pt idx="15">
                  <c:v>130</c:v>
                </c:pt>
                <c:pt idx="16">
                  <c:v>135</c:v>
                </c:pt>
                <c:pt idx="17">
                  <c:v>140</c:v>
                </c:pt>
                <c:pt idx="18">
                  <c:v>145</c:v>
                </c:pt>
                <c:pt idx="19">
                  <c:v>150</c:v>
                </c:pt>
                <c:pt idx="20">
                  <c:v>155</c:v>
                </c:pt>
                <c:pt idx="21">
                  <c:v>160</c:v>
                </c:pt>
                <c:pt idx="22">
                  <c:v>165</c:v>
                </c:pt>
                <c:pt idx="23">
                  <c:v>170</c:v>
                </c:pt>
                <c:pt idx="24">
                  <c:v>175</c:v>
                </c:pt>
                <c:pt idx="25">
                  <c:v>180</c:v>
                </c:pt>
                <c:pt idx="26">
                  <c:v>185</c:v>
                </c:pt>
                <c:pt idx="27">
                  <c:v>190</c:v>
                </c:pt>
                <c:pt idx="28">
                  <c:v>195</c:v>
                </c:pt>
                <c:pt idx="29">
                  <c:v>200</c:v>
                </c:pt>
                <c:pt idx="30">
                  <c:v>205</c:v>
                </c:pt>
                <c:pt idx="31">
                  <c:v>210</c:v>
                </c:pt>
                <c:pt idx="32">
                  <c:v>215</c:v>
                </c:pt>
                <c:pt idx="33">
                  <c:v>220</c:v>
                </c:pt>
                <c:pt idx="34">
                  <c:v>225</c:v>
                </c:pt>
                <c:pt idx="35">
                  <c:v>230</c:v>
                </c:pt>
                <c:pt idx="36">
                  <c:v>235</c:v>
                </c:pt>
                <c:pt idx="37">
                  <c:v>240</c:v>
                </c:pt>
                <c:pt idx="38">
                  <c:v>245</c:v>
                </c:pt>
                <c:pt idx="39">
                  <c:v>250</c:v>
                </c:pt>
                <c:pt idx="40">
                  <c:v>255</c:v>
                </c:pt>
                <c:pt idx="41">
                  <c:v>260</c:v>
                </c:pt>
                <c:pt idx="42">
                  <c:v>265</c:v>
                </c:pt>
                <c:pt idx="43">
                  <c:v>270</c:v>
                </c:pt>
                <c:pt idx="44">
                  <c:v>275</c:v>
                </c:pt>
                <c:pt idx="45">
                  <c:v>280</c:v>
                </c:pt>
                <c:pt idx="46">
                  <c:v>285</c:v>
                </c:pt>
                <c:pt idx="47">
                  <c:v>290</c:v>
                </c:pt>
                <c:pt idx="48">
                  <c:v>295</c:v>
                </c:pt>
                <c:pt idx="49">
                  <c:v>300</c:v>
                </c:pt>
                <c:pt idx="50">
                  <c:v>305</c:v>
                </c:pt>
                <c:pt idx="51">
                  <c:v>310</c:v>
                </c:pt>
                <c:pt idx="52">
                  <c:v>315</c:v>
                </c:pt>
                <c:pt idx="53">
                  <c:v>320</c:v>
                </c:pt>
                <c:pt idx="54">
                  <c:v>325</c:v>
                </c:pt>
                <c:pt idx="55">
                  <c:v>330</c:v>
                </c:pt>
                <c:pt idx="56">
                  <c:v>335</c:v>
                </c:pt>
                <c:pt idx="57">
                  <c:v>340</c:v>
                </c:pt>
                <c:pt idx="58">
                  <c:v>345</c:v>
                </c:pt>
                <c:pt idx="59">
                  <c:v>350</c:v>
                </c:pt>
                <c:pt idx="60">
                  <c:v>355</c:v>
                </c:pt>
                <c:pt idx="61">
                  <c:v>360</c:v>
                </c:pt>
                <c:pt idx="62">
                  <c:v>365</c:v>
                </c:pt>
                <c:pt idx="63">
                  <c:v>370</c:v>
                </c:pt>
                <c:pt idx="64">
                  <c:v>375</c:v>
                </c:pt>
                <c:pt idx="65">
                  <c:v>380</c:v>
                </c:pt>
                <c:pt idx="66">
                  <c:v>385</c:v>
                </c:pt>
                <c:pt idx="67">
                  <c:v>390</c:v>
                </c:pt>
                <c:pt idx="68">
                  <c:v>395</c:v>
                </c:pt>
                <c:pt idx="69">
                  <c:v>400</c:v>
                </c:pt>
                <c:pt idx="70">
                  <c:v>405</c:v>
                </c:pt>
                <c:pt idx="71">
                  <c:v>410</c:v>
                </c:pt>
                <c:pt idx="72">
                  <c:v>415</c:v>
                </c:pt>
                <c:pt idx="73">
                  <c:v>420</c:v>
                </c:pt>
                <c:pt idx="74">
                  <c:v>425</c:v>
                </c:pt>
                <c:pt idx="75">
                  <c:v>430</c:v>
                </c:pt>
                <c:pt idx="76">
                  <c:v>435</c:v>
                </c:pt>
                <c:pt idx="77">
                  <c:v>440</c:v>
                </c:pt>
                <c:pt idx="78">
                  <c:v>445</c:v>
                </c:pt>
                <c:pt idx="79">
                  <c:v>450</c:v>
                </c:pt>
                <c:pt idx="80">
                  <c:v>455</c:v>
                </c:pt>
                <c:pt idx="81">
                  <c:v>460</c:v>
                </c:pt>
                <c:pt idx="82">
                  <c:v>465</c:v>
                </c:pt>
                <c:pt idx="83">
                  <c:v>470</c:v>
                </c:pt>
                <c:pt idx="84">
                  <c:v>475</c:v>
                </c:pt>
                <c:pt idx="85">
                  <c:v>480</c:v>
                </c:pt>
                <c:pt idx="86">
                  <c:v>485</c:v>
                </c:pt>
                <c:pt idx="87">
                  <c:v>490</c:v>
                </c:pt>
                <c:pt idx="88">
                  <c:v>495</c:v>
                </c:pt>
                <c:pt idx="89">
                  <c:v>500</c:v>
                </c:pt>
                <c:pt idx="90">
                  <c:v>505</c:v>
                </c:pt>
                <c:pt idx="91">
                  <c:v>510</c:v>
                </c:pt>
                <c:pt idx="92">
                  <c:v>515</c:v>
                </c:pt>
                <c:pt idx="93">
                  <c:v>520</c:v>
                </c:pt>
                <c:pt idx="94">
                  <c:v>525</c:v>
                </c:pt>
                <c:pt idx="95">
                  <c:v>530</c:v>
                </c:pt>
                <c:pt idx="96">
                  <c:v>535</c:v>
                </c:pt>
                <c:pt idx="97">
                  <c:v>540</c:v>
                </c:pt>
                <c:pt idx="98">
                  <c:v>545</c:v>
                </c:pt>
                <c:pt idx="99">
                  <c:v>550</c:v>
                </c:pt>
                <c:pt idx="100">
                  <c:v>555</c:v>
                </c:pt>
                <c:pt idx="101">
                  <c:v>560</c:v>
                </c:pt>
                <c:pt idx="102">
                  <c:v>565</c:v>
                </c:pt>
                <c:pt idx="103">
                  <c:v>570</c:v>
                </c:pt>
                <c:pt idx="104">
                  <c:v>575</c:v>
                </c:pt>
                <c:pt idx="105">
                  <c:v>580</c:v>
                </c:pt>
                <c:pt idx="106">
                  <c:v>585</c:v>
                </c:pt>
                <c:pt idx="107">
                  <c:v>590</c:v>
                </c:pt>
                <c:pt idx="108">
                  <c:v>595</c:v>
                </c:pt>
                <c:pt idx="109">
                  <c:v>600</c:v>
                </c:pt>
                <c:pt idx="110">
                  <c:v>605</c:v>
                </c:pt>
                <c:pt idx="111">
                  <c:v>610</c:v>
                </c:pt>
                <c:pt idx="112">
                  <c:v>615</c:v>
                </c:pt>
                <c:pt idx="113">
                  <c:v>620</c:v>
                </c:pt>
                <c:pt idx="114">
                  <c:v>625</c:v>
                </c:pt>
                <c:pt idx="115">
                  <c:v>630</c:v>
                </c:pt>
                <c:pt idx="116">
                  <c:v>635</c:v>
                </c:pt>
                <c:pt idx="117">
                  <c:v>640</c:v>
                </c:pt>
                <c:pt idx="118">
                  <c:v>645</c:v>
                </c:pt>
                <c:pt idx="119">
                  <c:v>650</c:v>
                </c:pt>
                <c:pt idx="120">
                  <c:v>655</c:v>
                </c:pt>
                <c:pt idx="121">
                  <c:v>660</c:v>
                </c:pt>
                <c:pt idx="122">
                  <c:v>665</c:v>
                </c:pt>
                <c:pt idx="123">
                  <c:v>670</c:v>
                </c:pt>
                <c:pt idx="124">
                  <c:v>675</c:v>
                </c:pt>
                <c:pt idx="125">
                  <c:v>680</c:v>
                </c:pt>
                <c:pt idx="126">
                  <c:v>685</c:v>
                </c:pt>
                <c:pt idx="127">
                  <c:v>690</c:v>
                </c:pt>
                <c:pt idx="128">
                  <c:v>695</c:v>
                </c:pt>
                <c:pt idx="129">
                  <c:v>700</c:v>
                </c:pt>
                <c:pt idx="130">
                  <c:v>705</c:v>
                </c:pt>
                <c:pt idx="131">
                  <c:v>710</c:v>
                </c:pt>
                <c:pt idx="132">
                  <c:v>715</c:v>
                </c:pt>
                <c:pt idx="133">
                  <c:v>720</c:v>
                </c:pt>
                <c:pt idx="134">
                  <c:v>725</c:v>
                </c:pt>
                <c:pt idx="135">
                  <c:v>730</c:v>
                </c:pt>
                <c:pt idx="136">
                  <c:v>735</c:v>
                </c:pt>
                <c:pt idx="137">
                  <c:v>740</c:v>
                </c:pt>
                <c:pt idx="138">
                  <c:v>745</c:v>
                </c:pt>
                <c:pt idx="139">
                  <c:v>750</c:v>
                </c:pt>
                <c:pt idx="140">
                  <c:v>755</c:v>
                </c:pt>
                <c:pt idx="141">
                  <c:v>760</c:v>
                </c:pt>
                <c:pt idx="142">
                  <c:v>765</c:v>
                </c:pt>
                <c:pt idx="143">
                  <c:v>770</c:v>
                </c:pt>
                <c:pt idx="144">
                  <c:v>775</c:v>
                </c:pt>
                <c:pt idx="145">
                  <c:v>780</c:v>
                </c:pt>
                <c:pt idx="146">
                  <c:v>785</c:v>
                </c:pt>
                <c:pt idx="147">
                  <c:v>790</c:v>
                </c:pt>
                <c:pt idx="148">
                  <c:v>795</c:v>
                </c:pt>
                <c:pt idx="149">
                  <c:v>800</c:v>
                </c:pt>
                <c:pt idx="150">
                  <c:v>805</c:v>
                </c:pt>
                <c:pt idx="151">
                  <c:v>810</c:v>
                </c:pt>
                <c:pt idx="152">
                  <c:v>815</c:v>
                </c:pt>
                <c:pt idx="153">
                  <c:v>820</c:v>
                </c:pt>
                <c:pt idx="154">
                  <c:v>825</c:v>
                </c:pt>
                <c:pt idx="155">
                  <c:v>830</c:v>
                </c:pt>
                <c:pt idx="156">
                  <c:v>835</c:v>
                </c:pt>
              </c:numCache>
            </c:numRef>
          </c:cat>
          <c:val>
            <c:numRef>
              <c:f>'WARMUP LOADS'!$V$5:$V$161</c:f>
              <c:numCache>
                <c:formatCode>0%</c:formatCode>
                <c:ptCount val="157"/>
                <c:pt idx="12">
                  <c:v>0.39130434782608697</c:v>
                </c:pt>
                <c:pt idx="13">
                  <c:v>0.375</c:v>
                </c:pt>
                <c:pt idx="14">
                  <c:v>0.36</c:v>
                </c:pt>
                <c:pt idx="15">
                  <c:v>0.38461538461538464</c:v>
                </c:pt>
                <c:pt idx="16">
                  <c:v>0.3888888888888889</c:v>
                </c:pt>
                <c:pt idx="17">
                  <c:v>0.39285714285714285</c:v>
                </c:pt>
                <c:pt idx="18">
                  <c:v>0.37931034482758619</c:v>
                </c:pt>
                <c:pt idx="19">
                  <c:v>0.4</c:v>
                </c:pt>
                <c:pt idx="20">
                  <c:v>0.38709677419354838</c:v>
                </c:pt>
                <c:pt idx="21">
                  <c:v>0.40625</c:v>
                </c:pt>
                <c:pt idx="22">
                  <c:v>0.39393939393939392</c:v>
                </c:pt>
                <c:pt idx="23">
                  <c:v>0.39705882352941174</c:v>
                </c:pt>
                <c:pt idx="24">
                  <c:v>0.38571428571428573</c:v>
                </c:pt>
                <c:pt idx="25">
                  <c:v>0.3888888888888889</c:v>
                </c:pt>
                <c:pt idx="26">
                  <c:v>0.39189189189189189</c:v>
                </c:pt>
                <c:pt idx="27">
                  <c:v>0.38157894736842107</c:v>
                </c:pt>
                <c:pt idx="28">
                  <c:v>0.41025641025641024</c:v>
                </c:pt>
                <c:pt idx="29">
                  <c:v>0.41249999999999998</c:v>
                </c:pt>
                <c:pt idx="30">
                  <c:v>0.40243902439024393</c:v>
                </c:pt>
                <c:pt idx="31">
                  <c:v>0.40476190476190477</c:v>
                </c:pt>
                <c:pt idx="32">
                  <c:v>0.40697674418604651</c:v>
                </c:pt>
                <c:pt idx="33">
                  <c:v>0.40909090909090912</c:v>
                </c:pt>
                <c:pt idx="34">
                  <c:v>0.4</c:v>
                </c:pt>
                <c:pt idx="35">
                  <c:v>0.40217391304347827</c:v>
                </c:pt>
                <c:pt idx="36">
                  <c:v>0.39361702127659576</c:v>
                </c:pt>
                <c:pt idx="37">
                  <c:v>0.40625</c:v>
                </c:pt>
                <c:pt idx="38">
                  <c:v>0.39795918367346939</c:v>
                </c:pt>
                <c:pt idx="39">
                  <c:v>0.4</c:v>
                </c:pt>
                <c:pt idx="40">
                  <c:v>0.39215686274509803</c:v>
                </c:pt>
                <c:pt idx="41">
                  <c:v>0.40384615384615385</c:v>
                </c:pt>
                <c:pt idx="42">
                  <c:v>0.39622641509433965</c:v>
                </c:pt>
                <c:pt idx="43">
                  <c:v>0.40740740740740738</c:v>
                </c:pt>
                <c:pt idx="44">
                  <c:v>0.4</c:v>
                </c:pt>
                <c:pt idx="45">
                  <c:v>0.4017857142857143</c:v>
                </c:pt>
                <c:pt idx="46">
                  <c:v>0.40350877192982454</c:v>
                </c:pt>
                <c:pt idx="47">
                  <c:v>0.40517241379310343</c:v>
                </c:pt>
                <c:pt idx="48">
                  <c:v>0.40677966101694918</c:v>
                </c:pt>
                <c:pt idx="49">
                  <c:v>0.4</c:v>
                </c:pt>
                <c:pt idx="50">
                  <c:v>0.40163934426229508</c:v>
                </c:pt>
                <c:pt idx="51">
                  <c:v>0.39516129032258063</c:v>
                </c:pt>
                <c:pt idx="52">
                  <c:v>0.3968253968253968</c:v>
                </c:pt>
                <c:pt idx="53">
                  <c:v>0.3984375</c:v>
                </c:pt>
                <c:pt idx="54">
                  <c:v>0.4</c:v>
                </c:pt>
                <c:pt idx="55">
                  <c:v>0.40151515151515149</c:v>
                </c:pt>
                <c:pt idx="56">
                  <c:v>0.40298507462686567</c:v>
                </c:pt>
                <c:pt idx="57">
                  <c:v>0.39705882352941174</c:v>
                </c:pt>
                <c:pt idx="58">
                  <c:v>0.39855072463768115</c:v>
                </c:pt>
                <c:pt idx="59">
                  <c:v>0.4</c:v>
                </c:pt>
                <c:pt idx="60">
                  <c:v>0.40140845070422537</c:v>
                </c:pt>
                <c:pt idx="61">
                  <c:v>0.43055555555555558</c:v>
                </c:pt>
                <c:pt idx="62">
                  <c:v>0.42465753424657532</c:v>
                </c:pt>
                <c:pt idx="63">
                  <c:v>0.41891891891891891</c:v>
                </c:pt>
                <c:pt idx="64">
                  <c:v>0.42</c:v>
                </c:pt>
                <c:pt idx="65">
                  <c:v>0.42105263157894735</c:v>
                </c:pt>
                <c:pt idx="66">
                  <c:v>0.41558441558441561</c:v>
                </c:pt>
                <c:pt idx="67">
                  <c:v>0.41025641025641024</c:v>
                </c:pt>
                <c:pt idx="68">
                  <c:v>0.4050632911392405</c:v>
                </c:pt>
                <c:pt idx="69">
                  <c:v>0.40625</c:v>
                </c:pt>
                <c:pt idx="70">
                  <c:v>0.40740740740740738</c:v>
                </c:pt>
                <c:pt idx="71">
                  <c:v>0.40853658536585363</c:v>
                </c:pt>
                <c:pt idx="72">
                  <c:v>0.41566265060240964</c:v>
                </c:pt>
                <c:pt idx="73">
                  <c:v>0.42261904761904762</c:v>
                </c:pt>
                <c:pt idx="74">
                  <c:v>0.41764705882352943</c:v>
                </c:pt>
                <c:pt idx="75">
                  <c:v>0.42441860465116277</c:v>
                </c:pt>
                <c:pt idx="76">
                  <c:v>0.41954022988505746</c:v>
                </c:pt>
                <c:pt idx="77">
                  <c:v>0.375</c:v>
                </c:pt>
                <c:pt idx="78">
                  <c:v>0.3707865168539326</c:v>
                </c:pt>
                <c:pt idx="79">
                  <c:v>0.36666666666666664</c:v>
                </c:pt>
                <c:pt idx="80">
                  <c:v>0.36263736263736263</c:v>
                </c:pt>
                <c:pt idx="81">
                  <c:v>0.35869565217391303</c:v>
                </c:pt>
                <c:pt idx="82">
                  <c:v>0.35483870967741937</c:v>
                </c:pt>
                <c:pt idx="83">
                  <c:v>0.35106382978723405</c:v>
                </c:pt>
                <c:pt idx="84">
                  <c:v>0.3473684210526316</c:v>
                </c:pt>
                <c:pt idx="85">
                  <c:v>0.34375</c:v>
                </c:pt>
                <c:pt idx="86">
                  <c:v>0.34020618556701032</c:v>
                </c:pt>
                <c:pt idx="87">
                  <c:v>0.33673469387755101</c:v>
                </c:pt>
                <c:pt idx="88">
                  <c:v>0.33333333333333331</c:v>
                </c:pt>
                <c:pt idx="89">
                  <c:v>0.35</c:v>
                </c:pt>
                <c:pt idx="90">
                  <c:v>0.34653465346534651</c:v>
                </c:pt>
                <c:pt idx="91">
                  <c:v>0.34313725490196079</c:v>
                </c:pt>
                <c:pt idx="92">
                  <c:v>0.33980582524271846</c:v>
                </c:pt>
                <c:pt idx="93">
                  <c:v>0.33653846153846156</c:v>
                </c:pt>
                <c:pt idx="94">
                  <c:v>0.33333333333333331</c:v>
                </c:pt>
                <c:pt idx="95">
                  <c:v>0.330188679245283</c:v>
                </c:pt>
                <c:pt idx="96">
                  <c:v>0.32710280373831774</c:v>
                </c:pt>
                <c:pt idx="97">
                  <c:v>0.32407407407407407</c:v>
                </c:pt>
                <c:pt idx="98">
                  <c:v>0.33486238532110091</c:v>
                </c:pt>
                <c:pt idx="99">
                  <c:v>0.33181818181818185</c:v>
                </c:pt>
                <c:pt idx="100">
                  <c:v>0.32882882882882886</c:v>
                </c:pt>
                <c:pt idx="101">
                  <c:v>0.32589285714285715</c:v>
                </c:pt>
                <c:pt idx="102">
                  <c:v>0.32300884955752213</c:v>
                </c:pt>
                <c:pt idx="103">
                  <c:v>0.32017543859649122</c:v>
                </c:pt>
                <c:pt idx="104">
                  <c:v>0.31739130434782609</c:v>
                </c:pt>
                <c:pt idx="105">
                  <c:v>0.31465517241379309</c:v>
                </c:pt>
                <c:pt idx="106">
                  <c:v>0.31196581196581197</c:v>
                </c:pt>
                <c:pt idx="107">
                  <c:v>0.30932203389830509</c:v>
                </c:pt>
                <c:pt idx="108">
                  <c:v>0.30672268907563027</c:v>
                </c:pt>
                <c:pt idx="109">
                  <c:v>0.30416666666666664</c:v>
                </c:pt>
                <c:pt idx="110">
                  <c:v>0.30165289256198347</c:v>
                </c:pt>
                <c:pt idx="111">
                  <c:v>0.29918032786885246</c:v>
                </c:pt>
                <c:pt idx="112">
                  <c:v>0.2967479674796748</c:v>
                </c:pt>
                <c:pt idx="113">
                  <c:v>0.29435483870967744</c:v>
                </c:pt>
                <c:pt idx="114">
                  <c:v>0.29199999999999998</c:v>
                </c:pt>
                <c:pt idx="115">
                  <c:v>0.28968253968253971</c:v>
                </c:pt>
                <c:pt idx="116">
                  <c:v>0.2874015748031496</c:v>
                </c:pt>
                <c:pt idx="117">
                  <c:v>0.28515625</c:v>
                </c:pt>
                <c:pt idx="118">
                  <c:v>0.28294573643410853</c:v>
                </c:pt>
                <c:pt idx="119">
                  <c:v>0.28076923076923077</c:v>
                </c:pt>
                <c:pt idx="120">
                  <c:v>0.2786259541984733</c:v>
                </c:pt>
                <c:pt idx="121">
                  <c:v>0.27651515151515149</c:v>
                </c:pt>
                <c:pt idx="122">
                  <c:v>0.27443609022556392</c:v>
                </c:pt>
                <c:pt idx="123">
                  <c:v>0.27238805970149255</c:v>
                </c:pt>
                <c:pt idx="124">
                  <c:v>0.27037037037037037</c:v>
                </c:pt>
                <c:pt idx="125">
                  <c:v>0.26838235294117646</c:v>
                </c:pt>
                <c:pt idx="126">
                  <c:v>0.26642335766423358</c:v>
                </c:pt>
                <c:pt idx="127">
                  <c:v>0.26449275362318841</c:v>
                </c:pt>
                <c:pt idx="128">
                  <c:v>0.26258992805755393</c:v>
                </c:pt>
                <c:pt idx="129">
                  <c:v>0.26071428571428573</c:v>
                </c:pt>
                <c:pt idx="130">
                  <c:v>0.25886524822695034</c:v>
                </c:pt>
                <c:pt idx="131">
                  <c:v>0.25704225352112675</c:v>
                </c:pt>
                <c:pt idx="132">
                  <c:v>0.25524475524475526</c:v>
                </c:pt>
                <c:pt idx="133">
                  <c:v>0.25347222222222221</c:v>
                </c:pt>
                <c:pt idx="134">
                  <c:v>0.25172413793103449</c:v>
                </c:pt>
                <c:pt idx="135">
                  <c:v>0.25</c:v>
                </c:pt>
                <c:pt idx="136">
                  <c:v>0.24829931972789115</c:v>
                </c:pt>
                <c:pt idx="137">
                  <c:v>0.24662162162162163</c:v>
                </c:pt>
                <c:pt idx="138">
                  <c:v>0.24496644295302014</c:v>
                </c:pt>
                <c:pt idx="139">
                  <c:v>0.24333333333333335</c:v>
                </c:pt>
                <c:pt idx="140">
                  <c:v>0.24172185430463577</c:v>
                </c:pt>
                <c:pt idx="141">
                  <c:v>0.24013157894736842</c:v>
                </c:pt>
                <c:pt idx="142">
                  <c:v>0.23856209150326799</c:v>
                </c:pt>
                <c:pt idx="143">
                  <c:v>0.23701298701298701</c:v>
                </c:pt>
                <c:pt idx="144">
                  <c:v>0.23548387096774193</c:v>
                </c:pt>
                <c:pt idx="145">
                  <c:v>0.23397435897435898</c:v>
                </c:pt>
                <c:pt idx="146">
                  <c:v>0.23248407643312102</c:v>
                </c:pt>
                <c:pt idx="147">
                  <c:v>0.23101265822784811</c:v>
                </c:pt>
                <c:pt idx="148">
                  <c:v>0.22955974842767296</c:v>
                </c:pt>
                <c:pt idx="149">
                  <c:v>0.22812499999999999</c:v>
                </c:pt>
                <c:pt idx="150">
                  <c:v>0.2267080745341615</c:v>
                </c:pt>
                <c:pt idx="151">
                  <c:v>0.22530864197530864</c:v>
                </c:pt>
                <c:pt idx="152">
                  <c:v>0.22392638036809817</c:v>
                </c:pt>
                <c:pt idx="153">
                  <c:v>0.2225609756097561</c:v>
                </c:pt>
                <c:pt idx="154">
                  <c:v>0.22121212121212122</c:v>
                </c:pt>
                <c:pt idx="155">
                  <c:v>0.21987951807228914</c:v>
                </c:pt>
                <c:pt idx="156">
                  <c:v>0.21856287425149701</c:v>
                </c:pt>
              </c:numCache>
            </c:numRef>
          </c:val>
          <c:smooth val="0"/>
          <c:extLst>
            <c:ext xmlns:c16="http://schemas.microsoft.com/office/drawing/2014/chart" uri="{C3380CC4-5D6E-409C-BE32-E72D297353CC}">
              <c16:uniqueId val="{00000004-66F7-45E2-88EB-0A63EA5CE546}"/>
            </c:ext>
          </c:extLst>
        </c:ser>
        <c:ser>
          <c:idx val="5"/>
          <c:order val="5"/>
          <c:tx>
            <c:strRef>
              <c:f>'WARMUP LOADS'!$W$4</c:f>
              <c:strCache>
                <c:ptCount val="1"/>
                <c:pt idx="0">
                  <c:v>6th warmup</c:v>
                </c:pt>
              </c:strCache>
            </c:strRef>
          </c:tx>
          <c:marker>
            <c:symbol val="none"/>
          </c:marker>
          <c:cat>
            <c:numRef>
              <c:f>'WARMUP LOADS'!$Q$5:$Q$161</c:f>
              <c:numCache>
                <c:formatCode>General</c:formatCode>
                <c:ptCount val="157"/>
                <c:pt idx="0">
                  <c:v>50</c:v>
                </c:pt>
                <c:pt idx="1">
                  <c:v>55</c:v>
                </c:pt>
                <c:pt idx="2">
                  <c:v>65</c:v>
                </c:pt>
                <c:pt idx="3">
                  <c:v>70</c:v>
                </c:pt>
                <c:pt idx="4">
                  <c:v>75</c:v>
                </c:pt>
                <c:pt idx="5">
                  <c:v>80</c:v>
                </c:pt>
                <c:pt idx="6">
                  <c:v>85</c:v>
                </c:pt>
                <c:pt idx="7">
                  <c:v>90</c:v>
                </c:pt>
                <c:pt idx="8">
                  <c:v>95</c:v>
                </c:pt>
                <c:pt idx="9">
                  <c:v>100</c:v>
                </c:pt>
                <c:pt idx="10">
                  <c:v>105</c:v>
                </c:pt>
                <c:pt idx="11">
                  <c:v>110</c:v>
                </c:pt>
                <c:pt idx="12">
                  <c:v>115</c:v>
                </c:pt>
                <c:pt idx="13">
                  <c:v>120</c:v>
                </c:pt>
                <c:pt idx="14">
                  <c:v>125</c:v>
                </c:pt>
                <c:pt idx="15">
                  <c:v>130</c:v>
                </c:pt>
                <c:pt idx="16">
                  <c:v>135</c:v>
                </c:pt>
                <c:pt idx="17">
                  <c:v>140</c:v>
                </c:pt>
                <c:pt idx="18">
                  <c:v>145</c:v>
                </c:pt>
                <c:pt idx="19">
                  <c:v>150</c:v>
                </c:pt>
                <c:pt idx="20">
                  <c:v>155</c:v>
                </c:pt>
                <c:pt idx="21">
                  <c:v>160</c:v>
                </c:pt>
                <c:pt idx="22">
                  <c:v>165</c:v>
                </c:pt>
                <c:pt idx="23">
                  <c:v>170</c:v>
                </c:pt>
                <c:pt idx="24">
                  <c:v>175</c:v>
                </c:pt>
                <c:pt idx="25">
                  <c:v>180</c:v>
                </c:pt>
                <c:pt idx="26">
                  <c:v>185</c:v>
                </c:pt>
                <c:pt idx="27">
                  <c:v>190</c:v>
                </c:pt>
                <c:pt idx="28">
                  <c:v>195</c:v>
                </c:pt>
                <c:pt idx="29">
                  <c:v>200</c:v>
                </c:pt>
                <c:pt idx="30">
                  <c:v>205</c:v>
                </c:pt>
                <c:pt idx="31">
                  <c:v>210</c:v>
                </c:pt>
                <c:pt idx="32">
                  <c:v>215</c:v>
                </c:pt>
                <c:pt idx="33">
                  <c:v>220</c:v>
                </c:pt>
                <c:pt idx="34">
                  <c:v>225</c:v>
                </c:pt>
                <c:pt idx="35">
                  <c:v>230</c:v>
                </c:pt>
                <c:pt idx="36">
                  <c:v>235</c:v>
                </c:pt>
                <c:pt idx="37">
                  <c:v>240</c:v>
                </c:pt>
                <c:pt idx="38">
                  <c:v>245</c:v>
                </c:pt>
                <c:pt idx="39">
                  <c:v>250</c:v>
                </c:pt>
                <c:pt idx="40">
                  <c:v>255</c:v>
                </c:pt>
                <c:pt idx="41">
                  <c:v>260</c:v>
                </c:pt>
                <c:pt idx="42">
                  <c:v>265</c:v>
                </c:pt>
                <c:pt idx="43">
                  <c:v>270</c:v>
                </c:pt>
                <c:pt idx="44">
                  <c:v>275</c:v>
                </c:pt>
                <c:pt idx="45">
                  <c:v>280</c:v>
                </c:pt>
                <c:pt idx="46">
                  <c:v>285</c:v>
                </c:pt>
                <c:pt idx="47">
                  <c:v>290</c:v>
                </c:pt>
                <c:pt idx="48">
                  <c:v>295</c:v>
                </c:pt>
                <c:pt idx="49">
                  <c:v>300</c:v>
                </c:pt>
                <c:pt idx="50">
                  <c:v>305</c:v>
                </c:pt>
                <c:pt idx="51">
                  <c:v>310</c:v>
                </c:pt>
                <c:pt idx="52">
                  <c:v>315</c:v>
                </c:pt>
                <c:pt idx="53">
                  <c:v>320</c:v>
                </c:pt>
                <c:pt idx="54">
                  <c:v>325</c:v>
                </c:pt>
                <c:pt idx="55">
                  <c:v>330</c:v>
                </c:pt>
                <c:pt idx="56">
                  <c:v>335</c:v>
                </c:pt>
                <c:pt idx="57">
                  <c:v>340</c:v>
                </c:pt>
                <c:pt idx="58">
                  <c:v>345</c:v>
                </c:pt>
                <c:pt idx="59">
                  <c:v>350</c:v>
                </c:pt>
                <c:pt idx="60">
                  <c:v>355</c:v>
                </c:pt>
                <c:pt idx="61">
                  <c:v>360</c:v>
                </c:pt>
                <c:pt idx="62">
                  <c:v>365</c:v>
                </c:pt>
                <c:pt idx="63">
                  <c:v>370</c:v>
                </c:pt>
                <c:pt idx="64">
                  <c:v>375</c:v>
                </c:pt>
                <c:pt idx="65">
                  <c:v>380</c:v>
                </c:pt>
                <c:pt idx="66">
                  <c:v>385</c:v>
                </c:pt>
                <c:pt idx="67">
                  <c:v>390</c:v>
                </c:pt>
                <c:pt idx="68">
                  <c:v>395</c:v>
                </c:pt>
                <c:pt idx="69">
                  <c:v>400</c:v>
                </c:pt>
                <c:pt idx="70">
                  <c:v>405</c:v>
                </c:pt>
                <c:pt idx="71">
                  <c:v>410</c:v>
                </c:pt>
                <c:pt idx="72">
                  <c:v>415</c:v>
                </c:pt>
                <c:pt idx="73">
                  <c:v>420</c:v>
                </c:pt>
                <c:pt idx="74">
                  <c:v>425</c:v>
                </c:pt>
                <c:pt idx="75">
                  <c:v>430</c:v>
                </c:pt>
                <c:pt idx="76">
                  <c:v>435</c:v>
                </c:pt>
                <c:pt idx="77">
                  <c:v>440</c:v>
                </c:pt>
                <c:pt idx="78">
                  <c:v>445</c:v>
                </c:pt>
                <c:pt idx="79">
                  <c:v>450</c:v>
                </c:pt>
                <c:pt idx="80">
                  <c:v>455</c:v>
                </c:pt>
                <c:pt idx="81">
                  <c:v>460</c:v>
                </c:pt>
                <c:pt idx="82">
                  <c:v>465</c:v>
                </c:pt>
                <c:pt idx="83">
                  <c:v>470</c:v>
                </c:pt>
                <c:pt idx="84">
                  <c:v>475</c:v>
                </c:pt>
                <c:pt idx="85">
                  <c:v>480</c:v>
                </c:pt>
                <c:pt idx="86">
                  <c:v>485</c:v>
                </c:pt>
                <c:pt idx="87">
                  <c:v>490</c:v>
                </c:pt>
                <c:pt idx="88">
                  <c:v>495</c:v>
                </c:pt>
                <c:pt idx="89">
                  <c:v>500</c:v>
                </c:pt>
                <c:pt idx="90">
                  <c:v>505</c:v>
                </c:pt>
                <c:pt idx="91">
                  <c:v>510</c:v>
                </c:pt>
                <c:pt idx="92">
                  <c:v>515</c:v>
                </c:pt>
                <c:pt idx="93">
                  <c:v>520</c:v>
                </c:pt>
                <c:pt idx="94">
                  <c:v>525</c:v>
                </c:pt>
                <c:pt idx="95">
                  <c:v>530</c:v>
                </c:pt>
                <c:pt idx="96">
                  <c:v>535</c:v>
                </c:pt>
                <c:pt idx="97">
                  <c:v>540</c:v>
                </c:pt>
                <c:pt idx="98">
                  <c:v>545</c:v>
                </c:pt>
                <c:pt idx="99">
                  <c:v>550</c:v>
                </c:pt>
                <c:pt idx="100">
                  <c:v>555</c:v>
                </c:pt>
                <c:pt idx="101">
                  <c:v>560</c:v>
                </c:pt>
                <c:pt idx="102">
                  <c:v>565</c:v>
                </c:pt>
                <c:pt idx="103">
                  <c:v>570</c:v>
                </c:pt>
                <c:pt idx="104">
                  <c:v>575</c:v>
                </c:pt>
                <c:pt idx="105">
                  <c:v>580</c:v>
                </c:pt>
                <c:pt idx="106">
                  <c:v>585</c:v>
                </c:pt>
                <c:pt idx="107">
                  <c:v>590</c:v>
                </c:pt>
                <c:pt idx="108">
                  <c:v>595</c:v>
                </c:pt>
                <c:pt idx="109">
                  <c:v>600</c:v>
                </c:pt>
                <c:pt idx="110">
                  <c:v>605</c:v>
                </c:pt>
                <c:pt idx="111">
                  <c:v>610</c:v>
                </c:pt>
                <c:pt idx="112">
                  <c:v>615</c:v>
                </c:pt>
                <c:pt idx="113">
                  <c:v>620</c:v>
                </c:pt>
                <c:pt idx="114">
                  <c:v>625</c:v>
                </c:pt>
                <c:pt idx="115">
                  <c:v>630</c:v>
                </c:pt>
                <c:pt idx="116">
                  <c:v>635</c:v>
                </c:pt>
                <c:pt idx="117">
                  <c:v>640</c:v>
                </c:pt>
                <c:pt idx="118">
                  <c:v>645</c:v>
                </c:pt>
                <c:pt idx="119">
                  <c:v>650</c:v>
                </c:pt>
                <c:pt idx="120">
                  <c:v>655</c:v>
                </c:pt>
                <c:pt idx="121">
                  <c:v>660</c:v>
                </c:pt>
                <c:pt idx="122">
                  <c:v>665</c:v>
                </c:pt>
                <c:pt idx="123">
                  <c:v>670</c:v>
                </c:pt>
                <c:pt idx="124">
                  <c:v>675</c:v>
                </c:pt>
                <c:pt idx="125">
                  <c:v>680</c:v>
                </c:pt>
                <c:pt idx="126">
                  <c:v>685</c:v>
                </c:pt>
                <c:pt idx="127">
                  <c:v>690</c:v>
                </c:pt>
                <c:pt idx="128">
                  <c:v>695</c:v>
                </c:pt>
                <c:pt idx="129">
                  <c:v>700</c:v>
                </c:pt>
                <c:pt idx="130">
                  <c:v>705</c:v>
                </c:pt>
                <c:pt idx="131">
                  <c:v>710</c:v>
                </c:pt>
                <c:pt idx="132">
                  <c:v>715</c:v>
                </c:pt>
                <c:pt idx="133">
                  <c:v>720</c:v>
                </c:pt>
                <c:pt idx="134">
                  <c:v>725</c:v>
                </c:pt>
                <c:pt idx="135">
                  <c:v>730</c:v>
                </c:pt>
                <c:pt idx="136">
                  <c:v>735</c:v>
                </c:pt>
                <c:pt idx="137">
                  <c:v>740</c:v>
                </c:pt>
                <c:pt idx="138">
                  <c:v>745</c:v>
                </c:pt>
                <c:pt idx="139">
                  <c:v>750</c:v>
                </c:pt>
                <c:pt idx="140">
                  <c:v>755</c:v>
                </c:pt>
                <c:pt idx="141">
                  <c:v>760</c:v>
                </c:pt>
                <c:pt idx="142">
                  <c:v>765</c:v>
                </c:pt>
                <c:pt idx="143">
                  <c:v>770</c:v>
                </c:pt>
                <c:pt idx="144">
                  <c:v>775</c:v>
                </c:pt>
                <c:pt idx="145">
                  <c:v>780</c:v>
                </c:pt>
                <c:pt idx="146">
                  <c:v>785</c:v>
                </c:pt>
                <c:pt idx="147">
                  <c:v>790</c:v>
                </c:pt>
                <c:pt idx="148">
                  <c:v>795</c:v>
                </c:pt>
                <c:pt idx="149">
                  <c:v>800</c:v>
                </c:pt>
                <c:pt idx="150">
                  <c:v>805</c:v>
                </c:pt>
                <c:pt idx="151">
                  <c:v>810</c:v>
                </c:pt>
                <c:pt idx="152">
                  <c:v>815</c:v>
                </c:pt>
                <c:pt idx="153">
                  <c:v>820</c:v>
                </c:pt>
                <c:pt idx="154">
                  <c:v>825</c:v>
                </c:pt>
                <c:pt idx="155">
                  <c:v>830</c:v>
                </c:pt>
                <c:pt idx="156">
                  <c:v>835</c:v>
                </c:pt>
              </c:numCache>
            </c:numRef>
          </c:cat>
          <c:val>
            <c:numRef>
              <c:f>'WARMUP LOADS'!$W$5:$W$161</c:f>
              <c:numCache>
                <c:formatCode>0%</c:formatCode>
                <c:ptCount val="157"/>
                <c:pt idx="77">
                  <c:v>0.41477272727272729</c:v>
                </c:pt>
                <c:pt idx="78">
                  <c:v>0.4101123595505618</c:v>
                </c:pt>
                <c:pt idx="79">
                  <c:v>0.40555555555555556</c:v>
                </c:pt>
                <c:pt idx="80">
                  <c:v>0.40109890109890112</c:v>
                </c:pt>
                <c:pt idx="81">
                  <c:v>0.39673913043478259</c:v>
                </c:pt>
                <c:pt idx="82">
                  <c:v>0.39247311827956988</c:v>
                </c:pt>
                <c:pt idx="83">
                  <c:v>0.38829787234042551</c:v>
                </c:pt>
                <c:pt idx="84">
                  <c:v>0.38421052631578945</c:v>
                </c:pt>
                <c:pt idx="85">
                  <c:v>0.38020833333333331</c:v>
                </c:pt>
                <c:pt idx="86">
                  <c:v>0.37628865979381443</c:v>
                </c:pt>
                <c:pt idx="87">
                  <c:v>0.37244897959183676</c:v>
                </c:pt>
                <c:pt idx="88">
                  <c:v>0.36868686868686867</c:v>
                </c:pt>
                <c:pt idx="89">
                  <c:v>0.36499999999999999</c:v>
                </c:pt>
                <c:pt idx="90">
                  <c:v>0.36138613861386137</c:v>
                </c:pt>
                <c:pt idx="91">
                  <c:v>0.35784313725490197</c:v>
                </c:pt>
                <c:pt idx="92">
                  <c:v>0.35436893203883496</c:v>
                </c:pt>
                <c:pt idx="93">
                  <c:v>0.35096153846153844</c:v>
                </c:pt>
                <c:pt idx="94">
                  <c:v>0.34761904761904761</c:v>
                </c:pt>
                <c:pt idx="95">
                  <c:v>0.34433962264150941</c:v>
                </c:pt>
                <c:pt idx="96">
                  <c:v>0.34112149532710279</c:v>
                </c:pt>
                <c:pt idx="97">
                  <c:v>0.33796296296296297</c:v>
                </c:pt>
                <c:pt idx="98">
                  <c:v>0.38073394495412843</c:v>
                </c:pt>
                <c:pt idx="99">
                  <c:v>0.37727272727272726</c:v>
                </c:pt>
                <c:pt idx="100">
                  <c:v>0.37387387387387389</c:v>
                </c:pt>
                <c:pt idx="101">
                  <c:v>0.3705357142857143</c:v>
                </c:pt>
                <c:pt idx="102">
                  <c:v>0.36725663716814161</c:v>
                </c:pt>
                <c:pt idx="103">
                  <c:v>0.36403508771929827</c:v>
                </c:pt>
                <c:pt idx="104">
                  <c:v>0.36086956521739133</c:v>
                </c:pt>
                <c:pt idx="105">
                  <c:v>0.35775862068965519</c:v>
                </c:pt>
                <c:pt idx="106">
                  <c:v>0.35470085470085472</c:v>
                </c:pt>
                <c:pt idx="107">
                  <c:v>0.35169491525423729</c:v>
                </c:pt>
                <c:pt idx="108">
                  <c:v>0.34873949579831931</c:v>
                </c:pt>
                <c:pt idx="109">
                  <c:v>0.34583333333333333</c:v>
                </c:pt>
                <c:pt idx="110">
                  <c:v>0.34297520661157027</c:v>
                </c:pt>
                <c:pt idx="111">
                  <c:v>0.3401639344262295</c:v>
                </c:pt>
                <c:pt idx="112">
                  <c:v>0.33739837398373984</c:v>
                </c:pt>
                <c:pt idx="113">
                  <c:v>0.36290322580645162</c:v>
                </c:pt>
                <c:pt idx="114">
                  <c:v>0.36</c:v>
                </c:pt>
                <c:pt idx="115">
                  <c:v>0.35714285714285715</c:v>
                </c:pt>
                <c:pt idx="116">
                  <c:v>0.3543307086614173</c:v>
                </c:pt>
                <c:pt idx="117">
                  <c:v>0.3515625</c:v>
                </c:pt>
                <c:pt idx="118">
                  <c:v>0.34883720930232559</c:v>
                </c:pt>
                <c:pt idx="119">
                  <c:v>0.34615384615384615</c:v>
                </c:pt>
                <c:pt idx="120">
                  <c:v>0.34351145038167941</c:v>
                </c:pt>
                <c:pt idx="121">
                  <c:v>0.34090909090909088</c:v>
                </c:pt>
                <c:pt idx="122">
                  <c:v>0.33834586466165412</c:v>
                </c:pt>
                <c:pt idx="123">
                  <c:v>0.33582089552238809</c:v>
                </c:pt>
                <c:pt idx="124">
                  <c:v>0.33333333333333331</c:v>
                </c:pt>
                <c:pt idx="125">
                  <c:v>0.33088235294117646</c:v>
                </c:pt>
                <c:pt idx="126">
                  <c:v>0.32846715328467152</c:v>
                </c:pt>
                <c:pt idx="127">
                  <c:v>0.32608695652173914</c:v>
                </c:pt>
                <c:pt idx="128">
                  <c:v>0.32374100719424459</c:v>
                </c:pt>
                <c:pt idx="129">
                  <c:v>0.32142857142857145</c:v>
                </c:pt>
                <c:pt idx="130">
                  <c:v>0.31914893617021278</c:v>
                </c:pt>
                <c:pt idx="131">
                  <c:v>0.31690140845070425</c:v>
                </c:pt>
                <c:pt idx="132">
                  <c:v>0.31468531468531469</c:v>
                </c:pt>
                <c:pt idx="133">
                  <c:v>0.3125</c:v>
                </c:pt>
                <c:pt idx="134">
                  <c:v>0.31034482758620691</c:v>
                </c:pt>
                <c:pt idx="135">
                  <c:v>0.30821917808219179</c:v>
                </c:pt>
                <c:pt idx="136">
                  <c:v>0.30612244897959184</c:v>
                </c:pt>
                <c:pt idx="137">
                  <c:v>0.30405405405405406</c:v>
                </c:pt>
                <c:pt idx="138">
                  <c:v>0.30201342281879195</c:v>
                </c:pt>
                <c:pt idx="139">
                  <c:v>0.3</c:v>
                </c:pt>
                <c:pt idx="140">
                  <c:v>0.29801324503311261</c:v>
                </c:pt>
                <c:pt idx="141">
                  <c:v>0.29605263157894735</c:v>
                </c:pt>
                <c:pt idx="142">
                  <c:v>0.29411764705882354</c:v>
                </c:pt>
                <c:pt idx="143">
                  <c:v>0.29220779220779219</c:v>
                </c:pt>
                <c:pt idx="144">
                  <c:v>0.29032258064516131</c:v>
                </c:pt>
                <c:pt idx="145">
                  <c:v>0.28846153846153844</c:v>
                </c:pt>
                <c:pt idx="146">
                  <c:v>0.28662420382165604</c:v>
                </c:pt>
                <c:pt idx="147">
                  <c:v>0.2848101265822785</c:v>
                </c:pt>
                <c:pt idx="148">
                  <c:v>0.28301886792452829</c:v>
                </c:pt>
                <c:pt idx="149">
                  <c:v>0.28125</c:v>
                </c:pt>
                <c:pt idx="150">
                  <c:v>0.27950310559006208</c:v>
                </c:pt>
                <c:pt idx="151">
                  <c:v>0.27777777777777779</c:v>
                </c:pt>
                <c:pt idx="152">
                  <c:v>0.27607361963190186</c:v>
                </c:pt>
                <c:pt idx="153">
                  <c:v>0.27439024390243905</c:v>
                </c:pt>
                <c:pt idx="154">
                  <c:v>0.27272727272727271</c:v>
                </c:pt>
                <c:pt idx="155">
                  <c:v>0.27108433734939757</c:v>
                </c:pt>
                <c:pt idx="156">
                  <c:v>0.26946107784431139</c:v>
                </c:pt>
              </c:numCache>
            </c:numRef>
          </c:val>
          <c:smooth val="0"/>
          <c:extLst>
            <c:ext xmlns:c16="http://schemas.microsoft.com/office/drawing/2014/chart" uri="{C3380CC4-5D6E-409C-BE32-E72D297353CC}">
              <c16:uniqueId val="{00000005-66F7-45E2-88EB-0A63EA5CE546}"/>
            </c:ext>
          </c:extLst>
        </c:ser>
        <c:ser>
          <c:idx val="6"/>
          <c:order val="6"/>
          <c:tx>
            <c:strRef>
              <c:f>'WARMUP LOADS'!$X$4</c:f>
              <c:strCache>
                <c:ptCount val="1"/>
                <c:pt idx="0">
                  <c:v>7th warmup</c:v>
                </c:pt>
              </c:strCache>
            </c:strRef>
          </c:tx>
          <c:marker>
            <c:symbol val="none"/>
          </c:marker>
          <c:cat>
            <c:numRef>
              <c:f>'WARMUP LOADS'!$Q$5:$Q$161</c:f>
              <c:numCache>
                <c:formatCode>General</c:formatCode>
                <c:ptCount val="157"/>
                <c:pt idx="0">
                  <c:v>50</c:v>
                </c:pt>
                <c:pt idx="1">
                  <c:v>55</c:v>
                </c:pt>
                <c:pt idx="2">
                  <c:v>65</c:v>
                </c:pt>
                <c:pt idx="3">
                  <c:v>70</c:v>
                </c:pt>
                <c:pt idx="4">
                  <c:v>75</c:v>
                </c:pt>
                <c:pt idx="5">
                  <c:v>80</c:v>
                </c:pt>
                <c:pt idx="6">
                  <c:v>85</c:v>
                </c:pt>
                <c:pt idx="7">
                  <c:v>90</c:v>
                </c:pt>
                <c:pt idx="8">
                  <c:v>95</c:v>
                </c:pt>
                <c:pt idx="9">
                  <c:v>100</c:v>
                </c:pt>
                <c:pt idx="10">
                  <c:v>105</c:v>
                </c:pt>
                <c:pt idx="11">
                  <c:v>110</c:v>
                </c:pt>
                <c:pt idx="12">
                  <c:v>115</c:v>
                </c:pt>
                <c:pt idx="13">
                  <c:v>120</c:v>
                </c:pt>
                <c:pt idx="14">
                  <c:v>125</c:v>
                </c:pt>
                <c:pt idx="15">
                  <c:v>130</c:v>
                </c:pt>
                <c:pt idx="16">
                  <c:v>135</c:v>
                </c:pt>
                <c:pt idx="17">
                  <c:v>140</c:v>
                </c:pt>
                <c:pt idx="18">
                  <c:v>145</c:v>
                </c:pt>
                <c:pt idx="19">
                  <c:v>150</c:v>
                </c:pt>
                <c:pt idx="20">
                  <c:v>155</c:v>
                </c:pt>
                <c:pt idx="21">
                  <c:v>160</c:v>
                </c:pt>
                <c:pt idx="22">
                  <c:v>165</c:v>
                </c:pt>
                <c:pt idx="23">
                  <c:v>170</c:v>
                </c:pt>
                <c:pt idx="24">
                  <c:v>175</c:v>
                </c:pt>
                <c:pt idx="25">
                  <c:v>180</c:v>
                </c:pt>
                <c:pt idx="26">
                  <c:v>185</c:v>
                </c:pt>
                <c:pt idx="27">
                  <c:v>190</c:v>
                </c:pt>
                <c:pt idx="28">
                  <c:v>195</c:v>
                </c:pt>
                <c:pt idx="29">
                  <c:v>200</c:v>
                </c:pt>
                <c:pt idx="30">
                  <c:v>205</c:v>
                </c:pt>
                <c:pt idx="31">
                  <c:v>210</c:v>
                </c:pt>
                <c:pt idx="32">
                  <c:v>215</c:v>
                </c:pt>
                <c:pt idx="33">
                  <c:v>220</c:v>
                </c:pt>
                <c:pt idx="34">
                  <c:v>225</c:v>
                </c:pt>
                <c:pt idx="35">
                  <c:v>230</c:v>
                </c:pt>
                <c:pt idx="36">
                  <c:v>235</c:v>
                </c:pt>
                <c:pt idx="37">
                  <c:v>240</c:v>
                </c:pt>
                <c:pt idx="38">
                  <c:v>245</c:v>
                </c:pt>
                <c:pt idx="39">
                  <c:v>250</c:v>
                </c:pt>
                <c:pt idx="40">
                  <c:v>255</c:v>
                </c:pt>
                <c:pt idx="41">
                  <c:v>260</c:v>
                </c:pt>
                <c:pt idx="42">
                  <c:v>265</c:v>
                </c:pt>
                <c:pt idx="43">
                  <c:v>270</c:v>
                </c:pt>
                <c:pt idx="44">
                  <c:v>275</c:v>
                </c:pt>
                <c:pt idx="45">
                  <c:v>280</c:v>
                </c:pt>
                <c:pt idx="46">
                  <c:v>285</c:v>
                </c:pt>
                <c:pt idx="47">
                  <c:v>290</c:v>
                </c:pt>
                <c:pt idx="48">
                  <c:v>295</c:v>
                </c:pt>
                <c:pt idx="49">
                  <c:v>300</c:v>
                </c:pt>
                <c:pt idx="50">
                  <c:v>305</c:v>
                </c:pt>
                <c:pt idx="51">
                  <c:v>310</c:v>
                </c:pt>
                <c:pt idx="52">
                  <c:v>315</c:v>
                </c:pt>
                <c:pt idx="53">
                  <c:v>320</c:v>
                </c:pt>
                <c:pt idx="54">
                  <c:v>325</c:v>
                </c:pt>
                <c:pt idx="55">
                  <c:v>330</c:v>
                </c:pt>
                <c:pt idx="56">
                  <c:v>335</c:v>
                </c:pt>
                <c:pt idx="57">
                  <c:v>340</c:v>
                </c:pt>
                <c:pt idx="58">
                  <c:v>345</c:v>
                </c:pt>
                <c:pt idx="59">
                  <c:v>350</c:v>
                </c:pt>
                <c:pt idx="60">
                  <c:v>355</c:v>
                </c:pt>
                <c:pt idx="61">
                  <c:v>360</c:v>
                </c:pt>
                <c:pt idx="62">
                  <c:v>365</c:v>
                </c:pt>
                <c:pt idx="63">
                  <c:v>370</c:v>
                </c:pt>
                <c:pt idx="64">
                  <c:v>375</c:v>
                </c:pt>
                <c:pt idx="65">
                  <c:v>380</c:v>
                </c:pt>
                <c:pt idx="66">
                  <c:v>385</c:v>
                </c:pt>
                <c:pt idx="67">
                  <c:v>390</c:v>
                </c:pt>
                <c:pt idx="68">
                  <c:v>395</c:v>
                </c:pt>
                <c:pt idx="69">
                  <c:v>400</c:v>
                </c:pt>
                <c:pt idx="70">
                  <c:v>405</c:v>
                </c:pt>
                <c:pt idx="71">
                  <c:v>410</c:v>
                </c:pt>
                <c:pt idx="72">
                  <c:v>415</c:v>
                </c:pt>
                <c:pt idx="73">
                  <c:v>420</c:v>
                </c:pt>
                <c:pt idx="74">
                  <c:v>425</c:v>
                </c:pt>
                <c:pt idx="75">
                  <c:v>430</c:v>
                </c:pt>
                <c:pt idx="76">
                  <c:v>435</c:v>
                </c:pt>
                <c:pt idx="77">
                  <c:v>440</c:v>
                </c:pt>
                <c:pt idx="78">
                  <c:v>445</c:v>
                </c:pt>
                <c:pt idx="79">
                  <c:v>450</c:v>
                </c:pt>
                <c:pt idx="80">
                  <c:v>455</c:v>
                </c:pt>
                <c:pt idx="81">
                  <c:v>460</c:v>
                </c:pt>
                <c:pt idx="82">
                  <c:v>465</c:v>
                </c:pt>
                <c:pt idx="83">
                  <c:v>470</c:v>
                </c:pt>
                <c:pt idx="84">
                  <c:v>475</c:v>
                </c:pt>
                <c:pt idx="85">
                  <c:v>480</c:v>
                </c:pt>
                <c:pt idx="86">
                  <c:v>485</c:v>
                </c:pt>
                <c:pt idx="87">
                  <c:v>490</c:v>
                </c:pt>
                <c:pt idx="88">
                  <c:v>495</c:v>
                </c:pt>
                <c:pt idx="89">
                  <c:v>500</c:v>
                </c:pt>
                <c:pt idx="90">
                  <c:v>505</c:v>
                </c:pt>
                <c:pt idx="91">
                  <c:v>510</c:v>
                </c:pt>
                <c:pt idx="92">
                  <c:v>515</c:v>
                </c:pt>
                <c:pt idx="93">
                  <c:v>520</c:v>
                </c:pt>
                <c:pt idx="94">
                  <c:v>525</c:v>
                </c:pt>
                <c:pt idx="95">
                  <c:v>530</c:v>
                </c:pt>
                <c:pt idx="96">
                  <c:v>535</c:v>
                </c:pt>
                <c:pt idx="97">
                  <c:v>540</c:v>
                </c:pt>
                <c:pt idx="98">
                  <c:v>545</c:v>
                </c:pt>
                <c:pt idx="99">
                  <c:v>550</c:v>
                </c:pt>
                <c:pt idx="100">
                  <c:v>555</c:v>
                </c:pt>
                <c:pt idx="101">
                  <c:v>560</c:v>
                </c:pt>
                <c:pt idx="102">
                  <c:v>565</c:v>
                </c:pt>
                <c:pt idx="103">
                  <c:v>570</c:v>
                </c:pt>
                <c:pt idx="104">
                  <c:v>575</c:v>
                </c:pt>
                <c:pt idx="105">
                  <c:v>580</c:v>
                </c:pt>
                <c:pt idx="106">
                  <c:v>585</c:v>
                </c:pt>
                <c:pt idx="107">
                  <c:v>590</c:v>
                </c:pt>
                <c:pt idx="108">
                  <c:v>595</c:v>
                </c:pt>
                <c:pt idx="109">
                  <c:v>600</c:v>
                </c:pt>
                <c:pt idx="110">
                  <c:v>605</c:v>
                </c:pt>
                <c:pt idx="111">
                  <c:v>610</c:v>
                </c:pt>
                <c:pt idx="112">
                  <c:v>615</c:v>
                </c:pt>
                <c:pt idx="113">
                  <c:v>620</c:v>
                </c:pt>
                <c:pt idx="114">
                  <c:v>625</c:v>
                </c:pt>
                <c:pt idx="115">
                  <c:v>630</c:v>
                </c:pt>
                <c:pt idx="116">
                  <c:v>635</c:v>
                </c:pt>
                <c:pt idx="117">
                  <c:v>640</c:v>
                </c:pt>
                <c:pt idx="118">
                  <c:v>645</c:v>
                </c:pt>
                <c:pt idx="119">
                  <c:v>650</c:v>
                </c:pt>
                <c:pt idx="120">
                  <c:v>655</c:v>
                </c:pt>
                <c:pt idx="121">
                  <c:v>660</c:v>
                </c:pt>
                <c:pt idx="122">
                  <c:v>665</c:v>
                </c:pt>
                <c:pt idx="123">
                  <c:v>670</c:v>
                </c:pt>
                <c:pt idx="124">
                  <c:v>675</c:v>
                </c:pt>
                <c:pt idx="125">
                  <c:v>680</c:v>
                </c:pt>
                <c:pt idx="126">
                  <c:v>685</c:v>
                </c:pt>
                <c:pt idx="127">
                  <c:v>690</c:v>
                </c:pt>
                <c:pt idx="128">
                  <c:v>695</c:v>
                </c:pt>
                <c:pt idx="129">
                  <c:v>700</c:v>
                </c:pt>
                <c:pt idx="130">
                  <c:v>705</c:v>
                </c:pt>
                <c:pt idx="131">
                  <c:v>710</c:v>
                </c:pt>
                <c:pt idx="132">
                  <c:v>715</c:v>
                </c:pt>
                <c:pt idx="133">
                  <c:v>720</c:v>
                </c:pt>
                <c:pt idx="134">
                  <c:v>725</c:v>
                </c:pt>
                <c:pt idx="135">
                  <c:v>730</c:v>
                </c:pt>
                <c:pt idx="136">
                  <c:v>735</c:v>
                </c:pt>
                <c:pt idx="137">
                  <c:v>740</c:v>
                </c:pt>
                <c:pt idx="138">
                  <c:v>745</c:v>
                </c:pt>
                <c:pt idx="139">
                  <c:v>750</c:v>
                </c:pt>
                <c:pt idx="140">
                  <c:v>755</c:v>
                </c:pt>
                <c:pt idx="141">
                  <c:v>760</c:v>
                </c:pt>
                <c:pt idx="142">
                  <c:v>765</c:v>
                </c:pt>
                <c:pt idx="143">
                  <c:v>770</c:v>
                </c:pt>
                <c:pt idx="144">
                  <c:v>775</c:v>
                </c:pt>
                <c:pt idx="145">
                  <c:v>780</c:v>
                </c:pt>
                <c:pt idx="146">
                  <c:v>785</c:v>
                </c:pt>
                <c:pt idx="147">
                  <c:v>790</c:v>
                </c:pt>
                <c:pt idx="148">
                  <c:v>795</c:v>
                </c:pt>
                <c:pt idx="149">
                  <c:v>800</c:v>
                </c:pt>
                <c:pt idx="150">
                  <c:v>805</c:v>
                </c:pt>
                <c:pt idx="151">
                  <c:v>810</c:v>
                </c:pt>
                <c:pt idx="152">
                  <c:v>815</c:v>
                </c:pt>
                <c:pt idx="153">
                  <c:v>820</c:v>
                </c:pt>
                <c:pt idx="154">
                  <c:v>825</c:v>
                </c:pt>
                <c:pt idx="155">
                  <c:v>830</c:v>
                </c:pt>
                <c:pt idx="156">
                  <c:v>835</c:v>
                </c:pt>
              </c:numCache>
            </c:numRef>
          </c:cat>
          <c:val>
            <c:numRef>
              <c:f>'WARMUP LOADS'!$X$5:$X$161</c:f>
              <c:numCache>
                <c:formatCode>0%</c:formatCode>
                <c:ptCount val="157"/>
                <c:pt idx="82">
                  <c:v>0.41935483870967744</c:v>
                </c:pt>
                <c:pt idx="83">
                  <c:v>0.42021276595744683</c:v>
                </c:pt>
                <c:pt idx="84">
                  <c:v>0.42105263157894735</c:v>
                </c:pt>
                <c:pt idx="85">
                  <c:v>0.421875</c:v>
                </c:pt>
                <c:pt idx="86">
                  <c:v>0.4175257731958763</c:v>
                </c:pt>
                <c:pt idx="87">
                  <c:v>0.41326530612244899</c:v>
                </c:pt>
                <c:pt idx="88">
                  <c:v>0.40909090909090912</c:v>
                </c:pt>
                <c:pt idx="89">
                  <c:v>0.41</c:v>
                </c:pt>
                <c:pt idx="90">
                  <c:v>0.40594059405940597</c:v>
                </c:pt>
                <c:pt idx="91">
                  <c:v>0.40686274509803921</c:v>
                </c:pt>
                <c:pt idx="92">
                  <c:v>0.40291262135922329</c:v>
                </c:pt>
                <c:pt idx="93">
                  <c:v>0.40384615384615385</c:v>
                </c:pt>
                <c:pt idx="94">
                  <c:v>0.40952380952380951</c:v>
                </c:pt>
                <c:pt idx="95">
                  <c:v>0.40566037735849059</c:v>
                </c:pt>
                <c:pt idx="96">
                  <c:v>0.40654205607476634</c:v>
                </c:pt>
                <c:pt idx="97">
                  <c:v>0.40277777777777779</c:v>
                </c:pt>
                <c:pt idx="98">
                  <c:v>0.41284403669724773</c:v>
                </c:pt>
                <c:pt idx="99">
                  <c:v>0.40909090909090912</c:v>
                </c:pt>
                <c:pt idx="100">
                  <c:v>0.40540540540540543</c:v>
                </c:pt>
                <c:pt idx="101">
                  <c:v>0.4017857142857143</c:v>
                </c:pt>
                <c:pt idx="102">
                  <c:v>0.39823008849557523</c:v>
                </c:pt>
                <c:pt idx="103">
                  <c:v>0.39473684210526316</c:v>
                </c:pt>
                <c:pt idx="104">
                  <c:v>0.39130434782608697</c:v>
                </c:pt>
                <c:pt idx="105">
                  <c:v>0.38793103448275862</c:v>
                </c:pt>
                <c:pt idx="106">
                  <c:v>0.38461538461538464</c:v>
                </c:pt>
                <c:pt idx="107">
                  <c:v>0.38135593220338981</c:v>
                </c:pt>
                <c:pt idx="108">
                  <c:v>0.38235294117647056</c:v>
                </c:pt>
                <c:pt idx="109">
                  <c:v>0.38333333333333336</c:v>
                </c:pt>
                <c:pt idx="110">
                  <c:v>0.38429752066115702</c:v>
                </c:pt>
                <c:pt idx="111">
                  <c:v>0.38524590163934425</c:v>
                </c:pt>
                <c:pt idx="112">
                  <c:v>0.36585365853658536</c:v>
                </c:pt>
                <c:pt idx="113">
                  <c:v>0.39919354838709675</c:v>
                </c:pt>
                <c:pt idx="114">
                  <c:v>0.39600000000000002</c:v>
                </c:pt>
                <c:pt idx="115">
                  <c:v>0.39285714285714285</c:v>
                </c:pt>
                <c:pt idx="116">
                  <c:v>0.38976377952755903</c:v>
                </c:pt>
                <c:pt idx="117">
                  <c:v>0.38671875</c:v>
                </c:pt>
                <c:pt idx="118">
                  <c:v>0.38372093023255816</c:v>
                </c:pt>
                <c:pt idx="119">
                  <c:v>0.38076923076923075</c:v>
                </c:pt>
                <c:pt idx="120">
                  <c:v>0.37786259541984735</c:v>
                </c:pt>
                <c:pt idx="121">
                  <c:v>0.375</c:v>
                </c:pt>
                <c:pt idx="122">
                  <c:v>0.37218045112781956</c:v>
                </c:pt>
                <c:pt idx="123">
                  <c:v>0.39552238805970147</c:v>
                </c:pt>
                <c:pt idx="124">
                  <c:v>0.3925925925925926</c:v>
                </c:pt>
                <c:pt idx="125">
                  <c:v>0.38970588235294118</c:v>
                </c:pt>
                <c:pt idx="126">
                  <c:v>0.38686131386861317</c:v>
                </c:pt>
                <c:pt idx="127">
                  <c:v>0.38405797101449274</c:v>
                </c:pt>
                <c:pt idx="128">
                  <c:v>0.38129496402877699</c:v>
                </c:pt>
                <c:pt idx="129">
                  <c:v>0.37857142857142856</c:v>
                </c:pt>
                <c:pt idx="130">
                  <c:v>0.37588652482269502</c:v>
                </c:pt>
                <c:pt idx="131">
                  <c:v>0.37323943661971831</c:v>
                </c:pt>
                <c:pt idx="132">
                  <c:v>0.37062937062937062</c:v>
                </c:pt>
                <c:pt idx="133">
                  <c:v>0.36805555555555558</c:v>
                </c:pt>
                <c:pt idx="134">
                  <c:v>0.36551724137931035</c:v>
                </c:pt>
                <c:pt idx="135">
                  <c:v>0.36301369863013699</c:v>
                </c:pt>
                <c:pt idx="136">
                  <c:v>0.36054421768707484</c:v>
                </c:pt>
                <c:pt idx="137">
                  <c:v>0.35810810810810811</c:v>
                </c:pt>
                <c:pt idx="138">
                  <c:v>0.35570469798657717</c:v>
                </c:pt>
                <c:pt idx="139">
                  <c:v>0.35333333333333333</c:v>
                </c:pt>
                <c:pt idx="140">
                  <c:v>0.35099337748344372</c:v>
                </c:pt>
                <c:pt idx="141">
                  <c:v>0.34868421052631576</c:v>
                </c:pt>
                <c:pt idx="142">
                  <c:v>0.34640522875816993</c:v>
                </c:pt>
                <c:pt idx="143">
                  <c:v>0.34415584415584416</c:v>
                </c:pt>
                <c:pt idx="144">
                  <c:v>0.34193548387096773</c:v>
                </c:pt>
                <c:pt idx="145">
                  <c:v>0.33974358974358976</c:v>
                </c:pt>
                <c:pt idx="146">
                  <c:v>0.33757961783439489</c:v>
                </c:pt>
                <c:pt idx="147">
                  <c:v>0.33544303797468356</c:v>
                </c:pt>
                <c:pt idx="148">
                  <c:v>0.33333333333333331</c:v>
                </c:pt>
                <c:pt idx="149">
                  <c:v>0.33124999999999999</c:v>
                </c:pt>
                <c:pt idx="150">
                  <c:v>0.32919254658385094</c:v>
                </c:pt>
                <c:pt idx="151">
                  <c:v>0.3271604938271605</c:v>
                </c:pt>
                <c:pt idx="152">
                  <c:v>0.32515337423312884</c:v>
                </c:pt>
                <c:pt idx="153">
                  <c:v>0.32317073170731708</c:v>
                </c:pt>
                <c:pt idx="154">
                  <c:v>0.32121212121212123</c:v>
                </c:pt>
                <c:pt idx="155">
                  <c:v>0.31927710843373491</c:v>
                </c:pt>
                <c:pt idx="156">
                  <c:v>0.31736526946107785</c:v>
                </c:pt>
              </c:numCache>
            </c:numRef>
          </c:val>
          <c:smooth val="0"/>
          <c:extLst>
            <c:ext xmlns:c16="http://schemas.microsoft.com/office/drawing/2014/chart" uri="{C3380CC4-5D6E-409C-BE32-E72D297353CC}">
              <c16:uniqueId val="{00000006-66F7-45E2-88EB-0A63EA5CE546}"/>
            </c:ext>
          </c:extLst>
        </c:ser>
        <c:ser>
          <c:idx val="7"/>
          <c:order val="7"/>
          <c:tx>
            <c:strRef>
              <c:f>'WARMUP LOADS'!$Y$4</c:f>
              <c:strCache>
                <c:ptCount val="1"/>
                <c:pt idx="0">
                  <c:v>8th warmup</c:v>
                </c:pt>
              </c:strCache>
            </c:strRef>
          </c:tx>
          <c:marker>
            <c:symbol val="none"/>
          </c:marker>
          <c:cat>
            <c:numRef>
              <c:f>'WARMUP LOADS'!$Q$5:$Q$161</c:f>
              <c:numCache>
                <c:formatCode>General</c:formatCode>
                <c:ptCount val="157"/>
                <c:pt idx="0">
                  <c:v>50</c:v>
                </c:pt>
                <c:pt idx="1">
                  <c:v>55</c:v>
                </c:pt>
                <c:pt idx="2">
                  <c:v>65</c:v>
                </c:pt>
                <c:pt idx="3">
                  <c:v>70</c:v>
                </c:pt>
                <c:pt idx="4">
                  <c:v>75</c:v>
                </c:pt>
                <c:pt idx="5">
                  <c:v>80</c:v>
                </c:pt>
                <c:pt idx="6">
                  <c:v>85</c:v>
                </c:pt>
                <c:pt idx="7">
                  <c:v>90</c:v>
                </c:pt>
                <c:pt idx="8">
                  <c:v>95</c:v>
                </c:pt>
                <c:pt idx="9">
                  <c:v>100</c:v>
                </c:pt>
                <c:pt idx="10">
                  <c:v>105</c:v>
                </c:pt>
                <c:pt idx="11">
                  <c:v>110</c:v>
                </c:pt>
                <c:pt idx="12">
                  <c:v>115</c:v>
                </c:pt>
                <c:pt idx="13">
                  <c:v>120</c:v>
                </c:pt>
                <c:pt idx="14">
                  <c:v>125</c:v>
                </c:pt>
                <c:pt idx="15">
                  <c:v>130</c:v>
                </c:pt>
                <c:pt idx="16">
                  <c:v>135</c:v>
                </c:pt>
                <c:pt idx="17">
                  <c:v>140</c:v>
                </c:pt>
                <c:pt idx="18">
                  <c:v>145</c:v>
                </c:pt>
                <c:pt idx="19">
                  <c:v>150</c:v>
                </c:pt>
                <c:pt idx="20">
                  <c:v>155</c:v>
                </c:pt>
                <c:pt idx="21">
                  <c:v>160</c:v>
                </c:pt>
                <c:pt idx="22">
                  <c:v>165</c:v>
                </c:pt>
                <c:pt idx="23">
                  <c:v>170</c:v>
                </c:pt>
                <c:pt idx="24">
                  <c:v>175</c:v>
                </c:pt>
                <c:pt idx="25">
                  <c:v>180</c:v>
                </c:pt>
                <c:pt idx="26">
                  <c:v>185</c:v>
                </c:pt>
                <c:pt idx="27">
                  <c:v>190</c:v>
                </c:pt>
                <c:pt idx="28">
                  <c:v>195</c:v>
                </c:pt>
                <c:pt idx="29">
                  <c:v>200</c:v>
                </c:pt>
                <c:pt idx="30">
                  <c:v>205</c:v>
                </c:pt>
                <c:pt idx="31">
                  <c:v>210</c:v>
                </c:pt>
                <c:pt idx="32">
                  <c:v>215</c:v>
                </c:pt>
                <c:pt idx="33">
                  <c:v>220</c:v>
                </c:pt>
                <c:pt idx="34">
                  <c:v>225</c:v>
                </c:pt>
                <c:pt idx="35">
                  <c:v>230</c:v>
                </c:pt>
                <c:pt idx="36">
                  <c:v>235</c:v>
                </c:pt>
                <c:pt idx="37">
                  <c:v>240</c:v>
                </c:pt>
                <c:pt idx="38">
                  <c:v>245</c:v>
                </c:pt>
                <c:pt idx="39">
                  <c:v>250</c:v>
                </c:pt>
                <c:pt idx="40">
                  <c:v>255</c:v>
                </c:pt>
                <c:pt idx="41">
                  <c:v>260</c:v>
                </c:pt>
                <c:pt idx="42">
                  <c:v>265</c:v>
                </c:pt>
                <c:pt idx="43">
                  <c:v>270</c:v>
                </c:pt>
                <c:pt idx="44">
                  <c:v>275</c:v>
                </c:pt>
                <c:pt idx="45">
                  <c:v>280</c:v>
                </c:pt>
                <c:pt idx="46">
                  <c:v>285</c:v>
                </c:pt>
                <c:pt idx="47">
                  <c:v>290</c:v>
                </c:pt>
                <c:pt idx="48">
                  <c:v>295</c:v>
                </c:pt>
                <c:pt idx="49">
                  <c:v>300</c:v>
                </c:pt>
                <c:pt idx="50">
                  <c:v>305</c:v>
                </c:pt>
                <c:pt idx="51">
                  <c:v>310</c:v>
                </c:pt>
                <c:pt idx="52">
                  <c:v>315</c:v>
                </c:pt>
                <c:pt idx="53">
                  <c:v>320</c:v>
                </c:pt>
                <c:pt idx="54">
                  <c:v>325</c:v>
                </c:pt>
                <c:pt idx="55">
                  <c:v>330</c:v>
                </c:pt>
                <c:pt idx="56">
                  <c:v>335</c:v>
                </c:pt>
                <c:pt idx="57">
                  <c:v>340</c:v>
                </c:pt>
                <c:pt idx="58">
                  <c:v>345</c:v>
                </c:pt>
                <c:pt idx="59">
                  <c:v>350</c:v>
                </c:pt>
                <c:pt idx="60">
                  <c:v>355</c:v>
                </c:pt>
                <c:pt idx="61">
                  <c:v>360</c:v>
                </c:pt>
                <c:pt idx="62">
                  <c:v>365</c:v>
                </c:pt>
                <c:pt idx="63">
                  <c:v>370</c:v>
                </c:pt>
                <c:pt idx="64">
                  <c:v>375</c:v>
                </c:pt>
                <c:pt idx="65">
                  <c:v>380</c:v>
                </c:pt>
                <c:pt idx="66">
                  <c:v>385</c:v>
                </c:pt>
                <c:pt idx="67">
                  <c:v>390</c:v>
                </c:pt>
                <c:pt idx="68">
                  <c:v>395</c:v>
                </c:pt>
                <c:pt idx="69">
                  <c:v>400</c:v>
                </c:pt>
                <c:pt idx="70">
                  <c:v>405</c:v>
                </c:pt>
                <c:pt idx="71">
                  <c:v>410</c:v>
                </c:pt>
                <c:pt idx="72">
                  <c:v>415</c:v>
                </c:pt>
                <c:pt idx="73">
                  <c:v>420</c:v>
                </c:pt>
                <c:pt idx="74">
                  <c:v>425</c:v>
                </c:pt>
                <c:pt idx="75">
                  <c:v>430</c:v>
                </c:pt>
                <c:pt idx="76">
                  <c:v>435</c:v>
                </c:pt>
                <c:pt idx="77">
                  <c:v>440</c:v>
                </c:pt>
                <c:pt idx="78">
                  <c:v>445</c:v>
                </c:pt>
                <c:pt idx="79">
                  <c:v>450</c:v>
                </c:pt>
                <c:pt idx="80">
                  <c:v>455</c:v>
                </c:pt>
                <c:pt idx="81">
                  <c:v>460</c:v>
                </c:pt>
                <c:pt idx="82">
                  <c:v>465</c:v>
                </c:pt>
                <c:pt idx="83">
                  <c:v>470</c:v>
                </c:pt>
                <c:pt idx="84">
                  <c:v>475</c:v>
                </c:pt>
                <c:pt idx="85">
                  <c:v>480</c:v>
                </c:pt>
                <c:pt idx="86">
                  <c:v>485</c:v>
                </c:pt>
                <c:pt idx="87">
                  <c:v>490</c:v>
                </c:pt>
                <c:pt idx="88">
                  <c:v>495</c:v>
                </c:pt>
                <c:pt idx="89">
                  <c:v>500</c:v>
                </c:pt>
                <c:pt idx="90">
                  <c:v>505</c:v>
                </c:pt>
                <c:pt idx="91">
                  <c:v>510</c:v>
                </c:pt>
                <c:pt idx="92">
                  <c:v>515</c:v>
                </c:pt>
                <c:pt idx="93">
                  <c:v>520</c:v>
                </c:pt>
                <c:pt idx="94">
                  <c:v>525</c:v>
                </c:pt>
                <c:pt idx="95">
                  <c:v>530</c:v>
                </c:pt>
                <c:pt idx="96">
                  <c:v>535</c:v>
                </c:pt>
                <c:pt idx="97">
                  <c:v>540</c:v>
                </c:pt>
                <c:pt idx="98">
                  <c:v>545</c:v>
                </c:pt>
                <c:pt idx="99">
                  <c:v>550</c:v>
                </c:pt>
                <c:pt idx="100">
                  <c:v>555</c:v>
                </c:pt>
                <c:pt idx="101">
                  <c:v>560</c:v>
                </c:pt>
                <c:pt idx="102">
                  <c:v>565</c:v>
                </c:pt>
                <c:pt idx="103">
                  <c:v>570</c:v>
                </c:pt>
                <c:pt idx="104">
                  <c:v>575</c:v>
                </c:pt>
                <c:pt idx="105">
                  <c:v>580</c:v>
                </c:pt>
                <c:pt idx="106">
                  <c:v>585</c:v>
                </c:pt>
                <c:pt idx="107">
                  <c:v>590</c:v>
                </c:pt>
                <c:pt idx="108">
                  <c:v>595</c:v>
                </c:pt>
                <c:pt idx="109">
                  <c:v>600</c:v>
                </c:pt>
                <c:pt idx="110">
                  <c:v>605</c:v>
                </c:pt>
                <c:pt idx="111">
                  <c:v>610</c:v>
                </c:pt>
                <c:pt idx="112">
                  <c:v>615</c:v>
                </c:pt>
                <c:pt idx="113">
                  <c:v>620</c:v>
                </c:pt>
                <c:pt idx="114">
                  <c:v>625</c:v>
                </c:pt>
                <c:pt idx="115">
                  <c:v>630</c:v>
                </c:pt>
                <c:pt idx="116">
                  <c:v>635</c:v>
                </c:pt>
                <c:pt idx="117">
                  <c:v>640</c:v>
                </c:pt>
                <c:pt idx="118">
                  <c:v>645</c:v>
                </c:pt>
                <c:pt idx="119">
                  <c:v>650</c:v>
                </c:pt>
                <c:pt idx="120">
                  <c:v>655</c:v>
                </c:pt>
                <c:pt idx="121">
                  <c:v>660</c:v>
                </c:pt>
                <c:pt idx="122">
                  <c:v>665</c:v>
                </c:pt>
                <c:pt idx="123">
                  <c:v>670</c:v>
                </c:pt>
                <c:pt idx="124">
                  <c:v>675</c:v>
                </c:pt>
                <c:pt idx="125">
                  <c:v>680</c:v>
                </c:pt>
                <c:pt idx="126">
                  <c:v>685</c:v>
                </c:pt>
                <c:pt idx="127">
                  <c:v>690</c:v>
                </c:pt>
                <c:pt idx="128">
                  <c:v>695</c:v>
                </c:pt>
                <c:pt idx="129">
                  <c:v>700</c:v>
                </c:pt>
                <c:pt idx="130">
                  <c:v>705</c:v>
                </c:pt>
                <c:pt idx="131">
                  <c:v>710</c:v>
                </c:pt>
                <c:pt idx="132">
                  <c:v>715</c:v>
                </c:pt>
                <c:pt idx="133">
                  <c:v>720</c:v>
                </c:pt>
                <c:pt idx="134">
                  <c:v>725</c:v>
                </c:pt>
                <c:pt idx="135">
                  <c:v>730</c:v>
                </c:pt>
                <c:pt idx="136">
                  <c:v>735</c:v>
                </c:pt>
                <c:pt idx="137">
                  <c:v>740</c:v>
                </c:pt>
                <c:pt idx="138">
                  <c:v>745</c:v>
                </c:pt>
                <c:pt idx="139">
                  <c:v>750</c:v>
                </c:pt>
                <c:pt idx="140">
                  <c:v>755</c:v>
                </c:pt>
                <c:pt idx="141">
                  <c:v>760</c:v>
                </c:pt>
                <c:pt idx="142">
                  <c:v>765</c:v>
                </c:pt>
                <c:pt idx="143">
                  <c:v>770</c:v>
                </c:pt>
                <c:pt idx="144">
                  <c:v>775</c:v>
                </c:pt>
                <c:pt idx="145">
                  <c:v>780</c:v>
                </c:pt>
                <c:pt idx="146">
                  <c:v>785</c:v>
                </c:pt>
                <c:pt idx="147">
                  <c:v>790</c:v>
                </c:pt>
                <c:pt idx="148">
                  <c:v>795</c:v>
                </c:pt>
                <c:pt idx="149">
                  <c:v>800</c:v>
                </c:pt>
                <c:pt idx="150">
                  <c:v>805</c:v>
                </c:pt>
                <c:pt idx="151">
                  <c:v>810</c:v>
                </c:pt>
                <c:pt idx="152">
                  <c:v>815</c:v>
                </c:pt>
                <c:pt idx="153">
                  <c:v>820</c:v>
                </c:pt>
                <c:pt idx="154">
                  <c:v>825</c:v>
                </c:pt>
                <c:pt idx="155">
                  <c:v>830</c:v>
                </c:pt>
                <c:pt idx="156">
                  <c:v>835</c:v>
                </c:pt>
              </c:numCache>
            </c:numRef>
          </c:cat>
          <c:val>
            <c:numRef>
              <c:f>'WARMUP LOADS'!$Y$5:$Y$161</c:f>
              <c:numCache>
                <c:formatCode>0%</c:formatCode>
                <c:ptCount val="157"/>
                <c:pt idx="99">
                  <c:v>0.42272727272727273</c:v>
                </c:pt>
                <c:pt idx="100">
                  <c:v>0.41891891891891891</c:v>
                </c:pt>
                <c:pt idx="101">
                  <c:v>0.41964285714285715</c:v>
                </c:pt>
                <c:pt idx="102">
                  <c:v>0.41592920353982299</c:v>
                </c:pt>
                <c:pt idx="103">
                  <c:v>0.41666666666666669</c:v>
                </c:pt>
                <c:pt idx="104">
                  <c:v>0.41739130434782606</c:v>
                </c:pt>
                <c:pt idx="105">
                  <c:v>0.41810344827586204</c:v>
                </c:pt>
                <c:pt idx="106">
                  <c:v>0.41880341880341881</c:v>
                </c:pt>
                <c:pt idx="107">
                  <c:v>0.41949152542372881</c:v>
                </c:pt>
                <c:pt idx="108">
                  <c:v>0.42016806722689076</c:v>
                </c:pt>
                <c:pt idx="109">
                  <c:v>0.42083333333333334</c:v>
                </c:pt>
                <c:pt idx="110">
                  <c:v>0.42148760330578511</c:v>
                </c:pt>
                <c:pt idx="111">
                  <c:v>0.42213114754098363</c:v>
                </c:pt>
                <c:pt idx="112">
                  <c:v>0.41869918699186992</c:v>
                </c:pt>
                <c:pt idx="113">
                  <c:v>0.42741935483870969</c:v>
                </c:pt>
                <c:pt idx="114">
                  <c:v>0.42399999999999999</c:v>
                </c:pt>
                <c:pt idx="115">
                  <c:v>0.42063492063492064</c:v>
                </c:pt>
                <c:pt idx="116">
                  <c:v>0.41732283464566927</c:v>
                </c:pt>
                <c:pt idx="117">
                  <c:v>0.4140625</c:v>
                </c:pt>
                <c:pt idx="118">
                  <c:v>0.41085271317829458</c:v>
                </c:pt>
                <c:pt idx="119">
                  <c:v>0.40769230769230769</c:v>
                </c:pt>
                <c:pt idx="120">
                  <c:v>0.40458015267175573</c:v>
                </c:pt>
                <c:pt idx="121">
                  <c:v>0.40151515151515149</c:v>
                </c:pt>
                <c:pt idx="122">
                  <c:v>0.40977443609022557</c:v>
                </c:pt>
                <c:pt idx="123">
                  <c:v>0.42910447761194032</c:v>
                </c:pt>
                <c:pt idx="124">
                  <c:v>0.42592592592592593</c:v>
                </c:pt>
                <c:pt idx="125">
                  <c:v>0.42279411764705882</c:v>
                </c:pt>
                <c:pt idx="126">
                  <c:v>0.41970802919708028</c:v>
                </c:pt>
                <c:pt idx="127">
                  <c:v>0.41666666666666669</c:v>
                </c:pt>
                <c:pt idx="128">
                  <c:v>0.41366906474820142</c:v>
                </c:pt>
                <c:pt idx="129">
                  <c:v>0.4107142857142857</c:v>
                </c:pt>
                <c:pt idx="130">
                  <c:v>0.40780141843971629</c:v>
                </c:pt>
                <c:pt idx="131">
                  <c:v>0.40492957746478875</c:v>
                </c:pt>
                <c:pt idx="132">
                  <c:v>0.40209790209790208</c:v>
                </c:pt>
                <c:pt idx="133">
                  <c:v>0.39930555555555558</c:v>
                </c:pt>
                <c:pt idx="134">
                  <c:v>0.40689655172413791</c:v>
                </c:pt>
                <c:pt idx="135">
                  <c:v>0.4041095890410959</c:v>
                </c:pt>
                <c:pt idx="136">
                  <c:v>0.40136054421768708</c:v>
                </c:pt>
                <c:pt idx="137">
                  <c:v>0.39864864864864863</c:v>
                </c:pt>
                <c:pt idx="138">
                  <c:v>0.39597315436241609</c:v>
                </c:pt>
                <c:pt idx="139">
                  <c:v>0.39333333333333331</c:v>
                </c:pt>
                <c:pt idx="140">
                  <c:v>0.39072847682119205</c:v>
                </c:pt>
                <c:pt idx="141">
                  <c:v>0.40131578947368424</c:v>
                </c:pt>
                <c:pt idx="142">
                  <c:v>0.39869281045751637</c:v>
                </c:pt>
                <c:pt idx="143">
                  <c:v>0.39610389610389612</c:v>
                </c:pt>
                <c:pt idx="144">
                  <c:v>0.3935483870967742</c:v>
                </c:pt>
                <c:pt idx="145">
                  <c:v>0.39102564102564102</c:v>
                </c:pt>
                <c:pt idx="146">
                  <c:v>0.38853503184713378</c:v>
                </c:pt>
                <c:pt idx="147">
                  <c:v>0.38607594936708861</c:v>
                </c:pt>
                <c:pt idx="148">
                  <c:v>0.38364779874213839</c:v>
                </c:pt>
                <c:pt idx="149">
                  <c:v>0.38124999999999998</c:v>
                </c:pt>
                <c:pt idx="150">
                  <c:v>0.37888198757763975</c:v>
                </c:pt>
                <c:pt idx="151">
                  <c:v>0.37654320987654322</c:v>
                </c:pt>
                <c:pt idx="152">
                  <c:v>0.37423312883435583</c:v>
                </c:pt>
                <c:pt idx="153">
                  <c:v>0.37195121951219512</c:v>
                </c:pt>
                <c:pt idx="154">
                  <c:v>0.36969696969696969</c:v>
                </c:pt>
                <c:pt idx="155">
                  <c:v>0.36746987951807231</c:v>
                </c:pt>
                <c:pt idx="156">
                  <c:v>0.3652694610778443</c:v>
                </c:pt>
              </c:numCache>
            </c:numRef>
          </c:val>
          <c:smooth val="0"/>
          <c:extLst>
            <c:ext xmlns:c16="http://schemas.microsoft.com/office/drawing/2014/chart" uri="{C3380CC4-5D6E-409C-BE32-E72D297353CC}">
              <c16:uniqueId val="{00000007-66F7-45E2-88EB-0A63EA5CE546}"/>
            </c:ext>
          </c:extLst>
        </c:ser>
        <c:ser>
          <c:idx val="8"/>
          <c:order val="8"/>
          <c:tx>
            <c:strRef>
              <c:f>'WARMUP LOADS'!$Z$4</c:f>
              <c:strCache>
                <c:ptCount val="1"/>
                <c:pt idx="0">
                  <c:v>9th warmup</c:v>
                </c:pt>
              </c:strCache>
            </c:strRef>
          </c:tx>
          <c:marker>
            <c:symbol val="none"/>
          </c:marker>
          <c:cat>
            <c:numRef>
              <c:f>'WARMUP LOADS'!$Q$5:$Q$161</c:f>
              <c:numCache>
                <c:formatCode>General</c:formatCode>
                <c:ptCount val="157"/>
                <c:pt idx="0">
                  <c:v>50</c:v>
                </c:pt>
                <c:pt idx="1">
                  <c:v>55</c:v>
                </c:pt>
                <c:pt idx="2">
                  <c:v>65</c:v>
                </c:pt>
                <c:pt idx="3">
                  <c:v>70</c:v>
                </c:pt>
                <c:pt idx="4">
                  <c:v>75</c:v>
                </c:pt>
                <c:pt idx="5">
                  <c:v>80</c:v>
                </c:pt>
                <c:pt idx="6">
                  <c:v>85</c:v>
                </c:pt>
                <c:pt idx="7">
                  <c:v>90</c:v>
                </c:pt>
                <c:pt idx="8">
                  <c:v>95</c:v>
                </c:pt>
                <c:pt idx="9">
                  <c:v>100</c:v>
                </c:pt>
                <c:pt idx="10">
                  <c:v>105</c:v>
                </c:pt>
                <c:pt idx="11">
                  <c:v>110</c:v>
                </c:pt>
                <c:pt idx="12">
                  <c:v>115</c:v>
                </c:pt>
                <c:pt idx="13">
                  <c:v>120</c:v>
                </c:pt>
                <c:pt idx="14">
                  <c:v>125</c:v>
                </c:pt>
                <c:pt idx="15">
                  <c:v>130</c:v>
                </c:pt>
                <c:pt idx="16">
                  <c:v>135</c:v>
                </c:pt>
                <c:pt idx="17">
                  <c:v>140</c:v>
                </c:pt>
                <c:pt idx="18">
                  <c:v>145</c:v>
                </c:pt>
                <c:pt idx="19">
                  <c:v>150</c:v>
                </c:pt>
                <c:pt idx="20">
                  <c:v>155</c:v>
                </c:pt>
                <c:pt idx="21">
                  <c:v>160</c:v>
                </c:pt>
                <c:pt idx="22">
                  <c:v>165</c:v>
                </c:pt>
                <c:pt idx="23">
                  <c:v>170</c:v>
                </c:pt>
                <c:pt idx="24">
                  <c:v>175</c:v>
                </c:pt>
                <c:pt idx="25">
                  <c:v>180</c:v>
                </c:pt>
                <c:pt idx="26">
                  <c:v>185</c:v>
                </c:pt>
                <c:pt idx="27">
                  <c:v>190</c:v>
                </c:pt>
                <c:pt idx="28">
                  <c:v>195</c:v>
                </c:pt>
                <c:pt idx="29">
                  <c:v>200</c:v>
                </c:pt>
                <c:pt idx="30">
                  <c:v>205</c:v>
                </c:pt>
                <c:pt idx="31">
                  <c:v>210</c:v>
                </c:pt>
                <c:pt idx="32">
                  <c:v>215</c:v>
                </c:pt>
                <c:pt idx="33">
                  <c:v>220</c:v>
                </c:pt>
                <c:pt idx="34">
                  <c:v>225</c:v>
                </c:pt>
                <c:pt idx="35">
                  <c:v>230</c:v>
                </c:pt>
                <c:pt idx="36">
                  <c:v>235</c:v>
                </c:pt>
                <c:pt idx="37">
                  <c:v>240</c:v>
                </c:pt>
                <c:pt idx="38">
                  <c:v>245</c:v>
                </c:pt>
                <c:pt idx="39">
                  <c:v>250</c:v>
                </c:pt>
                <c:pt idx="40">
                  <c:v>255</c:v>
                </c:pt>
                <c:pt idx="41">
                  <c:v>260</c:v>
                </c:pt>
                <c:pt idx="42">
                  <c:v>265</c:v>
                </c:pt>
                <c:pt idx="43">
                  <c:v>270</c:v>
                </c:pt>
                <c:pt idx="44">
                  <c:v>275</c:v>
                </c:pt>
                <c:pt idx="45">
                  <c:v>280</c:v>
                </c:pt>
                <c:pt idx="46">
                  <c:v>285</c:v>
                </c:pt>
                <c:pt idx="47">
                  <c:v>290</c:v>
                </c:pt>
                <c:pt idx="48">
                  <c:v>295</c:v>
                </c:pt>
                <c:pt idx="49">
                  <c:v>300</c:v>
                </c:pt>
                <c:pt idx="50">
                  <c:v>305</c:v>
                </c:pt>
                <c:pt idx="51">
                  <c:v>310</c:v>
                </c:pt>
                <c:pt idx="52">
                  <c:v>315</c:v>
                </c:pt>
                <c:pt idx="53">
                  <c:v>320</c:v>
                </c:pt>
                <c:pt idx="54">
                  <c:v>325</c:v>
                </c:pt>
                <c:pt idx="55">
                  <c:v>330</c:v>
                </c:pt>
                <c:pt idx="56">
                  <c:v>335</c:v>
                </c:pt>
                <c:pt idx="57">
                  <c:v>340</c:v>
                </c:pt>
                <c:pt idx="58">
                  <c:v>345</c:v>
                </c:pt>
                <c:pt idx="59">
                  <c:v>350</c:v>
                </c:pt>
                <c:pt idx="60">
                  <c:v>355</c:v>
                </c:pt>
                <c:pt idx="61">
                  <c:v>360</c:v>
                </c:pt>
                <c:pt idx="62">
                  <c:v>365</c:v>
                </c:pt>
                <c:pt idx="63">
                  <c:v>370</c:v>
                </c:pt>
                <c:pt idx="64">
                  <c:v>375</c:v>
                </c:pt>
                <c:pt idx="65">
                  <c:v>380</c:v>
                </c:pt>
                <c:pt idx="66">
                  <c:v>385</c:v>
                </c:pt>
                <c:pt idx="67">
                  <c:v>390</c:v>
                </c:pt>
                <c:pt idx="68">
                  <c:v>395</c:v>
                </c:pt>
                <c:pt idx="69">
                  <c:v>400</c:v>
                </c:pt>
                <c:pt idx="70">
                  <c:v>405</c:v>
                </c:pt>
                <c:pt idx="71">
                  <c:v>410</c:v>
                </c:pt>
                <c:pt idx="72">
                  <c:v>415</c:v>
                </c:pt>
                <c:pt idx="73">
                  <c:v>420</c:v>
                </c:pt>
                <c:pt idx="74">
                  <c:v>425</c:v>
                </c:pt>
                <c:pt idx="75">
                  <c:v>430</c:v>
                </c:pt>
                <c:pt idx="76">
                  <c:v>435</c:v>
                </c:pt>
                <c:pt idx="77">
                  <c:v>440</c:v>
                </c:pt>
                <c:pt idx="78">
                  <c:v>445</c:v>
                </c:pt>
                <c:pt idx="79">
                  <c:v>450</c:v>
                </c:pt>
                <c:pt idx="80">
                  <c:v>455</c:v>
                </c:pt>
                <c:pt idx="81">
                  <c:v>460</c:v>
                </c:pt>
                <c:pt idx="82">
                  <c:v>465</c:v>
                </c:pt>
                <c:pt idx="83">
                  <c:v>470</c:v>
                </c:pt>
                <c:pt idx="84">
                  <c:v>475</c:v>
                </c:pt>
                <c:pt idx="85">
                  <c:v>480</c:v>
                </c:pt>
                <c:pt idx="86">
                  <c:v>485</c:v>
                </c:pt>
                <c:pt idx="87">
                  <c:v>490</c:v>
                </c:pt>
                <c:pt idx="88">
                  <c:v>495</c:v>
                </c:pt>
                <c:pt idx="89">
                  <c:v>500</c:v>
                </c:pt>
                <c:pt idx="90">
                  <c:v>505</c:v>
                </c:pt>
                <c:pt idx="91">
                  <c:v>510</c:v>
                </c:pt>
                <c:pt idx="92">
                  <c:v>515</c:v>
                </c:pt>
                <c:pt idx="93">
                  <c:v>520</c:v>
                </c:pt>
                <c:pt idx="94">
                  <c:v>525</c:v>
                </c:pt>
                <c:pt idx="95">
                  <c:v>530</c:v>
                </c:pt>
                <c:pt idx="96">
                  <c:v>535</c:v>
                </c:pt>
                <c:pt idx="97">
                  <c:v>540</c:v>
                </c:pt>
                <c:pt idx="98">
                  <c:v>545</c:v>
                </c:pt>
                <c:pt idx="99">
                  <c:v>550</c:v>
                </c:pt>
                <c:pt idx="100">
                  <c:v>555</c:v>
                </c:pt>
                <c:pt idx="101">
                  <c:v>560</c:v>
                </c:pt>
                <c:pt idx="102">
                  <c:v>565</c:v>
                </c:pt>
                <c:pt idx="103">
                  <c:v>570</c:v>
                </c:pt>
                <c:pt idx="104">
                  <c:v>575</c:v>
                </c:pt>
                <c:pt idx="105">
                  <c:v>580</c:v>
                </c:pt>
                <c:pt idx="106">
                  <c:v>585</c:v>
                </c:pt>
                <c:pt idx="107">
                  <c:v>590</c:v>
                </c:pt>
                <c:pt idx="108">
                  <c:v>595</c:v>
                </c:pt>
                <c:pt idx="109">
                  <c:v>600</c:v>
                </c:pt>
                <c:pt idx="110">
                  <c:v>605</c:v>
                </c:pt>
                <c:pt idx="111">
                  <c:v>610</c:v>
                </c:pt>
                <c:pt idx="112">
                  <c:v>615</c:v>
                </c:pt>
                <c:pt idx="113">
                  <c:v>620</c:v>
                </c:pt>
                <c:pt idx="114">
                  <c:v>625</c:v>
                </c:pt>
                <c:pt idx="115">
                  <c:v>630</c:v>
                </c:pt>
                <c:pt idx="116">
                  <c:v>635</c:v>
                </c:pt>
                <c:pt idx="117">
                  <c:v>640</c:v>
                </c:pt>
                <c:pt idx="118">
                  <c:v>645</c:v>
                </c:pt>
                <c:pt idx="119">
                  <c:v>650</c:v>
                </c:pt>
                <c:pt idx="120">
                  <c:v>655</c:v>
                </c:pt>
                <c:pt idx="121">
                  <c:v>660</c:v>
                </c:pt>
                <c:pt idx="122">
                  <c:v>665</c:v>
                </c:pt>
                <c:pt idx="123">
                  <c:v>670</c:v>
                </c:pt>
                <c:pt idx="124">
                  <c:v>675</c:v>
                </c:pt>
                <c:pt idx="125">
                  <c:v>680</c:v>
                </c:pt>
                <c:pt idx="126">
                  <c:v>685</c:v>
                </c:pt>
                <c:pt idx="127">
                  <c:v>690</c:v>
                </c:pt>
                <c:pt idx="128">
                  <c:v>695</c:v>
                </c:pt>
                <c:pt idx="129">
                  <c:v>700</c:v>
                </c:pt>
                <c:pt idx="130">
                  <c:v>705</c:v>
                </c:pt>
                <c:pt idx="131">
                  <c:v>710</c:v>
                </c:pt>
                <c:pt idx="132">
                  <c:v>715</c:v>
                </c:pt>
                <c:pt idx="133">
                  <c:v>720</c:v>
                </c:pt>
                <c:pt idx="134">
                  <c:v>725</c:v>
                </c:pt>
                <c:pt idx="135">
                  <c:v>730</c:v>
                </c:pt>
                <c:pt idx="136">
                  <c:v>735</c:v>
                </c:pt>
                <c:pt idx="137">
                  <c:v>740</c:v>
                </c:pt>
                <c:pt idx="138">
                  <c:v>745</c:v>
                </c:pt>
                <c:pt idx="139">
                  <c:v>750</c:v>
                </c:pt>
                <c:pt idx="140">
                  <c:v>755</c:v>
                </c:pt>
                <c:pt idx="141">
                  <c:v>760</c:v>
                </c:pt>
                <c:pt idx="142">
                  <c:v>765</c:v>
                </c:pt>
                <c:pt idx="143">
                  <c:v>770</c:v>
                </c:pt>
                <c:pt idx="144">
                  <c:v>775</c:v>
                </c:pt>
                <c:pt idx="145">
                  <c:v>780</c:v>
                </c:pt>
                <c:pt idx="146">
                  <c:v>785</c:v>
                </c:pt>
                <c:pt idx="147">
                  <c:v>790</c:v>
                </c:pt>
                <c:pt idx="148">
                  <c:v>795</c:v>
                </c:pt>
                <c:pt idx="149">
                  <c:v>800</c:v>
                </c:pt>
                <c:pt idx="150">
                  <c:v>805</c:v>
                </c:pt>
                <c:pt idx="151">
                  <c:v>810</c:v>
                </c:pt>
                <c:pt idx="152">
                  <c:v>815</c:v>
                </c:pt>
                <c:pt idx="153">
                  <c:v>820</c:v>
                </c:pt>
                <c:pt idx="154">
                  <c:v>825</c:v>
                </c:pt>
                <c:pt idx="155">
                  <c:v>830</c:v>
                </c:pt>
                <c:pt idx="156">
                  <c:v>835</c:v>
                </c:pt>
              </c:numCache>
            </c:numRef>
          </c:cat>
          <c:val>
            <c:numRef>
              <c:f>'WARMUP LOADS'!$Z$5:$Z$161</c:f>
              <c:numCache>
                <c:formatCode>0%</c:formatCode>
                <c:ptCount val="157"/>
                <c:pt idx="139">
                  <c:v>0.42333333333333334</c:v>
                </c:pt>
                <c:pt idx="140">
                  <c:v>0.42052980132450329</c:v>
                </c:pt>
                <c:pt idx="141">
                  <c:v>0.42105263157894735</c:v>
                </c:pt>
                <c:pt idx="142">
                  <c:v>0.42156862745098039</c:v>
                </c:pt>
                <c:pt idx="143">
                  <c:v>0.42532467532467533</c:v>
                </c:pt>
                <c:pt idx="144">
                  <c:v>0.4258064516129032</c:v>
                </c:pt>
                <c:pt idx="145">
                  <c:v>0.42307692307692307</c:v>
                </c:pt>
                <c:pt idx="146">
                  <c:v>0.42356687898089174</c:v>
                </c:pt>
                <c:pt idx="147">
                  <c:v>0.42405063291139239</c:v>
                </c:pt>
                <c:pt idx="148">
                  <c:v>0.42452830188679247</c:v>
                </c:pt>
                <c:pt idx="149">
                  <c:v>0.42499999999999999</c:v>
                </c:pt>
                <c:pt idx="150">
                  <c:v>0.42236024844720499</c:v>
                </c:pt>
                <c:pt idx="151">
                  <c:v>0.42901234567901236</c:v>
                </c:pt>
                <c:pt idx="152">
                  <c:v>0.42638036809815949</c:v>
                </c:pt>
                <c:pt idx="153">
                  <c:v>0.42378048780487804</c:v>
                </c:pt>
                <c:pt idx="154">
                  <c:v>0.4212121212121212</c:v>
                </c:pt>
                <c:pt idx="155">
                  <c:v>0.41867469879518071</c:v>
                </c:pt>
                <c:pt idx="156">
                  <c:v>0.41616766467065869</c:v>
                </c:pt>
              </c:numCache>
            </c:numRef>
          </c:val>
          <c:smooth val="0"/>
          <c:extLst>
            <c:ext xmlns:c16="http://schemas.microsoft.com/office/drawing/2014/chart" uri="{C3380CC4-5D6E-409C-BE32-E72D297353CC}">
              <c16:uniqueId val="{00000008-66F7-45E2-88EB-0A63EA5CE546}"/>
            </c:ext>
          </c:extLst>
        </c:ser>
        <c:dLbls>
          <c:showLegendKey val="0"/>
          <c:showVal val="0"/>
          <c:showCatName val="0"/>
          <c:showSerName val="0"/>
          <c:showPercent val="0"/>
          <c:showBubbleSize val="0"/>
        </c:dLbls>
        <c:smooth val="0"/>
        <c:axId val="-2031306176"/>
        <c:axId val="-2026373824"/>
      </c:lineChart>
      <c:catAx>
        <c:axId val="-2031306176"/>
        <c:scaling>
          <c:orientation val="minMax"/>
        </c:scaling>
        <c:delete val="0"/>
        <c:axPos val="b"/>
        <c:title>
          <c:tx>
            <c:rich>
              <a:bodyPr/>
              <a:lstStyle/>
              <a:p>
                <a:pPr>
                  <a:defRPr/>
                </a:pPr>
                <a:r>
                  <a:rPr lang="en-US" sz="1600"/>
                  <a:t>IF YOUR OPENER IS....</a:t>
                </a:r>
              </a:p>
            </c:rich>
          </c:tx>
          <c:overlay val="0"/>
        </c:title>
        <c:numFmt formatCode="General" sourceLinked="1"/>
        <c:majorTickMark val="out"/>
        <c:minorTickMark val="none"/>
        <c:tickLblPos val="nextTo"/>
        <c:crossAx val="-2026373824"/>
        <c:crosses val="autoZero"/>
        <c:auto val="1"/>
        <c:lblAlgn val="ctr"/>
        <c:lblOffset val="100"/>
        <c:noMultiLvlLbl val="0"/>
      </c:catAx>
      <c:valAx>
        <c:axId val="-2026373824"/>
        <c:scaling>
          <c:orientation val="minMax"/>
        </c:scaling>
        <c:delete val="0"/>
        <c:axPos val="l"/>
        <c:majorGridlines/>
        <c:title>
          <c:tx>
            <c:rich>
              <a:bodyPr rot="-5400000" vert="horz"/>
              <a:lstStyle/>
              <a:p>
                <a:pPr>
                  <a:defRPr/>
                </a:pPr>
                <a:r>
                  <a:rPr lang="en-US" sz="1600"/>
                  <a:t>% OF OPENER</a:t>
                </a:r>
              </a:p>
            </c:rich>
          </c:tx>
          <c:overlay val="0"/>
        </c:title>
        <c:numFmt formatCode="0%" sourceLinked="1"/>
        <c:majorTickMark val="out"/>
        <c:minorTickMark val="none"/>
        <c:tickLblPos val="nextTo"/>
        <c:crossAx val="-2031306176"/>
        <c:crosses val="autoZero"/>
        <c:crossBetween val="between"/>
      </c:valAx>
    </c:plotArea>
    <c:legend>
      <c:legendPos val="r"/>
      <c:overlay val="0"/>
    </c:legend>
    <c:plotVisOnly val="1"/>
    <c:dispBlanksAs val="gap"/>
    <c:showDLblsOverMax val="0"/>
  </c:chart>
  <c:printSettings>
    <c:headerFooter/>
    <c:pageMargins b="1" l="0.75" r="0.75" t="1" header="0.5" footer="0.5"/>
    <c:pageSetup orientation="portrait" horizontalDpi="-4" verticalDpi="-4"/>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thestrengthathlete.com/" TargetMode="External"/></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www.thestrengthathlete.com/" TargetMode="External"/><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1" Type="http://schemas.openxmlformats.org/officeDocument/2006/relationships/image" Target="../media/image2.jp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17</xdr:col>
      <xdr:colOff>46184</xdr:colOff>
      <xdr:row>1</xdr:row>
      <xdr:rowOff>142731</xdr:rowOff>
    </xdr:from>
    <xdr:to>
      <xdr:col>18</xdr:col>
      <xdr:colOff>34637</xdr:colOff>
      <xdr:row>3</xdr:row>
      <xdr:rowOff>300181</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a:stretch>
          <a:fillRect/>
        </a:stretch>
      </xdr:blipFill>
      <xdr:spPr>
        <a:xfrm>
          <a:off x="8866911" y="154276"/>
          <a:ext cx="819726" cy="54999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23</xdr:col>
      <xdr:colOff>283633</xdr:colOff>
      <xdr:row>41</xdr:row>
      <xdr:rowOff>143934</xdr:rowOff>
    </xdr:from>
    <xdr:to>
      <xdr:col>26</xdr:col>
      <xdr:colOff>480754</xdr:colOff>
      <xdr:row>42</xdr:row>
      <xdr:rowOff>188978</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stretch>
          <a:fillRect/>
        </a:stretch>
      </xdr:blipFill>
      <xdr:spPr>
        <a:xfrm>
          <a:off x="11154833" y="7349067"/>
          <a:ext cx="1346200" cy="239776"/>
        </a:xfrm>
        <a:prstGeom prst="rect">
          <a:avLst/>
        </a:prstGeom>
      </xdr:spPr>
    </xdr:pic>
    <xdr:clientData/>
  </xdr:twoCellAnchor>
  <xdr:twoCellAnchor editAs="oneCell">
    <xdr:from>
      <xdr:col>24</xdr:col>
      <xdr:colOff>434190</xdr:colOff>
      <xdr:row>0</xdr:row>
      <xdr:rowOff>151966</xdr:rowOff>
    </xdr:from>
    <xdr:to>
      <xdr:col>27</xdr:col>
      <xdr:colOff>27335</xdr:colOff>
      <xdr:row>3</xdr:row>
      <xdr:rowOff>118327</xdr:rowOff>
    </xdr:to>
    <xdr:pic>
      <xdr:nvPicPr>
        <xdr:cNvPr id="3" name="Picture 2">
          <a:hlinkClick xmlns:r="http://schemas.openxmlformats.org/officeDocument/2006/relationships" r:id="rId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3"/>
        <a:stretch>
          <a:fillRect/>
        </a:stretch>
      </xdr:blipFill>
      <xdr:spPr>
        <a:xfrm>
          <a:off x="11744788" y="151966"/>
          <a:ext cx="819726" cy="55251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658709</xdr:colOff>
      <xdr:row>24</xdr:row>
      <xdr:rowOff>148147</xdr:rowOff>
    </xdr:from>
    <xdr:to>
      <xdr:col>17</xdr:col>
      <xdr:colOff>20321</xdr:colOff>
      <xdr:row>26</xdr:row>
      <xdr:rowOff>150214</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658709" y="5685347"/>
          <a:ext cx="2084492" cy="36782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26</xdr:col>
      <xdr:colOff>501650</xdr:colOff>
      <xdr:row>122</xdr:row>
      <xdr:rowOff>69849</xdr:rowOff>
    </xdr:from>
    <xdr:to>
      <xdr:col>40</xdr:col>
      <xdr:colOff>393700</xdr:colOff>
      <xdr:row>161</xdr:row>
      <xdr:rowOff>9374</xdr:rowOff>
    </xdr:to>
    <xdr:graphicFrame macro="">
      <xdr:nvGraphicFramePr>
        <xdr:cNvPr id="7" name="Chart 6">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hestrengthathlete1/Dropbox/The%20Strength%20Athlete/Training%20Programs/_Favorites/TSA_Master_Startu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TRITI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www.thestrengthathlete.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pageSetUpPr fitToPage="1"/>
  </sheetPr>
  <dimension ref="C1:R22"/>
  <sheetViews>
    <sheetView showGridLines="0" zoomScale="110" zoomScaleNormal="110" zoomScalePageLayoutView="110" workbookViewId="0">
      <selection activeCell="D13" sqref="D13:R13"/>
    </sheetView>
  </sheetViews>
  <sheetFormatPr defaultColWidth="10.83203125" defaultRowHeight="15.5"/>
  <cols>
    <col min="1" max="1" width="0.1640625" style="346" customWidth="1"/>
    <col min="2" max="2" width="10.83203125" style="346" customWidth="1"/>
    <col min="3" max="3" width="5.1640625" style="346" customWidth="1"/>
    <col min="4" max="4" width="7.5" style="346" customWidth="1"/>
    <col min="5" max="8" width="10.83203125" style="346" hidden="1" customWidth="1"/>
    <col min="9" max="9" width="4.6640625" style="346" customWidth="1"/>
    <col min="10" max="18" width="10.83203125" style="346" customWidth="1"/>
    <col min="19" max="22" width="10.83203125" style="346"/>
    <col min="23" max="23" width="11.33203125" style="346" customWidth="1"/>
    <col min="24" max="16384" width="10.83203125" style="346"/>
  </cols>
  <sheetData>
    <row r="1" spans="3:18" ht="1" customHeight="1"/>
    <row r="2" spans="3:18" s="347" customFormat="1" ht="15" customHeight="1"/>
    <row r="3" spans="3:18" s="347" customFormat="1" ht="15" customHeight="1">
      <c r="C3" s="348"/>
    </row>
    <row r="4" spans="3:18" ht="29" customHeight="1" thickBot="1">
      <c r="C4" s="350" t="s">
        <v>123</v>
      </c>
      <c r="D4" s="349"/>
      <c r="E4" s="349"/>
      <c r="F4" s="349"/>
      <c r="G4" s="349"/>
      <c r="H4" s="349"/>
      <c r="I4" s="350"/>
      <c r="J4" s="349"/>
      <c r="K4" s="349"/>
      <c r="L4" s="349"/>
      <c r="M4" s="349"/>
      <c r="N4" s="349"/>
      <c r="O4" s="349"/>
      <c r="P4" s="349"/>
      <c r="Q4" s="349"/>
      <c r="R4" s="349"/>
    </row>
    <row r="5" spans="3:18">
      <c r="C5" s="351" t="s">
        <v>124</v>
      </c>
    </row>
    <row r="6" spans="3:18">
      <c r="C6" s="351"/>
    </row>
    <row r="7" spans="3:18" ht="50" customHeight="1">
      <c r="C7" s="363" t="s">
        <v>127</v>
      </c>
      <c r="D7" s="363"/>
      <c r="E7" s="363"/>
      <c r="F7" s="363"/>
      <c r="G7" s="363"/>
      <c r="H7" s="363"/>
      <c r="I7" s="363"/>
      <c r="J7" s="363"/>
      <c r="K7" s="363"/>
      <c r="L7" s="363"/>
      <c r="M7" s="363"/>
      <c r="N7" s="363"/>
      <c r="O7" s="363"/>
      <c r="P7" s="363"/>
      <c r="Q7" s="363"/>
      <c r="R7" s="363"/>
    </row>
    <row r="8" spans="3:18">
      <c r="C8" s="351"/>
    </row>
    <row r="9" spans="3:18" ht="20" customHeight="1">
      <c r="C9" s="352" t="s">
        <v>125</v>
      </c>
      <c r="D9" s="353"/>
      <c r="E9" s="353"/>
      <c r="F9" s="353"/>
      <c r="G9" s="353"/>
      <c r="H9" s="353"/>
      <c r="I9" s="353"/>
      <c r="J9" s="353"/>
      <c r="K9" s="353"/>
      <c r="L9" s="353"/>
      <c r="M9" s="353"/>
      <c r="N9" s="353"/>
      <c r="O9" s="353"/>
      <c r="P9" s="353"/>
      <c r="Q9" s="353"/>
      <c r="R9" s="353"/>
    </row>
    <row r="10" spans="3:18" ht="8" customHeight="1">
      <c r="C10" s="354"/>
      <c r="D10" s="355"/>
      <c r="E10" s="355"/>
      <c r="F10" s="355"/>
      <c r="G10" s="355"/>
      <c r="H10" s="355"/>
      <c r="I10" s="355"/>
      <c r="J10" s="355"/>
      <c r="K10" s="355"/>
      <c r="L10" s="355"/>
      <c r="M10" s="355"/>
      <c r="N10" s="355"/>
      <c r="O10" s="355"/>
      <c r="P10" s="355"/>
      <c r="Q10" s="355"/>
      <c r="R10" s="355"/>
    </row>
    <row r="11" spans="3:18" ht="33" customHeight="1">
      <c r="C11" s="356">
        <v>1</v>
      </c>
      <c r="D11" s="364" t="s">
        <v>129</v>
      </c>
      <c r="E11" s="365"/>
      <c r="F11" s="365"/>
      <c r="G11" s="365"/>
      <c r="H11" s="365"/>
      <c r="I11" s="365"/>
      <c r="J11" s="365"/>
      <c r="K11" s="365"/>
      <c r="L11" s="365"/>
      <c r="M11" s="365"/>
      <c r="N11" s="365"/>
      <c r="O11" s="365"/>
      <c r="P11" s="365"/>
      <c r="Q11" s="365"/>
      <c r="R11" s="365"/>
    </row>
    <row r="12" spans="3:18" ht="48" customHeight="1">
      <c r="C12" s="356">
        <v>2</v>
      </c>
      <c r="D12" s="366" t="s">
        <v>134</v>
      </c>
      <c r="E12" s="367"/>
      <c r="F12" s="367"/>
      <c r="G12" s="367"/>
      <c r="H12" s="367"/>
      <c r="I12" s="367"/>
      <c r="J12" s="367"/>
      <c r="K12" s="367"/>
      <c r="L12" s="367"/>
      <c r="M12" s="367"/>
      <c r="N12" s="367"/>
      <c r="O12" s="367"/>
      <c r="P12" s="367"/>
      <c r="Q12" s="367"/>
      <c r="R12" s="367"/>
    </row>
    <row r="13" spans="3:18" ht="21" customHeight="1">
      <c r="C13" s="357">
        <v>3</v>
      </c>
      <c r="D13" s="368" t="s">
        <v>128</v>
      </c>
      <c r="E13" s="369"/>
      <c r="F13" s="369"/>
      <c r="G13" s="369"/>
      <c r="H13" s="369"/>
      <c r="I13" s="369"/>
      <c r="J13" s="369"/>
      <c r="K13" s="369"/>
      <c r="L13" s="369"/>
      <c r="M13" s="369"/>
      <c r="N13" s="369"/>
      <c r="O13" s="369"/>
      <c r="P13" s="369"/>
      <c r="Q13" s="369"/>
      <c r="R13" s="369"/>
    </row>
    <row r="14" spans="3:18" ht="29" customHeight="1">
      <c r="C14" s="357">
        <v>4</v>
      </c>
      <c r="D14" s="359" t="s">
        <v>133</v>
      </c>
      <c r="E14" s="360"/>
      <c r="F14" s="360"/>
      <c r="G14" s="360"/>
      <c r="H14" s="360"/>
      <c r="I14" s="360"/>
      <c r="J14" s="360"/>
      <c r="K14" s="360"/>
      <c r="L14" s="360"/>
      <c r="M14" s="360"/>
      <c r="N14" s="360"/>
      <c r="O14" s="360"/>
      <c r="P14" s="360"/>
      <c r="Q14" s="360"/>
      <c r="R14" s="360"/>
    </row>
    <row r="15" spans="3:18">
      <c r="C15" s="357">
        <v>5</v>
      </c>
      <c r="D15" s="359" t="s">
        <v>126</v>
      </c>
      <c r="E15" s="360"/>
      <c r="F15" s="360"/>
      <c r="G15" s="360"/>
      <c r="H15" s="360"/>
      <c r="I15" s="360"/>
      <c r="J15" s="360"/>
      <c r="K15" s="360"/>
      <c r="L15" s="360"/>
      <c r="M15" s="360"/>
      <c r="N15" s="360"/>
      <c r="O15" s="360"/>
      <c r="P15" s="360"/>
      <c r="Q15" s="360"/>
      <c r="R15" s="360"/>
    </row>
    <row r="16" spans="3:18">
      <c r="E16" s="358"/>
    </row>
    <row r="17" spans="3:18" ht="5" customHeight="1">
      <c r="C17" s="352"/>
      <c r="D17" s="353"/>
      <c r="E17" s="353"/>
      <c r="F17" s="353"/>
      <c r="G17" s="353"/>
      <c r="H17" s="353"/>
      <c r="I17" s="353"/>
      <c r="J17" s="353"/>
      <c r="K17" s="353"/>
      <c r="L17" s="353"/>
      <c r="M17" s="353"/>
      <c r="N17" s="353"/>
      <c r="O17" s="353"/>
      <c r="P17" s="353"/>
      <c r="Q17" s="353"/>
      <c r="R17" s="353"/>
    </row>
    <row r="18" spans="3:18" ht="8" customHeight="1">
      <c r="C18" s="354"/>
      <c r="D18" s="355"/>
      <c r="E18" s="355"/>
      <c r="F18" s="355"/>
      <c r="G18" s="355"/>
      <c r="H18" s="355"/>
      <c r="I18" s="355"/>
      <c r="J18" s="355"/>
      <c r="K18" s="355"/>
      <c r="L18" s="355"/>
      <c r="M18" s="355"/>
      <c r="N18" s="355"/>
      <c r="O18" s="355"/>
      <c r="P18" s="355"/>
      <c r="Q18" s="355"/>
      <c r="R18" s="355"/>
    </row>
    <row r="19" spans="3:18" ht="15" customHeight="1">
      <c r="C19" s="356" t="s">
        <v>130</v>
      </c>
      <c r="D19" s="361" t="s">
        <v>131</v>
      </c>
      <c r="E19" s="370"/>
      <c r="F19" s="370"/>
      <c r="G19" s="370"/>
      <c r="H19" s="370"/>
      <c r="I19" s="370"/>
      <c r="J19" s="370"/>
      <c r="K19" s="370"/>
      <c r="L19" s="370"/>
      <c r="M19" s="370"/>
      <c r="N19" s="370"/>
      <c r="O19" s="370"/>
      <c r="P19" s="370"/>
      <c r="Q19" s="370"/>
      <c r="R19" s="370"/>
    </row>
    <row r="20" spans="3:18" ht="5" customHeight="1"/>
    <row r="21" spans="3:18" ht="15" customHeight="1">
      <c r="C21" s="356" t="s">
        <v>130</v>
      </c>
      <c r="D21" s="361" t="s">
        <v>132</v>
      </c>
      <c r="E21" s="362"/>
      <c r="F21" s="362"/>
      <c r="G21" s="362"/>
      <c r="H21" s="362"/>
      <c r="I21" s="362"/>
      <c r="J21" s="362"/>
      <c r="K21" s="362"/>
      <c r="L21" s="362"/>
      <c r="M21" s="362"/>
      <c r="N21" s="362"/>
      <c r="O21" s="362"/>
      <c r="P21" s="362"/>
      <c r="Q21" s="362"/>
      <c r="R21" s="362"/>
    </row>
    <row r="22" spans="3:18" ht="5" customHeight="1"/>
  </sheetData>
  <mergeCells count="8">
    <mergeCell ref="D14:R14"/>
    <mergeCell ref="D21:R21"/>
    <mergeCell ref="C7:R7"/>
    <mergeCell ref="D11:R11"/>
    <mergeCell ref="D12:R12"/>
    <mergeCell ref="D13:R13"/>
    <mergeCell ref="D15:R15"/>
    <mergeCell ref="D19:R19"/>
  </mergeCells>
  <pageMargins left="0.25" right="0.25" top="0.25" bottom="1" header="0.25" footer="0.5"/>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theme="1"/>
  </sheetPr>
  <dimension ref="B1:AK161"/>
  <sheetViews>
    <sheetView showGridLines="0" tabSelected="1" topLeftCell="A7" zoomScale="117" zoomScaleNormal="117" zoomScalePageLayoutView="117" workbookViewId="0">
      <selection activeCell="D10" sqref="D10"/>
    </sheetView>
  </sheetViews>
  <sheetFormatPr defaultColWidth="10.83203125" defaultRowHeight="15.5" zeroHeight="1" outlineLevelRow="1"/>
  <cols>
    <col min="1" max="1" width="8.83203125" customWidth="1"/>
    <col min="2" max="2" width="13.83203125" customWidth="1"/>
    <col min="3" max="3" width="8.33203125" customWidth="1"/>
    <col min="4" max="4" width="6.6640625" customWidth="1"/>
    <col min="5" max="5" width="7.5" customWidth="1"/>
    <col min="6" max="6" width="0.6640625" style="251" customWidth="1"/>
    <col min="7" max="7" width="2.83203125" customWidth="1"/>
    <col min="8" max="8" width="0.6640625" style="251" customWidth="1"/>
    <col min="9" max="9" width="15" customWidth="1"/>
    <col min="10" max="10" width="8.33203125" customWidth="1"/>
    <col min="11" max="11" width="6.6640625" customWidth="1"/>
    <col min="12" max="12" width="7.6640625" customWidth="1"/>
    <col min="13" max="13" width="0.6640625" style="251" customWidth="1"/>
    <col min="14" max="14" width="2.6640625" style="7" customWidth="1"/>
    <col min="15" max="15" width="0.6640625" style="251" customWidth="1"/>
    <col min="16" max="16" width="13.83203125" style="7" customWidth="1"/>
    <col min="17" max="17" width="8.33203125" style="7" customWidth="1"/>
    <col min="18" max="18" width="6.6640625" style="7" customWidth="1"/>
    <col min="19" max="19" width="7.6640625" style="7" customWidth="1"/>
    <col min="20" max="20" width="0.6640625" customWidth="1"/>
    <col min="21" max="21" width="5.33203125" style="7" customWidth="1"/>
    <col min="22" max="22" width="7.6640625" style="7" customWidth="1"/>
    <col min="23" max="23" width="0.6640625" customWidth="1"/>
    <col min="24" max="24" width="6" style="7" customWidth="1"/>
    <col min="25" max="25" width="7.1640625" style="7" customWidth="1"/>
    <col min="26" max="26" width="1.83203125" customWidth="1"/>
    <col min="27" max="27" width="7.1640625" style="7" customWidth="1"/>
    <col min="28" max="28" width="8.83203125" customWidth="1"/>
    <col min="29" max="30" width="10.83203125" style="7" hidden="1" customWidth="1"/>
    <col min="31" max="37" width="0" hidden="1" customWidth="1"/>
  </cols>
  <sheetData>
    <row r="1" spans="2:37" s="7" customFormat="1" ht="15" customHeight="1">
      <c r="C1" s="209"/>
      <c r="D1" s="209"/>
      <c r="E1" s="5"/>
      <c r="F1" s="231"/>
      <c r="G1" s="5"/>
      <c r="H1" s="231"/>
      <c r="I1" s="5"/>
      <c r="J1" s="5"/>
      <c r="K1" s="48"/>
      <c r="L1" s="8"/>
      <c r="M1" s="231"/>
      <c r="N1" s="10"/>
      <c r="O1" s="231"/>
      <c r="T1" s="5"/>
      <c r="W1" s="5"/>
      <c r="AB1"/>
    </row>
    <row r="2" spans="2:37" s="7" customFormat="1" ht="15" customHeight="1">
      <c r="B2" s="377" t="s">
        <v>135</v>
      </c>
      <c r="C2" s="377"/>
      <c r="D2" s="377"/>
      <c r="E2" s="377"/>
      <c r="F2" s="254"/>
      <c r="G2" s="252"/>
      <c r="H2" s="253"/>
      <c r="I2" s="252"/>
      <c r="J2" s="3"/>
      <c r="K2" s="48"/>
      <c r="L2" s="8"/>
      <c r="M2" s="232"/>
      <c r="O2" s="232"/>
      <c r="T2" s="8"/>
      <c r="W2" s="8"/>
      <c r="AB2"/>
    </row>
    <row r="3" spans="2:37" s="46" customFormat="1" ht="15" customHeight="1">
      <c r="B3" s="377"/>
      <c r="C3" s="377"/>
      <c r="D3" s="377"/>
      <c r="E3" s="377"/>
      <c r="F3" s="233"/>
      <c r="G3" s="6"/>
      <c r="H3" s="233"/>
      <c r="I3" s="6"/>
      <c r="J3" s="6"/>
      <c r="K3" s="48"/>
      <c r="L3" s="8"/>
      <c r="M3" s="233"/>
      <c r="N3" s="47"/>
      <c r="O3" s="233"/>
      <c r="T3" s="6"/>
      <c r="U3" s="188" t="s">
        <v>74</v>
      </c>
      <c r="W3" s="6"/>
      <c r="AB3"/>
    </row>
    <row r="4" spans="2:37" s="146" customFormat="1" ht="15" customHeight="1" thickBot="1">
      <c r="B4" s="182" t="s">
        <v>60</v>
      </c>
      <c r="C4" s="183"/>
      <c r="D4" s="204" t="s">
        <v>8</v>
      </c>
      <c r="E4" s="200" t="s">
        <v>19</v>
      </c>
      <c r="F4" s="229"/>
      <c r="G4" s="203">
        <v>18</v>
      </c>
      <c r="H4" s="229"/>
      <c r="I4" s="202" t="s">
        <v>81</v>
      </c>
      <c r="J4" s="201">
        <v>83</v>
      </c>
      <c r="K4" s="184" t="s">
        <v>118</v>
      </c>
      <c r="L4" s="185" t="s">
        <v>77</v>
      </c>
      <c r="M4" s="229"/>
      <c r="N4" s="200">
        <v>14</v>
      </c>
      <c r="O4" s="229"/>
      <c r="P4" s="186" t="s">
        <v>36</v>
      </c>
      <c r="Q4" s="200">
        <v>11</v>
      </c>
      <c r="R4" s="186" t="s">
        <v>108</v>
      </c>
      <c r="S4" s="200">
        <v>4</v>
      </c>
      <c r="T4" s="229"/>
      <c r="U4" s="208" t="s">
        <v>72</v>
      </c>
      <c r="V4" s="187" t="s">
        <v>73</v>
      </c>
      <c r="W4" s="229"/>
      <c r="X4" s="372" t="s">
        <v>61</v>
      </c>
      <c r="Y4" s="372"/>
      <c r="Z4" s="189"/>
      <c r="AA4" s="189"/>
      <c r="AB4"/>
    </row>
    <row r="5" spans="2:37" s="46" customFormat="1" ht="16" customHeight="1" thickTop="1">
      <c r="B5" s="45"/>
      <c r="C5" s="45"/>
      <c r="D5" s="45"/>
      <c r="E5" s="45"/>
      <c r="F5" s="233"/>
      <c r="G5" s="6"/>
      <c r="H5" s="233"/>
      <c r="I5" s="6"/>
      <c r="J5" s="6"/>
      <c r="K5" s="44"/>
      <c r="L5" s="44"/>
      <c r="M5" s="233"/>
      <c r="O5" s="233"/>
      <c r="T5" s="6"/>
      <c r="W5" s="6"/>
      <c r="Z5"/>
      <c r="AB5"/>
      <c r="AF5" s="371" t="str">
        <f>D4</f>
        <v>NAME</v>
      </c>
      <c r="AG5" s="371"/>
      <c r="AH5" s="55"/>
      <c r="AI5" s="371" t="s">
        <v>20</v>
      </c>
      <c r="AJ5" s="371"/>
      <c r="AK5" s="371"/>
    </row>
    <row r="6" spans="2:37" s="7" customFormat="1" ht="16" customHeight="1">
      <c r="B6" s="373" t="s">
        <v>121</v>
      </c>
      <c r="C6" s="373"/>
      <c r="D6" s="338" t="s">
        <v>9</v>
      </c>
      <c r="E6" s="176"/>
      <c r="F6" s="234"/>
      <c r="G6" s="42"/>
      <c r="H6" s="234"/>
      <c r="I6" s="177" t="s">
        <v>10</v>
      </c>
      <c r="J6" s="178"/>
      <c r="K6" s="179"/>
      <c r="L6" s="180"/>
      <c r="M6" s="234"/>
      <c r="N6" s="3"/>
      <c r="O6" s="234"/>
      <c r="P6" s="177" t="s">
        <v>38</v>
      </c>
      <c r="Q6" s="178"/>
      <c r="R6" s="178"/>
      <c r="S6" s="178"/>
      <c r="T6" s="178"/>
      <c r="U6" s="178"/>
      <c r="V6" s="178"/>
      <c r="W6" s="178"/>
      <c r="X6" s="181"/>
      <c r="Y6" s="175"/>
      <c r="Z6" s="175"/>
      <c r="AA6" s="175"/>
      <c r="AB6"/>
      <c r="AF6" s="56" t="s">
        <v>21</v>
      </c>
      <c r="AG6" s="56" t="str">
        <f>E4</f>
        <v>male</v>
      </c>
      <c r="AH6" s="55"/>
      <c r="AI6" s="56" t="s">
        <v>22</v>
      </c>
      <c r="AJ6" s="56" t="s">
        <v>19</v>
      </c>
      <c r="AK6" s="56" t="s">
        <v>23</v>
      </c>
    </row>
    <row r="7" spans="2:37" ht="16" customHeight="1">
      <c r="B7" s="23"/>
      <c r="C7" s="23" t="s">
        <v>15</v>
      </c>
      <c r="D7" s="24" t="s">
        <v>16</v>
      </c>
      <c r="E7" s="21"/>
      <c r="F7" s="233"/>
      <c r="G7" s="28"/>
      <c r="H7" s="233"/>
      <c r="I7" s="155" t="s">
        <v>62</v>
      </c>
      <c r="J7" s="156"/>
      <c r="K7" s="156"/>
      <c r="L7" s="156"/>
      <c r="M7" s="233"/>
      <c r="N7" s="157"/>
      <c r="O7" s="233"/>
      <c r="P7" s="155" t="s">
        <v>63</v>
      </c>
      <c r="Q7" s="148"/>
      <c r="R7" s="148"/>
      <c r="S7" s="148"/>
      <c r="T7" s="6"/>
      <c r="U7" s="147"/>
      <c r="V7" s="147"/>
      <c r="W7" s="6"/>
      <c r="X7" s="22"/>
      <c r="AF7" s="56" t="s">
        <v>24</v>
      </c>
      <c r="AG7" s="57">
        <f>HLOOKUP($AG$6,$AI$6:$AK$12,$AI7,FALSE)</f>
        <v>-216.04751440000001</v>
      </c>
      <c r="AH7" s="55"/>
      <c r="AI7" s="56">
        <v>2</v>
      </c>
      <c r="AJ7" s="57">
        <v>-216.04751440000001</v>
      </c>
      <c r="AK7" s="57">
        <v>594.31747775582005</v>
      </c>
    </row>
    <row r="8" spans="2:37" ht="16" customHeight="1">
      <c r="B8" s="25" t="s">
        <v>0</v>
      </c>
      <c r="C8" s="333">
        <f>D8*2.20462</f>
        <v>440.92399999999998</v>
      </c>
      <c r="D8" s="105">
        <v>200</v>
      </c>
      <c r="E8" s="21"/>
      <c r="F8" s="235"/>
      <c r="G8" s="43"/>
      <c r="H8" s="235"/>
      <c r="I8" s="155" t="s">
        <v>64</v>
      </c>
      <c r="J8" s="156"/>
      <c r="K8" s="156"/>
      <c r="L8" s="156"/>
      <c r="M8" s="235"/>
      <c r="N8" s="157"/>
      <c r="O8" s="235"/>
      <c r="P8" s="155" t="s">
        <v>65</v>
      </c>
      <c r="Q8" s="148"/>
      <c r="R8" s="148"/>
      <c r="S8" s="148"/>
      <c r="T8" s="206"/>
      <c r="U8" s="147"/>
      <c r="V8" s="147"/>
      <c r="W8" s="206"/>
      <c r="X8" s="33"/>
      <c r="AF8" s="56" t="s">
        <v>25</v>
      </c>
      <c r="AG8" s="57">
        <f t="shared" ref="AG8:AG12" si="0">HLOOKUP($AG$6,$AI$6:$AK$12,$AI8,FALSE)</f>
        <v>16.260633899999998</v>
      </c>
      <c r="AH8" s="55"/>
      <c r="AI8" s="56">
        <v>3</v>
      </c>
      <c r="AJ8" s="57">
        <v>16.260633899999998</v>
      </c>
      <c r="AK8" s="57">
        <v>-27.23842536447</v>
      </c>
    </row>
    <row r="9" spans="2:37" ht="15" customHeight="1">
      <c r="B9" s="23" t="s">
        <v>1</v>
      </c>
      <c r="C9" s="334">
        <f t="shared" ref="C9:C10" si="1">D9*2.20462</f>
        <v>308.64679999999998</v>
      </c>
      <c r="D9" s="106">
        <v>140</v>
      </c>
      <c r="E9" s="21"/>
      <c r="F9" s="236"/>
      <c r="G9" s="29"/>
      <c r="H9" s="236"/>
      <c r="I9" s="158" t="s">
        <v>66</v>
      </c>
      <c r="J9" s="156"/>
      <c r="K9" s="156"/>
      <c r="L9" s="156"/>
      <c r="M9" s="236"/>
      <c r="N9" s="157"/>
      <c r="O9" s="236"/>
      <c r="P9" s="158" t="s">
        <v>67</v>
      </c>
      <c r="Q9" s="148"/>
      <c r="R9" s="148"/>
      <c r="S9" s="148"/>
      <c r="T9" s="23"/>
      <c r="U9" s="147"/>
      <c r="V9" s="147"/>
      <c r="W9" s="23"/>
      <c r="X9" s="22"/>
      <c r="AF9" s="56" t="s">
        <v>26</v>
      </c>
      <c r="AG9" s="57">
        <f t="shared" si="0"/>
        <v>-2.388645E-3</v>
      </c>
      <c r="AH9" s="55"/>
      <c r="AI9" s="56">
        <v>4</v>
      </c>
      <c r="AJ9" s="58">
        <v>-2.388645E-3</v>
      </c>
      <c r="AK9" s="58">
        <v>0.82112226871000005</v>
      </c>
    </row>
    <row r="10" spans="2:37" ht="14" customHeight="1">
      <c r="B10" s="25" t="s">
        <v>2</v>
      </c>
      <c r="C10" s="333">
        <f t="shared" si="1"/>
        <v>628.31669999999997</v>
      </c>
      <c r="D10" s="105">
        <v>285</v>
      </c>
      <c r="E10" s="21"/>
      <c r="F10" s="236"/>
      <c r="G10" s="282"/>
      <c r="H10" s="236"/>
      <c r="I10" s="158" t="s">
        <v>11</v>
      </c>
      <c r="J10" s="156"/>
      <c r="K10" s="156"/>
      <c r="L10" s="156"/>
      <c r="M10" s="236"/>
      <c r="N10" s="157"/>
      <c r="O10" s="236"/>
      <c r="P10" s="158" t="s">
        <v>68</v>
      </c>
      <c r="Q10" s="148"/>
      <c r="R10" s="148"/>
      <c r="S10" s="148"/>
      <c r="T10" s="23"/>
      <c r="U10" s="149"/>
      <c r="V10" s="149"/>
      <c r="W10" s="23"/>
      <c r="X10" s="32"/>
      <c r="AF10" s="56" t="s">
        <v>27</v>
      </c>
      <c r="AG10" s="57">
        <f t="shared" si="0"/>
        <v>-1.13732E-3</v>
      </c>
      <c r="AH10" s="55"/>
      <c r="AI10" s="56">
        <v>5</v>
      </c>
      <c r="AJ10" s="58">
        <v>-1.13732E-3</v>
      </c>
      <c r="AK10" s="58">
        <v>-9.3073391299999999E-3</v>
      </c>
    </row>
    <row r="11" spans="2:37" ht="17" customHeight="1">
      <c r="B11" s="19"/>
      <c r="D11" s="71"/>
      <c r="E11" s="26"/>
      <c r="F11" s="237"/>
      <c r="G11" s="283"/>
      <c r="H11" s="237"/>
      <c r="I11" s="158" t="s">
        <v>12</v>
      </c>
      <c r="J11" s="159"/>
      <c r="K11" s="160"/>
      <c r="L11" s="155"/>
      <c r="M11" s="237"/>
      <c r="N11" s="157"/>
      <c r="O11" s="237"/>
      <c r="P11" s="158" t="s">
        <v>69</v>
      </c>
      <c r="Q11" s="150"/>
      <c r="R11" s="151"/>
      <c r="S11" s="152"/>
      <c r="T11" s="207"/>
      <c r="U11" s="149"/>
      <c r="V11" s="149"/>
      <c r="W11" s="207"/>
      <c r="X11" s="3"/>
      <c r="AF11" s="56" t="s">
        <v>28</v>
      </c>
      <c r="AG11" s="57">
        <f t="shared" si="0"/>
        <v>7.0186299999999996E-6</v>
      </c>
      <c r="AH11" s="55"/>
      <c r="AI11" s="56">
        <v>6</v>
      </c>
      <c r="AJ11" s="58">
        <v>7.0186299999999996E-6</v>
      </c>
      <c r="AK11" s="58">
        <v>4.731582E-5</v>
      </c>
    </row>
    <row r="12" spans="2:37">
      <c r="B12" s="19"/>
      <c r="C12" s="19"/>
      <c r="D12" s="9"/>
      <c r="E12" s="9"/>
      <c r="F12" s="238"/>
      <c r="G12" s="238"/>
      <c r="H12" s="238"/>
      <c r="I12" s="376" t="s">
        <v>13</v>
      </c>
      <c r="J12" s="376"/>
      <c r="K12" s="376"/>
      <c r="L12" s="376"/>
      <c r="M12" s="238"/>
      <c r="N12" s="157"/>
      <c r="O12" s="238"/>
      <c r="P12" s="153" t="s">
        <v>37</v>
      </c>
      <c r="Q12" s="154"/>
      <c r="R12" s="154"/>
      <c r="S12" s="154"/>
      <c r="T12" s="30"/>
      <c r="U12" s="154"/>
      <c r="V12" s="154"/>
      <c r="W12" s="30"/>
      <c r="AF12" s="56" t="s">
        <v>32</v>
      </c>
      <c r="AG12" s="57">
        <f t="shared" si="0"/>
        <v>-1.2909999999999999E-8</v>
      </c>
      <c r="AH12" s="55"/>
      <c r="AI12" s="56">
        <v>7</v>
      </c>
      <c r="AJ12" s="58">
        <v>-1.2909999999999999E-8</v>
      </c>
      <c r="AK12" s="58">
        <v>-9.0540000000000002E-8</v>
      </c>
    </row>
    <row r="13" spans="2:37" ht="16" customHeight="1">
      <c r="B13" s="174" t="s">
        <v>3</v>
      </c>
      <c r="C13" s="175"/>
      <c r="D13" s="175"/>
      <c r="E13" s="175"/>
      <c r="F13" s="239"/>
      <c r="G13" s="239"/>
      <c r="H13" s="239"/>
      <c r="I13" s="376"/>
      <c r="J13" s="376"/>
      <c r="K13" s="376"/>
      <c r="L13" s="376"/>
      <c r="M13" s="239"/>
      <c r="N13" s="239"/>
      <c r="O13" s="239"/>
      <c r="T13" s="239"/>
      <c r="U13" s="239"/>
      <c r="V13" s="239"/>
      <c r="W13" s="239"/>
      <c r="AF13" s="54"/>
      <c r="AG13" s="54"/>
      <c r="AH13" s="60"/>
      <c r="AI13" s="60"/>
      <c r="AJ13" s="60"/>
      <c r="AK13" s="60"/>
    </row>
    <row r="14" spans="2:37" ht="25" customHeight="1">
      <c r="B14" s="312" t="s">
        <v>0</v>
      </c>
      <c r="C14" s="313"/>
      <c r="D14" s="313"/>
      <c r="E14" s="314"/>
      <c r="F14" s="315"/>
      <c r="G14" s="315"/>
      <c r="H14" s="315"/>
      <c r="I14" s="312" t="s">
        <v>1</v>
      </c>
      <c r="J14" s="313"/>
      <c r="K14" s="313"/>
      <c r="L14" s="314"/>
      <c r="M14" s="315"/>
      <c r="N14" s="315"/>
      <c r="O14" s="315"/>
      <c r="P14" s="312" t="s">
        <v>2</v>
      </c>
      <c r="Q14" s="65"/>
      <c r="R14" s="65"/>
      <c r="S14" s="66"/>
      <c r="T14" s="240"/>
      <c r="U14" s="240"/>
      <c r="V14" s="240"/>
      <c r="W14" s="240"/>
      <c r="X14" s="64" t="s">
        <v>18</v>
      </c>
      <c r="Y14" s="67"/>
      <c r="Z14" s="68"/>
      <c r="AA14" s="69" t="s">
        <v>29</v>
      </c>
      <c r="AF14" s="56" t="s">
        <v>33</v>
      </c>
      <c r="AG14" s="61">
        <f>IF(K4="lbs",1/2.20462,1)</f>
        <v>1</v>
      </c>
      <c r="AH14" s="60"/>
      <c r="AI14" s="60"/>
      <c r="AJ14" s="60"/>
      <c r="AK14" s="60"/>
    </row>
    <row r="15" spans="2:37" ht="16" customHeight="1">
      <c r="B15" s="171" t="s">
        <v>7</v>
      </c>
      <c r="C15" s="172" t="s">
        <v>16</v>
      </c>
      <c r="D15" s="172" t="s">
        <v>15</v>
      </c>
      <c r="E15" s="173" t="s">
        <v>17</v>
      </c>
      <c r="F15" s="205"/>
      <c r="G15" s="284"/>
      <c r="H15" s="205"/>
      <c r="I15" s="171" t="s">
        <v>7</v>
      </c>
      <c r="J15" s="172" t="s">
        <v>16</v>
      </c>
      <c r="K15" s="172" t="s">
        <v>15</v>
      </c>
      <c r="L15" s="173" t="s">
        <v>17</v>
      </c>
      <c r="M15" s="205"/>
      <c r="N15" s="284"/>
      <c r="O15" s="205"/>
      <c r="P15" s="171" t="s">
        <v>7</v>
      </c>
      <c r="Q15" s="172" t="s">
        <v>16</v>
      </c>
      <c r="R15" s="172" t="s">
        <v>15</v>
      </c>
      <c r="S15" s="173" t="s">
        <v>17</v>
      </c>
      <c r="T15" s="205"/>
      <c r="U15" s="284"/>
      <c r="V15" s="284"/>
      <c r="W15" s="205"/>
      <c r="X15" s="171" t="s">
        <v>16</v>
      </c>
      <c r="Y15" s="172" t="s">
        <v>15</v>
      </c>
      <c r="AA15" s="171" t="s">
        <v>31</v>
      </c>
      <c r="AC15" s="62" t="s">
        <v>35</v>
      </c>
      <c r="AD15" s="62" t="s">
        <v>30</v>
      </c>
      <c r="AE15" s="63" t="s">
        <v>34</v>
      </c>
    </row>
    <row r="16" spans="2:37" ht="5" customHeight="1">
      <c r="F16" s="241"/>
      <c r="G16" s="285"/>
      <c r="H16" s="241"/>
      <c r="M16" s="241"/>
      <c r="N16" s="285"/>
      <c r="O16" s="241"/>
      <c r="P16"/>
      <c r="Q16"/>
      <c r="R16"/>
      <c r="S16"/>
      <c r="T16" s="241"/>
      <c r="U16" s="285"/>
      <c r="V16" s="285"/>
      <c r="W16" s="241"/>
      <c r="X16"/>
      <c r="Y16"/>
      <c r="AA16"/>
      <c r="AC16"/>
      <c r="AD16"/>
    </row>
    <row r="17" spans="2:31" s="210" customFormat="1" ht="12" customHeight="1">
      <c r="B17" s="193" t="s">
        <v>70</v>
      </c>
      <c r="C17" s="165">
        <f>FLOOR($D$8*E17,2.5)</f>
        <v>177.5</v>
      </c>
      <c r="D17" s="166">
        <f>ROUND(C17*2.20462,0)</f>
        <v>391</v>
      </c>
      <c r="E17" s="167">
        <v>0.89</v>
      </c>
      <c r="F17" s="242"/>
      <c r="G17" s="285"/>
      <c r="H17" s="242"/>
      <c r="I17" s="193" t="s">
        <v>70</v>
      </c>
      <c r="J17" s="165">
        <f>FLOOR($D$9*L17,2.5)</f>
        <v>122.5</v>
      </c>
      <c r="K17" s="166">
        <f>ROUND(J17*2.20462,0)</f>
        <v>270</v>
      </c>
      <c r="L17" s="167">
        <v>0.89</v>
      </c>
      <c r="M17" s="242"/>
      <c r="N17" s="285"/>
      <c r="O17" s="242"/>
      <c r="P17" s="193" t="s">
        <v>70</v>
      </c>
      <c r="Q17" s="165">
        <f>FLOOR($D$10*S17,2.5)</f>
        <v>252.5</v>
      </c>
      <c r="R17" s="166">
        <f>ROUND(Q17*2.20462,0)</f>
        <v>557</v>
      </c>
      <c r="S17" s="167">
        <v>0.89</v>
      </c>
      <c r="T17" s="242"/>
      <c r="U17" s="285"/>
      <c r="V17" s="285"/>
      <c r="W17" s="242"/>
      <c r="X17" s="267">
        <f t="shared" ref="X17:Y19" si="2">C17+J17+Q17</f>
        <v>552.5</v>
      </c>
      <c r="Y17" s="268">
        <f t="shared" si="2"/>
        <v>1218</v>
      </c>
      <c r="AA17" s="269">
        <f>IF($J$4&lt;&gt;"",AC17*AD17,"")</f>
        <v>368.79343319835567</v>
      </c>
      <c r="AB17"/>
      <c r="AC17" s="211">
        <f>IF($J$4="","",500/($AG$7+$AG$8*AE17+$AG$9*AE17^2+$AG$10*AE17^3+$AG$11*AE17^4+$AG$12*AE17^5))</f>
        <v>0.6674994266033587</v>
      </c>
      <c r="AD17" s="212">
        <f>IF($K$4="lbs",SUM(D17,K17,R17)*$AG$14,SUM(C17,J17,Q17)*$AG$14)</f>
        <v>552.5</v>
      </c>
      <c r="AE17" s="210">
        <f>IF($J$4="","",$J$4*$AG$14)</f>
        <v>83</v>
      </c>
    </row>
    <row r="18" spans="2:31" s="210" customFormat="1" ht="18" customHeight="1">
      <c r="B18" s="161" t="s">
        <v>4</v>
      </c>
      <c r="C18" s="162">
        <f>FLOOR($D$8*E18,2.5)</f>
        <v>180</v>
      </c>
      <c r="D18" s="163">
        <f>ROUND(C18*2.20462,0)</f>
        <v>397</v>
      </c>
      <c r="E18" s="164">
        <v>0.91</v>
      </c>
      <c r="F18" s="242"/>
      <c r="G18" s="285"/>
      <c r="H18" s="242"/>
      <c r="I18" s="161" t="s">
        <v>4</v>
      </c>
      <c r="J18" s="162">
        <f>FLOOR($D$9*L18,2.5)</f>
        <v>125</v>
      </c>
      <c r="K18" s="163">
        <f>ROUND(J18*2.20462,0)</f>
        <v>276</v>
      </c>
      <c r="L18" s="164">
        <v>0.91</v>
      </c>
      <c r="M18" s="242"/>
      <c r="N18" s="285"/>
      <c r="O18" s="242"/>
      <c r="P18" s="161" t="s">
        <v>4</v>
      </c>
      <c r="Q18" s="162">
        <f>FLOOR($D$10*S18,2.5)</f>
        <v>257.5</v>
      </c>
      <c r="R18" s="163">
        <f>ROUND(Q18*2.20462,0)</f>
        <v>568</v>
      </c>
      <c r="S18" s="164">
        <v>0.91</v>
      </c>
      <c r="T18" s="242"/>
      <c r="U18" s="285"/>
      <c r="V18" s="285"/>
      <c r="W18" s="242"/>
      <c r="X18" s="262">
        <f t="shared" si="2"/>
        <v>562.5</v>
      </c>
      <c r="Y18" s="263">
        <f t="shared" si="2"/>
        <v>1241</v>
      </c>
      <c r="AA18" s="264">
        <f>IF($J$4&lt;&gt;"",AC18*AD18,"")</f>
        <v>375.46842746438926</v>
      </c>
      <c r="AB18"/>
      <c r="AC18" s="211">
        <f>IF($J$4="","",500/($AG$7+$AG$8*AE18+$AG$9*AE18^2+$AG$10*AE18^3+$AG$11*AE18^4+$AG$12*AE18^5))</f>
        <v>0.6674994266033587</v>
      </c>
      <c r="AD18" s="212">
        <f>IF($K$4="lbs",SUM(D18,K18,R18)*$AG$14,SUM(C18,J18,Q18)*$AG$14)</f>
        <v>562.5</v>
      </c>
      <c r="AE18" s="210">
        <f>IF($J$4="","",$J$4*$AG$14)</f>
        <v>83</v>
      </c>
    </row>
    <row r="19" spans="2:31" s="210" customFormat="1" ht="12" customHeight="1">
      <c r="B19" s="194" t="s">
        <v>71</v>
      </c>
      <c r="C19" s="168">
        <f t="shared" ref="C19:C27" si="3">FLOOR($D$8*E19,2.5)</f>
        <v>182.5</v>
      </c>
      <c r="D19" s="169">
        <f t="shared" ref="D19:D27" si="4">ROUND(C19*2.20462,0)</f>
        <v>402</v>
      </c>
      <c r="E19" s="170">
        <v>0.92</v>
      </c>
      <c r="F19" s="242"/>
      <c r="G19" s="285"/>
      <c r="H19" s="242"/>
      <c r="I19" s="194" t="s">
        <v>71</v>
      </c>
      <c r="J19" s="168">
        <f t="shared" ref="J19:J27" si="5">FLOOR($D$9*L19,2.5)</f>
        <v>127.5</v>
      </c>
      <c r="K19" s="169">
        <f t="shared" ref="K19" si="6">ROUND(J19*2.20462,0)</f>
        <v>281</v>
      </c>
      <c r="L19" s="170">
        <v>0.92</v>
      </c>
      <c r="M19" s="242"/>
      <c r="N19" s="285"/>
      <c r="O19" s="242"/>
      <c r="P19" s="194" t="s">
        <v>71</v>
      </c>
      <c r="Q19" s="168">
        <f t="shared" ref="Q19:Q27" si="7">FLOOR($D$10*S19,2.5)</f>
        <v>260</v>
      </c>
      <c r="R19" s="169">
        <f t="shared" ref="R19" si="8">ROUND(Q19*2.20462,0)</f>
        <v>573</v>
      </c>
      <c r="S19" s="170">
        <v>0.92</v>
      </c>
      <c r="T19" s="242"/>
      <c r="U19" s="285"/>
      <c r="V19" s="285"/>
      <c r="W19" s="242"/>
      <c r="X19" s="261">
        <f t="shared" si="2"/>
        <v>570</v>
      </c>
      <c r="Y19" s="265">
        <f t="shared" si="2"/>
        <v>1256</v>
      </c>
      <c r="AA19" s="266">
        <f>IF($J$4&lt;&gt;"",AC19*AD19,"")</f>
        <v>380.47467316391447</v>
      </c>
      <c r="AB19"/>
      <c r="AC19" s="211">
        <f>IF($J$4="","",500/($AG$7+$AG$8*AE19+$AG$9*AE19^2+$AG$10*AE19^3+$AG$11*AE19^4+$AG$12*AE19^5))</f>
        <v>0.6674994266033587</v>
      </c>
      <c r="AD19" s="212">
        <f>IF($K$4="lbs",SUM(D19,K19,R19)*$AG$14,SUM(C19,J19,Q19)*$AG$14)</f>
        <v>570</v>
      </c>
      <c r="AE19" s="210">
        <f>IF($J$4="","",$J$4*$AG$14)</f>
        <v>83</v>
      </c>
    </row>
    <row r="20" spans="2:31" s="210" customFormat="1" ht="35" customHeight="1">
      <c r="B20" s="255" t="s">
        <v>82</v>
      </c>
      <c r="C20" s="328" t="str">
        <f>C22-C18&amp;" kgs"</f>
        <v>10 kgs</v>
      </c>
      <c r="D20" s="329" t="str">
        <f>D22-D18&amp;" lbs."</f>
        <v>22 lbs.</v>
      </c>
      <c r="E20" s="256">
        <f>E22-E18</f>
        <v>4.9999999999999933E-2</v>
      </c>
      <c r="F20" s="243"/>
      <c r="G20" s="286"/>
      <c r="H20" s="243"/>
      <c r="I20" s="255" t="s">
        <v>82</v>
      </c>
      <c r="J20" s="328" t="str">
        <f>J22-J18&amp;" kgs"</f>
        <v>7.5 kgs</v>
      </c>
      <c r="K20" s="329" t="str">
        <f>K22-K18&amp;" lbs."</f>
        <v>16 lbs.</v>
      </c>
      <c r="L20" s="256">
        <f>L22-L18</f>
        <v>4.9999999999999933E-2</v>
      </c>
      <c r="M20" s="243"/>
      <c r="N20" s="286"/>
      <c r="O20" s="243"/>
      <c r="P20" s="255" t="s">
        <v>82</v>
      </c>
      <c r="Q20" s="328" t="str">
        <f>Q22-Q18&amp;" kgs"</f>
        <v>15 kgs</v>
      </c>
      <c r="R20" s="329" t="str">
        <f>R22-R18&amp;" lbs."</f>
        <v>33 lbs.</v>
      </c>
      <c r="S20" s="256">
        <f>S22-S18</f>
        <v>4.9999999999999933E-2</v>
      </c>
      <c r="T20" s="243"/>
      <c r="U20" s="286"/>
      <c r="V20" s="286"/>
      <c r="W20" s="243"/>
      <c r="X20" s="50"/>
      <c r="Y20" s="70"/>
      <c r="AA20" s="51"/>
      <c r="AB20"/>
      <c r="AC20" s="211"/>
      <c r="AD20" s="212"/>
    </row>
    <row r="21" spans="2:31" s="210" customFormat="1" ht="12" customHeight="1">
      <c r="B21" s="193" t="s">
        <v>70</v>
      </c>
      <c r="C21" s="165">
        <f t="shared" ref="C21" si="9">FLOOR($D$8*E21,2.5)</f>
        <v>187.5</v>
      </c>
      <c r="D21" s="166">
        <f t="shared" ref="D21" si="10">ROUND(C21*2.20462,0)</f>
        <v>413</v>
      </c>
      <c r="E21" s="167">
        <v>0.94</v>
      </c>
      <c r="F21" s="244"/>
      <c r="G21" s="287"/>
      <c r="H21" s="244"/>
      <c r="I21" s="193" t="s">
        <v>70</v>
      </c>
      <c r="J21" s="165">
        <f t="shared" ref="J21" si="11">FLOOR($D$9*L21,2.5)</f>
        <v>130</v>
      </c>
      <c r="K21" s="166">
        <f t="shared" ref="K21" si="12">ROUND(J21*2.20462,0)</f>
        <v>287</v>
      </c>
      <c r="L21" s="167">
        <v>0.94</v>
      </c>
      <c r="M21" s="244"/>
      <c r="N21" s="287"/>
      <c r="O21" s="244"/>
      <c r="P21" s="193" t="s">
        <v>70</v>
      </c>
      <c r="Q21" s="165">
        <f t="shared" ref="Q21" si="13">FLOOR($D$10*S21,2.5)</f>
        <v>267.5</v>
      </c>
      <c r="R21" s="166">
        <f t="shared" ref="R21" si="14">ROUND(Q21*2.20462,0)</f>
        <v>590</v>
      </c>
      <c r="S21" s="167">
        <v>0.94</v>
      </c>
      <c r="T21" s="244"/>
      <c r="U21" s="287"/>
      <c r="V21" s="287"/>
      <c r="W21" s="244"/>
      <c r="X21" s="267">
        <f t="shared" ref="X21:Y23" si="15">C21+J21+Q21</f>
        <v>585</v>
      </c>
      <c r="Y21" s="268">
        <f t="shared" si="15"/>
        <v>1290</v>
      </c>
      <c r="AA21" s="269">
        <f>IF($J$4&lt;&gt;"",AC21*AD21,"")</f>
        <v>390.48716456296484</v>
      </c>
      <c r="AB21"/>
      <c r="AC21" s="211">
        <f>IF($J$4="","",500/($AG$7+$AG$8*AE21+$AG$9*AE21^2+$AG$10*AE21^3+$AG$11*AE21^4+$AG$12*AE21^5))</f>
        <v>0.6674994266033587</v>
      </c>
      <c r="AD21" s="212">
        <f>IF($K$4="lbs",SUM(D21,K21,R21)*$AG$14,SUM(C21,J21,Q21)*$AG$14)</f>
        <v>585</v>
      </c>
      <c r="AE21" s="210">
        <f>IF($J$4="","",$J$4*$AG$14)</f>
        <v>83</v>
      </c>
    </row>
    <row r="22" spans="2:31" s="210" customFormat="1" ht="18" customHeight="1">
      <c r="B22" s="161" t="s">
        <v>5</v>
      </c>
      <c r="C22" s="162">
        <f t="shared" si="3"/>
        <v>190</v>
      </c>
      <c r="D22" s="163">
        <f t="shared" si="4"/>
        <v>419</v>
      </c>
      <c r="E22" s="164">
        <v>0.96</v>
      </c>
      <c r="F22" s="245"/>
      <c r="G22" s="287"/>
      <c r="H22" s="245"/>
      <c r="I22" s="161" t="s">
        <v>5</v>
      </c>
      <c r="J22" s="162">
        <f t="shared" si="5"/>
        <v>132.5</v>
      </c>
      <c r="K22" s="163">
        <f t="shared" ref="K22:K23" si="16">ROUND(J22*2.20462,0)</f>
        <v>292</v>
      </c>
      <c r="L22" s="164">
        <v>0.96</v>
      </c>
      <c r="M22" s="245"/>
      <c r="N22" s="287"/>
      <c r="O22" s="245"/>
      <c r="P22" s="161" t="s">
        <v>5</v>
      </c>
      <c r="Q22" s="162">
        <f t="shared" si="7"/>
        <v>272.5</v>
      </c>
      <c r="R22" s="163">
        <f t="shared" ref="R22:R23" si="17">ROUND(Q22*2.20462,0)</f>
        <v>601</v>
      </c>
      <c r="S22" s="164">
        <v>0.96</v>
      </c>
      <c r="T22" s="245"/>
      <c r="U22" s="287"/>
      <c r="V22" s="287"/>
      <c r="W22" s="245"/>
      <c r="X22" s="262">
        <f t="shared" si="15"/>
        <v>595</v>
      </c>
      <c r="Y22" s="263">
        <f t="shared" si="15"/>
        <v>1312</v>
      </c>
      <c r="AA22" s="264">
        <f>IF($J$4&lt;&gt;"",AC22*AD22,"")</f>
        <v>397.16215882899843</v>
      </c>
      <c r="AB22"/>
      <c r="AC22" s="211">
        <f>IF($J$4="","",500/($AG$7+$AG$8*AE22+$AG$9*AE22^2+$AG$10*AE22^3+$AG$11*AE22^4+$AG$12*AE22^5))</f>
        <v>0.6674994266033587</v>
      </c>
      <c r="AD22" s="212">
        <f>IF($K$4="lbs",SUM(D22,K22,R22)*$AG$14,SUM(C22,J22,Q22)*$AG$14)</f>
        <v>595</v>
      </c>
      <c r="AE22" s="210">
        <f>IF($J$4="","",$J$4*$AG$14)</f>
        <v>83</v>
      </c>
    </row>
    <row r="23" spans="2:31" s="210" customFormat="1" ht="12" customHeight="1">
      <c r="B23" s="194" t="s">
        <v>71</v>
      </c>
      <c r="C23" s="168">
        <f t="shared" si="3"/>
        <v>192.5</v>
      </c>
      <c r="D23" s="169">
        <f t="shared" si="4"/>
        <v>424</v>
      </c>
      <c r="E23" s="170">
        <v>0.97</v>
      </c>
      <c r="F23" s="245"/>
      <c r="G23" s="287"/>
      <c r="H23" s="245"/>
      <c r="I23" s="194" t="s">
        <v>71</v>
      </c>
      <c r="J23" s="168">
        <f t="shared" si="5"/>
        <v>135</v>
      </c>
      <c r="K23" s="169">
        <f t="shared" si="16"/>
        <v>298</v>
      </c>
      <c r="L23" s="170">
        <v>0.97</v>
      </c>
      <c r="M23" s="245"/>
      <c r="N23" s="287"/>
      <c r="O23" s="245"/>
      <c r="P23" s="194" t="s">
        <v>71</v>
      </c>
      <c r="Q23" s="168">
        <f t="shared" si="7"/>
        <v>275</v>
      </c>
      <c r="R23" s="169">
        <f t="shared" si="17"/>
        <v>606</v>
      </c>
      <c r="S23" s="170">
        <v>0.97</v>
      </c>
      <c r="T23" s="245"/>
      <c r="U23" s="287"/>
      <c r="V23" s="287"/>
      <c r="W23" s="245"/>
      <c r="X23" s="261">
        <f t="shared" si="15"/>
        <v>602.5</v>
      </c>
      <c r="Y23" s="265">
        <f t="shared" si="15"/>
        <v>1328</v>
      </c>
      <c r="AA23" s="266">
        <f>IF($J$4&lt;&gt;"",AC23*AD23,"")</f>
        <v>402.16840452852364</v>
      </c>
      <c r="AB23"/>
      <c r="AC23" s="211">
        <f>IF($J$4="","",500/($AG$7+$AG$8*AE23+$AG$9*AE23^2+$AG$10*AE23^3+$AG$11*AE23^4+$AG$12*AE23^5))</f>
        <v>0.6674994266033587</v>
      </c>
      <c r="AD23" s="212">
        <f>IF($K$4="lbs",SUM(D23,K23,R23)*$AG$14,SUM(C23,J23,Q23)*$AG$14)</f>
        <v>602.5</v>
      </c>
      <c r="AE23" s="210">
        <f>IF($J$4="","",$J$4*$AG$14)</f>
        <v>83</v>
      </c>
    </row>
    <row r="24" spans="2:31" s="210" customFormat="1" ht="35" customHeight="1">
      <c r="B24" s="255" t="s">
        <v>82</v>
      </c>
      <c r="C24" s="328" t="str">
        <f>C26-C22&amp;" kgs"</f>
        <v>10 kgs</v>
      </c>
      <c r="D24" s="329" t="str">
        <f>D26-D22&amp;" lbs."</f>
        <v>22 lbs.</v>
      </c>
      <c r="E24" s="256">
        <f>E26-E22</f>
        <v>4.0000000000000036E-2</v>
      </c>
      <c r="F24" s="246"/>
      <c r="G24" s="288"/>
      <c r="H24" s="246"/>
      <c r="I24" s="255" t="s">
        <v>82</v>
      </c>
      <c r="J24" s="328" t="str">
        <f>J26-J22&amp;" kgs"</f>
        <v>7.5 kgs</v>
      </c>
      <c r="K24" s="329" t="str">
        <f>K26-K22&amp;" lbs."</f>
        <v>17 lbs.</v>
      </c>
      <c r="L24" s="256">
        <f>L26-L22</f>
        <v>4.0000000000000036E-2</v>
      </c>
      <c r="M24" s="246"/>
      <c r="N24" s="288"/>
      <c r="O24" s="246"/>
      <c r="P24" s="255" t="s">
        <v>82</v>
      </c>
      <c r="Q24" s="328" t="str">
        <f>Q26-Q22&amp;" kgs"</f>
        <v>12.5 kgs</v>
      </c>
      <c r="R24" s="329" t="str">
        <f>R26-R22&amp;" lbs."</f>
        <v>27 lbs.</v>
      </c>
      <c r="S24" s="256">
        <f>S26-S22</f>
        <v>4.0000000000000036E-2</v>
      </c>
      <c r="T24" s="246"/>
      <c r="U24" s="288"/>
      <c r="V24" s="288"/>
      <c r="W24" s="246"/>
      <c r="X24" s="50"/>
      <c r="Y24" s="70"/>
      <c r="AA24" s="51"/>
      <c r="AB24"/>
      <c r="AC24" s="211"/>
      <c r="AD24" s="212"/>
    </row>
    <row r="25" spans="2:31" s="210" customFormat="1" ht="12" customHeight="1">
      <c r="B25" s="193" t="s">
        <v>75</v>
      </c>
      <c r="C25" s="165">
        <f t="shared" si="3"/>
        <v>195</v>
      </c>
      <c r="D25" s="166">
        <f t="shared" si="4"/>
        <v>430</v>
      </c>
      <c r="E25" s="167">
        <v>0.98</v>
      </c>
      <c r="F25" s="246"/>
      <c r="G25" s="246"/>
      <c r="H25" s="246"/>
      <c r="I25" s="193" t="s">
        <v>75</v>
      </c>
      <c r="J25" s="165">
        <f t="shared" si="5"/>
        <v>135</v>
      </c>
      <c r="K25" s="166">
        <f t="shared" ref="K25:K27" si="18">ROUND(J25*2.20462,0)</f>
        <v>298</v>
      </c>
      <c r="L25" s="167">
        <v>0.98</v>
      </c>
      <c r="M25" s="246"/>
      <c r="N25" s="246"/>
      <c r="O25" s="246"/>
      <c r="P25" s="193" t="s">
        <v>75</v>
      </c>
      <c r="Q25" s="165">
        <f t="shared" si="7"/>
        <v>277.5</v>
      </c>
      <c r="R25" s="166">
        <f t="shared" ref="R25:R27" si="19">ROUND(Q25*2.20462,0)</f>
        <v>612</v>
      </c>
      <c r="S25" s="167">
        <v>0.98</v>
      </c>
      <c r="T25" s="246"/>
      <c r="U25" s="246"/>
      <c r="V25" s="246"/>
      <c r="W25" s="246"/>
      <c r="X25" s="267">
        <f t="shared" ref="X25:Y27" si="20">C25+J25+Q25</f>
        <v>607.5</v>
      </c>
      <c r="Y25" s="268">
        <f t="shared" si="20"/>
        <v>1340</v>
      </c>
      <c r="AA25" s="269">
        <f>IF($J$4&lt;&gt;"",AC25*AD25,"")</f>
        <v>405.50590166154041</v>
      </c>
      <c r="AB25"/>
      <c r="AC25" s="211">
        <f>IF($J$4="","",500/($AG$7+$AG$8*AE25+$AG$9*AE25^2+$AG$10*AE25^3+$AG$11*AE25^4+$AG$12*AE25^5))</f>
        <v>0.6674994266033587</v>
      </c>
      <c r="AD25" s="212">
        <f>IF($K$4="lbs",SUM(D25,K25,R25)*$AG$14,SUM(C25,J25,Q25)*$AG$14)</f>
        <v>607.5</v>
      </c>
      <c r="AE25" s="210">
        <f>IF($J$4="","",$J$4*$AG$14)</f>
        <v>83</v>
      </c>
    </row>
    <row r="26" spans="2:31" s="210" customFormat="1" ht="18" customHeight="1">
      <c r="B26" s="161" t="s">
        <v>6</v>
      </c>
      <c r="C26" s="162">
        <f>FLOOR($D$8*E26,2.5)</f>
        <v>200</v>
      </c>
      <c r="D26" s="163">
        <f t="shared" si="4"/>
        <v>441</v>
      </c>
      <c r="E26" s="164">
        <v>1</v>
      </c>
      <c r="F26" s="246"/>
      <c r="G26" s="246"/>
      <c r="H26" s="246"/>
      <c r="I26" s="161" t="s">
        <v>6</v>
      </c>
      <c r="J26" s="162">
        <f t="shared" si="5"/>
        <v>140</v>
      </c>
      <c r="K26" s="163">
        <f t="shared" si="18"/>
        <v>309</v>
      </c>
      <c r="L26" s="164">
        <v>1</v>
      </c>
      <c r="M26" s="246"/>
      <c r="N26" s="246"/>
      <c r="O26" s="246"/>
      <c r="P26" s="161" t="s">
        <v>6</v>
      </c>
      <c r="Q26" s="162">
        <f t="shared" si="7"/>
        <v>285</v>
      </c>
      <c r="R26" s="163">
        <f t="shared" si="19"/>
        <v>628</v>
      </c>
      <c r="S26" s="164">
        <v>1</v>
      </c>
      <c r="T26" s="246"/>
      <c r="U26" s="246"/>
      <c r="V26" s="246"/>
      <c r="W26" s="246"/>
      <c r="X26" s="162">
        <f t="shared" si="20"/>
        <v>625</v>
      </c>
      <c r="Y26" s="163">
        <f t="shared" si="20"/>
        <v>1378</v>
      </c>
      <c r="Z26" s="270"/>
      <c r="AA26" s="271">
        <f>IF($J$4&lt;&gt;"",AC26*AD26,"")</f>
        <v>417.18714162709921</v>
      </c>
      <c r="AB26"/>
      <c r="AC26" s="211">
        <f>IF($J$4="","",500/($AG$7+$AG$8*AE26+$AG$9*AE26^2+$AG$10*AE26^3+$AG$11*AE26^4+$AG$12*AE26^5))</f>
        <v>0.6674994266033587</v>
      </c>
      <c r="AD26" s="212">
        <f>IF($K$4="lbs",SUM(D26,K26,R26)*$AG$14,SUM(C26,J26,Q26)*$AG$14)</f>
        <v>625</v>
      </c>
      <c r="AE26" s="210">
        <f>IF($J$4="","",$J$4*$AG$14)</f>
        <v>83</v>
      </c>
    </row>
    <row r="27" spans="2:31" s="210" customFormat="1" ht="12" customHeight="1">
      <c r="B27" s="194" t="s">
        <v>76</v>
      </c>
      <c r="C27" s="168">
        <f t="shared" si="3"/>
        <v>202.5</v>
      </c>
      <c r="D27" s="169">
        <f t="shared" si="4"/>
        <v>446</v>
      </c>
      <c r="E27" s="170">
        <v>1.02</v>
      </c>
      <c r="F27" s="246"/>
      <c r="G27" s="246"/>
      <c r="H27" s="246"/>
      <c r="I27" s="194" t="s">
        <v>76</v>
      </c>
      <c r="J27" s="168">
        <f t="shared" si="5"/>
        <v>142.5</v>
      </c>
      <c r="K27" s="169">
        <f t="shared" si="18"/>
        <v>314</v>
      </c>
      <c r="L27" s="170">
        <v>1.02</v>
      </c>
      <c r="M27" s="246"/>
      <c r="N27" s="246"/>
      <c r="O27" s="246"/>
      <c r="P27" s="194" t="s">
        <v>76</v>
      </c>
      <c r="Q27" s="168">
        <f t="shared" si="7"/>
        <v>290</v>
      </c>
      <c r="R27" s="169">
        <f t="shared" si="19"/>
        <v>639</v>
      </c>
      <c r="S27" s="170">
        <v>1.02</v>
      </c>
      <c r="T27" s="246"/>
      <c r="U27" s="246"/>
      <c r="V27" s="246"/>
      <c r="W27" s="246"/>
      <c r="X27" s="261">
        <f t="shared" si="20"/>
        <v>635</v>
      </c>
      <c r="Y27" s="265">
        <f t="shared" si="20"/>
        <v>1399</v>
      </c>
      <c r="AA27" s="266">
        <f>IF($J$4&lt;&gt;"",AC27*AD27,"")</f>
        <v>423.8621358931328</v>
      </c>
      <c r="AB27"/>
      <c r="AC27" s="211">
        <f>IF($J$4="","",500/($AG$7+$AG$8*AE27+$AG$9*AE27^2+$AG$10*AE27^3+$AG$11*AE27^4+$AG$12*AE27^5))</f>
        <v>0.6674994266033587</v>
      </c>
      <c r="AD27" s="212">
        <f>IF($K$4="lbs",SUM(D27,K27,R27)*$AG$14,SUM(C27,J27,Q27)*$AG$14)</f>
        <v>635</v>
      </c>
      <c r="AE27" s="210">
        <f>IF($J$4="","",$J$4*$AG$14)</f>
        <v>83</v>
      </c>
    </row>
    <row r="28" spans="2:31" ht="11" customHeight="1" thickBot="1">
      <c r="B28" s="52"/>
      <c r="C28" s="73"/>
      <c r="D28" s="70"/>
      <c r="E28" s="72"/>
      <c r="F28" s="246"/>
      <c r="G28" s="246"/>
      <c r="H28" s="246"/>
      <c r="I28" s="53"/>
      <c r="J28" s="50"/>
      <c r="K28" s="70"/>
      <c r="L28" s="72"/>
      <c r="M28" s="246"/>
      <c r="N28" s="246"/>
      <c r="O28" s="246"/>
      <c r="P28" s="53"/>
      <c r="Q28" s="50"/>
      <c r="R28" s="70"/>
      <c r="S28" s="72"/>
      <c r="T28" s="246"/>
      <c r="U28" s="246"/>
      <c r="V28" s="246"/>
      <c r="W28" s="246"/>
      <c r="X28" s="50"/>
      <c r="Y28" s="70"/>
      <c r="AA28" s="51"/>
      <c r="AD28" s="59"/>
    </row>
    <row r="29" spans="2:31" ht="9" customHeight="1" thickTop="1">
      <c r="B29" s="272"/>
      <c r="C29" s="273"/>
      <c r="D29" s="274"/>
      <c r="E29" s="275"/>
      <c r="F29" s="246"/>
      <c r="G29" s="246"/>
      <c r="H29" s="246"/>
      <c r="I29" s="276"/>
      <c r="J29" s="277"/>
      <c r="K29" s="274"/>
      <c r="L29" s="275"/>
      <c r="M29" s="246"/>
      <c r="N29" s="246"/>
      <c r="O29" s="246"/>
      <c r="P29" s="276"/>
      <c r="Q29" s="277"/>
      <c r="R29" s="274"/>
      <c r="S29" s="275"/>
      <c r="T29" s="246"/>
      <c r="U29" s="246"/>
      <c r="V29" s="246"/>
      <c r="W29" s="246"/>
      <c r="X29" s="277"/>
      <c r="Y29" s="274"/>
      <c r="Z29" s="279"/>
      <c r="AA29" s="278"/>
      <c r="AD29" s="59"/>
    </row>
    <row r="30" spans="2:31" ht="16" customHeight="1" outlineLevel="1">
      <c r="B30" s="257" t="s">
        <v>111</v>
      </c>
      <c r="C30" s="339" t="s">
        <v>112</v>
      </c>
      <c r="D30" s="340" t="s">
        <v>113</v>
      </c>
      <c r="E30" s="341" t="s">
        <v>114</v>
      </c>
      <c r="F30" s="246"/>
      <c r="G30" s="246"/>
      <c r="H30" s="246"/>
      <c r="I30" s="257" t="s">
        <v>111</v>
      </c>
      <c r="J30" s="342" t="str">
        <f>IF($C$30="AGE DIV","",$C$30)</f>
        <v/>
      </c>
      <c r="K30" s="342" t="str">
        <f>IF($D$30="WT DIV","",$D$30)</f>
        <v/>
      </c>
      <c r="L30" s="342" t="str">
        <f>IF($E$30="TYPE","",$E$30)</f>
        <v/>
      </c>
      <c r="M30" s="246"/>
      <c r="N30" s="246"/>
      <c r="O30" s="246"/>
      <c r="P30" s="257" t="s">
        <v>111</v>
      </c>
      <c r="Q30" s="342" t="str">
        <f>IF($C$30="AGE DIV","",$C$30)</f>
        <v/>
      </c>
      <c r="R30" s="342" t="str">
        <f>IF($D$30="WT DIV","",$D$30)</f>
        <v/>
      </c>
      <c r="S30" s="342" t="str">
        <f>IF($E$30="TYPE","",$E$30)</f>
        <v/>
      </c>
      <c r="T30" s="246"/>
      <c r="U30" s="246"/>
      <c r="V30" s="292"/>
      <c r="W30" s="246"/>
      <c r="X30" s="293"/>
      <c r="Y30" s="294"/>
      <c r="Z30" s="251"/>
      <c r="AA30" s="295"/>
      <c r="AC30" s="211"/>
      <c r="AD30" s="212"/>
      <c r="AE30" s="210"/>
    </row>
    <row r="31" spans="2:31" ht="12" customHeight="1" outlineLevel="1">
      <c r="B31" s="319" t="s">
        <v>115</v>
      </c>
      <c r="C31" s="323" t="s">
        <v>116</v>
      </c>
      <c r="D31" s="297" t="str">
        <f>IFERROR(FLOOR(C31*2.20462,1)&amp;" lbs","n/a")</f>
        <v>n/a</v>
      </c>
      <c r="E31" s="326"/>
      <c r="F31" s="246"/>
      <c r="G31" s="246"/>
      <c r="H31" s="246"/>
      <c r="I31" s="258" t="str">
        <f>IF($B$31="CHOOSE LEVEL","",$B$31)</f>
        <v/>
      </c>
      <c r="J31" s="323" t="s">
        <v>116</v>
      </c>
      <c r="K31" s="297" t="str">
        <f>IFERROR(FLOOR(J31*2.20462,1)&amp;" lbs","n/a")</f>
        <v>n/a</v>
      </c>
      <c r="L31" s="326"/>
      <c r="M31" s="246"/>
      <c r="N31" s="246"/>
      <c r="O31" s="246"/>
      <c r="P31" s="258" t="str">
        <f>IF($B$31="CHOOSE LEVEL","",$B$31)</f>
        <v/>
      </c>
      <c r="Q31" s="323" t="s">
        <v>116</v>
      </c>
      <c r="R31" s="297" t="str">
        <f>IFERROR(FLOOR(Q31*2.20462,1)&amp;" lbs","n/a")</f>
        <v>n/a</v>
      </c>
      <c r="S31" s="326"/>
      <c r="T31" s="246"/>
      <c r="U31" s="246"/>
      <c r="V31" s="292"/>
      <c r="W31" s="246"/>
      <c r="X31" s="323" t="s">
        <v>116</v>
      </c>
      <c r="Y31" s="297" t="str">
        <f>IFERROR(FLOOR(X31*2.20462,1)&amp;" lbs","n/a")</f>
        <v>n/a</v>
      </c>
      <c r="Z31" s="251"/>
      <c r="AA31" s="298">
        <f>IFERROR(IF($J$4&lt;&gt;"",AC31*AD31,""),"n/a")</f>
        <v>0</v>
      </c>
      <c r="AC31" s="211">
        <f>IF($J$4="","",500/($AG$7+$AG$8*AE31+$AG$9*AE31^2+$AG$10*AE31^3+$AG$11*AE31^4+$AG$12*AE31^5))</f>
        <v>0.6674994266033587</v>
      </c>
      <c r="AD31" s="212">
        <f>IF($K$4="lbs",SUM(VALUE(LEFT(D31,3)),VALUE(LEFT(K31,3)),VALUE(LEFT(R31,3)))*$AG$14,SUM(C31,J31,Q31)*$AG$14)</f>
        <v>0</v>
      </c>
      <c r="AE31" s="210">
        <f>IF($J$4="","",$J$4*$AG$14)</f>
        <v>83</v>
      </c>
    </row>
    <row r="32" spans="2:31" ht="12" customHeight="1" outlineLevel="1">
      <c r="B32" s="320" t="s">
        <v>115</v>
      </c>
      <c r="C32" s="324" t="s">
        <v>116</v>
      </c>
      <c r="D32" s="322" t="str">
        <f>IFERROR(FLOOR(C32*2.20462,1)&amp;" lbs","n/a")</f>
        <v>n/a</v>
      </c>
      <c r="E32" s="327"/>
      <c r="F32" s="247"/>
      <c r="G32" s="247"/>
      <c r="H32" s="247"/>
      <c r="I32" s="260" t="str">
        <f>IF($B$32="CHOOSE LEVEL","",$B$32)</f>
        <v/>
      </c>
      <c r="J32" s="324" t="s">
        <v>116</v>
      </c>
      <c r="K32" s="322" t="str">
        <f>IFERROR(FLOOR(J32*2.20462,1)&amp;" lbs","n/a")</f>
        <v>n/a</v>
      </c>
      <c r="L32" s="327"/>
      <c r="M32" s="247"/>
      <c r="N32" s="247"/>
      <c r="O32" s="247"/>
      <c r="P32" s="260" t="str">
        <f>IF($B$32="CHOOSE LEVEL","",$B$32)</f>
        <v/>
      </c>
      <c r="Q32" s="324" t="s">
        <v>116</v>
      </c>
      <c r="R32" s="322" t="str">
        <f>IFERROR(FLOOR(Q32*2.20462,1)&amp;" lbs","n/a")</f>
        <v>n/a</v>
      </c>
      <c r="S32" s="327"/>
      <c r="T32" s="247"/>
      <c r="U32" s="247"/>
      <c r="V32" s="292"/>
      <c r="W32" s="247"/>
      <c r="X32" s="324" t="s">
        <v>116</v>
      </c>
      <c r="Y32" s="325" t="str">
        <f>IFERROR(FLOOR(X32*2.20462,1)&amp;" lbs","n/a")</f>
        <v>n/a</v>
      </c>
      <c r="Z32" s="300"/>
      <c r="AA32" s="301">
        <f>IFERROR(IF($J$4&lt;&gt;"",AC32*AD32,""),"n/a")</f>
        <v>0</v>
      </c>
      <c r="AC32" s="211">
        <f>IF($J$4="","",500/($AG$7+$AG$8*AE32+$AG$9*AE32^2+$AG$10*AE32^3+$AG$11*AE32^4+$AG$12*AE32^5))</f>
        <v>0.6674994266033587</v>
      </c>
      <c r="AD32" s="212">
        <f>IF($K$4="lbs",SUM(VALUE(LEFT(D32,3)),VALUE(LEFT(K32,3)),VALUE(LEFT(R32,3)))*$AG$14,SUM(C32,J32,Q32)*$AG$14)</f>
        <v>0</v>
      </c>
      <c r="AE32" s="210">
        <f>IF($J$4="","",$J$4*$AG$14)</f>
        <v>83</v>
      </c>
    </row>
    <row r="33" spans="2:31" ht="9" customHeight="1" outlineLevel="1">
      <c r="B33" s="52"/>
      <c r="C33" s="73"/>
      <c r="D33" s="317"/>
      <c r="E33" s="337" t="s">
        <v>119</v>
      </c>
      <c r="F33" s="246"/>
      <c r="G33" s="246"/>
      <c r="H33" s="246"/>
      <c r="I33" s="53"/>
      <c r="J33" s="50"/>
      <c r="K33" s="317"/>
      <c r="L33" s="337" t="s">
        <v>119</v>
      </c>
      <c r="M33" s="246"/>
      <c r="N33" s="246"/>
      <c r="O33" s="246"/>
      <c r="P33" s="53"/>
      <c r="Q33" s="50"/>
      <c r="R33" s="317"/>
      <c r="S33" s="337" t="s">
        <v>119</v>
      </c>
      <c r="T33" s="246"/>
      <c r="U33" s="246"/>
      <c r="V33" s="246"/>
      <c r="W33" s="246"/>
      <c r="X33" s="50"/>
      <c r="Y33" s="317"/>
      <c r="Z33" s="279"/>
      <c r="AA33" s="318"/>
      <c r="AD33" s="59"/>
    </row>
    <row r="34" spans="2:31" ht="16" customHeight="1">
      <c r="B34" s="257" t="s">
        <v>83</v>
      </c>
      <c r="C34" s="321">
        <v>100</v>
      </c>
      <c r="D34" s="280">
        <f>C34*2.20462</f>
        <v>220.46199999999999</v>
      </c>
      <c r="E34" s="343"/>
      <c r="F34" s="246"/>
      <c r="G34" s="246"/>
      <c r="H34" s="246"/>
      <c r="I34" s="257" t="s">
        <v>83</v>
      </c>
      <c r="J34" s="321">
        <v>100</v>
      </c>
      <c r="K34" s="280">
        <f>J34*2.20462</f>
        <v>220.46199999999999</v>
      </c>
      <c r="L34" s="344"/>
      <c r="M34" s="246"/>
      <c r="N34" s="246"/>
      <c r="O34" s="246"/>
      <c r="P34" s="257" t="s">
        <v>83</v>
      </c>
      <c r="Q34" s="321">
        <v>100</v>
      </c>
      <c r="R34" s="280">
        <f>Q34*2.20462</f>
        <v>220.46199999999999</v>
      </c>
      <c r="S34" s="344"/>
      <c r="T34" s="246"/>
      <c r="U34" s="246"/>
      <c r="V34" s="292" t="s">
        <v>87</v>
      </c>
      <c r="W34" s="246"/>
      <c r="X34" s="293">
        <f>C34+J34+Q34</f>
        <v>300</v>
      </c>
      <c r="Y34" s="294">
        <f>D34+K34+R34</f>
        <v>661.38599999999997</v>
      </c>
      <c r="Z34" s="251"/>
      <c r="AA34" s="295">
        <f>IF($J$4&lt;&gt;"",AC34*AD34,"")</f>
        <v>200.2498279810076</v>
      </c>
      <c r="AC34" s="211">
        <f>IF($J$4="","",500/($AG$7+$AG$8*AE34+$AG$9*AE34^2+$AG$10*AE34^3+$AG$11*AE34^4+$AG$12*AE34^5))</f>
        <v>0.6674994266033587</v>
      </c>
      <c r="AD34" s="212">
        <f>IF($K$4="lbs",SUM(D34,K34,R34)*$AG$14,SUM(C34,J34,Q34)*$AG$14)</f>
        <v>300</v>
      </c>
      <c r="AE34" s="210">
        <f>IF($J$4="","",$J$4*$AG$14)</f>
        <v>83</v>
      </c>
    </row>
    <row r="35" spans="2:31" ht="12" customHeight="1">
      <c r="B35" s="258" t="s">
        <v>14</v>
      </c>
      <c r="C35" s="323">
        <v>100</v>
      </c>
      <c r="D35" s="281">
        <f>C35*2.20462</f>
        <v>220.46199999999999</v>
      </c>
      <c r="E35" s="345" t="s">
        <v>122</v>
      </c>
      <c r="F35" s="246"/>
      <c r="G35" s="246"/>
      <c r="H35" s="246"/>
      <c r="I35" s="258" t="s">
        <v>14</v>
      </c>
      <c r="J35" s="323">
        <v>100</v>
      </c>
      <c r="K35" s="281">
        <f>J35*2.20462</f>
        <v>220.46199999999999</v>
      </c>
      <c r="L35" s="190"/>
      <c r="M35" s="246"/>
      <c r="N35" s="246"/>
      <c r="O35" s="246"/>
      <c r="P35" s="258" t="s">
        <v>14</v>
      </c>
      <c r="Q35" s="323">
        <v>100</v>
      </c>
      <c r="R35" s="281">
        <f>Q35*2.20462</f>
        <v>220.46199999999999</v>
      </c>
      <c r="S35" s="345" t="s">
        <v>120</v>
      </c>
      <c r="T35" s="246"/>
      <c r="U35" s="246"/>
      <c r="V35" s="292"/>
      <c r="W35" s="246"/>
      <c r="X35" s="296">
        <f t="shared" ref="X35" si="21">C35+J35+Q35</f>
        <v>300</v>
      </c>
      <c r="Y35" s="297">
        <f>D35+K35+R35</f>
        <v>661.38599999999997</v>
      </c>
      <c r="Z35" s="251"/>
      <c r="AA35" s="298">
        <f>IF($J$4&lt;&gt;"",AC35*AD35,"")</f>
        <v>200.2498279810076</v>
      </c>
      <c r="AC35" s="211">
        <f>IF($J$4="","",500/($AG$7+$AG$8*AE35+$AG$9*AE35^2+$AG$10*AE35^3+$AG$11*AE35^4+$AG$12*AE35^5))</f>
        <v>0.6674994266033587</v>
      </c>
      <c r="AD35" s="212">
        <f>IF($K$4="lbs",SUM(D35,K35,R35)*$AG$14,SUM(C35,J35,Q35)*$AG$14)</f>
        <v>300</v>
      </c>
      <c r="AE35" s="210">
        <f>IF($J$4="","",$J$4*$AG$14)</f>
        <v>83</v>
      </c>
    </row>
    <row r="36" spans="2:31" ht="12" customHeight="1">
      <c r="B36" s="260" t="s">
        <v>85</v>
      </c>
      <c r="C36" s="191" t="str">
        <f>C26-C34&amp;"kg"</f>
        <v>100kg</v>
      </c>
      <c r="D36" s="335" t="str">
        <f>TEXT(D26-D34,0)&amp;"lbs"</f>
        <v>221lbs</v>
      </c>
      <c r="E36" s="327">
        <f>(D26/D34)-1</f>
        <v>1.0003447306111712</v>
      </c>
      <c r="F36" s="247"/>
      <c r="G36" s="247"/>
      <c r="H36" s="247"/>
      <c r="I36" s="260" t="s">
        <v>85</v>
      </c>
      <c r="J36" s="191" t="str">
        <f>J26-J34&amp;"kg"</f>
        <v>40kg</v>
      </c>
      <c r="K36" s="192" t="str">
        <f>TEXT(K26-K34,0)&amp;"lbs"</f>
        <v>89lbs</v>
      </c>
      <c r="L36" s="327">
        <f>(K26/K34)-1</f>
        <v>0.4016020901561268</v>
      </c>
      <c r="M36" s="247"/>
      <c r="N36" s="247"/>
      <c r="O36" s="247"/>
      <c r="P36" s="260" t="s">
        <v>85</v>
      </c>
      <c r="Q36" s="191" t="str">
        <f>Q26-Q34&amp;"kg"</f>
        <v>185kg</v>
      </c>
      <c r="R36" s="192" t="str">
        <f>TEXT(R26-R34,0)&amp;"lbs"</f>
        <v>408lbs</v>
      </c>
      <c r="S36" s="327">
        <f>(R26/R34)-1</f>
        <v>1.8485634712558174</v>
      </c>
      <c r="T36" s="247"/>
      <c r="U36" s="247"/>
      <c r="V36" s="292" t="s">
        <v>86</v>
      </c>
      <c r="W36" s="247"/>
      <c r="X36" s="299" t="str">
        <f>X26-X34&amp;"kg"</f>
        <v>325kg</v>
      </c>
      <c r="Y36" s="299" t="str">
        <f>Y26-Y34&amp;"lbs"</f>
        <v>716.614lbs</v>
      </c>
      <c r="Z36" s="300"/>
      <c r="AA36" s="301">
        <f>AA26-AA34</f>
        <v>216.93731364609161</v>
      </c>
    </row>
    <row r="37" spans="2:31" ht="11" customHeight="1">
      <c r="G37" s="251"/>
      <c r="N37" s="251"/>
      <c r="P37"/>
      <c r="Q37"/>
      <c r="R37"/>
      <c r="S37"/>
      <c r="T37" s="251"/>
      <c r="U37" s="251"/>
      <c r="V37" s="251"/>
      <c r="W37" s="251"/>
      <c r="X37"/>
      <c r="Y37"/>
      <c r="AA37"/>
      <c r="AC37"/>
      <c r="AD37"/>
    </row>
    <row r="38" spans="2:31" ht="84" customHeight="1">
      <c r="B38" s="374" t="s">
        <v>84</v>
      </c>
      <c r="C38" s="374"/>
      <c r="D38" s="374"/>
      <c r="E38" s="374"/>
      <c r="F38" s="259"/>
      <c r="G38" s="259"/>
      <c r="H38" s="259"/>
      <c r="I38" s="374" t="s">
        <v>78</v>
      </c>
      <c r="J38" s="374"/>
      <c r="K38" s="374"/>
      <c r="L38" s="374"/>
      <c r="M38" s="259"/>
      <c r="N38" s="259"/>
      <c r="O38" s="259"/>
      <c r="P38" s="375" t="s">
        <v>79</v>
      </c>
      <c r="Q38" s="375"/>
      <c r="R38" s="375"/>
      <c r="S38" s="375"/>
      <c r="T38" s="247"/>
      <c r="U38" s="247"/>
      <c r="V38" s="247"/>
      <c r="W38" s="247"/>
    </row>
    <row r="39" spans="2:31" s="2" customFormat="1" ht="24" customHeight="1">
      <c r="B39" s="230" t="s">
        <v>80</v>
      </c>
      <c r="C39" s="49"/>
      <c r="D39" s="49"/>
      <c r="E39" s="49"/>
      <c r="F39" s="248"/>
      <c r="G39" s="3"/>
      <c r="H39" s="248"/>
      <c r="I39" s="230" t="s">
        <v>80</v>
      </c>
      <c r="J39" s="40"/>
      <c r="K39" s="39"/>
      <c r="L39" s="17"/>
      <c r="M39" s="248"/>
      <c r="N39" s="289"/>
      <c r="O39" s="248"/>
      <c r="P39" s="230" t="s">
        <v>80</v>
      </c>
      <c r="Q39" s="11"/>
      <c r="R39" s="12"/>
      <c r="S39" s="12"/>
      <c r="T39" s="3"/>
      <c r="U39" s="12"/>
      <c r="V39" s="12"/>
      <c r="W39" s="3"/>
      <c r="X39" s="12"/>
      <c r="Y39" s="12"/>
      <c r="Z39"/>
      <c r="AA39" s="12"/>
      <c r="AB39"/>
      <c r="AC39" s="12"/>
      <c r="AD39" s="12"/>
    </row>
    <row r="40" spans="2:31">
      <c r="B40" s="379"/>
      <c r="C40" s="380"/>
      <c r="D40" s="380"/>
      <c r="E40" s="381"/>
      <c r="F40" s="248"/>
      <c r="G40" s="3"/>
      <c r="H40" s="248"/>
      <c r="I40" s="379"/>
      <c r="J40" s="380"/>
      <c r="K40" s="380"/>
      <c r="L40" s="381"/>
      <c r="M40" s="248"/>
      <c r="N40" s="290"/>
      <c r="O40" s="248"/>
      <c r="P40" s="379"/>
      <c r="Q40" s="380"/>
      <c r="R40" s="380"/>
      <c r="S40" s="381"/>
      <c r="T40" s="3"/>
      <c r="W40" s="3"/>
    </row>
    <row r="41" spans="2:31">
      <c r="B41" s="382"/>
      <c r="C41" s="383"/>
      <c r="D41" s="383"/>
      <c r="E41" s="384"/>
      <c r="F41" s="248"/>
      <c r="G41" s="3"/>
      <c r="H41" s="248"/>
      <c r="I41" s="382"/>
      <c r="J41" s="383"/>
      <c r="K41" s="383"/>
      <c r="L41" s="384"/>
      <c r="M41" s="248"/>
      <c r="N41" s="291"/>
      <c r="O41" s="248"/>
      <c r="P41" s="382"/>
      <c r="Q41" s="383"/>
      <c r="R41" s="383"/>
      <c r="S41" s="384"/>
      <c r="T41" s="3"/>
      <c r="W41" s="3"/>
    </row>
    <row r="42" spans="2:31">
      <c r="B42" s="382"/>
      <c r="C42" s="383"/>
      <c r="D42" s="383"/>
      <c r="E42" s="384"/>
      <c r="F42" s="249"/>
      <c r="G42" s="1"/>
      <c r="H42" s="249"/>
      <c r="I42" s="382"/>
      <c r="J42" s="383"/>
      <c r="K42" s="383"/>
      <c r="L42" s="384"/>
      <c r="M42" s="249"/>
      <c r="N42" s="13"/>
      <c r="O42" s="249"/>
      <c r="P42" s="382"/>
      <c r="Q42" s="383"/>
      <c r="R42" s="383"/>
      <c r="S42" s="384"/>
      <c r="T42" s="1"/>
      <c r="W42" s="1"/>
    </row>
    <row r="43" spans="2:31">
      <c r="B43" s="382"/>
      <c r="C43" s="383"/>
      <c r="D43" s="383"/>
      <c r="E43" s="384"/>
      <c r="F43" s="249"/>
      <c r="G43" s="1"/>
      <c r="H43" s="249"/>
      <c r="I43" s="382"/>
      <c r="J43" s="383"/>
      <c r="K43" s="383"/>
      <c r="L43" s="384"/>
      <c r="M43" s="249"/>
      <c r="N43" s="13"/>
      <c r="O43" s="249"/>
      <c r="P43" s="382"/>
      <c r="Q43" s="383"/>
      <c r="R43" s="383"/>
      <c r="S43" s="384"/>
      <c r="T43" s="1"/>
      <c r="W43" s="1"/>
    </row>
    <row r="44" spans="2:31">
      <c r="B44" s="382"/>
      <c r="C44" s="383"/>
      <c r="D44" s="383"/>
      <c r="E44" s="384"/>
      <c r="F44" s="250"/>
      <c r="G44" s="7"/>
      <c r="H44" s="250"/>
      <c r="I44" s="382"/>
      <c r="J44" s="383"/>
      <c r="K44" s="383"/>
      <c r="L44" s="384"/>
      <c r="M44" s="250"/>
      <c r="N44" s="13"/>
      <c r="O44" s="250"/>
      <c r="P44" s="382"/>
      <c r="Q44" s="383"/>
      <c r="R44" s="383"/>
      <c r="S44" s="384"/>
      <c r="T44" s="7"/>
      <c r="W44" s="7"/>
      <c r="X44" s="388" t="s">
        <v>50</v>
      </c>
      <c r="Y44" s="388"/>
      <c r="Z44" s="388"/>
      <c r="AA44" s="388"/>
    </row>
    <row r="45" spans="2:31">
      <c r="B45" s="385"/>
      <c r="C45" s="386"/>
      <c r="D45" s="386"/>
      <c r="E45" s="387"/>
      <c r="F45" s="250"/>
      <c r="G45" s="7"/>
      <c r="H45" s="250"/>
      <c r="I45" s="385"/>
      <c r="J45" s="386"/>
      <c r="K45" s="386"/>
      <c r="L45" s="387"/>
      <c r="M45" s="250"/>
      <c r="N45" s="13"/>
      <c r="O45" s="250"/>
      <c r="P45" s="385"/>
      <c r="Q45" s="386"/>
      <c r="R45" s="386"/>
      <c r="S45" s="387"/>
      <c r="T45" s="7"/>
      <c r="W45" s="7"/>
      <c r="X45" s="378" t="s">
        <v>51</v>
      </c>
      <c r="Y45" s="378"/>
      <c r="Z45" s="378"/>
      <c r="AA45" s="378"/>
    </row>
    <row r="46" spans="2:31">
      <c r="B46" s="1"/>
      <c r="C46" s="1"/>
      <c r="D46" s="1"/>
      <c r="E46" s="1"/>
      <c r="F46" s="250"/>
      <c r="G46" s="7"/>
      <c r="H46" s="250"/>
      <c r="I46" s="32"/>
      <c r="J46" s="27"/>
      <c r="K46" s="39"/>
      <c r="L46" s="18"/>
      <c r="M46" s="250"/>
      <c r="N46" s="10"/>
      <c r="O46" s="250"/>
      <c r="T46" s="7"/>
      <c r="W46" s="7"/>
    </row>
    <row r="47" spans="2:31">
      <c r="B47" s="1"/>
      <c r="C47" s="1"/>
      <c r="D47" s="1"/>
      <c r="E47" s="1"/>
      <c r="F47" s="250"/>
      <c r="G47" s="7"/>
      <c r="H47" s="250"/>
      <c r="I47" s="3"/>
      <c r="J47" s="39"/>
      <c r="K47" s="39"/>
      <c r="L47" s="17"/>
      <c r="M47" s="250"/>
      <c r="O47" s="250"/>
      <c r="T47" s="7"/>
      <c r="W47" s="7"/>
    </row>
    <row r="48" spans="2:31">
      <c r="B48" s="1"/>
      <c r="C48" s="1"/>
      <c r="D48" s="1"/>
      <c r="E48" s="1"/>
      <c r="F48" s="250"/>
      <c r="G48" s="7"/>
      <c r="H48" s="250"/>
      <c r="I48" s="3"/>
      <c r="J48" s="39"/>
      <c r="K48" s="39"/>
      <c r="L48" s="17"/>
      <c r="M48" s="250"/>
      <c r="O48" s="250"/>
      <c r="T48" s="7"/>
      <c r="W48" s="7"/>
    </row>
    <row r="49" spans="2:23">
      <c r="B49" s="1"/>
      <c r="C49" s="1"/>
      <c r="D49" s="1"/>
      <c r="E49" s="1"/>
      <c r="F49" s="250"/>
      <c r="G49" s="7"/>
      <c r="H49" s="250"/>
      <c r="I49" s="14"/>
      <c r="J49" s="31"/>
      <c r="K49" s="16"/>
      <c r="L49" s="16"/>
      <c r="M49" s="250"/>
      <c r="O49" s="250"/>
      <c r="T49" s="7"/>
      <c r="W49" s="7"/>
    </row>
    <row r="50" spans="2:23" ht="15" customHeight="1">
      <c r="B50" s="1"/>
      <c r="C50" s="1"/>
      <c r="D50" s="1"/>
      <c r="E50" s="1"/>
      <c r="F50" s="250"/>
      <c r="G50" s="7"/>
      <c r="H50" s="250"/>
      <c r="I50" s="22"/>
      <c r="J50" s="40"/>
      <c r="K50" s="39"/>
      <c r="L50" s="17"/>
      <c r="M50" s="250"/>
      <c r="O50" s="250"/>
      <c r="T50" s="7"/>
      <c r="W50" s="7"/>
    </row>
    <row r="51" spans="2:23">
      <c r="B51" s="1"/>
      <c r="C51" s="1"/>
      <c r="D51" s="1"/>
      <c r="E51" s="1"/>
      <c r="F51" s="250"/>
      <c r="G51" s="7"/>
      <c r="H51" s="250"/>
      <c r="I51" s="15"/>
      <c r="J51" s="27"/>
      <c r="K51" s="39"/>
      <c r="L51" s="18"/>
      <c r="M51" s="250"/>
      <c r="O51" s="250"/>
      <c r="T51" s="7"/>
      <c r="W51" s="7"/>
    </row>
    <row r="52" spans="2:23">
      <c r="B52" s="7"/>
      <c r="C52" s="7"/>
      <c r="D52" s="7"/>
      <c r="E52" s="7"/>
      <c r="F52" s="250"/>
      <c r="G52" s="7"/>
      <c r="H52" s="250"/>
      <c r="I52" s="32"/>
      <c r="J52" s="27"/>
      <c r="K52" s="39"/>
      <c r="L52" s="18"/>
      <c r="M52" s="250"/>
      <c r="O52" s="250"/>
      <c r="T52" s="7"/>
      <c r="W52" s="7"/>
    </row>
    <row r="53" spans="2:23">
      <c r="B53" s="7"/>
      <c r="C53" s="7"/>
      <c r="D53" s="7"/>
      <c r="E53" s="7"/>
      <c r="F53" s="250"/>
      <c r="G53" s="7"/>
      <c r="H53" s="250"/>
      <c r="I53" s="22"/>
      <c r="J53" s="40"/>
      <c r="K53" s="39"/>
      <c r="L53" s="17"/>
      <c r="M53" s="250"/>
      <c r="O53" s="250"/>
      <c r="T53" s="7"/>
      <c r="W53" s="7"/>
    </row>
    <row r="54" spans="2:23">
      <c r="B54" s="7"/>
      <c r="C54" s="7"/>
      <c r="D54" s="7"/>
      <c r="E54" s="7"/>
      <c r="F54" s="250"/>
      <c r="G54" s="7"/>
      <c r="H54" s="250"/>
      <c r="I54" s="32"/>
      <c r="J54" s="27"/>
      <c r="K54" s="39"/>
      <c r="L54" s="18"/>
      <c r="M54" s="250"/>
      <c r="O54" s="250"/>
      <c r="T54" s="7"/>
      <c r="W54" s="7"/>
    </row>
    <row r="55" spans="2:23">
      <c r="B55" s="7"/>
      <c r="C55" s="7"/>
      <c r="D55" s="7"/>
      <c r="E55" s="7"/>
      <c r="F55" s="250"/>
      <c r="G55" s="7"/>
      <c r="H55" s="250"/>
      <c r="I55" s="22"/>
      <c r="J55" s="27"/>
      <c r="K55" s="27"/>
      <c r="L55" s="18"/>
      <c r="M55" s="250"/>
      <c r="O55" s="250"/>
      <c r="T55" s="7"/>
      <c r="W55" s="7"/>
    </row>
    <row r="56" spans="2:23">
      <c r="B56" s="7"/>
      <c r="C56" s="7"/>
      <c r="D56" s="7"/>
      <c r="E56" s="7"/>
      <c r="F56" s="250"/>
      <c r="G56" s="7"/>
      <c r="H56" s="250"/>
      <c r="I56" s="4"/>
      <c r="J56" s="27"/>
      <c r="K56" s="27"/>
      <c r="L56" s="18"/>
      <c r="M56" s="250"/>
      <c r="O56" s="250"/>
      <c r="T56" s="7"/>
      <c r="W56" s="7"/>
    </row>
    <row r="57" spans="2:23">
      <c r="B57" s="7"/>
      <c r="C57" s="7"/>
      <c r="D57" s="7"/>
      <c r="E57" s="7"/>
      <c r="F57" s="250"/>
      <c r="G57" s="7"/>
      <c r="H57" s="250"/>
      <c r="I57" s="14"/>
      <c r="J57" s="31"/>
      <c r="K57" s="16"/>
      <c r="L57" s="16"/>
      <c r="M57" s="250"/>
      <c r="O57" s="250"/>
      <c r="T57" s="7"/>
      <c r="W57" s="7"/>
    </row>
    <row r="58" spans="2:23">
      <c r="B58" s="7"/>
      <c r="C58" s="7"/>
      <c r="D58" s="7"/>
      <c r="E58" s="7"/>
      <c r="F58" s="250"/>
      <c r="G58" s="7"/>
      <c r="H58" s="250"/>
      <c r="I58" s="34"/>
      <c r="J58" s="40"/>
      <c r="K58" s="39"/>
      <c r="L58" s="17"/>
      <c r="M58" s="250"/>
      <c r="O58" s="250"/>
      <c r="T58" s="7"/>
      <c r="W58" s="7"/>
    </row>
    <row r="59" spans="2:23">
      <c r="B59" s="7"/>
      <c r="C59" s="7"/>
      <c r="D59" s="7"/>
      <c r="E59" s="7"/>
      <c r="F59" s="250"/>
      <c r="G59" s="7"/>
      <c r="H59" s="250"/>
      <c r="I59" s="36"/>
      <c r="J59" s="27"/>
      <c r="K59" s="39"/>
      <c r="L59" s="18"/>
      <c r="M59" s="250"/>
      <c r="O59" s="250"/>
      <c r="T59" s="7"/>
      <c r="W59" s="7"/>
    </row>
    <row r="60" spans="2:23" ht="15" customHeight="1">
      <c r="B60" s="7"/>
      <c r="C60" s="7"/>
      <c r="D60" s="7"/>
      <c r="E60" s="7"/>
      <c r="F60" s="250"/>
      <c r="G60" s="7"/>
      <c r="H60" s="250"/>
      <c r="I60" s="34"/>
      <c r="J60" s="40"/>
      <c r="K60" s="39"/>
      <c r="L60" s="17"/>
      <c r="M60" s="250"/>
      <c r="O60" s="250"/>
      <c r="T60" s="7"/>
      <c r="W60" s="7"/>
    </row>
    <row r="61" spans="2:23">
      <c r="B61" s="7"/>
      <c r="C61" s="7"/>
      <c r="D61" s="7"/>
      <c r="E61" s="7"/>
      <c r="F61" s="250"/>
      <c r="G61" s="7"/>
      <c r="H61" s="250"/>
      <c r="I61" s="35"/>
      <c r="J61" s="27"/>
      <c r="K61" s="39"/>
      <c r="L61" s="18"/>
      <c r="M61" s="250"/>
      <c r="O61" s="250"/>
      <c r="T61" s="7"/>
      <c r="W61" s="7"/>
    </row>
    <row r="62" spans="2:23">
      <c r="B62" s="7"/>
      <c r="C62" s="7"/>
      <c r="D62" s="7"/>
      <c r="E62" s="7"/>
      <c r="F62" s="250"/>
      <c r="G62" s="7"/>
      <c r="H62" s="250"/>
      <c r="I62" s="34"/>
      <c r="J62" s="39"/>
      <c r="K62" s="39"/>
      <c r="L62" s="17"/>
      <c r="M62" s="250"/>
      <c r="O62" s="250"/>
      <c r="T62" s="7"/>
      <c r="W62" s="7"/>
    </row>
    <row r="63" spans="2:23" ht="15" customHeight="1">
      <c r="B63" s="7"/>
      <c r="C63" s="7"/>
      <c r="D63" s="7"/>
      <c r="E63" s="7"/>
      <c r="F63" s="250"/>
      <c r="G63" s="7"/>
      <c r="H63" s="250"/>
      <c r="I63" s="36"/>
      <c r="J63" s="27"/>
      <c r="K63" s="39"/>
      <c r="L63" s="18"/>
      <c r="M63" s="250"/>
      <c r="O63" s="250"/>
      <c r="T63" s="7"/>
      <c r="W63" s="7"/>
    </row>
    <row r="64" spans="2:23">
      <c r="B64" s="7"/>
      <c r="C64" s="7"/>
      <c r="D64" s="7"/>
      <c r="E64" s="7"/>
      <c r="F64" s="250"/>
      <c r="G64" s="7"/>
      <c r="H64" s="250"/>
      <c r="I64" s="34"/>
      <c r="J64" s="40"/>
      <c r="K64" s="39"/>
      <c r="L64" s="17"/>
      <c r="M64" s="250"/>
      <c r="O64" s="250"/>
      <c r="T64" s="7"/>
      <c r="W64" s="7"/>
    </row>
    <row r="65" spans="2:28">
      <c r="B65" s="7"/>
      <c r="C65" s="7"/>
      <c r="D65" s="7"/>
      <c r="E65" s="7"/>
      <c r="F65" s="250"/>
      <c r="G65" s="7"/>
      <c r="H65" s="250"/>
      <c r="I65" s="38"/>
      <c r="J65" s="27"/>
      <c r="K65" s="39"/>
      <c r="L65" s="18"/>
      <c r="M65" s="250"/>
      <c r="O65" s="250"/>
      <c r="T65" s="7"/>
      <c r="W65" s="7"/>
    </row>
    <row r="66" spans="2:28">
      <c r="B66" s="7"/>
      <c r="C66" s="7"/>
      <c r="D66" s="7"/>
      <c r="E66" s="7"/>
      <c r="F66" s="250"/>
      <c r="G66" s="7"/>
      <c r="H66" s="250"/>
      <c r="I66" s="34"/>
      <c r="J66" s="39"/>
      <c r="K66" s="39"/>
      <c r="L66" s="17"/>
      <c r="M66" s="250"/>
      <c r="O66" s="250"/>
      <c r="T66" s="7"/>
      <c r="W66" s="7"/>
    </row>
    <row r="67" spans="2:28">
      <c r="B67" s="7"/>
      <c r="C67" s="7"/>
      <c r="D67" s="7"/>
      <c r="E67" s="7"/>
      <c r="F67" s="250"/>
      <c r="G67" s="7"/>
      <c r="H67" s="250"/>
      <c r="I67" s="35"/>
      <c r="J67" s="27"/>
      <c r="K67" s="39"/>
      <c r="L67" s="18"/>
      <c r="M67" s="250"/>
      <c r="O67" s="250"/>
      <c r="T67" s="7"/>
      <c r="W67" s="7"/>
    </row>
    <row r="68" spans="2:28">
      <c r="B68" s="7"/>
      <c r="C68" s="7"/>
      <c r="D68" s="7"/>
      <c r="E68" s="7"/>
      <c r="F68" s="250"/>
      <c r="G68" s="7"/>
      <c r="H68" s="250"/>
      <c r="I68" s="14"/>
      <c r="J68" s="31"/>
      <c r="K68" s="16"/>
      <c r="L68" s="16"/>
      <c r="M68" s="250"/>
      <c r="O68" s="250"/>
      <c r="T68" s="7"/>
      <c r="W68" s="7"/>
    </row>
    <row r="69" spans="2:28">
      <c r="B69" s="7"/>
      <c r="C69" s="7"/>
      <c r="D69" s="7"/>
      <c r="E69" s="7"/>
      <c r="F69" s="250"/>
      <c r="G69" s="7"/>
      <c r="H69" s="250"/>
      <c r="I69" s="34"/>
      <c r="J69" s="20"/>
      <c r="K69" s="39"/>
      <c r="L69" s="17"/>
      <c r="M69" s="250"/>
      <c r="O69" s="250"/>
      <c r="T69" s="7"/>
      <c r="W69" s="7"/>
    </row>
    <row r="70" spans="2:28">
      <c r="B70" s="7"/>
      <c r="C70" s="7"/>
      <c r="D70" s="7"/>
      <c r="E70" s="7"/>
      <c r="F70" s="250"/>
      <c r="G70" s="7"/>
      <c r="H70" s="250"/>
      <c r="I70" s="37"/>
      <c r="J70" s="27"/>
      <c r="K70" s="39"/>
      <c r="L70" s="18"/>
      <c r="M70" s="250"/>
      <c r="O70" s="250"/>
      <c r="T70" s="7"/>
      <c r="W70" s="7"/>
    </row>
    <row r="71" spans="2:28">
      <c r="B71" s="7"/>
      <c r="C71" s="7"/>
      <c r="D71" s="7"/>
      <c r="E71" s="7"/>
      <c r="F71" s="250"/>
      <c r="G71" s="7"/>
      <c r="H71" s="250"/>
      <c r="I71" s="34"/>
      <c r="J71" s="20"/>
      <c r="K71" s="39"/>
      <c r="L71" s="17"/>
      <c r="M71" s="250"/>
      <c r="O71" s="250"/>
      <c r="T71" s="7"/>
      <c r="W71" s="7"/>
    </row>
    <row r="72" spans="2:28" ht="35" customHeight="1">
      <c r="B72" s="7"/>
      <c r="C72" s="7"/>
      <c r="D72" s="7"/>
      <c r="E72" s="7"/>
      <c r="F72" s="250"/>
      <c r="G72" s="7"/>
      <c r="H72" s="250"/>
      <c r="I72" s="36"/>
      <c r="J72" s="27"/>
      <c r="K72" s="39"/>
      <c r="L72" s="18"/>
      <c r="M72" s="250"/>
      <c r="O72" s="250"/>
      <c r="T72" s="7"/>
      <c r="W72" s="7"/>
    </row>
    <row r="73" spans="2:28">
      <c r="B73" s="7"/>
      <c r="C73" s="7"/>
      <c r="D73" s="7"/>
      <c r="E73" s="7"/>
      <c r="F73" s="250"/>
      <c r="G73" s="7"/>
      <c r="H73" s="250"/>
      <c r="I73" s="34"/>
      <c r="J73" s="27"/>
      <c r="K73" s="39"/>
      <c r="L73" s="17"/>
      <c r="M73" s="250"/>
      <c r="O73" s="250"/>
      <c r="T73" s="7"/>
      <c r="W73" s="7"/>
    </row>
    <row r="74" spans="2:28">
      <c r="B74" s="7"/>
      <c r="C74" s="7"/>
      <c r="D74" s="7"/>
      <c r="E74" s="7"/>
      <c r="F74" s="250"/>
      <c r="G74" s="7"/>
      <c r="H74" s="250"/>
      <c r="I74" s="35"/>
      <c r="J74" s="27"/>
      <c r="K74" s="39"/>
      <c r="L74" s="18"/>
      <c r="M74" s="250"/>
      <c r="O74" s="250"/>
      <c r="T74" s="7"/>
      <c r="W74" s="7"/>
    </row>
    <row r="75" spans="2:28">
      <c r="B75" s="7"/>
      <c r="C75" s="7"/>
      <c r="D75" s="7"/>
      <c r="E75" s="7"/>
      <c r="F75" s="250"/>
      <c r="G75" s="7"/>
      <c r="H75" s="250"/>
      <c r="I75" s="34"/>
      <c r="J75" s="20"/>
      <c r="K75" s="39"/>
      <c r="L75" s="17"/>
      <c r="M75" s="250"/>
      <c r="O75" s="250"/>
      <c r="T75" s="7"/>
      <c r="W75" s="7"/>
    </row>
    <row r="76" spans="2:28">
      <c r="B76" s="7"/>
      <c r="C76" s="7"/>
      <c r="D76" s="7"/>
      <c r="E76" s="7"/>
      <c r="F76" s="250"/>
      <c r="G76" s="7"/>
      <c r="H76" s="250"/>
      <c r="I76" s="41"/>
      <c r="J76" s="27"/>
      <c r="K76" s="39"/>
      <c r="L76" s="18"/>
      <c r="M76" s="250"/>
      <c r="O76" s="250"/>
      <c r="T76" s="7"/>
      <c r="W76" s="7"/>
    </row>
    <row r="77" spans="2:28">
      <c r="B77" s="7"/>
      <c r="C77" s="7"/>
      <c r="D77" s="7"/>
      <c r="E77" s="7"/>
      <c r="F77" s="250"/>
      <c r="G77" s="7"/>
      <c r="H77" s="250"/>
      <c r="I77" s="1"/>
      <c r="J77" s="1"/>
      <c r="K77" s="1"/>
      <c r="L77" s="1"/>
      <c r="M77" s="250"/>
      <c r="O77" s="250"/>
      <c r="T77" s="7"/>
      <c r="W77" s="7"/>
    </row>
    <row r="78" spans="2:28">
      <c r="B78" s="7"/>
      <c r="C78" s="7"/>
      <c r="D78" s="7"/>
      <c r="E78" s="7"/>
      <c r="F78" s="250"/>
      <c r="G78" s="7"/>
      <c r="H78" s="250"/>
      <c r="I78" s="1"/>
      <c r="J78" s="1"/>
      <c r="K78" s="1"/>
      <c r="L78" s="1"/>
      <c r="M78" s="250"/>
      <c r="O78" s="250"/>
      <c r="T78" s="7"/>
      <c r="W78" s="7"/>
    </row>
    <row r="79" spans="2:28">
      <c r="B79" s="7"/>
      <c r="C79" s="7"/>
      <c r="D79" s="7"/>
      <c r="E79" s="7"/>
      <c r="F79" s="250"/>
      <c r="G79" s="7"/>
      <c r="H79" s="250"/>
      <c r="I79" s="1"/>
      <c r="J79" s="1"/>
      <c r="K79" s="1"/>
      <c r="L79" s="1"/>
      <c r="M79" s="250"/>
      <c r="O79" s="250"/>
      <c r="T79" s="7"/>
      <c r="W79" s="7"/>
    </row>
    <row r="80" spans="2:28" s="7" customFormat="1">
      <c r="F80" s="250"/>
      <c r="H80" s="250"/>
      <c r="I80" s="1"/>
      <c r="J80" s="1"/>
      <c r="K80" s="1"/>
      <c r="L80" s="1"/>
      <c r="M80" s="250"/>
      <c r="O80" s="250"/>
      <c r="Z80"/>
      <c r="AB80"/>
    </row>
    <row r="81" spans="2:23">
      <c r="B81" s="7"/>
      <c r="C81" s="7"/>
      <c r="D81" s="7"/>
      <c r="E81" s="7"/>
      <c r="F81" s="250"/>
      <c r="G81" s="7"/>
      <c r="H81" s="250"/>
      <c r="I81" s="1"/>
      <c r="J81" s="1"/>
      <c r="K81" s="1"/>
      <c r="L81" s="1"/>
      <c r="M81" s="250"/>
      <c r="O81" s="250"/>
      <c r="T81" s="7"/>
      <c r="W81" s="7"/>
    </row>
    <row r="82" spans="2:23">
      <c r="B82" s="7"/>
      <c r="C82" s="7"/>
      <c r="D82" s="7"/>
      <c r="E82" s="7"/>
      <c r="F82" s="250"/>
      <c r="G82" s="7"/>
      <c r="H82" s="250"/>
      <c r="I82" s="1"/>
      <c r="J82" s="1"/>
      <c r="K82" s="1"/>
      <c r="L82" s="1"/>
      <c r="M82" s="250"/>
      <c r="O82" s="250"/>
      <c r="T82" s="7"/>
      <c r="W82" s="7"/>
    </row>
    <row r="83" spans="2:23">
      <c r="B83" s="7"/>
      <c r="C83" s="7"/>
      <c r="D83" s="7"/>
      <c r="E83" s="7"/>
      <c r="F83" s="250"/>
      <c r="G83" s="7"/>
      <c r="H83" s="250"/>
      <c r="I83" s="7"/>
      <c r="J83" s="7"/>
      <c r="K83" s="7"/>
      <c r="L83" s="7"/>
      <c r="M83" s="250"/>
      <c r="O83" s="250"/>
      <c r="T83" s="7"/>
      <c r="W83" s="7"/>
    </row>
    <row r="84" spans="2:23">
      <c r="B84" s="7"/>
      <c r="C84" s="7"/>
      <c r="D84" s="7"/>
      <c r="E84" s="7"/>
      <c r="F84" s="250"/>
      <c r="G84" s="7"/>
      <c r="H84" s="250"/>
      <c r="I84" s="7"/>
      <c r="J84" s="7"/>
      <c r="K84" s="7"/>
      <c r="L84" s="7"/>
      <c r="M84" s="250"/>
      <c r="O84" s="250"/>
      <c r="T84" s="7"/>
      <c r="W84" s="7"/>
    </row>
    <row r="85" spans="2:23">
      <c r="B85" s="7"/>
      <c r="C85" s="7"/>
      <c r="D85" s="7"/>
      <c r="E85" s="7"/>
      <c r="F85" s="250"/>
      <c r="G85" s="7"/>
      <c r="H85" s="250"/>
      <c r="I85" s="7"/>
      <c r="J85" s="7"/>
      <c r="K85" s="7"/>
      <c r="L85" s="7"/>
      <c r="M85" s="250"/>
      <c r="O85" s="250"/>
      <c r="T85" s="7"/>
      <c r="W85" s="7"/>
    </row>
    <row r="86" spans="2:23">
      <c r="B86" s="7"/>
      <c r="C86" s="7"/>
      <c r="D86" s="7"/>
      <c r="E86" s="7"/>
      <c r="F86" s="250"/>
      <c r="G86" s="7"/>
      <c r="H86" s="250"/>
      <c r="I86" s="7"/>
      <c r="J86" s="7"/>
      <c r="K86" s="7"/>
      <c r="L86" s="7"/>
      <c r="M86" s="250"/>
      <c r="O86" s="250"/>
      <c r="T86" s="7"/>
      <c r="W86" s="7"/>
    </row>
    <row r="87" spans="2:23">
      <c r="B87" s="7"/>
      <c r="C87" s="7"/>
      <c r="D87" s="7"/>
      <c r="E87" s="7"/>
      <c r="F87" s="250"/>
      <c r="G87" s="7"/>
      <c r="H87" s="250"/>
      <c r="I87" s="7"/>
      <c r="J87" s="7"/>
      <c r="K87" s="7"/>
      <c r="L87" s="7"/>
      <c r="M87" s="250"/>
      <c r="O87" s="250"/>
      <c r="T87" s="7"/>
      <c r="W87" s="7"/>
    </row>
    <row r="88" spans="2:23">
      <c r="B88" s="7"/>
      <c r="C88" s="7"/>
      <c r="D88" s="7"/>
      <c r="E88" s="7"/>
      <c r="F88" s="250"/>
      <c r="G88" s="7"/>
      <c r="H88" s="250"/>
      <c r="I88" s="7"/>
      <c r="J88" s="7"/>
      <c r="K88" s="7"/>
      <c r="L88" s="7"/>
      <c r="M88" s="250"/>
      <c r="O88" s="250"/>
      <c r="T88" s="7"/>
      <c r="W88" s="7"/>
    </row>
    <row r="89" spans="2:23" hidden="1">
      <c r="B89" s="7"/>
      <c r="C89" s="7"/>
      <c r="D89" s="7"/>
      <c r="E89" s="7"/>
      <c r="F89" s="250"/>
      <c r="G89" s="7"/>
      <c r="H89" s="250"/>
      <c r="I89" s="7"/>
      <c r="J89" s="7"/>
      <c r="K89" s="7"/>
      <c r="L89" s="7"/>
      <c r="M89" s="250"/>
      <c r="O89" s="250"/>
      <c r="T89" s="7"/>
      <c r="W89" s="7"/>
    </row>
    <row r="90" spans="2:23" hidden="1">
      <c r="B90" s="7"/>
      <c r="C90" s="7"/>
      <c r="D90" s="7"/>
      <c r="E90" s="7"/>
      <c r="F90" s="250"/>
      <c r="G90" s="7"/>
      <c r="H90" s="250"/>
      <c r="I90" s="7"/>
      <c r="J90" s="7"/>
      <c r="K90" s="7"/>
      <c r="L90" s="7"/>
      <c r="M90" s="250"/>
      <c r="O90" s="250"/>
      <c r="T90" s="7"/>
      <c r="W90" s="7"/>
    </row>
    <row r="91" spans="2:23" hidden="1">
      <c r="B91" s="7"/>
      <c r="C91" s="7"/>
      <c r="D91" s="7"/>
      <c r="E91" s="7"/>
      <c r="F91" s="250"/>
      <c r="G91" s="7"/>
      <c r="H91" s="250"/>
      <c r="I91" s="7"/>
      <c r="J91" s="7"/>
      <c r="K91" s="7"/>
      <c r="L91" s="7"/>
      <c r="M91" s="250"/>
      <c r="O91" s="250"/>
      <c r="T91" s="7"/>
      <c r="W91" s="7"/>
    </row>
    <row r="92" spans="2:23" hidden="1">
      <c r="B92" s="7"/>
      <c r="C92" s="7"/>
      <c r="D92" s="7"/>
      <c r="E92" s="7"/>
      <c r="F92" s="250"/>
      <c r="G92" s="7"/>
      <c r="H92" s="250"/>
      <c r="I92" s="7"/>
      <c r="J92" s="7"/>
      <c r="K92" s="7"/>
      <c r="L92" s="7"/>
      <c r="M92" s="250"/>
      <c r="O92" s="250"/>
      <c r="T92" s="7"/>
      <c r="W92" s="7"/>
    </row>
    <row r="93" spans="2:23" hidden="1">
      <c r="B93" s="7"/>
      <c r="C93" s="7"/>
      <c r="D93" s="7"/>
      <c r="E93" s="7"/>
      <c r="F93" s="250"/>
      <c r="G93" s="7"/>
      <c r="H93" s="250"/>
      <c r="I93" s="7"/>
      <c r="J93" s="7"/>
      <c r="K93" s="7"/>
      <c r="L93" s="7"/>
      <c r="M93" s="250"/>
      <c r="O93" s="250"/>
      <c r="T93" s="7"/>
      <c r="W93" s="7"/>
    </row>
    <row r="94" spans="2:23" hidden="1">
      <c r="B94" s="7"/>
      <c r="C94" s="7"/>
      <c r="D94" s="7"/>
      <c r="E94" s="7"/>
      <c r="F94" s="250"/>
      <c r="G94" s="7"/>
      <c r="H94" s="250"/>
      <c r="I94" s="7"/>
      <c r="J94" s="7"/>
      <c r="K94" s="7"/>
      <c r="L94" s="7"/>
      <c r="M94" s="250"/>
      <c r="O94" s="250"/>
      <c r="T94" s="7"/>
      <c r="W94" s="7"/>
    </row>
    <row r="95" spans="2:23" hidden="1">
      <c r="B95" s="7"/>
      <c r="C95" s="7"/>
      <c r="D95" s="7"/>
      <c r="E95" s="7"/>
      <c r="F95" s="250"/>
      <c r="G95" s="7"/>
      <c r="H95" s="250"/>
      <c r="I95" s="7"/>
      <c r="J95" s="7"/>
      <c r="K95" s="7"/>
      <c r="L95" s="7"/>
      <c r="M95" s="250"/>
      <c r="O95" s="250"/>
      <c r="T95" s="7"/>
      <c r="W95" s="7"/>
    </row>
    <row r="96" spans="2:23" hidden="1">
      <c r="B96" s="7"/>
      <c r="C96" s="7"/>
      <c r="D96" s="7"/>
      <c r="E96" s="7"/>
      <c r="F96" s="250"/>
      <c r="G96" s="7"/>
      <c r="H96" s="250"/>
      <c r="I96" s="7"/>
      <c r="J96" s="7"/>
      <c r="K96" s="7"/>
      <c r="L96" s="7"/>
      <c r="M96" s="250"/>
      <c r="O96" s="250"/>
      <c r="T96" s="7"/>
      <c r="W96" s="7"/>
    </row>
    <row r="97" spans="2:23" hidden="1">
      <c r="B97" s="7"/>
      <c r="C97" s="7"/>
      <c r="D97" s="7"/>
      <c r="E97" s="7"/>
      <c r="F97" s="250"/>
      <c r="G97" s="7"/>
      <c r="H97" s="250"/>
      <c r="I97" s="7"/>
      <c r="J97" s="7"/>
      <c r="K97" s="7"/>
      <c r="L97" s="7"/>
      <c r="M97" s="250"/>
      <c r="O97" s="250"/>
      <c r="T97" s="7"/>
      <c r="W97" s="7"/>
    </row>
    <row r="98" spans="2:23" hidden="1">
      <c r="B98" s="7"/>
      <c r="C98" s="7"/>
      <c r="D98" s="7"/>
      <c r="E98" s="7"/>
      <c r="F98" s="250"/>
      <c r="G98" s="7"/>
      <c r="H98" s="250"/>
      <c r="I98" s="7"/>
      <c r="J98" s="7"/>
      <c r="K98" s="7"/>
      <c r="L98" s="7"/>
      <c r="M98" s="250"/>
      <c r="O98" s="250"/>
      <c r="T98" s="7"/>
      <c r="W98" s="7"/>
    </row>
    <row r="99" spans="2:23" hidden="1">
      <c r="B99" s="7"/>
      <c r="C99" s="7"/>
      <c r="D99" s="7"/>
      <c r="E99" s="7"/>
      <c r="F99" s="250"/>
      <c r="G99" s="7"/>
      <c r="H99" s="250"/>
      <c r="I99" s="7"/>
      <c r="J99" s="7"/>
      <c r="K99" s="7"/>
      <c r="L99" s="7"/>
      <c r="M99" s="250"/>
      <c r="O99" s="250"/>
      <c r="T99" s="7"/>
      <c r="W99" s="7"/>
    </row>
    <row r="100" spans="2:23" hidden="1">
      <c r="B100" s="7"/>
      <c r="C100" s="7"/>
      <c r="D100" s="7"/>
      <c r="E100" s="7"/>
      <c r="F100" s="250"/>
      <c r="G100" s="7"/>
      <c r="H100" s="250"/>
      <c r="I100" s="7"/>
      <c r="J100" s="7"/>
      <c r="K100" s="7"/>
      <c r="L100" s="7"/>
      <c r="M100" s="250"/>
      <c r="O100" s="250"/>
      <c r="T100" s="7"/>
      <c r="W100" s="7"/>
    </row>
    <row r="101" spans="2:23" hidden="1">
      <c r="B101" s="7"/>
      <c r="C101" s="7"/>
      <c r="D101" s="7"/>
      <c r="E101" s="7"/>
      <c r="I101" s="7"/>
      <c r="J101" s="7"/>
      <c r="K101" s="7"/>
      <c r="L101" s="7"/>
    </row>
    <row r="102" spans="2:23" hidden="1">
      <c r="B102" s="7"/>
      <c r="C102" s="7"/>
      <c r="D102" s="7"/>
      <c r="E102" s="7"/>
      <c r="I102" s="7"/>
      <c r="J102" s="7"/>
      <c r="K102" s="7"/>
      <c r="L102" s="7"/>
    </row>
    <row r="103" spans="2:23" hidden="1">
      <c r="B103" s="7"/>
      <c r="C103" s="7"/>
      <c r="D103" s="7"/>
      <c r="E103" s="7"/>
      <c r="I103" s="7"/>
      <c r="J103" s="7"/>
      <c r="K103" s="7"/>
      <c r="L103" s="7"/>
    </row>
    <row r="104" spans="2:23" hidden="1">
      <c r="B104" s="7"/>
      <c r="C104" s="7"/>
      <c r="D104" s="7"/>
      <c r="E104" s="7"/>
      <c r="I104" s="7"/>
      <c r="J104" s="7"/>
      <c r="K104" s="7"/>
      <c r="L104" s="7"/>
    </row>
    <row r="105" spans="2:23" hidden="1">
      <c r="B105" s="7"/>
      <c r="C105" s="7"/>
      <c r="D105" s="7"/>
      <c r="E105" s="7"/>
      <c r="I105" s="7"/>
      <c r="J105" s="7"/>
      <c r="K105" s="7"/>
      <c r="L105" s="7"/>
    </row>
    <row r="106" spans="2:23" hidden="1">
      <c r="B106" s="7"/>
      <c r="C106" s="7"/>
      <c r="D106" s="7"/>
      <c r="E106" s="7"/>
      <c r="I106" s="7"/>
      <c r="J106" s="7"/>
      <c r="K106" s="7"/>
      <c r="L106" s="7"/>
    </row>
    <row r="107" spans="2:23" hidden="1">
      <c r="B107" s="7"/>
      <c r="C107" s="7"/>
      <c r="D107" s="7"/>
      <c r="E107" s="7"/>
      <c r="I107" s="7"/>
      <c r="J107" s="7"/>
      <c r="K107" s="7"/>
      <c r="L107" s="7"/>
    </row>
    <row r="108" spans="2:23" hidden="1">
      <c r="B108" s="7"/>
      <c r="C108" s="7"/>
      <c r="D108" s="7"/>
      <c r="E108" s="7"/>
      <c r="I108" s="7"/>
      <c r="J108" s="7"/>
      <c r="K108" s="7"/>
      <c r="L108" s="7"/>
    </row>
    <row r="109" spans="2:23" hidden="1">
      <c r="I109" s="7"/>
      <c r="J109" s="7"/>
      <c r="K109" s="7"/>
      <c r="L109" s="7"/>
    </row>
    <row r="110" spans="2:23" hidden="1">
      <c r="I110" s="7"/>
      <c r="J110" s="7"/>
      <c r="K110" s="7"/>
      <c r="L110" s="7"/>
    </row>
    <row r="111" spans="2:23" hidden="1">
      <c r="I111" s="7"/>
      <c r="J111" s="7"/>
      <c r="K111" s="7"/>
      <c r="L111" s="7"/>
    </row>
    <row r="112" spans="2:23" hidden="1">
      <c r="I112" s="7"/>
      <c r="J112" s="7"/>
      <c r="K112" s="7"/>
      <c r="L112" s="7"/>
    </row>
    <row r="113" spans="9:12" hidden="1">
      <c r="I113" s="7"/>
      <c r="J113" s="7"/>
      <c r="K113" s="7"/>
      <c r="L113" s="7"/>
    </row>
    <row r="114" spans="9:12" hidden="1">
      <c r="I114" s="7"/>
      <c r="J114" s="7"/>
      <c r="K114" s="7"/>
      <c r="L114" s="7"/>
    </row>
    <row r="115" spans="9:12" hidden="1">
      <c r="I115" s="7"/>
      <c r="J115" s="7"/>
      <c r="K115" s="7"/>
      <c r="L115" s="7"/>
    </row>
    <row r="116" spans="9:12" hidden="1">
      <c r="I116" s="7"/>
      <c r="J116" s="7"/>
      <c r="K116" s="7"/>
      <c r="L116" s="7"/>
    </row>
    <row r="117" spans="9:12" hidden="1">
      <c r="I117" s="7"/>
      <c r="J117" s="7"/>
      <c r="K117" s="7"/>
      <c r="L117" s="7"/>
    </row>
    <row r="118" spans="9:12" hidden="1">
      <c r="I118" s="7"/>
      <c r="J118" s="7"/>
      <c r="K118" s="7"/>
      <c r="L118" s="7"/>
    </row>
    <row r="119" spans="9:12" hidden="1">
      <c r="I119" s="7"/>
      <c r="J119" s="7"/>
      <c r="K119" s="7"/>
      <c r="L119" s="7"/>
    </row>
    <row r="120" spans="9:12" hidden="1">
      <c r="I120" s="7"/>
      <c r="J120" s="7"/>
      <c r="K120" s="7"/>
      <c r="L120" s="7"/>
    </row>
    <row r="121" spans="9:12" hidden="1">
      <c r="I121" s="7"/>
      <c r="J121" s="7"/>
      <c r="K121" s="7"/>
      <c r="L121" s="7"/>
    </row>
    <row r="122" spans="9:12" hidden="1">
      <c r="I122" s="7"/>
      <c r="J122" s="7"/>
      <c r="K122" s="7"/>
      <c r="L122" s="7"/>
    </row>
    <row r="123" spans="9:12" hidden="1">
      <c r="I123" s="7"/>
      <c r="J123" s="7"/>
      <c r="K123" s="7"/>
      <c r="L123" s="7"/>
    </row>
    <row r="124" spans="9:12" hidden="1">
      <c r="I124" s="7"/>
      <c r="J124" s="7"/>
      <c r="K124" s="7"/>
      <c r="L124" s="7"/>
    </row>
    <row r="125" spans="9:12" hidden="1">
      <c r="I125" s="7"/>
      <c r="J125" s="7"/>
      <c r="K125" s="7"/>
      <c r="L125" s="7"/>
    </row>
    <row r="126" spans="9:12" hidden="1">
      <c r="I126" s="7"/>
      <c r="J126" s="7"/>
      <c r="K126" s="7"/>
      <c r="L126" s="7"/>
    </row>
    <row r="127" spans="9:12" hidden="1">
      <c r="I127" s="7"/>
      <c r="J127" s="7"/>
      <c r="K127" s="7"/>
      <c r="L127" s="7"/>
    </row>
    <row r="128" spans="9:12" hidden="1">
      <c r="I128" s="7"/>
      <c r="J128" s="7"/>
      <c r="K128" s="7"/>
      <c r="L128" s="7"/>
    </row>
    <row r="129" spans="9:12" hidden="1">
      <c r="I129" s="7"/>
      <c r="J129" s="7"/>
      <c r="K129" s="7"/>
      <c r="L129" s="7"/>
    </row>
    <row r="130" spans="9:12" hidden="1">
      <c r="I130" s="7"/>
      <c r="J130" s="7"/>
      <c r="K130" s="7"/>
      <c r="L130" s="7"/>
    </row>
    <row r="131" spans="9:12" hidden="1">
      <c r="I131" s="7"/>
      <c r="J131" s="7"/>
      <c r="K131" s="7"/>
      <c r="L131" s="7"/>
    </row>
    <row r="132" spans="9:12" hidden="1">
      <c r="I132" s="7"/>
      <c r="J132" s="7"/>
      <c r="K132" s="7"/>
      <c r="L132" s="7"/>
    </row>
    <row r="133" spans="9:12" hidden="1">
      <c r="I133" s="7"/>
      <c r="J133" s="7"/>
      <c r="K133" s="7"/>
      <c r="L133" s="7"/>
    </row>
    <row r="134" spans="9:12" hidden="1">
      <c r="I134" s="7"/>
      <c r="J134" s="7"/>
      <c r="K134" s="7"/>
      <c r="L134" s="7"/>
    </row>
    <row r="135" spans="9:12" hidden="1">
      <c r="I135" s="7"/>
      <c r="J135" s="7"/>
      <c r="K135" s="7"/>
      <c r="L135" s="7"/>
    </row>
    <row r="136" spans="9:12" hidden="1">
      <c r="I136" s="7"/>
      <c r="J136" s="7"/>
      <c r="K136" s="7"/>
      <c r="L136" s="7"/>
    </row>
    <row r="137" spans="9:12" hidden="1">
      <c r="I137" s="7"/>
      <c r="J137" s="7"/>
      <c r="K137" s="7"/>
      <c r="L137" s="7"/>
    </row>
    <row r="138" spans="9:12" hidden="1">
      <c r="I138" s="7"/>
      <c r="J138" s="7"/>
      <c r="K138" s="7"/>
      <c r="L138" s="7"/>
    </row>
    <row r="139" spans="9:12" hidden="1">
      <c r="I139" s="7"/>
      <c r="J139" s="7"/>
      <c r="K139" s="7"/>
      <c r="L139" s="7"/>
    </row>
    <row r="140" spans="9:12" hidden="1"/>
    <row r="141" spans="9:12" hidden="1"/>
    <row r="142" spans="9:12" hidden="1"/>
    <row r="143" spans="9:12" hidden="1"/>
    <row r="144" spans="9:12" hidden="1"/>
    <row r="145" hidden="1"/>
    <row r="146" hidden="1"/>
    <row r="147" hidden="1"/>
    <row r="148" hidden="1"/>
    <row r="149" hidden="1"/>
    <row r="150"/>
    <row r="151"/>
    <row r="152"/>
    <row r="153"/>
    <row r="154"/>
    <row r="155"/>
    <row r="156"/>
    <row r="157"/>
    <row r="158"/>
    <row r="159"/>
    <row r="160"/>
    <row r="161"/>
  </sheetData>
  <sheetProtection password="81CF" sheet="1" objects="1" scenarios="1" selectLockedCells="1"/>
  <mergeCells count="14">
    <mergeCell ref="B2:E3"/>
    <mergeCell ref="X45:AA45"/>
    <mergeCell ref="AF5:AG5"/>
    <mergeCell ref="B40:E45"/>
    <mergeCell ref="I40:L45"/>
    <mergeCell ref="P40:S45"/>
    <mergeCell ref="X44:AA44"/>
    <mergeCell ref="AI5:AK5"/>
    <mergeCell ref="X4:Y4"/>
    <mergeCell ref="B6:C6"/>
    <mergeCell ref="B38:E38"/>
    <mergeCell ref="I38:L38"/>
    <mergeCell ref="P38:S38"/>
    <mergeCell ref="I12:L13"/>
  </mergeCells>
  <phoneticPr fontId="19" type="noConversion"/>
  <dataValidations count="8">
    <dataValidation type="list" allowBlank="1" showInputMessage="1" showErrorMessage="1" sqref="K4" xr:uid="{00000000-0002-0000-0100-000000000000}">
      <formula1>"lbs,kgs"</formula1>
    </dataValidation>
    <dataValidation type="list" allowBlank="1" showInputMessage="1" showErrorMessage="1" sqref="E4" xr:uid="{00000000-0002-0000-0100-000001000000}">
      <formula1>"male, female"</formula1>
    </dataValidation>
    <dataValidation type="list" allowBlank="1" showInputMessage="1" showErrorMessage="1" sqref="N4 Q4 S4" xr:uid="{00000000-0002-0000-0100-000002000000}">
      <formula1>"1,2,3,4,5,6,7,8,9,10,11,12,13,14,15,16,17,18,19,20"</formula1>
    </dataValidation>
    <dataValidation type="list" allowBlank="1" showInputMessage="1" showErrorMessage="1" sqref="G4" xr:uid="{00000000-0002-0000-0100-000003000000}">
      <formula1>"AGE, 12,13,14,15,16,17,18,19,20,21,22,23,24,25,26,27,28,29,30,31,32,33,34,35,36,37,38,39,40,41,42,43,44,45,46,47,48,49,50,51,52,53,54,55,56,57,58,59,60,61,62,63,64,65,66,67,68,69,70,71,72,73,74,75"</formula1>
    </dataValidation>
    <dataValidation type="list" allowBlank="1" showInputMessage="1" showErrorMessage="1" sqref="B31:B32" xr:uid="{00000000-0002-0000-0100-000004000000}">
      <formula1>"CHOOSE LEVEL,state,national,international"</formula1>
    </dataValidation>
    <dataValidation type="list" allowBlank="1" showInputMessage="1" showErrorMessage="1" sqref="C30" xr:uid="{00000000-0002-0000-0100-000005000000}">
      <formula1>"AGE DIV,teen 15-16,teen 16-17,teen 18-19,junior,open,masters 1,masters 2,masters 3,masters 4"</formula1>
    </dataValidation>
    <dataValidation type="list" allowBlank="1" showInputMessage="1" showErrorMessage="1" sqref="D30" xr:uid="{00000000-0002-0000-0100-000006000000}">
      <formula1>"WT DIV,W 43kg,W 47kg,W 52kg,W 57kg,W 63kg,W 72kg,W 84kg,W 84+kg,M 53kg,M 59kg,M 66kg,M 74kg,M 83kg,M 93kg,M 105kg,M 120kg,M 120+kg"</formula1>
    </dataValidation>
    <dataValidation type="list" allowBlank="1" showInputMessage="1" showErrorMessage="1" sqref="E30" xr:uid="{00000000-0002-0000-0100-000007000000}">
      <formula1>"TYPE,Push-Pull,Single Lift,Raw,Single Ply"</formula1>
    </dataValidation>
  </dataValidations>
  <hyperlinks>
    <hyperlink ref="X45" r:id="rId1" xr:uid="{00000000-0004-0000-0100-000000000000}"/>
  </hyperlinks>
  <pageMargins left="0" right="0" top="0.05" bottom="0" header="0.08" footer="0.3"/>
  <pageSetup scale="75" orientation="landscape" horizontalDpi="0" verticalDpi="0"/>
  <rowBreaks count="1" manualBreakCount="1">
    <brk id="46" max="16383" man="1"/>
  </rowBreaks>
  <colBreaks count="1" manualBreakCount="1">
    <brk id="37" max="1048575" man="1"/>
  </colBreaks>
  <ignoredErrors>
    <ignoredError sqref="Q20:R20 Q24:R24 J24:K24 J20:K20 C20:D20 C24:D24" formula="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sheetPr>
  <dimension ref="A1:BY173"/>
  <sheetViews>
    <sheetView showGridLines="0" showZeros="0" zoomScale="130" zoomScaleNormal="130" zoomScalePageLayoutView="130" workbookViewId="0">
      <selection activeCell="C10" sqref="C10"/>
    </sheetView>
  </sheetViews>
  <sheetFormatPr defaultColWidth="10.83203125" defaultRowHeight="14.5"/>
  <cols>
    <col min="1" max="1" width="8.83203125" style="74" customWidth="1"/>
    <col min="2" max="2" width="4.83203125" style="74" customWidth="1"/>
    <col min="3" max="3" width="6.1640625" style="74" customWidth="1"/>
    <col min="4" max="4" width="1.5" style="74" customWidth="1"/>
    <col min="5" max="5" width="11.5" style="74" customWidth="1"/>
    <col min="6" max="6" width="1.83203125" style="74" customWidth="1"/>
    <col min="7" max="7" width="10.83203125" style="74" hidden="1" customWidth="1"/>
    <col min="8" max="8" width="7" style="74" hidden="1" customWidth="1"/>
    <col min="9" max="9" width="3.5" style="74" hidden="1" customWidth="1"/>
    <col min="10" max="10" width="5.5" style="74" hidden="1" customWidth="1"/>
    <col min="11" max="11" width="3" style="74" hidden="1" customWidth="1"/>
    <col min="12" max="12" width="3" style="75" hidden="1" customWidth="1"/>
    <col min="13" max="13" width="3" style="74" hidden="1" customWidth="1"/>
    <col min="14" max="14" width="3.5" style="74" hidden="1" customWidth="1"/>
    <col min="15" max="15" width="4.1640625" style="74" hidden="1" customWidth="1"/>
    <col min="16" max="16" width="3" style="74" hidden="1" customWidth="1"/>
    <col min="17" max="17" width="1.1640625" style="74" customWidth="1"/>
    <col min="18" max="18" width="1.6640625" style="74" customWidth="1"/>
    <col min="19" max="19" width="0.83203125" style="74" customWidth="1"/>
    <col min="20" max="20" width="1.6640625" style="74" customWidth="1"/>
    <col min="21" max="21" width="0.83203125" style="74" customWidth="1"/>
    <col min="22" max="22" width="1.6640625" style="74" customWidth="1"/>
    <col min="23" max="23" width="0.83203125" style="74" customWidth="1"/>
    <col min="24" max="24" width="1.6640625" style="74" customWidth="1"/>
    <col min="25" max="25" width="0.83203125" style="74" customWidth="1"/>
    <col min="26" max="26" width="1.6640625" style="74" customWidth="1"/>
    <col min="27" max="27" width="0.83203125" style="74" customWidth="1"/>
    <col min="28" max="28" width="1.6640625" style="74" customWidth="1"/>
    <col min="29" max="29" width="0.83203125" style="74" customWidth="1"/>
    <col min="30" max="30" width="1.6640625" style="74" customWidth="1"/>
    <col min="31" max="31" width="0.83203125" style="74" customWidth="1"/>
    <col min="32" max="32" width="1.6640625" style="74" customWidth="1"/>
    <col min="33" max="33" width="7.33203125" style="74" customWidth="1"/>
    <col min="34" max="34" width="4.83203125" style="74" customWidth="1"/>
    <col min="35" max="35" width="5.83203125" style="74" customWidth="1"/>
    <col min="36" max="36" width="2.33203125" style="74" customWidth="1"/>
    <col min="37" max="37" width="4.33203125" style="74" customWidth="1"/>
    <col min="38" max="38" width="3.33203125" style="74" customWidth="1"/>
    <col min="39" max="39" width="1.6640625" style="74" customWidth="1"/>
    <col min="40" max="40" width="0.83203125" style="74" customWidth="1"/>
    <col min="41" max="41" width="1.6640625" style="74" customWidth="1"/>
    <col min="42" max="42" width="0.83203125" style="74" customWidth="1"/>
    <col min="43" max="43" width="1.6640625" style="74" customWidth="1"/>
    <col min="44" max="44" width="0.83203125" style="74" customWidth="1"/>
    <col min="45" max="45" width="1.6640625" style="74" customWidth="1"/>
    <col min="46" max="46" width="0.83203125" style="74" customWidth="1"/>
    <col min="47" max="47" width="1.6640625" style="74" customWidth="1"/>
    <col min="48" max="48" width="0.83203125" style="74" customWidth="1"/>
    <col min="49" max="49" width="1.6640625" style="74" customWidth="1"/>
    <col min="50" max="50" width="0.83203125" style="74" customWidth="1"/>
    <col min="51" max="51" width="1.6640625" style="74" customWidth="1"/>
    <col min="52" max="52" width="0.83203125" style="74" customWidth="1"/>
    <col min="53" max="53" width="1.6640625" style="74" customWidth="1"/>
    <col min="54" max="54" width="5.33203125" style="74" customWidth="1"/>
    <col min="55" max="55" width="4.83203125" style="74" customWidth="1"/>
    <col min="56" max="56" width="6.5" style="74" customWidth="1"/>
    <col min="57" max="57" width="2.33203125" style="74" customWidth="1"/>
    <col min="58" max="58" width="4.33203125" style="74" customWidth="1"/>
    <col min="59" max="59" width="3.1640625" style="74" customWidth="1"/>
    <col min="60" max="60" width="1.6640625" style="74" customWidth="1"/>
    <col min="61" max="61" width="0.83203125" style="74" customWidth="1"/>
    <col min="62" max="62" width="1.6640625" style="74" customWidth="1"/>
    <col min="63" max="63" width="0.83203125" style="74" customWidth="1"/>
    <col min="64" max="64" width="1.6640625" style="74" customWidth="1"/>
    <col min="65" max="65" width="0.83203125" style="74" customWidth="1"/>
    <col min="66" max="66" width="1.6640625" style="74" customWidth="1"/>
    <col min="67" max="67" width="0.83203125" style="74" customWidth="1"/>
    <col min="68" max="68" width="1.6640625" style="74" customWidth="1"/>
    <col min="69" max="69" width="0.83203125" style="74" customWidth="1"/>
    <col min="70" max="70" width="1.6640625" style="74" customWidth="1"/>
    <col min="71" max="71" width="0.83203125" style="74" customWidth="1"/>
    <col min="72" max="72" width="1.6640625" style="74" customWidth="1"/>
    <col min="73" max="73" width="0.83203125" style="74" customWidth="1"/>
    <col min="74" max="74" width="1.6640625" style="74" customWidth="1"/>
    <col min="75" max="77" width="10.83203125" style="74" customWidth="1"/>
    <col min="78" max="78" width="6.33203125" style="74" customWidth="1"/>
    <col min="79" max="16384" width="10.83203125" style="74"/>
  </cols>
  <sheetData>
    <row r="1" spans="1:77" ht="60" customHeight="1" thickBot="1">
      <c r="B1" s="217" t="s">
        <v>39</v>
      </c>
      <c r="C1" s="218"/>
      <c r="D1" s="218"/>
      <c r="E1" s="218"/>
      <c r="F1" s="218"/>
      <c r="G1" s="218"/>
      <c r="H1" s="218"/>
      <c r="I1" s="218"/>
      <c r="J1" s="218"/>
      <c r="K1" s="218"/>
      <c r="L1" s="219"/>
      <c r="M1" s="218"/>
      <c r="N1" s="218"/>
      <c r="O1" s="218"/>
      <c r="P1" s="218"/>
      <c r="Q1" s="218"/>
      <c r="R1" s="220"/>
      <c r="S1" s="221"/>
      <c r="T1" s="222"/>
      <c r="U1" s="221"/>
      <c r="V1" s="223"/>
      <c r="W1" s="221"/>
      <c r="X1" s="224"/>
      <c r="Y1" s="221"/>
      <c r="Z1" s="223"/>
      <c r="AA1" s="221"/>
      <c r="AB1" s="223"/>
      <c r="AC1" s="221"/>
      <c r="AD1" s="225"/>
      <c r="AE1" s="221"/>
      <c r="AF1" s="223"/>
      <c r="AG1" s="218"/>
      <c r="AH1" s="218"/>
      <c r="AI1" s="218"/>
      <c r="AJ1" s="218"/>
      <c r="AK1" s="218"/>
      <c r="AL1" s="218"/>
      <c r="AM1" s="226"/>
      <c r="AN1" s="227"/>
      <c r="AO1" s="226"/>
      <c r="AP1" s="227"/>
      <c r="AQ1" s="226"/>
      <c r="AR1" s="227"/>
      <c r="AS1" s="226"/>
      <c r="AT1" s="227"/>
      <c r="AU1" s="226"/>
      <c r="AV1" s="227"/>
      <c r="AW1" s="226"/>
      <c r="AX1" s="227"/>
      <c r="AY1" s="228"/>
      <c r="AZ1" s="227"/>
      <c r="BA1" s="226"/>
      <c r="BB1" s="218"/>
      <c r="BC1" s="218"/>
      <c r="BD1" s="218"/>
      <c r="BE1" s="218"/>
      <c r="BF1" s="218"/>
      <c r="BG1" s="218"/>
      <c r="BH1" s="226"/>
      <c r="BI1" s="227"/>
      <c r="BJ1" s="226"/>
      <c r="BK1" s="227"/>
      <c r="BL1" s="226"/>
      <c r="BM1" s="227"/>
      <c r="BN1" s="226"/>
      <c r="BO1" s="227"/>
      <c r="BP1" s="226"/>
      <c r="BQ1" s="227"/>
      <c r="BR1" s="226"/>
      <c r="BS1" s="227"/>
      <c r="BT1" s="228"/>
      <c r="BU1" s="227"/>
      <c r="BV1" s="226"/>
      <c r="BW1" s="218"/>
      <c r="BX1" s="218"/>
      <c r="BY1" s="218"/>
    </row>
    <row r="2" spans="1:77" ht="8" customHeight="1" thickTop="1">
      <c r="A2" s="104"/>
      <c r="R2" s="199"/>
      <c r="S2" s="81"/>
      <c r="T2" s="213"/>
      <c r="U2" s="81"/>
      <c r="V2" s="214"/>
      <c r="W2" s="81"/>
      <c r="X2" s="215"/>
      <c r="Y2" s="81"/>
      <c r="Z2" s="214"/>
      <c r="AA2" s="81"/>
      <c r="AB2" s="214"/>
      <c r="AC2" s="81"/>
      <c r="AD2" s="216"/>
      <c r="AE2" s="81"/>
      <c r="AF2" s="214"/>
      <c r="AM2" s="133"/>
      <c r="AN2" s="134"/>
      <c r="AO2" s="133"/>
      <c r="AP2" s="134"/>
      <c r="AQ2" s="133"/>
      <c r="AR2" s="134"/>
      <c r="AS2" s="133"/>
      <c r="AT2" s="134"/>
      <c r="AU2" s="133"/>
      <c r="AV2" s="134"/>
      <c r="AW2" s="133"/>
      <c r="AX2" s="134"/>
      <c r="AY2" s="135"/>
      <c r="AZ2" s="134"/>
      <c r="BA2" s="133"/>
      <c r="BH2" s="133"/>
      <c r="BI2" s="134"/>
      <c r="BJ2" s="133"/>
      <c r="BK2" s="134"/>
      <c r="BL2" s="133"/>
      <c r="BM2" s="134"/>
      <c r="BN2" s="133"/>
      <c r="BO2" s="134"/>
      <c r="BP2" s="133"/>
      <c r="BQ2" s="134"/>
      <c r="BR2" s="133"/>
      <c r="BS2" s="134"/>
      <c r="BT2" s="135"/>
      <c r="BU2" s="134"/>
      <c r="BV2" s="133"/>
    </row>
    <row r="3" spans="1:77" ht="48" customHeight="1">
      <c r="A3" s="104"/>
      <c r="B3" s="127" t="s">
        <v>110</v>
      </c>
      <c r="R3" s="199" t="s">
        <v>40</v>
      </c>
      <c r="S3" s="195"/>
      <c r="T3" s="196" t="s">
        <v>41</v>
      </c>
      <c r="U3" s="195"/>
      <c r="V3" s="195" t="s">
        <v>42</v>
      </c>
      <c r="W3" s="195"/>
      <c r="X3" s="197" t="s">
        <v>43</v>
      </c>
      <c r="Y3" s="195"/>
      <c r="Z3" s="195" t="s">
        <v>44</v>
      </c>
      <c r="AA3" s="108"/>
      <c r="AB3" s="195">
        <v>2.5</v>
      </c>
      <c r="AC3" s="108"/>
      <c r="AD3" s="198">
        <v>1.25</v>
      </c>
      <c r="AE3" s="108"/>
      <c r="AF3" s="195" t="s">
        <v>45</v>
      </c>
      <c r="AH3" s="389" t="s">
        <v>109</v>
      </c>
      <c r="AI3" s="389"/>
      <c r="AJ3" s="389"/>
      <c r="AK3" s="389"/>
      <c r="AL3" s="389"/>
      <c r="AM3" s="389"/>
      <c r="AN3" s="389"/>
      <c r="AO3" s="389"/>
      <c r="AP3" s="389"/>
      <c r="AQ3" s="389"/>
      <c r="AR3" s="389"/>
      <c r="AS3" s="389"/>
      <c r="AT3" s="389"/>
      <c r="AU3" s="389"/>
      <c r="AV3" s="389"/>
      <c r="AW3" s="389"/>
      <c r="AX3" s="389"/>
      <c r="AY3" s="389"/>
      <c r="AZ3" s="389"/>
      <c r="BA3" s="389"/>
      <c r="BB3" s="389"/>
      <c r="BC3" s="389"/>
      <c r="BD3" s="389"/>
      <c r="BE3" s="389"/>
      <c r="BF3" s="389"/>
      <c r="BG3" s="389"/>
      <c r="BH3" s="389"/>
      <c r="BI3" s="389"/>
      <c r="BJ3" s="389"/>
      <c r="BK3" s="389"/>
      <c r="BL3" s="389"/>
      <c r="BM3" s="389"/>
      <c r="BN3" s="389"/>
      <c r="BO3" s="389"/>
      <c r="BP3" s="389"/>
      <c r="BQ3" s="389"/>
      <c r="BR3" s="389"/>
      <c r="BS3" s="389"/>
      <c r="BT3" s="389"/>
      <c r="BU3" s="389"/>
      <c r="BV3" s="389"/>
    </row>
    <row r="4" spans="1:77">
      <c r="A4" s="113" t="s">
        <v>59</v>
      </c>
      <c r="B4" s="138" t="s">
        <v>56</v>
      </c>
      <c r="C4" s="107">
        <v>720</v>
      </c>
      <c r="D4" s="94"/>
      <c r="E4" s="140" t="str">
        <f>"("&amp;TEXT(C4/2.20462,"#.0")&amp;" kgs)"</f>
        <v>(326.6 kgs)</v>
      </c>
      <c r="R4" s="125">
        <f>IFERROR(IF($C$9="weight: (lbs)", VLOOKUP(ROUNDUP(MROUND(ROUNDUP($C4/2.20462,0),2.5)*2.20462,1),$H$10:$O$173,2,TRUE), VLOOKUP(MROUND(ROUNDUP($C4,0),2.5),$G$10:$O$173,3,TRUE)),"")</f>
        <v>6</v>
      </c>
      <c r="S4" s="126"/>
      <c r="T4" s="126">
        <f>IFERROR(IF($C$9="weight: (lbs)", VLOOKUP(ROUNDUP(MROUND(ROUNDUP($C4/2.20462,0),2.5)*2.20462,1),$H$10:$O$173,3,TRUE), VLOOKUP(MROUND(ROUNDUP($C4,0),2.5),$G$10:$O$173,4,TRUE)),"")</f>
        <v>1</v>
      </c>
      <c r="U4" s="126"/>
      <c r="V4" s="126">
        <f>IFERROR(IF($C$9="weight: (lbs)", VLOOKUP(ROUNDUP(MROUND(ROUNDUP($C4/2.20462,0),2.5)*2.20462,1),$H$10:$O$173,4,TRUE), VLOOKUP(MROUND(ROUNDUP($C4,0),2.5),$G$10:$O$173,5,TRUE)),"")</f>
        <v>1</v>
      </c>
      <c r="W4" s="126"/>
      <c r="X4" s="126">
        <f>IFERROR(IF($C$9="weight: (lbs)", VLOOKUP(ROUNDUP(MROUND(ROUNDUP($C4/2.20462,0),2.5)*2.20462,1),$H$10:$O$173,5,TRUE), VLOOKUP(MROUND(ROUNDUP($C4,0),2.5),$G$10:$O$173,6,TRUE)),"")</f>
        <v>1</v>
      </c>
      <c r="Y4" s="126"/>
      <c r="Z4" s="126">
        <f>IFERROR(IF($C$9="weight: (lbs)", VLOOKUP(ROUNDUP(MROUND(ROUNDUP($C4/2.20462,0),2.5)*2.20462,1),$H$10:$O$173,6,TRUE), VLOOKUP(MROUND(ROUNDUP($C4,0),2.5),$G$10:$O$173,7,TRUE)),"")</f>
        <v>1</v>
      </c>
      <c r="AA4" s="126"/>
      <c r="AB4" s="126">
        <f>IFERROR(IF($C$9="weight: (lbs)", VLOOKUP(ROUNDUP(MROUND(ROUNDUP($C4/2.20462,0),2.5)*2.20462,1),$H$10:$O$173,7,TRUE), VLOOKUP(MROUND(ROUNDUP($C4,0),2.5),$G$10:$O$173,8,TRUE)),"")</f>
        <v>1</v>
      </c>
      <c r="AC4" s="126"/>
      <c r="AD4" s="126">
        <f>IFERROR(IF($C$9="weight: (lbs)", VLOOKUP(ROUNDUP(MROUND(ROUNDUP($C4/2.20462,0),2.5)*2.20462,1),$H$10:$O$173,8,TRUE), VLOOKUP(MROUND(ROUNDUP($C4,0),2.5),$G$10:$O$173,9,TRUE)),"")</f>
        <v>1</v>
      </c>
      <c r="AE4" s="126"/>
      <c r="AF4" s="126">
        <f>IF(ISNUMBER($C4),1,"")</f>
        <v>1</v>
      </c>
      <c r="AH4" s="389"/>
      <c r="AI4" s="389"/>
      <c r="AJ4" s="389"/>
      <c r="AK4" s="389"/>
      <c r="AL4" s="389"/>
      <c r="AM4" s="389"/>
      <c r="AN4" s="389"/>
      <c r="AO4" s="389"/>
      <c r="AP4" s="389"/>
      <c r="AQ4" s="389"/>
      <c r="AR4" s="389"/>
      <c r="AS4" s="389"/>
      <c r="AT4" s="389"/>
      <c r="AU4" s="389"/>
      <c r="AV4" s="389"/>
      <c r="AW4" s="389"/>
      <c r="AX4" s="389"/>
      <c r="AY4" s="389"/>
      <c r="AZ4" s="389"/>
      <c r="BA4" s="389"/>
      <c r="BB4" s="389"/>
      <c r="BC4" s="389"/>
      <c r="BD4" s="389"/>
      <c r="BE4" s="389"/>
      <c r="BF4" s="389"/>
      <c r="BG4" s="389"/>
      <c r="BH4" s="389"/>
      <c r="BI4" s="389"/>
      <c r="BJ4" s="389"/>
      <c r="BK4" s="389"/>
      <c r="BL4" s="389"/>
      <c r="BM4" s="389"/>
      <c r="BN4" s="389"/>
      <c r="BO4" s="389"/>
      <c r="BP4" s="389"/>
      <c r="BQ4" s="389"/>
      <c r="BR4" s="389"/>
      <c r="BS4" s="389"/>
      <c r="BT4" s="389"/>
      <c r="BU4" s="389"/>
      <c r="BV4" s="389"/>
    </row>
    <row r="5" spans="1:77" ht="4" customHeight="1">
      <c r="A5" s="113"/>
      <c r="B5" s="139"/>
      <c r="C5" s="141"/>
      <c r="D5" s="103"/>
      <c r="E5" s="142"/>
      <c r="R5" s="125"/>
      <c r="S5" s="126"/>
      <c r="T5" s="126"/>
      <c r="U5" s="126"/>
      <c r="V5" s="126"/>
      <c r="W5" s="126"/>
      <c r="X5" s="126"/>
      <c r="Y5" s="126"/>
      <c r="Z5" s="126"/>
      <c r="AA5" s="126"/>
      <c r="AB5" s="126"/>
      <c r="AC5" s="126"/>
      <c r="AD5" s="126"/>
      <c r="AE5" s="126"/>
      <c r="AF5" s="126"/>
      <c r="AH5" s="389"/>
      <c r="AI5" s="389"/>
      <c r="AJ5" s="389"/>
      <c r="AK5" s="389"/>
      <c r="AL5" s="389"/>
      <c r="AM5" s="389"/>
      <c r="AN5" s="389"/>
      <c r="AO5" s="389"/>
      <c r="AP5" s="389"/>
      <c r="AQ5" s="389"/>
      <c r="AR5" s="389"/>
      <c r="AS5" s="389"/>
      <c r="AT5" s="389"/>
      <c r="AU5" s="389"/>
      <c r="AV5" s="389"/>
      <c r="AW5" s="389"/>
      <c r="AX5" s="389"/>
      <c r="AY5" s="389"/>
      <c r="AZ5" s="389"/>
      <c r="BA5" s="389"/>
      <c r="BB5" s="389"/>
      <c r="BC5" s="389"/>
      <c r="BD5" s="389"/>
      <c r="BE5" s="389"/>
      <c r="BF5" s="389"/>
      <c r="BG5" s="389"/>
      <c r="BH5" s="389"/>
      <c r="BI5" s="389"/>
      <c r="BJ5" s="389"/>
      <c r="BK5" s="389"/>
      <c r="BL5" s="389"/>
      <c r="BM5" s="389"/>
      <c r="BN5" s="389"/>
      <c r="BO5" s="389"/>
      <c r="BP5" s="389"/>
      <c r="BQ5" s="389"/>
      <c r="BR5" s="389"/>
      <c r="BS5" s="389"/>
      <c r="BT5" s="389"/>
      <c r="BU5" s="389"/>
      <c r="BV5" s="389"/>
    </row>
    <row r="6" spans="1:77">
      <c r="A6" s="113" t="s">
        <v>59</v>
      </c>
      <c r="B6" s="138" t="s">
        <v>58</v>
      </c>
      <c r="C6" s="107">
        <v>225</v>
      </c>
      <c r="D6" s="94"/>
      <c r="E6" s="140" t="str">
        <f>"("&amp;TEXT(C6*2.20462,"#.0")&amp;" lbs)"</f>
        <v>(496.0 lbs)</v>
      </c>
      <c r="R6" s="125">
        <f>IFERROR(VLOOKUP(MROUND(ROUNDUP($C6,0),2.5),$G$10:$O$173,3,TRUE),"")</f>
        <v>4</v>
      </c>
      <c r="S6" s="126"/>
      <c r="T6" s="126">
        <f>IFERROR(VLOOKUP(MROUND(ROUNDUP($C6,0),2.5),$G$10:$O$173,4,TRUE),"")</f>
        <v>0</v>
      </c>
      <c r="U6" s="126"/>
      <c r="V6" s="126">
        <f>IFERROR(VLOOKUP(MROUND(ROUNDUP($C6,0),2.5),$G$10:$O$173,5,TRUE),"")</f>
        <v>0</v>
      </c>
      <c r="W6" s="126"/>
      <c r="X6" s="126">
        <f>IFERROR(VLOOKUP(MROUND(ROUNDUP($C6,0),2.5),$G$10:$O$173,6,TRUE),"")</f>
        <v>0</v>
      </c>
      <c r="Y6" s="126"/>
      <c r="Z6" s="126">
        <f>IFERROR(VLOOKUP(MROUND(ROUNDUP($C6,0),2.5),$G$10:$O$173,7,TRUE),"")</f>
        <v>0</v>
      </c>
      <c r="AA6" s="126"/>
      <c r="AB6" s="126">
        <f>IFERROR(VLOOKUP(MROUND(ROUNDUP($C6,0),2.5),$G$10:$O$173,8,TRUE),"")</f>
        <v>0</v>
      </c>
      <c r="AC6" s="126"/>
      <c r="AD6" s="126">
        <f>IFERROR(VLOOKUP(MROUND(ROUNDUP($C6,0),2.5),$G$10:$O$173,9,TRUE),"")</f>
        <v>0</v>
      </c>
      <c r="AE6" s="126"/>
      <c r="AF6" s="126">
        <f t="shared" ref="AF6" si="0">IF(ISNUMBER($C6),1,"")</f>
        <v>1</v>
      </c>
      <c r="AH6" s="389"/>
      <c r="AI6" s="389"/>
      <c r="AJ6" s="389"/>
      <c r="AK6" s="389"/>
      <c r="AL6" s="389"/>
      <c r="AM6" s="389"/>
      <c r="AN6" s="389"/>
      <c r="AO6" s="389"/>
      <c r="AP6" s="389"/>
      <c r="AQ6" s="389"/>
      <c r="AR6" s="389"/>
      <c r="AS6" s="389"/>
      <c r="AT6" s="389"/>
      <c r="AU6" s="389"/>
      <c r="AV6" s="389"/>
      <c r="AW6" s="389"/>
      <c r="AX6" s="389"/>
      <c r="AY6" s="389"/>
      <c r="AZ6" s="389"/>
      <c r="BA6" s="389"/>
      <c r="BB6" s="389"/>
      <c r="BC6" s="389"/>
      <c r="BD6" s="389"/>
      <c r="BE6" s="389"/>
      <c r="BF6" s="389"/>
      <c r="BG6" s="389"/>
      <c r="BH6" s="389"/>
      <c r="BI6" s="389"/>
      <c r="BJ6" s="389"/>
      <c r="BK6" s="389"/>
      <c r="BL6" s="389"/>
      <c r="BM6" s="389"/>
      <c r="BN6" s="389"/>
      <c r="BO6" s="389"/>
      <c r="BP6" s="389"/>
      <c r="BQ6" s="389"/>
      <c r="BR6" s="389"/>
      <c r="BS6" s="389"/>
      <c r="BT6" s="389"/>
      <c r="BU6" s="389"/>
      <c r="BV6" s="389"/>
    </row>
    <row r="7" spans="1:77" ht="14" customHeight="1">
      <c r="A7" s="78"/>
      <c r="B7" s="114"/>
      <c r="C7" s="79"/>
      <c r="D7" s="79"/>
      <c r="E7" s="79"/>
      <c r="F7" s="79"/>
      <c r="J7" s="80"/>
      <c r="R7" s="394" t="s">
        <v>40</v>
      </c>
      <c r="S7" s="81"/>
      <c r="T7" s="392" t="s">
        <v>41</v>
      </c>
      <c r="U7" s="81"/>
      <c r="V7" s="391" t="s">
        <v>42</v>
      </c>
      <c r="W7" s="81"/>
      <c r="X7" s="390" t="s">
        <v>43</v>
      </c>
      <c r="Y7" s="81"/>
      <c r="Z7" s="391" t="s">
        <v>44</v>
      </c>
      <c r="AA7" s="81"/>
      <c r="AB7" s="391">
        <v>2.5</v>
      </c>
      <c r="AC7" s="81"/>
      <c r="AD7" s="393">
        <v>1.25</v>
      </c>
      <c r="AE7" s="81"/>
      <c r="AF7" s="391" t="s">
        <v>45</v>
      </c>
      <c r="AM7" s="394" t="s">
        <v>40</v>
      </c>
      <c r="AN7" s="81"/>
      <c r="AO7" s="392" t="s">
        <v>41</v>
      </c>
      <c r="AP7" s="81"/>
      <c r="AQ7" s="391" t="s">
        <v>42</v>
      </c>
      <c r="AR7" s="81"/>
      <c r="AS7" s="390" t="s">
        <v>43</v>
      </c>
      <c r="AT7" s="81"/>
      <c r="AU7" s="391" t="s">
        <v>44</v>
      </c>
      <c r="AV7" s="81"/>
      <c r="AW7" s="391">
        <v>2.5</v>
      </c>
      <c r="AX7" s="81"/>
      <c r="AY7" s="393">
        <v>1.25</v>
      </c>
      <c r="AZ7" s="81"/>
      <c r="BA7" s="391" t="s">
        <v>45</v>
      </c>
      <c r="BH7" s="394" t="s">
        <v>40</v>
      </c>
      <c r="BI7" s="81"/>
      <c r="BJ7" s="392" t="s">
        <v>41</v>
      </c>
      <c r="BK7" s="81"/>
      <c r="BL7" s="391" t="s">
        <v>42</v>
      </c>
      <c r="BM7" s="81"/>
      <c r="BN7" s="390" t="s">
        <v>43</v>
      </c>
      <c r="BO7" s="81"/>
      <c r="BP7" s="391" t="s">
        <v>44</v>
      </c>
      <c r="BQ7" s="81"/>
      <c r="BR7" s="391">
        <v>2.5</v>
      </c>
      <c r="BS7" s="81"/>
      <c r="BT7" s="393">
        <v>1.25</v>
      </c>
      <c r="BU7" s="81"/>
      <c r="BV7" s="391" t="s">
        <v>45</v>
      </c>
    </row>
    <row r="8" spans="1:77" ht="38" customHeight="1" thickBot="1">
      <c r="B8" s="115" t="s">
        <v>52</v>
      </c>
      <c r="G8" s="77" t="s">
        <v>46</v>
      </c>
      <c r="R8" s="394"/>
      <c r="S8" s="81"/>
      <c r="T8" s="392"/>
      <c r="U8" s="81"/>
      <c r="V8" s="391"/>
      <c r="W8" s="81"/>
      <c r="X8" s="390"/>
      <c r="Y8" s="81"/>
      <c r="Z8" s="391"/>
      <c r="AA8" s="81"/>
      <c r="AB8" s="391"/>
      <c r="AC8" s="81"/>
      <c r="AD8" s="393"/>
      <c r="AE8" s="81"/>
      <c r="AF8" s="391"/>
      <c r="AH8" s="115" t="s">
        <v>53</v>
      </c>
      <c r="AM8" s="394"/>
      <c r="AN8" s="81"/>
      <c r="AO8" s="392"/>
      <c r="AP8" s="81"/>
      <c r="AQ8" s="391"/>
      <c r="AR8" s="81"/>
      <c r="AS8" s="390"/>
      <c r="AT8" s="81"/>
      <c r="AU8" s="391"/>
      <c r="AV8" s="81"/>
      <c r="AW8" s="391"/>
      <c r="AX8" s="81"/>
      <c r="AY8" s="393"/>
      <c r="AZ8" s="81"/>
      <c r="BA8" s="391"/>
      <c r="BC8" s="115" t="s">
        <v>55</v>
      </c>
      <c r="BH8" s="394"/>
      <c r="BI8" s="81"/>
      <c r="BJ8" s="392"/>
      <c r="BK8" s="81"/>
      <c r="BL8" s="391"/>
      <c r="BM8" s="81"/>
      <c r="BN8" s="390"/>
      <c r="BO8" s="81"/>
      <c r="BP8" s="391"/>
      <c r="BQ8" s="81"/>
      <c r="BR8" s="391"/>
      <c r="BS8" s="81"/>
      <c r="BT8" s="393"/>
      <c r="BU8" s="81"/>
      <c r="BV8" s="391"/>
    </row>
    <row r="9" spans="1:77" ht="15" thickBot="1">
      <c r="B9" s="82"/>
      <c r="C9" s="316" t="s">
        <v>117</v>
      </c>
      <c r="D9" s="83"/>
      <c r="E9" s="119" t="s">
        <v>54</v>
      </c>
      <c r="F9" s="123"/>
      <c r="G9" s="122" t="s">
        <v>47</v>
      </c>
      <c r="H9" s="84" t="s">
        <v>48</v>
      </c>
      <c r="I9" s="85">
        <v>25</v>
      </c>
      <c r="J9" s="86">
        <v>20</v>
      </c>
      <c r="K9" s="87">
        <v>15</v>
      </c>
      <c r="L9" s="88">
        <v>10</v>
      </c>
      <c r="M9" s="89">
        <v>5</v>
      </c>
      <c r="N9" s="90">
        <v>2.5</v>
      </c>
      <c r="O9" s="91">
        <v>1.25</v>
      </c>
      <c r="P9" s="109" t="s">
        <v>49</v>
      </c>
      <c r="Q9" s="92"/>
      <c r="R9" s="394"/>
      <c r="S9" s="108"/>
      <c r="T9" s="392"/>
      <c r="U9" s="108"/>
      <c r="V9" s="391"/>
      <c r="W9" s="108"/>
      <c r="X9" s="390"/>
      <c r="Y9" s="108"/>
      <c r="Z9" s="391"/>
      <c r="AA9" s="108"/>
      <c r="AB9" s="391"/>
      <c r="AC9" s="108"/>
      <c r="AD9" s="393"/>
      <c r="AE9" s="108"/>
      <c r="AF9" s="391"/>
      <c r="AG9" s="93"/>
      <c r="AH9" s="82"/>
      <c r="AI9" s="316" t="s">
        <v>117</v>
      </c>
      <c r="AJ9" s="83"/>
      <c r="AK9" s="119" t="s">
        <v>54</v>
      </c>
      <c r="AL9" s="93"/>
      <c r="AM9" s="394"/>
      <c r="AN9" s="108"/>
      <c r="AO9" s="392"/>
      <c r="AP9" s="108"/>
      <c r="AQ9" s="391"/>
      <c r="AR9" s="108"/>
      <c r="AS9" s="390"/>
      <c r="AT9" s="108"/>
      <c r="AU9" s="391"/>
      <c r="AV9" s="108"/>
      <c r="AW9" s="391"/>
      <c r="AX9" s="108"/>
      <c r="AY9" s="393"/>
      <c r="AZ9" s="108"/>
      <c r="BA9" s="391"/>
      <c r="BB9" s="93"/>
      <c r="BC9" s="82"/>
      <c r="BD9" s="316" t="s">
        <v>117</v>
      </c>
      <c r="BE9" s="83"/>
      <c r="BF9" s="119" t="s">
        <v>54</v>
      </c>
      <c r="BG9" s="93"/>
      <c r="BH9" s="394"/>
      <c r="BI9" s="108"/>
      <c r="BJ9" s="392"/>
      <c r="BK9" s="108"/>
      <c r="BL9" s="391"/>
      <c r="BM9" s="108"/>
      <c r="BN9" s="390"/>
      <c r="BO9" s="108"/>
      <c r="BP9" s="391"/>
      <c r="BQ9" s="108"/>
      <c r="BR9" s="391"/>
      <c r="BS9" s="108"/>
      <c r="BT9" s="393"/>
      <c r="BU9" s="108"/>
      <c r="BV9" s="391"/>
    </row>
    <row r="10" spans="1:77" ht="14" customHeight="1">
      <c r="B10" s="116">
        <f>IF(VALUE(C10)&gt;0,1,"")</f>
        <v>1</v>
      </c>
      <c r="C10" s="330">
        <f>VLOOKUP(SQOPEN,'WARMUP LOADS'!$B$3:$K$161,2,TRUE)</f>
        <v>20</v>
      </c>
      <c r="D10" s="94" t="s">
        <v>30</v>
      </c>
      <c r="E10" s="120">
        <f>IF(VALUE(SQOPEN)&lt;=(200/2.2), "5-7", 10)</f>
        <v>10</v>
      </c>
      <c r="F10" s="143"/>
      <c r="G10" s="95">
        <v>25</v>
      </c>
      <c r="H10" s="96">
        <v>55.1</v>
      </c>
      <c r="I10" s="97"/>
      <c r="J10" s="97"/>
      <c r="K10" s="97"/>
      <c r="L10" s="98"/>
      <c r="M10" s="97"/>
      <c r="N10" s="97"/>
      <c r="O10" s="97"/>
      <c r="P10" s="101">
        <v>1</v>
      </c>
      <c r="Q10" s="76"/>
      <c r="R10" s="125" t="str">
        <f t="shared" ref="R10:R16" si="1">IFERROR(IF($C$9="weight: (lbs)", VLOOKUP(ROUNDUP(MROUND(ROUNDUP($C10/2.20462,0),2.5)*2.20462,1),$H$10:$O$173,2,TRUE), VLOOKUP(MROUND(ROUNDUP($C10,0),2.5),$G$10:$O$173,3,TRUE)),"")</f>
        <v/>
      </c>
      <c r="S10" s="126"/>
      <c r="T10" s="126" t="str">
        <f t="shared" ref="T10:T16" si="2">IFERROR(IF($C$9="weight: (lbs)", VLOOKUP(ROUNDUP(MROUND(ROUNDUP($C10/2.20462,0),2.5)*2.20462,1),$H$10:$O$173,3,TRUE), VLOOKUP(MROUND(ROUNDUP($C10,0),2.5),$G$10:$O$173,4,TRUE)),"")</f>
        <v/>
      </c>
      <c r="U10" s="126"/>
      <c r="V10" s="126" t="str">
        <f t="shared" ref="V10:V16" si="3">IFERROR(IF($C$9="weight: (lbs)", VLOOKUP(ROUNDUP(MROUND(ROUNDUP($C10/2.20462,0),2.5)*2.20462,1),$H$10:$O$173,4,TRUE), VLOOKUP(MROUND(ROUNDUP($C10,0),2.5),$G$10:$O$173,5,TRUE)),"")</f>
        <v/>
      </c>
      <c r="W10" s="126"/>
      <c r="X10" s="126" t="str">
        <f t="shared" ref="X10:X16" si="4">IFERROR(IF($C$9="weight: (lbs)", VLOOKUP(ROUNDUP(MROUND(ROUNDUP($C10/2.20462,0),2.5)*2.20462,1),$H$10:$O$173,5,TRUE), VLOOKUP(MROUND(ROUNDUP($C10,0),2.5),$G$10:$O$173,6,TRUE)),"")</f>
        <v/>
      </c>
      <c r="Y10" s="126"/>
      <c r="Z10" s="126" t="str">
        <f t="shared" ref="Z10:Z16" si="5">IFERROR(IF($C$9="weight: (lbs)", VLOOKUP(ROUNDUP(MROUND(ROUNDUP($C10/2.20462,0),2.5)*2.20462,1),$H$10:$O$173,6,TRUE), VLOOKUP(MROUND(ROUNDUP($C10,0),2.5),$G$10:$O$173,7,TRUE)),"")</f>
        <v/>
      </c>
      <c r="AA10" s="126"/>
      <c r="AB10" s="126" t="str">
        <f t="shared" ref="AB10:AB16" si="6">IFERROR(IF($C$9="weight: (lbs)", VLOOKUP(ROUNDUP(MROUND(ROUNDUP($C10/2.20462,0),2.5)*2.20462,1),$H$10:$O$173,7,TRUE), VLOOKUP(MROUND(ROUNDUP($C10,0),2.5),$G$10:$O$173,8,TRUE)),"")</f>
        <v/>
      </c>
      <c r="AC10" s="126"/>
      <c r="AD10" s="126" t="str">
        <f t="shared" ref="AD10:AD16" si="7">IFERROR(IF($C$9="weight: (lbs)", VLOOKUP(ROUNDUP(MROUND(ROUNDUP($C10/2.20462,0),2.5)*2.20462,1),$H$10:$O$173,8,TRUE), VLOOKUP(MROUND(ROUNDUP($C10,0),2.5),$G$10:$O$173,9,TRUE)),"")</f>
        <v/>
      </c>
      <c r="AE10" s="126"/>
      <c r="AF10" s="126">
        <f>IF(VALUE(C10)&gt;0,1,"")</f>
        <v>1</v>
      </c>
      <c r="AH10" s="116">
        <f>IF(VALUE(AI10)&gt;0,1,"")</f>
        <v>1</v>
      </c>
      <c r="AI10" s="330">
        <f>VLOOKUP(BNOPEN,'WARMUP LOADS'!$B$3:$K$161,2,TRUE)</f>
        <v>20</v>
      </c>
      <c r="AJ10" s="94" t="s">
        <v>30</v>
      </c>
      <c r="AK10" s="120">
        <f>IF(VALUE(BNOPEN)&lt;=(200/2.2), "5-7", 10)</f>
        <v>10</v>
      </c>
      <c r="AM10" s="125" t="str">
        <f>IFERROR(IF($AI$9="weight: (lbs)", VLOOKUP(ROUNDUP(MROUND(ROUNDUP($AI10/2.20462,0),2.5)*2.20462,1),$H$10:$O$173,2,TRUE), VLOOKUP(MROUND(ROUNDUP($C10,0),2.5),$G$10:$O$173,3,TRUE)),"")</f>
        <v/>
      </c>
      <c r="AN10" s="126"/>
      <c r="AO10" s="126" t="str">
        <f>IFERROR(IF($AI$9="weight: (lbs)", VLOOKUP(ROUNDUP(MROUND(ROUNDUP($AI10/2.20462,0),2.5)*2.20462,1),$H$10:$O$173,3,TRUE), VLOOKUP(MROUND(ROUNDUP($C10,0),2.5),$G$10:$O$173,4,TRUE)),"")</f>
        <v/>
      </c>
      <c r="AP10" s="126"/>
      <c r="AQ10" s="126" t="str">
        <f>IFERROR(IF($AI$9="weight: (lbs)", VLOOKUP(ROUNDUP(MROUND(ROUNDUP($AI10/2.20462,0),2.5)*2.20462,1),$H$10:$O$173,4,TRUE), VLOOKUP(MROUND(ROUNDUP($C10,0),2.5),$G$10:$O$173,5,TRUE)),"")</f>
        <v/>
      </c>
      <c r="AR10" s="126"/>
      <c r="AS10" s="126" t="str">
        <f>IFERROR(IF($AI$9="weight: (lbs)", VLOOKUP(ROUNDUP(MROUND(ROUNDUP($AI10/2.20462,0),2.5)*2.20462,1),$H$10:$O$173,5,TRUE), VLOOKUP(MROUND(ROUNDUP($C10,0),2.5),$G$10:$O$173,6,TRUE)),"")</f>
        <v/>
      </c>
      <c r="AT10" s="126"/>
      <c r="AU10" s="126" t="str">
        <f>IFERROR(IF($AI$9="weight: (lbs)", VLOOKUP(ROUNDUP(MROUND(ROUNDUP($AI10/2.20462,0),2.5)*2.20462,1),$H$10:$O$173,6,TRUE), VLOOKUP(MROUND(ROUNDUP($C10,0),2.5),$G$10:$O$173,7,TRUE)),"")</f>
        <v/>
      </c>
      <c r="AV10" s="126"/>
      <c r="AW10" s="126" t="str">
        <f>IFERROR(IF($AI$9="weight: (lbs)", VLOOKUP(ROUNDUP(MROUND(ROUNDUP($AI10/2.20462,0),2.5)*2.20462,1),$H$10:$O$173,7,TRUE), VLOOKUP(MROUND(ROUNDUP($C10,0),2.5),$G$10:$O$173,8,TRUE)),"")</f>
        <v/>
      </c>
      <c r="AX10" s="126"/>
      <c r="AY10" s="126" t="str">
        <f>IFERROR(IF($AI$9="weight: (lbs)", VLOOKUP(ROUNDUP(MROUND(ROUNDUP($AI10/2.20462,0),2.5)*2.20462,1),$H$10:$O$173,8,TRUE), VLOOKUP(MROUND(ROUNDUP($C10,0),2.5),$G$10:$O$173,9,TRUE)),"")</f>
        <v/>
      </c>
      <c r="AZ10" s="126"/>
      <c r="BA10" s="126">
        <f>IF(VALUE(AI10)&gt;0,1,"")</f>
        <v>1</v>
      </c>
      <c r="BC10" s="116">
        <f>IF(VALUE(BD10)&gt;0,1,"")</f>
        <v>1</v>
      </c>
      <c r="BD10" s="330">
        <f>VLOOKUP(DLOPEN,'WARMUP LOADS'!$B$3:$K$161,2,TRUE)</f>
        <v>20</v>
      </c>
      <c r="BE10" s="94" t="s">
        <v>30</v>
      </c>
      <c r="BF10" s="120">
        <f>IF(VALUE(DLOPEN)&lt;=(200/2.2), "5-7", 10)</f>
        <v>10</v>
      </c>
      <c r="BH10" s="125" t="str">
        <f>IFERROR(IF($BD$9="weight: (lbs)", VLOOKUP(ROUNDUP(MROUND(ROUNDUP($BD10/2.20462,0),2.5)*2.20462,1),$H$10:$O$173,2,TRUE), VLOOKUP(MROUND(ROUNDUP($C10,0),2.5),$G$10:$O$173,3,TRUE)),"")</f>
        <v/>
      </c>
      <c r="BI10" s="126"/>
      <c r="BJ10" s="126" t="str">
        <f>IFERROR(IF($BD$9="weight: (lbs)", VLOOKUP(ROUNDUP(MROUND(ROUNDUP($BD10/2.20462,0),2.5)*2.20462,1),$H$10:$O$173,3,TRUE), VLOOKUP(MROUND(ROUNDUP($C10,0),2.5),$G$10:$O$173,4,TRUE)),"")</f>
        <v/>
      </c>
      <c r="BK10" s="126"/>
      <c r="BL10" s="126" t="str">
        <f>IFERROR(IF($BD$9="weight: (lbs)", VLOOKUP(ROUNDUP(MROUND(ROUNDUP($BD10/2.20462,0),2.5)*2.20462,1),$H$10:$O$173,4,TRUE), VLOOKUP(MROUND(ROUNDUP($C10,0),2.5),$G$10:$O$173,5,TRUE)),"")</f>
        <v/>
      </c>
      <c r="BM10" s="126"/>
      <c r="BN10" s="126" t="str">
        <f>IFERROR(IF($BD$9="weight: (lbs)", VLOOKUP(ROUNDUP(MROUND(ROUNDUP($BD10/2.20462,0),2.5)*2.20462,1),$H$10:$O$173,5,TRUE), VLOOKUP(MROUND(ROUNDUP($C10,0),2.5),$G$10:$O$173,6,TRUE)),"")</f>
        <v/>
      </c>
      <c r="BO10" s="126"/>
      <c r="BP10" s="126" t="str">
        <f>IFERROR(IF($BD$9="weight: (lbs)", VLOOKUP(ROUNDUP(MROUND(ROUNDUP($BD10/2.20462,0),2.5)*2.20462,1),$H$10:$O$173,6,TRUE), VLOOKUP(MROUND(ROUNDUP($C10,0),2.5),$G$10:$O$173,7,TRUE)),"")</f>
        <v/>
      </c>
      <c r="BQ10" s="126"/>
      <c r="BR10" s="126" t="str">
        <f>IFERROR(IF($BD$9="weight: (lbs)", VLOOKUP(ROUNDUP(MROUND(ROUNDUP($BD10/2.20462,0),2.5)*2.20462,1),$H$10:$O$173,7,TRUE), VLOOKUP(MROUND(ROUNDUP($C10,0),2.5),$G$10:$O$173,8,TRUE)),"")</f>
        <v/>
      </c>
      <c r="BS10" s="126"/>
      <c r="BT10" s="126" t="str">
        <f>IFERROR(IF($BD$9="weight: (lbs)", VLOOKUP(ROUNDUP(MROUND(ROUNDUP($BD10/2.20462,0),2.5)*2.20462,1),$H$10:$O$173,8,TRUE), VLOOKUP(MROUND(ROUNDUP($C10,0),2.5),$G$10:$O$173,9,TRUE)),"")</f>
        <v/>
      </c>
      <c r="BU10" s="126"/>
      <c r="BV10" s="126">
        <f>IF(VALUE(BD10)&gt;0,1,"")</f>
        <v>1</v>
      </c>
    </row>
    <row r="11" spans="1:77" ht="14" customHeight="1">
      <c r="B11" s="116">
        <f>IF(VALUE(C11)&gt;0,2,"")</f>
        <v>2</v>
      </c>
      <c r="C11" s="330">
        <f>VLOOKUP(SQOPEN,'WARMUP LOADS'!$B$3:$K$161,3,TRUE)</f>
        <v>60</v>
      </c>
      <c r="D11" s="94" t="s">
        <v>30</v>
      </c>
      <c r="E11" s="120" t="str">
        <f>IF(VALUE(SQOPEN)&lt;=(200/2.2),"3-5",IF(AND(SQOPEN&gt;=(201/2.2),SQOPEN&lt;=(400/2.2)),"4-7",IF(AND(SQOPEN&gt;=(401/2.2),SQOPEN&lt;=(600/2.2)),"5-8",IF(AND(SQOPEN&gt;=(601/2.2),SQOPEN&lt;=(1000/2.2)),"8"))))</f>
        <v>4-7</v>
      </c>
      <c r="F11" s="143"/>
      <c r="G11" s="95">
        <v>27.5</v>
      </c>
      <c r="H11" s="96">
        <v>60.6</v>
      </c>
      <c r="I11" s="97"/>
      <c r="J11" s="97"/>
      <c r="K11" s="97"/>
      <c r="L11" s="98"/>
      <c r="M11" s="97"/>
      <c r="N11" s="97"/>
      <c r="O11" s="97">
        <v>1</v>
      </c>
      <c r="P11" s="101">
        <v>1</v>
      </c>
      <c r="Q11" s="76"/>
      <c r="R11" s="125">
        <f t="shared" si="1"/>
        <v>0</v>
      </c>
      <c r="S11" s="126"/>
      <c r="T11" s="126">
        <f t="shared" si="2"/>
        <v>0</v>
      </c>
      <c r="U11" s="126"/>
      <c r="V11" s="126">
        <f t="shared" si="3"/>
        <v>1</v>
      </c>
      <c r="W11" s="126"/>
      <c r="X11" s="126">
        <f t="shared" si="4"/>
        <v>0</v>
      </c>
      <c r="Y11" s="126"/>
      <c r="Z11" s="126">
        <f t="shared" si="5"/>
        <v>0</v>
      </c>
      <c r="AA11" s="126"/>
      <c r="AB11" s="126">
        <f t="shared" si="6"/>
        <v>1</v>
      </c>
      <c r="AC11" s="126"/>
      <c r="AD11" s="126">
        <f t="shared" si="7"/>
        <v>0</v>
      </c>
      <c r="AE11" s="126"/>
      <c r="AF11" s="126">
        <f t="shared" ref="AF11:AF18" si="8">IF(VALUE(C11)&gt;0,1,"")</f>
        <v>1</v>
      </c>
      <c r="AH11" s="116">
        <f>IF(VALUE(AI11)&gt;0,2,"")</f>
        <v>2</v>
      </c>
      <c r="AI11" s="330">
        <f>VLOOKUP(BNOPEN,'WARMUP LOADS'!$B$3:$K$161,3,TRUE)</f>
        <v>60</v>
      </c>
      <c r="AJ11" s="94" t="s">
        <v>30</v>
      </c>
      <c r="AK11" s="120" t="str">
        <f>IF(VALUE(BNOPEN)&lt;=(200/2.2),"3-5",IF(AND(BNOPEN&gt;=(201/2.2),BNOPEN&lt;=(400/2.2)),"4-7",IF(AND(BNOPEN&gt;=(401/2.2),BNOPEN&lt;=(600/2.2)),"5-8",IF(AND(BNOPEN&gt;=(601/2.2),BNOPEN&lt;=(1000/2.2)),"8"))))</f>
        <v>4-7</v>
      </c>
      <c r="AM11" s="125">
        <f t="shared" ref="AM11:AM18" si="9">IFERROR(IF($AI$9="weight: (lbs)", VLOOKUP(ROUNDUP(MROUND(ROUNDUP($AI11/2.20462,0),2.5)*2.20462,1),$H$10:$O$173,2,TRUE), VLOOKUP(MROUND(ROUNDUP($C11,0),2.5),$G$10:$O$173,3,TRUE)),"")</f>
        <v>0</v>
      </c>
      <c r="AN11" s="126"/>
      <c r="AO11" s="126">
        <f t="shared" ref="AO11:AO18" si="10">IFERROR(IF($AI$9="weight: (lbs)", VLOOKUP(ROUNDUP(MROUND(ROUNDUP($AI11/2.20462,0),2.5)*2.20462,1),$H$10:$O$173,3,TRUE), VLOOKUP(MROUND(ROUNDUP($C11,0),2.5),$G$10:$O$173,4,TRUE)),"")</f>
        <v>0</v>
      </c>
      <c r="AP11" s="126"/>
      <c r="AQ11" s="126">
        <f t="shared" ref="AQ11:AQ18" si="11">IFERROR(IF($AI$9="weight: (lbs)", VLOOKUP(ROUNDUP(MROUND(ROUNDUP($AI11/2.20462,0),2.5)*2.20462,1),$H$10:$O$173,4,TRUE), VLOOKUP(MROUND(ROUNDUP($C11,0),2.5),$G$10:$O$173,5,TRUE)),"")</f>
        <v>1</v>
      </c>
      <c r="AR11" s="126"/>
      <c r="AS11" s="126">
        <f t="shared" ref="AS11:AS18" si="12">IFERROR(IF($AI$9="weight: (lbs)", VLOOKUP(ROUNDUP(MROUND(ROUNDUP($AI11/2.20462,0),2.5)*2.20462,1),$H$10:$O$173,5,TRUE), VLOOKUP(MROUND(ROUNDUP($C11,0),2.5),$G$10:$O$173,6,TRUE)),"")</f>
        <v>0</v>
      </c>
      <c r="AT11" s="126"/>
      <c r="AU11" s="126">
        <f t="shared" ref="AU11:AU18" si="13">IFERROR(IF($AI$9="weight: (lbs)", VLOOKUP(ROUNDUP(MROUND(ROUNDUP($AI11/2.20462,0),2.5)*2.20462,1),$H$10:$O$173,6,TRUE), VLOOKUP(MROUND(ROUNDUP($C11,0),2.5),$G$10:$O$173,7,TRUE)),"")</f>
        <v>0</v>
      </c>
      <c r="AV11" s="126"/>
      <c r="AW11" s="126">
        <f t="shared" ref="AW11:AW18" si="14">IFERROR(IF($AI$9="weight: (lbs)", VLOOKUP(ROUNDUP(MROUND(ROUNDUP($AI11/2.20462,0),2.5)*2.20462,1),$H$10:$O$173,7,TRUE), VLOOKUP(MROUND(ROUNDUP($C11,0),2.5),$G$10:$O$173,8,TRUE)),"")</f>
        <v>1</v>
      </c>
      <c r="AX11" s="126"/>
      <c r="AY11" s="126">
        <f t="shared" ref="AY11:AY18" si="15">IFERROR(IF($AI$9="weight: (lbs)", VLOOKUP(ROUNDUP(MROUND(ROUNDUP($AI11/2.20462,0),2.5)*2.20462,1),$H$10:$O$173,8,TRUE), VLOOKUP(MROUND(ROUNDUP($C11,0),2.5),$G$10:$O$173,9,TRUE)),"")</f>
        <v>0</v>
      </c>
      <c r="AZ11" s="126"/>
      <c r="BA11" s="126">
        <f t="shared" ref="BA11:BA18" si="16">IF(VALUE(AI11)&gt;0,1,"")</f>
        <v>1</v>
      </c>
      <c r="BC11" s="116">
        <f>IF(VALUE(BD11)&gt;0,2,"")</f>
        <v>2</v>
      </c>
      <c r="BD11" s="330">
        <f>VLOOKUP(DLOPEN,'WARMUP LOADS'!$B$3:$K$161,3,TRUE)</f>
        <v>60</v>
      </c>
      <c r="BE11" s="94" t="s">
        <v>30</v>
      </c>
      <c r="BF11" s="120" t="str">
        <f>IF(VALUE(DLOPEN)&lt;=(200/2.2),"3-5",IF(AND(DLOPEN&gt;=(201/2.2),DLOPEN&lt;=(400/2.2)),"4-7",IF(AND(DLOPEN&gt;=(401/2.2),DLOPEN&lt;=(600/2.2)),"5-8",IF(AND(DLOPEN&gt;=(601/2.2),DLOPEN&lt;=(1000/2.2)),"8"))))</f>
        <v>5-8</v>
      </c>
      <c r="BH11" s="125">
        <f t="shared" ref="BH11:BH18" si="17">IFERROR(IF($BD$9="weight: (lbs)", VLOOKUP(ROUNDUP(MROUND(ROUNDUP($BD11/2.20462,0),2.5)*2.20462,1),$H$10:$O$173,2,TRUE), VLOOKUP(MROUND(ROUNDUP($C11,0),2.5),$G$10:$O$173,3,TRUE)),"")</f>
        <v>0</v>
      </c>
      <c r="BI11" s="126"/>
      <c r="BJ11" s="126">
        <f t="shared" ref="BJ11:BJ18" si="18">IFERROR(IF($BD$9="weight: (lbs)", VLOOKUP(ROUNDUP(MROUND(ROUNDUP($BD11/2.20462,0),2.5)*2.20462,1),$H$10:$O$173,3,TRUE), VLOOKUP(MROUND(ROUNDUP($C11,0),2.5),$G$10:$O$173,4,TRUE)),"")</f>
        <v>0</v>
      </c>
      <c r="BK11" s="126"/>
      <c r="BL11" s="126">
        <f t="shared" ref="BL11:BL18" si="19">IFERROR(IF($BD$9="weight: (lbs)", VLOOKUP(ROUNDUP(MROUND(ROUNDUP($BD11/2.20462,0),2.5)*2.20462,1),$H$10:$O$173,4,TRUE), VLOOKUP(MROUND(ROUNDUP($C11,0),2.5),$G$10:$O$173,5,TRUE)),"")</f>
        <v>1</v>
      </c>
      <c r="BM11" s="126"/>
      <c r="BN11" s="126">
        <f t="shared" ref="BN11:BN18" si="20">IFERROR(IF($BD$9="weight: (lbs)", VLOOKUP(ROUNDUP(MROUND(ROUNDUP($BD11/2.20462,0),2.5)*2.20462,1),$H$10:$O$173,5,TRUE), VLOOKUP(MROUND(ROUNDUP($C11,0),2.5),$G$10:$O$173,6,TRUE)),"")</f>
        <v>0</v>
      </c>
      <c r="BO11" s="126"/>
      <c r="BP11" s="126">
        <f t="shared" ref="BP11:BP18" si="21">IFERROR(IF($BD$9="weight: (lbs)", VLOOKUP(ROUNDUP(MROUND(ROUNDUP($BD11/2.20462,0),2.5)*2.20462,1),$H$10:$O$173,6,TRUE), VLOOKUP(MROUND(ROUNDUP($C11,0),2.5),$G$10:$O$173,7,TRUE)),"")</f>
        <v>0</v>
      </c>
      <c r="BQ11" s="126"/>
      <c r="BR11" s="126">
        <f t="shared" ref="BR11:BR18" si="22">IFERROR(IF($BD$9="weight: (lbs)", VLOOKUP(ROUNDUP(MROUND(ROUNDUP($BD11/2.20462,0),2.5)*2.20462,1),$H$10:$O$173,7,TRUE), VLOOKUP(MROUND(ROUNDUP($C11,0),2.5),$G$10:$O$173,8,TRUE)),"")</f>
        <v>1</v>
      </c>
      <c r="BS11" s="126"/>
      <c r="BT11" s="126">
        <f t="shared" ref="BT11:BT18" si="23">IFERROR(IF($BD$9="weight: (lbs)", VLOOKUP(ROUNDUP(MROUND(ROUNDUP($BD11/2.20462,0),2.5)*2.20462,1),$H$10:$O$173,8,TRUE), VLOOKUP(MROUND(ROUNDUP($C11,0),2.5),$G$10:$O$173,9,TRUE)),"")</f>
        <v>0</v>
      </c>
      <c r="BU11" s="126"/>
      <c r="BV11" s="126">
        <f t="shared" ref="BV11:BV18" si="24">IF(VALUE(BD11)&gt;0,1,"")</f>
        <v>1</v>
      </c>
    </row>
    <row r="12" spans="1:77" ht="14" customHeight="1">
      <c r="B12" s="116">
        <f>IF(VALUE(C12)&gt;0,3,"")</f>
        <v>3</v>
      </c>
      <c r="C12" s="330">
        <f>VLOOKUP(SQOPEN,'WARMUP LOADS'!$B$3:$K$161,4,TRUE)</f>
        <v>102.5</v>
      </c>
      <c r="D12" s="94" t="s">
        <v>30</v>
      </c>
      <c r="E12" s="120" t="str">
        <f>IF(VALUE(SQOPEN)&lt;=(200/2.2),"1",IF(AND(SQOPEN&gt;=(201/2.2),SQOPEN&lt;=(400/2.2)),"3",IF(AND(SQOPEN&gt;=(401/2.2),SQOPEN&lt;=(600/2.2)),"3-5",IF(AND(SQOPEN&gt;=(601/2.2),SQOPEN&lt;=(1000/2.2)),"5"))))</f>
        <v>3</v>
      </c>
      <c r="F12" s="143"/>
      <c r="G12" s="95">
        <v>30</v>
      </c>
      <c r="H12" s="96">
        <v>66.099999999999994</v>
      </c>
      <c r="I12" s="97"/>
      <c r="J12" s="97"/>
      <c r="K12" s="97"/>
      <c r="L12" s="98"/>
      <c r="M12" s="97"/>
      <c r="N12" s="97">
        <v>1</v>
      </c>
      <c r="O12" s="97"/>
      <c r="P12" s="101">
        <v>1</v>
      </c>
      <c r="Q12" s="76"/>
      <c r="R12" s="125">
        <f t="shared" si="1"/>
        <v>1</v>
      </c>
      <c r="S12" s="126"/>
      <c r="T12" s="126">
        <f t="shared" si="2"/>
        <v>0</v>
      </c>
      <c r="U12" s="126"/>
      <c r="V12" s="126">
        <f t="shared" si="3"/>
        <v>0</v>
      </c>
      <c r="W12" s="126"/>
      <c r="X12" s="126">
        <f t="shared" si="4"/>
        <v>1</v>
      </c>
      <c r="Y12" s="126"/>
      <c r="Z12" s="126">
        <f t="shared" si="5"/>
        <v>0</v>
      </c>
      <c r="AA12" s="126"/>
      <c r="AB12" s="126">
        <f t="shared" si="6"/>
        <v>1</v>
      </c>
      <c r="AC12" s="126"/>
      <c r="AD12" s="126">
        <f t="shared" si="7"/>
        <v>1</v>
      </c>
      <c r="AE12" s="126"/>
      <c r="AF12" s="126">
        <f t="shared" si="8"/>
        <v>1</v>
      </c>
      <c r="AH12" s="116">
        <f>IF(VALUE(AI12)&gt;0,3,"")</f>
        <v>3</v>
      </c>
      <c r="AI12" s="330">
        <f>VLOOKUP(BNOPEN,'WARMUP LOADS'!$B$3:$K$161,4,TRUE)</f>
        <v>70</v>
      </c>
      <c r="AJ12" s="94" t="s">
        <v>30</v>
      </c>
      <c r="AK12" s="120" t="str">
        <f>IF(VALUE(BNOPEN)&lt;=(200/2.2),"1",IF(AND(BNOPEN&gt;=(201/2.2),BNOPEN&lt;=(400/2.2)),"3",IF(AND(BNOPEN&gt;=(401/2.2),BNOPEN&lt;=(600/2.2)),"3-5",IF(AND(BNOPEN&gt;=(601/2.2),BNOPEN&lt;=(1000/2.2)),"5"))))</f>
        <v>3</v>
      </c>
      <c r="AM12" s="125">
        <f t="shared" si="9"/>
        <v>1</v>
      </c>
      <c r="AN12" s="126"/>
      <c r="AO12" s="126">
        <f t="shared" si="10"/>
        <v>0</v>
      </c>
      <c r="AP12" s="126"/>
      <c r="AQ12" s="126">
        <f t="shared" si="11"/>
        <v>0</v>
      </c>
      <c r="AR12" s="126"/>
      <c r="AS12" s="126">
        <f t="shared" si="12"/>
        <v>1</v>
      </c>
      <c r="AT12" s="126"/>
      <c r="AU12" s="126">
        <f t="shared" si="13"/>
        <v>0</v>
      </c>
      <c r="AV12" s="126"/>
      <c r="AW12" s="126">
        <f t="shared" si="14"/>
        <v>1</v>
      </c>
      <c r="AX12" s="126"/>
      <c r="AY12" s="126">
        <f t="shared" si="15"/>
        <v>1</v>
      </c>
      <c r="AZ12" s="126"/>
      <c r="BA12" s="126">
        <f t="shared" si="16"/>
        <v>1</v>
      </c>
      <c r="BC12" s="116">
        <f>IF(VALUE(BD12)&gt;0,3,"")</f>
        <v>3</v>
      </c>
      <c r="BD12" s="330">
        <f>VLOOKUP(DLOPEN,'WARMUP LOADS'!$B$3:$K$161,4,TRUE)</f>
        <v>102.5</v>
      </c>
      <c r="BE12" s="94" t="s">
        <v>30</v>
      </c>
      <c r="BF12" s="120" t="str">
        <f>IF(VALUE(DLOPEN)&lt;=(200/2.2),"1",IF(AND(DLOPEN&gt;=(201/2.2),DLOPEN&lt;=(400/2.2)),"3",IF(AND(DLOPEN&gt;=(401/2.2),DLOPEN&lt;=(600/2.2)),"3-5",IF(AND(DLOPEN&gt;=(601/2.2),DLOPEN&lt;=(1000/2.2)),"5"))))</f>
        <v>3-5</v>
      </c>
      <c r="BH12" s="125">
        <f t="shared" si="17"/>
        <v>1</v>
      </c>
      <c r="BI12" s="126"/>
      <c r="BJ12" s="126">
        <f t="shared" si="18"/>
        <v>0</v>
      </c>
      <c r="BK12" s="126"/>
      <c r="BL12" s="126">
        <f t="shared" si="19"/>
        <v>0</v>
      </c>
      <c r="BM12" s="126"/>
      <c r="BN12" s="126">
        <f t="shared" si="20"/>
        <v>1</v>
      </c>
      <c r="BO12" s="126"/>
      <c r="BP12" s="126">
        <f t="shared" si="21"/>
        <v>0</v>
      </c>
      <c r="BQ12" s="126"/>
      <c r="BR12" s="126">
        <f t="shared" si="22"/>
        <v>1</v>
      </c>
      <c r="BS12" s="126"/>
      <c r="BT12" s="126">
        <f t="shared" si="23"/>
        <v>1</v>
      </c>
      <c r="BU12" s="126"/>
      <c r="BV12" s="126">
        <f t="shared" si="24"/>
        <v>1</v>
      </c>
    </row>
    <row r="13" spans="1:77" ht="14" customHeight="1">
      <c r="B13" s="116">
        <f>IF(VALUE(C13)&gt;0,4,"")</f>
        <v>4</v>
      </c>
      <c r="C13" s="330">
        <f>VLOOKUP(SQOPEN,'WARMUP LOADS'!$B$3:$K$161,5,TRUE)</f>
        <v>142.5</v>
      </c>
      <c r="D13" s="94" t="s">
        <v>30</v>
      </c>
      <c r="E13" s="120" t="str">
        <f>IF(VALUE(SQOPEN)&lt;=(200/2.2),"",IF(AND(SQOPEN&gt;=(201/2.2),SQOPEN&lt;=(400/2.2)),"1",IF(AND(SQOPEN&gt;=(401/2.2),SQOPEN&lt;=(600/2.2)),"2",IF(AND(SQOPEN&gt;=(601/2.2),SQOPEN&lt;=(1000/2.2)),"3"))))</f>
        <v>1</v>
      </c>
      <c r="F13" s="143"/>
      <c r="G13" s="95">
        <v>32.5</v>
      </c>
      <c r="H13" s="96">
        <v>71.599999999999994</v>
      </c>
      <c r="I13" s="97"/>
      <c r="J13" s="97"/>
      <c r="K13" s="97"/>
      <c r="L13" s="98"/>
      <c r="M13" s="97"/>
      <c r="N13" s="97">
        <v>1</v>
      </c>
      <c r="O13" s="97">
        <v>1</v>
      </c>
      <c r="P13" s="101">
        <v>1</v>
      </c>
      <c r="Q13" s="76"/>
      <c r="R13" s="125">
        <f t="shared" si="1"/>
        <v>2</v>
      </c>
      <c r="S13" s="126"/>
      <c r="T13" s="126">
        <f t="shared" si="2"/>
        <v>0</v>
      </c>
      <c r="U13" s="126"/>
      <c r="V13" s="126">
        <f t="shared" si="3"/>
        <v>0</v>
      </c>
      <c r="W13" s="126"/>
      <c r="X13" s="126">
        <f t="shared" si="4"/>
        <v>0</v>
      </c>
      <c r="Y13" s="126"/>
      <c r="Z13" s="126">
        <f t="shared" si="5"/>
        <v>1</v>
      </c>
      <c r="AA13" s="126"/>
      <c r="AB13" s="126">
        <f t="shared" si="6"/>
        <v>1</v>
      </c>
      <c r="AC13" s="126"/>
      <c r="AD13" s="126">
        <f t="shared" si="7"/>
        <v>1</v>
      </c>
      <c r="AE13" s="126"/>
      <c r="AF13" s="126">
        <f t="shared" si="8"/>
        <v>1</v>
      </c>
      <c r="AH13" s="116">
        <f>IF(VALUE(AI13)&gt;0,4,"")</f>
        <v>4</v>
      </c>
      <c r="AI13" s="330">
        <f>VLOOKUP(BNOPEN,'WARMUP LOADS'!$B$3:$K$161,5,TRUE)</f>
        <v>85</v>
      </c>
      <c r="AJ13" s="94" t="s">
        <v>30</v>
      </c>
      <c r="AK13" s="120" t="str">
        <f>IF(VALUE(BNOPEN)&lt;=(79/2.2),"",IF(AND(BNOPEN&gt;=(80/2.2),BNOPEN&lt;=(250/2.2)),"1",IF(AND(BNOPEN&gt;=(251/2.2),BNOPEN&lt;=(600/2.2)),"2",IF(AND(BNOPEN&gt;=(601/2.2),BNOPEN&lt;=(1000/2.2)),"3"))))</f>
        <v>2</v>
      </c>
      <c r="AM13" s="125">
        <f t="shared" si="9"/>
        <v>2</v>
      </c>
      <c r="AN13" s="126"/>
      <c r="AO13" s="126">
        <f t="shared" si="10"/>
        <v>0</v>
      </c>
      <c r="AP13" s="126"/>
      <c r="AQ13" s="126">
        <f t="shared" si="11"/>
        <v>0</v>
      </c>
      <c r="AR13" s="126"/>
      <c r="AS13" s="126">
        <f t="shared" si="12"/>
        <v>0</v>
      </c>
      <c r="AT13" s="126"/>
      <c r="AU13" s="126">
        <f t="shared" si="13"/>
        <v>1</v>
      </c>
      <c r="AV13" s="126"/>
      <c r="AW13" s="126">
        <f t="shared" si="14"/>
        <v>1</v>
      </c>
      <c r="AX13" s="126"/>
      <c r="AY13" s="126">
        <f t="shared" si="15"/>
        <v>1</v>
      </c>
      <c r="AZ13" s="126"/>
      <c r="BA13" s="126">
        <f t="shared" si="16"/>
        <v>1</v>
      </c>
      <c r="BC13" s="116">
        <f>IF(VALUE(BD13)&gt;0,4,"")</f>
        <v>4</v>
      </c>
      <c r="BD13" s="330">
        <f>VLOOKUP(DLOPEN,'WARMUP LOADS'!$B$3:$K$161,5,TRUE)</f>
        <v>142.5</v>
      </c>
      <c r="BE13" s="94" t="s">
        <v>30</v>
      </c>
      <c r="BF13" s="120" t="str">
        <f>IF(VALUE(DLOPEN)&lt;=(79/2.2),"",IF(AND(DLOPEN&gt;=(80/2.2),DLOPEN&lt;=(250/2.2)),"1",IF(AND(DLOPEN&gt;=(251/2.2),DLOPEN&lt;=(600/2.2)),"2",IF(AND(DLOPEN&gt;=(601/2.2),DLOPEN&lt;=(1000/2.2)),"3"))))</f>
        <v>2</v>
      </c>
      <c r="BH13" s="125">
        <f t="shared" si="17"/>
        <v>2</v>
      </c>
      <c r="BI13" s="126"/>
      <c r="BJ13" s="126">
        <f t="shared" si="18"/>
        <v>0</v>
      </c>
      <c r="BK13" s="126"/>
      <c r="BL13" s="126">
        <f t="shared" si="19"/>
        <v>0</v>
      </c>
      <c r="BM13" s="126"/>
      <c r="BN13" s="126">
        <f t="shared" si="20"/>
        <v>0</v>
      </c>
      <c r="BO13" s="126"/>
      <c r="BP13" s="126">
        <f t="shared" si="21"/>
        <v>1</v>
      </c>
      <c r="BQ13" s="126"/>
      <c r="BR13" s="126">
        <f t="shared" si="22"/>
        <v>1</v>
      </c>
      <c r="BS13" s="126"/>
      <c r="BT13" s="126">
        <f t="shared" si="23"/>
        <v>1</v>
      </c>
      <c r="BU13" s="126"/>
      <c r="BV13" s="126">
        <f t="shared" si="24"/>
        <v>1</v>
      </c>
    </row>
    <row r="14" spans="1:77" ht="14" customHeight="1">
      <c r="B14" s="116">
        <f>IF(VALUE(C14)&gt;0,5,"")</f>
        <v>5</v>
      </c>
      <c r="C14" s="330">
        <f>VLOOKUP(SQOPEN,'WARMUP LOADS'!$B$3:$K$161,6,TRUE)</f>
        <v>160</v>
      </c>
      <c r="D14" s="94" t="s">
        <v>30</v>
      </c>
      <c r="E14" s="120" t="str">
        <f>IF(SQOPEN&lt;=(114/2.2),"",IF(SQOPEN&gt;=(115/2.2),"1"))</f>
        <v>1</v>
      </c>
      <c r="F14" s="143"/>
      <c r="G14" s="95">
        <v>35</v>
      </c>
      <c r="H14" s="96">
        <v>77.2</v>
      </c>
      <c r="I14" s="97"/>
      <c r="J14" s="97"/>
      <c r="K14" s="97"/>
      <c r="L14" s="98"/>
      <c r="M14" s="97">
        <v>1</v>
      </c>
      <c r="N14" s="97"/>
      <c r="O14" s="97"/>
      <c r="P14" s="101">
        <v>1</v>
      </c>
      <c r="Q14" s="76"/>
      <c r="R14" s="125">
        <f t="shared" si="1"/>
        <v>2</v>
      </c>
      <c r="S14" s="126"/>
      <c r="T14" s="126">
        <f t="shared" si="2"/>
        <v>0</v>
      </c>
      <c r="U14" s="126"/>
      <c r="V14" s="126">
        <f t="shared" si="3"/>
        <v>1</v>
      </c>
      <c r="W14" s="126"/>
      <c r="X14" s="126">
        <f t="shared" si="4"/>
        <v>0</v>
      </c>
      <c r="Y14" s="126"/>
      <c r="Z14" s="126">
        <f t="shared" si="5"/>
        <v>0</v>
      </c>
      <c r="AA14" s="126"/>
      <c r="AB14" s="126">
        <f t="shared" si="6"/>
        <v>1</v>
      </c>
      <c r="AC14" s="126"/>
      <c r="AD14" s="126">
        <f t="shared" si="7"/>
        <v>0</v>
      </c>
      <c r="AE14" s="126"/>
      <c r="AF14" s="126">
        <f t="shared" si="8"/>
        <v>1</v>
      </c>
      <c r="AH14" s="116">
        <f>IF(VALUE(AI14)&gt;0,5,"")</f>
        <v>5</v>
      </c>
      <c r="AI14" s="330">
        <f>VLOOKUP(BNOPEN,'WARMUP LOADS'!$B$3:$K$161,6,TRUE)</f>
        <v>110</v>
      </c>
      <c r="AJ14" s="94" t="s">
        <v>30</v>
      </c>
      <c r="AK14" s="120" t="str">
        <f>IF(BNOPEN&lt;=(114/2.2),"",IF(BNOPEN&gt;=(115/2.2),"1"))</f>
        <v>1</v>
      </c>
      <c r="AM14" s="125">
        <f t="shared" si="9"/>
        <v>2</v>
      </c>
      <c r="AN14" s="126"/>
      <c r="AO14" s="126">
        <f t="shared" si="10"/>
        <v>0</v>
      </c>
      <c r="AP14" s="126"/>
      <c r="AQ14" s="126">
        <f t="shared" si="11"/>
        <v>1</v>
      </c>
      <c r="AR14" s="126"/>
      <c r="AS14" s="126">
        <f t="shared" si="12"/>
        <v>0</v>
      </c>
      <c r="AT14" s="126"/>
      <c r="AU14" s="126">
        <f t="shared" si="13"/>
        <v>0</v>
      </c>
      <c r="AV14" s="126"/>
      <c r="AW14" s="126">
        <f t="shared" si="14"/>
        <v>1</v>
      </c>
      <c r="AX14" s="126"/>
      <c r="AY14" s="126">
        <f t="shared" si="15"/>
        <v>0</v>
      </c>
      <c r="AZ14" s="126"/>
      <c r="BA14" s="126">
        <f t="shared" si="16"/>
        <v>1</v>
      </c>
      <c r="BC14" s="116">
        <f>IF(VALUE(BD14)&gt;0,5,"")</f>
        <v>5</v>
      </c>
      <c r="BD14" s="330">
        <f>VLOOKUP(DLOPEN,'WARMUP LOADS'!$B$3:$K$161,6,TRUE)</f>
        <v>182.5</v>
      </c>
      <c r="BE14" s="94" t="s">
        <v>30</v>
      </c>
      <c r="BF14" s="120" t="str">
        <f>IF(DLOPEN&lt;=(114/2.2),"",IF(DLOPEN&gt;=(115/2.2),"1"))</f>
        <v>1</v>
      </c>
      <c r="BH14" s="125">
        <f t="shared" si="17"/>
        <v>2</v>
      </c>
      <c r="BI14" s="126"/>
      <c r="BJ14" s="126">
        <f t="shared" si="18"/>
        <v>0</v>
      </c>
      <c r="BK14" s="126"/>
      <c r="BL14" s="126">
        <f t="shared" si="19"/>
        <v>1</v>
      </c>
      <c r="BM14" s="126"/>
      <c r="BN14" s="126">
        <f t="shared" si="20"/>
        <v>0</v>
      </c>
      <c r="BO14" s="126"/>
      <c r="BP14" s="126">
        <f t="shared" si="21"/>
        <v>0</v>
      </c>
      <c r="BQ14" s="126"/>
      <c r="BR14" s="126">
        <f t="shared" si="22"/>
        <v>1</v>
      </c>
      <c r="BS14" s="126"/>
      <c r="BT14" s="126">
        <f t="shared" si="23"/>
        <v>0</v>
      </c>
      <c r="BU14" s="126"/>
      <c r="BV14" s="126">
        <f t="shared" si="24"/>
        <v>1</v>
      </c>
    </row>
    <row r="15" spans="1:77" ht="14" customHeight="1">
      <c r="B15" s="116" t="str">
        <f>IF(VALUE(C15)&gt;0,6,"")</f>
        <v/>
      </c>
      <c r="C15" s="330">
        <f>VLOOKUP(SQOPEN,'WARMUP LOADS'!$B$3:$K$161,7,TRUE)</f>
        <v>0</v>
      </c>
      <c r="D15" s="94" t="s">
        <v>30</v>
      </c>
      <c r="E15" s="120" t="str">
        <f>IF(SQOPEN&lt;=(435/2.2),"",IF(SQOPEN&gt;=(436/2.2),"1"))</f>
        <v/>
      </c>
      <c r="F15" s="143"/>
      <c r="G15" s="95">
        <v>37.5</v>
      </c>
      <c r="H15" s="96">
        <v>82.7</v>
      </c>
      <c r="I15" s="97"/>
      <c r="J15" s="97"/>
      <c r="K15" s="97"/>
      <c r="L15" s="98"/>
      <c r="M15" s="97">
        <v>1</v>
      </c>
      <c r="N15" s="97"/>
      <c r="O15" s="97">
        <v>1</v>
      </c>
      <c r="P15" s="101">
        <v>1</v>
      </c>
      <c r="Q15" s="76"/>
      <c r="R15" s="125" t="str">
        <f t="shared" si="1"/>
        <v/>
      </c>
      <c r="S15" s="126"/>
      <c r="T15" s="126" t="str">
        <f t="shared" si="2"/>
        <v/>
      </c>
      <c r="U15" s="126"/>
      <c r="V15" s="126" t="str">
        <f t="shared" si="3"/>
        <v/>
      </c>
      <c r="W15" s="126"/>
      <c r="X15" s="126" t="str">
        <f t="shared" si="4"/>
        <v/>
      </c>
      <c r="Y15" s="126"/>
      <c r="Z15" s="126" t="str">
        <f t="shared" si="5"/>
        <v/>
      </c>
      <c r="AA15" s="126"/>
      <c r="AB15" s="126" t="str">
        <f t="shared" si="6"/>
        <v/>
      </c>
      <c r="AC15" s="126"/>
      <c r="AD15" s="126" t="str">
        <f t="shared" si="7"/>
        <v/>
      </c>
      <c r="AE15" s="126"/>
      <c r="AF15" s="126" t="str">
        <f t="shared" si="8"/>
        <v/>
      </c>
      <c r="AH15" s="116" t="str">
        <f>IF(VALUE(AI15)&gt;0,6,"")</f>
        <v/>
      </c>
      <c r="AI15" s="330">
        <f>VLOOKUP(BNOPEN,'WARMUP LOADS'!$B$3:$K$161,7,TRUE)</f>
        <v>0</v>
      </c>
      <c r="AJ15" s="94" t="s">
        <v>30</v>
      </c>
      <c r="AK15" s="120" t="str">
        <f>IF(BNOPEN&lt;=(435/2.2),"",IF(BNOPEN&gt;=(436/2.2),"1"))</f>
        <v/>
      </c>
      <c r="AM15" s="125" t="str">
        <f t="shared" si="9"/>
        <v/>
      </c>
      <c r="AN15" s="126"/>
      <c r="AO15" s="126" t="str">
        <f t="shared" si="10"/>
        <v/>
      </c>
      <c r="AP15" s="126"/>
      <c r="AQ15" s="126" t="str">
        <f t="shared" si="11"/>
        <v/>
      </c>
      <c r="AR15" s="126"/>
      <c r="AS15" s="126" t="str">
        <f t="shared" si="12"/>
        <v/>
      </c>
      <c r="AT15" s="126"/>
      <c r="AU15" s="126" t="str">
        <f t="shared" si="13"/>
        <v/>
      </c>
      <c r="AV15" s="126"/>
      <c r="AW15" s="126" t="str">
        <f t="shared" si="14"/>
        <v/>
      </c>
      <c r="AX15" s="126"/>
      <c r="AY15" s="126" t="str">
        <f t="shared" si="15"/>
        <v/>
      </c>
      <c r="AZ15" s="126"/>
      <c r="BA15" s="126" t="str">
        <f t="shared" si="16"/>
        <v/>
      </c>
      <c r="BC15" s="116">
        <f>IF(VALUE(BD15)&gt;0,6,"")</f>
        <v>6</v>
      </c>
      <c r="BD15" s="330">
        <f>VLOOKUP(DLOPEN,'WARMUP LOADS'!$B$3:$K$161,7,TRUE)</f>
        <v>207.5</v>
      </c>
      <c r="BE15" s="94" t="s">
        <v>30</v>
      </c>
      <c r="BF15" s="120" t="str">
        <f>IF(DLOPEN&lt;=(435/2.2),"",IF(DLOPEN&gt;=(436/2.2),"1"))</f>
        <v>1</v>
      </c>
      <c r="BH15" s="125" t="str">
        <f t="shared" si="17"/>
        <v/>
      </c>
      <c r="BI15" s="126"/>
      <c r="BJ15" s="126" t="str">
        <f t="shared" si="18"/>
        <v/>
      </c>
      <c r="BK15" s="126"/>
      <c r="BL15" s="126" t="str">
        <f t="shared" si="19"/>
        <v/>
      </c>
      <c r="BM15" s="126"/>
      <c r="BN15" s="126" t="str">
        <f t="shared" si="20"/>
        <v/>
      </c>
      <c r="BO15" s="126"/>
      <c r="BP15" s="126" t="str">
        <f t="shared" si="21"/>
        <v/>
      </c>
      <c r="BQ15" s="126"/>
      <c r="BR15" s="126" t="str">
        <f t="shared" si="22"/>
        <v/>
      </c>
      <c r="BS15" s="126"/>
      <c r="BT15" s="126" t="str">
        <f t="shared" si="23"/>
        <v/>
      </c>
      <c r="BU15" s="126"/>
      <c r="BV15" s="126">
        <f t="shared" si="24"/>
        <v>1</v>
      </c>
    </row>
    <row r="16" spans="1:77" ht="14" customHeight="1">
      <c r="B16" s="116" t="str">
        <f>IF(VALUE(C16)&gt;0,7,"")</f>
        <v/>
      </c>
      <c r="C16" s="330">
        <f>VLOOKUP(SQOPEN,'WARMUP LOADS'!$B$3:$K$161,8,TRUE)</f>
        <v>0</v>
      </c>
      <c r="D16" s="94" t="s">
        <v>30</v>
      </c>
      <c r="E16" s="120" t="str">
        <f>IF(SQOPEN&lt;=(465/2.2),"",IF(SQOPEN&gt;=(466/2.2),"1"))</f>
        <v/>
      </c>
      <c r="F16" s="143"/>
      <c r="G16" s="95">
        <v>40</v>
      </c>
      <c r="H16" s="96">
        <v>88.2</v>
      </c>
      <c r="I16" s="97"/>
      <c r="J16" s="97"/>
      <c r="K16" s="97"/>
      <c r="L16" s="98"/>
      <c r="M16" s="97">
        <v>1</v>
      </c>
      <c r="N16" s="97">
        <v>1</v>
      </c>
      <c r="O16" s="97"/>
      <c r="P16" s="101">
        <v>1</v>
      </c>
      <c r="Q16" s="76"/>
      <c r="R16" s="125" t="str">
        <f t="shared" si="1"/>
        <v/>
      </c>
      <c r="S16" s="126"/>
      <c r="T16" s="126" t="str">
        <f t="shared" si="2"/>
        <v/>
      </c>
      <c r="U16" s="126"/>
      <c r="V16" s="126" t="str">
        <f t="shared" si="3"/>
        <v/>
      </c>
      <c r="W16" s="126"/>
      <c r="X16" s="126" t="str">
        <f t="shared" si="4"/>
        <v/>
      </c>
      <c r="Y16" s="126"/>
      <c r="Z16" s="126" t="str">
        <f t="shared" si="5"/>
        <v/>
      </c>
      <c r="AA16" s="126"/>
      <c r="AB16" s="126" t="str">
        <f t="shared" si="6"/>
        <v/>
      </c>
      <c r="AC16" s="126"/>
      <c r="AD16" s="126" t="str">
        <f t="shared" si="7"/>
        <v/>
      </c>
      <c r="AE16" s="126"/>
      <c r="AF16" s="126" t="str">
        <f t="shared" si="8"/>
        <v/>
      </c>
      <c r="AH16" s="116" t="str">
        <f>IF(VALUE(AI16)&gt;0,7,"")</f>
        <v/>
      </c>
      <c r="AI16" s="330">
        <f>VLOOKUP(BNOPEN,'WARMUP LOADS'!$B$3:$K$161,8,TRUE)</f>
        <v>0</v>
      </c>
      <c r="AJ16" s="94" t="s">
        <v>30</v>
      </c>
      <c r="AK16" s="120" t="str">
        <f>IF(BNOPEN&lt;=(465/2.2),"",IF(BNOPEN&gt;=(466/2.2),"1"))</f>
        <v/>
      </c>
      <c r="AM16" s="125" t="str">
        <f t="shared" si="9"/>
        <v/>
      </c>
      <c r="AN16" s="126"/>
      <c r="AO16" s="126" t="str">
        <f t="shared" si="10"/>
        <v/>
      </c>
      <c r="AP16" s="126"/>
      <c r="AQ16" s="126" t="str">
        <f t="shared" si="11"/>
        <v/>
      </c>
      <c r="AR16" s="126"/>
      <c r="AS16" s="126" t="str">
        <f t="shared" si="12"/>
        <v/>
      </c>
      <c r="AT16" s="126"/>
      <c r="AU16" s="126" t="str">
        <f t="shared" si="13"/>
        <v/>
      </c>
      <c r="AV16" s="126"/>
      <c r="AW16" s="126" t="str">
        <f t="shared" si="14"/>
        <v/>
      </c>
      <c r="AX16" s="126"/>
      <c r="AY16" s="126" t="str">
        <f t="shared" si="15"/>
        <v/>
      </c>
      <c r="AZ16" s="126"/>
      <c r="BA16" s="126" t="str">
        <f t="shared" si="16"/>
        <v/>
      </c>
      <c r="BC16" s="116">
        <f>IF(VALUE(BD16)&gt;0,7,"")</f>
        <v>7</v>
      </c>
      <c r="BD16" s="330">
        <f>VLOOKUP(DLOPEN,'WARMUP LOADS'!$B$3:$K$161,8,TRUE)</f>
        <v>225</v>
      </c>
      <c r="BE16" s="94" t="s">
        <v>30</v>
      </c>
      <c r="BF16" s="120" t="str">
        <f>IF(DLOPEN&lt;=(465/2.2),"",IF(DLOPEN&gt;=(466/2.2),"1"))</f>
        <v>1</v>
      </c>
      <c r="BH16" s="125" t="str">
        <f t="shared" si="17"/>
        <v/>
      </c>
      <c r="BI16" s="126"/>
      <c r="BJ16" s="126" t="str">
        <f t="shared" si="18"/>
        <v/>
      </c>
      <c r="BK16" s="126"/>
      <c r="BL16" s="126" t="str">
        <f t="shared" si="19"/>
        <v/>
      </c>
      <c r="BM16" s="126"/>
      <c r="BN16" s="126" t="str">
        <f t="shared" si="20"/>
        <v/>
      </c>
      <c r="BO16" s="126"/>
      <c r="BP16" s="126" t="str">
        <f t="shared" si="21"/>
        <v/>
      </c>
      <c r="BQ16" s="126"/>
      <c r="BR16" s="126" t="str">
        <f t="shared" si="22"/>
        <v/>
      </c>
      <c r="BS16" s="126"/>
      <c r="BT16" s="126" t="str">
        <f t="shared" si="23"/>
        <v/>
      </c>
      <c r="BU16" s="126"/>
      <c r="BV16" s="126">
        <f t="shared" si="24"/>
        <v>1</v>
      </c>
    </row>
    <row r="17" spans="1:74" ht="14" customHeight="1">
      <c r="B17" s="116" t="str">
        <f>IF(VALUE(C17)&gt;0,8,"")</f>
        <v/>
      </c>
      <c r="C17" s="330">
        <f>VLOOKUP(SQOPEN,'WARMUP LOADS'!$B$3:$K$161,9,TRUE)</f>
        <v>0</v>
      </c>
      <c r="D17" s="94" t="s">
        <v>30</v>
      </c>
      <c r="E17" s="120" t="str">
        <f>IF(SQOPEN&lt;=(549/2.2),"",IF(SQOPEN&gt;=(550/2.2),"1"))</f>
        <v/>
      </c>
      <c r="F17" s="143"/>
      <c r="G17" s="95">
        <v>42.5</v>
      </c>
      <c r="H17" s="96">
        <v>93.7</v>
      </c>
      <c r="I17" s="97"/>
      <c r="J17" s="97"/>
      <c r="K17" s="97"/>
      <c r="L17" s="98"/>
      <c r="M17" s="97">
        <v>1</v>
      </c>
      <c r="N17" s="97">
        <v>1</v>
      </c>
      <c r="O17" s="97">
        <v>1</v>
      </c>
      <c r="P17" s="101">
        <v>1</v>
      </c>
      <c r="Q17" s="76"/>
      <c r="R17" s="125" t="str">
        <f t="shared" ref="R17:R18" si="25">IFERROR(IF($C$9="weight: (lbs)", VLOOKUP(ROUNDUP(MROUND(ROUNDUP($C17/2.20462,0),2.5)*2.20462,1),$H$10:$O$173,2,TRUE), VLOOKUP(MROUND(ROUNDUP($C17,0),2.5),$G$10:$O$173,3,TRUE)),"")</f>
        <v/>
      </c>
      <c r="S17" s="126"/>
      <c r="T17" s="126" t="str">
        <f t="shared" ref="T17:T18" si="26">IFERROR(IF($C$9="weight: (lbs)", VLOOKUP(ROUNDUP(MROUND(ROUNDUP($C17/2.20462,0),2.5)*2.20462,1),$H$10:$O$173,3,TRUE), VLOOKUP(MROUND(ROUNDUP($C17,0),2.5),$G$10:$O$173,4,TRUE)),"")</f>
        <v/>
      </c>
      <c r="U17" s="126"/>
      <c r="V17" s="126" t="str">
        <f t="shared" ref="V17:V18" si="27">IFERROR(IF($C$9="weight: (lbs)", VLOOKUP(ROUNDUP(MROUND(ROUNDUP($C17/2.20462,0),2.5)*2.20462,1),$H$10:$O$173,4,TRUE), VLOOKUP(MROUND(ROUNDUP($C17,0),2.5),$G$10:$O$173,5,TRUE)),"")</f>
        <v/>
      </c>
      <c r="W17" s="126"/>
      <c r="X17" s="126" t="str">
        <f t="shared" ref="X17:X18" si="28">IFERROR(IF($C$9="weight: (lbs)", VLOOKUP(ROUNDUP(MROUND(ROUNDUP($C17/2.20462,0),2.5)*2.20462,1),$H$10:$O$173,5,TRUE), VLOOKUP(MROUND(ROUNDUP($C17,0),2.5),$G$10:$O$173,6,TRUE)),"")</f>
        <v/>
      </c>
      <c r="Y17" s="126"/>
      <c r="Z17" s="126" t="str">
        <f t="shared" ref="Z17:Z18" si="29">IFERROR(IF($C$9="weight: (lbs)", VLOOKUP(ROUNDUP(MROUND(ROUNDUP($C17/2.20462,0),2.5)*2.20462,1),$H$10:$O$173,6,TRUE), VLOOKUP(MROUND(ROUNDUP($C17,0),2.5),$G$10:$O$173,7,TRUE)),"")</f>
        <v/>
      </c>
      <c r="AA17" s="126"/>
      <c r="AB17" s="126" t="str">
        <f t="shared" ref="AB17:AB18" si="30">IFERROR(IF($C$9="weight: (lbs)", VLOOKUP(ROUNDUP(MROUND(ROUNDUP($C17/2.20462,0),2.5)*2.20462,1),$H$10:$O$173,7,TRUE), VLOOKUP(MROUND(ROUNDUP($C17,0),2.5),$G$10:$O$173,8,TRUE)),"")</f>
        <v/>
      </c>
      <c r="AC17" s="126"/>
      <c r="AD17" s="126" t="str">
        <f t="shared" ref="AD17:AD18" si="31">IFERROR(IF($C$9="weight: (lbs)", VLOOKUP(ROUNDUP(MROUND(ROUNDUP($C17/2.20462,0),2.5)*2.20462,1),$H$10:$O$173,8,TRUE), VLOOKUP(MROUND(ROUNDUP($C17,0),2.5),$G$10:$O$173,9,TRUE)),"")</f>
        <v/>
      </c>
      <c r="AE17" s="126"/>
      <c r="AF17" s="126" t="str">
        <f t="shared" si="8"/>
        <v/>
      </c>
      <c r="AH17" s="116" t="str">
        <f>IF(VALUE(AI17)&gt;0,8,"")</f>
        <v/>
      </c>
      <c r="AI17" s="330">
        <f>VLOOKUP(BNOPEN,'WARMUP LOADS'!$B$3:$K$161,9,TRUE)</f>
        <v>0</v>
      </c>
      <c r="AJ17" s="94" t="s">
        <v>30</v>
      </c>
      <c r="AK17" s="120" t="str">
        <f>IF(BNOPEN&lt;=(549/2.2),"",IF(BNOPEN&gt;=(550/2.2),"1"))</f>
        <v/>
      </c>
      <c r="AM17" s="125" t="str">
        <f t="shared" si="9"/>
        <v/>
      </c>
      <c r="AN17" s="126"/>
      <c r="AO17" s="126" t="str">
        <f t="shared" si="10"/>
        <v/>
      </c>
      <c r="AP17" s="126"/>
      <c r="AQ17" s="126" t="str">
        <f t="shared" si="11"/>
        <v/>
      </c>
      <c r="AR17" s="126"/>
      <c r="AS17" s="126" t="str">
        <f t="shared" si="12"/>
        <v/>
      </c>
      <c r="AT17" s="126"/>
      <c r="AU17" s="126" t="str">
        <f t="shared" si="13"/>
        <v/>
      </c>
      <c r="AV17" s="126"/>
      <c r="AW17" s="126" t="str">
        <f t="shared" si="14"/>
        <v/>
      </c>
      <c r="AX17" s="126"/>
      <c r="AY17" s="126" t="str">
        <f t="shared" si="15"/>
        <v/>
      </c>
      <c r="AZ17" s="126"/>
      <c r="BA17" s="126" t="str">
        <f t="shared" si="16"/>
        <v/>
      </c>
      <c r="BC17" s="116">
        <f>IF(VALUE(BD17)&gt;0,8,"")</f>
        <v>8</v>
      </c>
      <c r="BD17" s="330">
        <f>VLOOKUP(DLOPEN,'WARMUP LOADS'!$B$3:$K$161,9,TRUE)</f>
        <v>237.5</v>
      </c>
      <c r="BE17" s="94" t="s">
        <v>30</v>
      </c>
      <c r="BF17" s="120" t="str">
        <f>IF(DLOPEN&lt;=(549/2.2),"",IF(DLOPEN&gt;=(550/2.2),"1"))</f>
        <v>1</v>
      </c>
      <c r="BH17" s="125" t="str">
        <f t="shared" si="17"/>
        <v/>
      </c>
      <c r="BI17" s="126"/>
      <c r="BJ17" s="126" t="str">
        <f t="shared" si="18"/>
        <v/>
      </c>
      <c r="BK17" s="126"/>
      <c r="BL17" s="126" t="str">
        <f t="shared" si="19"/>
        <v/>
      </c>
      <c r="BM17" s="126"/>
      <c r="BN17" s="126" t="str">
        <f t="shared" si="20"/>
        <v/>
      </c>
      <c r="BO17" s="126"/>
      <c r="BP17" s="126" t="str">
        <f t="shared" si="21"/>
        <v/>
      </c>
      <c r="BQ17" s="126"/>
      <c r="BR17" s="126" t="str">
        <f t="shared" si="22"/>
        <v/>
      </c>
      <c r="BS17" s="126"/>
      <c r="BT17" s="126" t="str">
        <f t="shared" si="23"/>
        <v/>
      </c>
      <c r="BU17" s="126"/>
      <c r="BV17" s="126">
        <f t="shared" si="24"/>
        <v>1</v>
      </c>
    </row>
    <row r="18" spans="1:74" ht="14" customHeight="1" thickBot="1">
      <c r="B18" s="117" t="str">
        <f>IF(VALUE(C18)&gt;0,9,"")</f>
        <v/>
      </c>
      <c r="C18" s="331">
        <f>VLOOKUP(SQOPEN,'WARMUP LOADS'!$B$3:$K$161,10,TRUE)</f>
        <v>0</v>
      </c>
      <c r="D18" s="110" t="s">
        <v>30</v>
      </c>
      <c r="E18" s="121" t="str">
        <f>IF(SQOPEN&lt;=(749/2.2),"",IF(SQOPEN&gt;=(750/2.2),"1"))</f>
        <v/>
      </c>
      <c r="F18" s="143"/>
      <c r="G18" s="95">
        <v>45</v>
      </c>
      <c r="H18" s="96">
        <v>99.2</v>
      </c>
      <c r="I18" s="97"/>
      <c r="J18" s="97"/>
      <c r="K18" s="97"/>
      <c r="L18" s="98">
        <v>1</v>
      </c>
      <c r="M18" s="97"/>
      <c r="N18" s="97"/>
      <c r="O18" s="97"/>
      <c r="P18" s="101">
        <v>1</v>
      </c>
      <c r="Q18" s="76"/>
      <c r="R18" s="125" t="str">
        <f t="shared" si="25"/>
        <v/>
      </c>
      <c r="S18" s="126"/>
      <c r="T18" s="126" t="str">
        <f t="shared" si="26"/>
        <v/>
      </c>
      <c r="U18" s="126"/>
      <c r="V18" s="126" t="str">
        <f t="shared" si="27"/>
        <v/>
      </c>
      <c r="W18" s="126"/>
      <c r="X18" s="126" t="str">
        <f t="shared" si="28"/>
        <v/>
      </c>
      <c r="Y18" s="126"/>
      <c r="Z18" s="126" t="str">
        <f t="shared" si="29"/>
        <v/>
      </c>
      <c r="AA18" s="126"/>
      <c r="AB18" s="126" t="str">
        <f t="shared" si="30"/>
        <v/>
      </c>
      <c r="AC18" s="126"/>
      <c r="AD18" s="126" t="str">
        <f t="shared" si="31"/>
        <v/>
      </c>
      <c r="AE18" s="126"/>
      <c r="AF18" s="126" t="str">
        <f t="shared" si="8"/>
        <v/>
      </c>
      <c r="AH18" s="117" t="str">
        <f>IF(VALUE(AI18)&gt;0,9,"")</f>
        <v/>
      </c>
      <c r="AI18" s="331">
        <f>VLOOKUP(BNOPEN,'WARMUP LOADS'!$B$3:$K$161,10,TRUE)</f>
        <v>0</v>
      </c>
      <c r="AJ18" s="110" t="s">
        <v>30</v>
      </c>
      <c r="AK18" s="121" t="str">
        <f>IF(BNOPEN&lt;=(749/2.2),"",IF(BNOPEN&gt;=(750/2.2),"1"))</f>
        <v/>
      </c>
      <c r="AM18" s="125" t="str">
        <f t="shared" si="9"/>
        <v/>
      </c>
      <c r="AN18" s="124"/>
      <c r="AO18" s="126" t="str">
        <f t="shared" si="10"/>
        <v/>
      </c>
      <c r="AP18" s="124"/>
      <c r="AQ18" s="126" t="str">
        <f t="shared" si="11"/>
        <v/>
      </c>
      <c r="AR18" s="124"/>
      <c r="AS18" s="126" t="str">
        <f t="shared" si="12"/>
        <v/>
      </c>
      <c r="AT18" s="124"/>
      <c r="AU18" s="126" t="str">
        <f t="shared" si="13"/>
        <v/>
      </c>
      <c r="AV18" s="124"/>
      <c r="AW18" s="126" t="str">
        <f t="shared" si="14"/>
        <v/>
      </c>
      <c r="AX18" s="124"/>
      <c r="AY18" s="126" t="str">
        <f t="shared" si="15"/>
        <v/>
      </c>
      <c r="AZ18" s="124"/>
      <c r="BA18" s="126" t="str">
        <f t="shared" si="16"/>
        <v/>
      </c>
      <c r="BC18" s="117" t="str">
        <f>IF(VALUE(BD18)&gt;0,9,"")</f>
        <v/>
      </c>
      <c r="BD18" s="331">
        <f>VLOOKUP(DLOPEN,'WARMUP LOADS'!$B$3:$K$161,10,TRUE)</f>
        <v>0</v>
      </c>
      <c r="BE18" s="110" t="s">
        <v>30</v>
      </c>
      <c r="BF18" s="121" t="str">
        <f>IF(DLOPEN&lt;=(749/2.2),"",IF(DLOPEN&gt;=(750/2.2),"1"))</f>
        <v/>
      </c>
      <c r="BH18" s="125" t="str">
        <f t="shared" si="17"/>
        <v/>
      </c>
      <c r="BI18" s="126"/>
      <c r="BJ18" s="126" t="str">
        <f t="shared" si="18"/>
        <v/>
      </c>
      <c r="BK18" s="126"/>
      <c r="BL18" s="126" t="str">
        <f t="shared" si="19"/>
        <v/>
      </c>
      <c r="BM18" s="126"/>
      <c r="BN18" s="126" t="str">
        <f t="shared" si="20"/>
        <v/>
      </c>
      <c r="BO18" s="126"/>
      <c r="BP18" s="126" t="str">
        <f t="shared" si="21"/>
        <v/>
      </c>
      <c r="BQ18" s="126"/>
      <c r="BR18" s="126" t="str">
        <f t="shared" si="22"/>
        <v/>
      </c>
      <c r="BS18" s="126"/>
      <c r="BT18" s="126" t="str">
        <f t="shared" si="23"/>
        <v/>
      </c>
      <c r="BU18" s="126"/>
      <c r="BV18" s="126" t="str">
        <f t="shared" si="24"/>
        <v/>
      </c>
    </row>
    <row r="19" spans="1:74" ht="14" customHeight="1">
      <c r="B19" s="111"/>
      <c r="C19" s="144"/>
      <c r="D19" s="112"/>
      <c r="E19" s="336"/>
      <c r="F19" s="143"/>
      <c r="G19" s="95">
        <v>47.5</v>
      </c>
      <c r="H19" s="96">
        <v>104.7</v>
      </c>
      <c r="I19" s="97"/>
      <c r="J19" s="97"/>
      <c r="K19" s="97"/>
      <c r="L19" s="98">
        <v>1</v>
      </c>
      <c r="M19" s="97"/>
      <c r="N19" s="97"/>
      <c r="O19" s="97">
        <v>1</v>
      </c>
      <c r="P19" s="101">
        <v>1</v>
      </c>
      <c r="Q19" s="76"/>
      <c r="AM19" s="129"/>
      <c r="AN19" s="130"/>
      <c r="AO19" s="129"/>
      <c r="AP19" s="130"/>
      <c r="AQ19" s="129"/>
      <c r="AR19" s="130"/>
      <c r="AS19" s="129"/>
      <c r="AT19" s="130"/>
      <c r="AU19" s="129"/>
      <c r="AV19" s="130"/>
      <c r="AW19" s="129"/>
      <c r="AX19" s="130"/>
      <c r="AY19" s="131"/>
      <c r="AZ19" s="130"/>
      <c r="BA19" s="129"/>
      <c r="BB19" s="136"/>
      <c r="BH19" s="129"/>
      <c r="BI19" s="130"/>
      <c r="BJ19" s="129"/>
      <c r="BK19" s="130"/>
      <c r="BL19" s="129"/>
      <c r="BM19" s="130"/>
      <c r="BN19" s="129"/>
      <c r="BO19" s="130"/>
      <c r="BP19" s="129"/>
      <c r="BQ19" s="130"/>
      <c r="BR19" s="129"/>
      <c r="BS19" s="130"/>
      <c r="BT19" s="131"/>
      <c r="BU19" s="130"/>
      <c r="BV19" s="129"/>
    </row>
    <row r="20" spans="1:74" ht="17" customHeight="1">
      <c r="B20" s="75" t="s">
        <v>57</v>
      </c>
      <c r="C20" s="332" t="str">
        <f>ATTEMPTS!C18&amp;" kgs"</f>
        <v>180 kgs</v>
      </c>
      <c r="E20" s="137"/>
      <c r="F20" s="76"/>
      <c r="G20" s="95">
        <v>50</v>
      </c>
      <c r="H20" s="96">
        <v>110.2</v>
      </c>
      <c r="I20" s="97"/>
      <c r="J20" s="97"/>
      <c r="K20" s="97"/>
      <c r="L20" s="98">
        <v>1</v>
      </c>
      <c r="M20" s="97"/>
      <c r="N20" s="97">
        <v>1</v>
      </c>
      <c r="O20" s="97"/>
      <c r="P20" s="101">
        <v>1</v>
      </c>
      <c r="Q20" s="76"/>
      <c r="AH20" s="75" t="s">
        <v>57</v>
      </c>
      <c r="AI20" s="332" t="str">
        <f>ATTEMPTS!J18&amp;" kgs"</f>
        <v>125 kgs</v>
      </c>
      <c r="AM20" s="129"/>
      <c r="AN20" s="130"/>
      <c r="AO20" s="129"/>
      <c r="AP20" s="130"/>
      <c r="AQ20" s="129"/>
      <c r="AR20" s="130"/>
      <c r="AS20" s="129"/>
      <c r="AT20" s="130"/>
      <c r="AU20" s="129"/>
      <c r="AV20" s="130"/>
      <c r="AW20" s="129"/>
      <c r="AX20" s="130"/>
      <c r="AY20" s="131"/>
      <c r="AZ20" s="130"/>
      <c r="BA20" s="129"/>
      <c r="BB20" s="136"/>
      <c r="BC20" s="75" t="s">
        <v>57</v>
      </c>
      <c r="BD20" s="332" t="str">
        <f>ATTEMPTS!Q18&amp;" kgs"</f>
        <v>257.5 kgs</v>
      </c>
      <c r="BH20" s="129"/>
      <c r="BI20" s="130"/>
      <c r="BJ20" s="129"/>
      <c r="BK20" s="130"/>
      <c r="BL20" s="129"/>
      <c r="BM20" s="130"/>
      <c r="BN20" s="129"/>
      <c r="BO20" s="130"/>
      <c r="BP20" s="129"/>
      <c r="BQ20" s="130"/>
      <c r="BR20" s="129"/>
      <c r="BS20" s="130"/>
      <c r="BT20" s="131"/>
      <c r="BU20" s="130"/>
      <c r="BV20" s="129"/>
    </row>
    <row r="21" spans="1:74" ht="14" customHeight="1">
      <c r="A21" s="104"/>
      <c r="C21" s="145" t="str">
        <f>ATTEMPTS!D18&amp;" lbs"</f>
        <v>397 lbs</v>
      </c>
      <c r="F21" s="118"/>
      <c r="G21" s="99">
        <v>52.5</v>
      </c>
      <c r="H21" s="100">
        <v>115.7</v>
      </c>
      <c r="I21" s="101"/>
      <c r="J21" s="101"/>
      <c r="K21" s="101"/>
      <c r="L21" s="102">
        <v>1</v>
      </c>
      <c r="M21" s="101"/>
      <c r="N21" s="101">
        <v>1</v>
      </c>
      <c r="O21" s="101">
        <v>1</v>
      </c>
      <c r="P21" s="101">
        <v>1</v>
      </c>
      <c r="Q21" s="76"/>
      <c r="AI21" s="145" t="str">
        <f>ATTEMPTS!K18&amp;" lbs"</f>
        <v>276 lbs</v>
      </c>
      <c r="AM21" s="129"/>
      <c r="AN21" s="132"/>
      <c r="AO21" s="129"/>
      <c r="AP21" s="132"/>
      <c r="AQ21" s="129"/>
      <c r="AR21" s="132"/>
      <c r="AS21" s="129"/>
      <c r="AT21" s="132"/>
      <c r="AU21" s="129"/>
      <c r="AV21" s="132"/>
      <c r="AW21" s="129"/>
      <c r="AX21" s="132"/>
      <c r="AY21" s="131"/>
      <c r="AZ21" s="132"/>
      <c r="BA21" s="129"/>
      <c r="BB21" s="136"/>
      <c r="BD21" s="145" t="str">
        <f>ATTEMPTS!R18&amp;" lbs"</f>
        <v>568 lbs</v>
      </c>
      <c r="BH21" s="129"/>
      <c r="BI21" s="132"/>
      <c r="BJ21" s="129"/>
      <c r="BK21" s="132"/>
      <c r="BL21" s="129"/>
      <c r="BM21" s="132"/>
      <c r="BN21" s="129"/>
      <c r="BO21" s="132"/>
      <c r="BP21" s="129"/>
      <c r="BQ21" s="132"/>
      <c r="BR21" s="129"/>
      <c r="BS21" s="132"/>
      <c r="BT21" s="131"/>
      <c r="BU21" s="132"/>
      <c r="BV21" s="129"/>
    </row>
    <row r="22" spans="1:74" ht="14" customHeight="1">
      <c r="A22" s="104"/>
      <c r="F22" s="143"/>
      <c r="G22" s="99">
        <v>55</v>
      </c>
      <c r="H22" s="100">
        <v>121.3</v>
      </c>
      <c r="I22" s="101"/>
      <c r="J22" s="101"/>
      <c r="K22" s="101">
        <v>1</v>
      </c>
      <c r="L22" s="102"/>
      <c r="M22" s="101"/>
      <c r="N22" s="101"/>
      <c r="O22" s="101"/>
      <c r="P22" s="101">
        <v>1</v>
      </c>
      <c r="Q22" s="76"/>
      <c r="AM22" s="128"/>
      <c r="AN22" s="128"/>
      <c r="AO22" s="128"/>
      <c r="AP22" s="128"/>
      <c r="AQ22" s="128"/>
      <c r="AR22" s="128"/>
      <c r="AS22" s="128"/>
      <c r="AT22" s="128"/>
      <c r="AU22" s="128"/>
      <c r="AV22" s="128"/>
      <c r="AW22" s="128"/>
      <c r="AX22" s="128"/>
      <c r="AY22" s="128"/>
      <c r="AZ22" s="128"/>
      <c r="BA22" s="128"/>
      <c r="BB22" s="136"/>
      <c r="BH22" s="128"/>
      <c r="BI22" s="128"/>
      <c r="BJ22" s="128"/>
      <c r="BK22" s="128"/>
      <c r="BL22" s="128"/>
      <c r="BM22" s="128"/>
      <c r="BN22" s="128"/>
      <c r="BO22" s="128"/>
      <c r="BP22" s="128"/>
      <c r="BQ22" s="128"/>
      <c r="BR22" s="128"/>
      <c r="BS22" s="128"/>
      <c r="BT22" s="128"/>
      <c r="BU22" s="128"/>
      <c r="BV22" s="128"/>
    </row>
    <row r="23" spans="1:74" ht="15" customHeight="1">
      <c r="A23" s="104"/>
      <c r="F23" s="143"/>
      <c r="G23" s="99">
        <v>57.5</v>
      </c>
      <c r="H23" s="100">
        <v>126.8</v>
      </c>
      <c r="I23" s="101"/>
      <c r="J23" s="101"/>
      <c r="K23" s="101">
        <v>1</v>
      </c>
      <c r="L23" s="102"/>
      <c r="M23" s="101"/>
      <c r="N23" s="101"/>
      <c r="O23" s="101">
        <v>1</v>
      </c>
      <c r="P23" s="101">
        <v>1</v>
      </c>
      <c r="Q23" s="76"/>
      <c r="AM23" s="128"/>
      <c r="AN23" s="128"/>
      <c r="AO23" s="128"/>
      <c r="AP23" s="128"/>
      <c r="AQ23" s="128"/>
      <c r="AR23" s="128"/>
      <c r="AS23" s="128"/>
      <c r="AT23" s="128"/>
      <c r="AU23" s="128"/>
      <c r="AV23" s="128"/>
      <c r="AW23" s="128"/>
      <c r="AX23" s="128"/>
      <c r="AY23" s="128"/>
      <c r="AZ23" s="128"/>
      <c r="BA23" s="128"/>
      <c r="BB23" s="136"/>
      <c r="BH23" s="128"/>
      <c r="BI23" s="128"/>
      <c r="BJ23" s="128"/>
      <c r="BK23" s="128"/>
      <c r="BL23" s="128"/>
      <c r="BM23" s="128"/>
      <c r="BN23" s="128"/>
      <c r="BO23" s="128"/>
      <c r="BP23" s="128"/>
      <c r="BQ23" s="128"/>
      <c r="BR23" s="128"/>
      <c r="BS23" s="128"/>
      <c r="BT23" s="128"/>
      <c r="BU23" s="128"/>
      <c r="BV23" s="128"/>
    </row>
    <row r="24" spans="1:74" ht="14" customHeight="1">
      <c r="A24" s="104"/>
      <c r="F24" s="143"/>
      <c r="G24" s="99">
        <v>60</v>
      </c>
      <c r="H24" s="100">
        <v>132.30000000000001</v>
      </c>
      <c r="I24" s="101"/>
      <c r="J24" s="101"/>
      <c r="K24" s="101">
        <v>1</v>
      </c>
      <c r="L24" s="102"/>
      <c r="M24" s="101"/>
      <c r="N24" s="101">
        <v>1</v>
      </c>
      <c r="O24" s="101"/>
      <c r="P24" s="101">
        <v>1</v>
      </c>
      <c r="Q24" s="76"/>
      <c r="AM24" s="128"/>
      <c r="AN24" s="128"/>
      <c r="AO24" s="128"/>
      <c r="AP24" s="128"/>
      <c r="AQ24" s="128"/>
      <c r="AR24" s="128"/>
      <c r="AS24" s="128"/>
      <c r="AT24" s="128"/>
      <c r="AU24" s="128"/>
      <c r="AV24" s="128"/>
      <c r="AW24" s="128"/>
      <c r="AX24" s="128"/>
      <c r="AY24" s="128"/>
      <c r="AZ24" s="128"/>
      <c r="BA24" s="128"/>
      <c r="BB24" s="136"/>
      <c r="BH24" s="128"/>
      <c r="BI24" s="128"/>
      <c r="BJ24" s="128"/>
      <c r="BK24" s="128"/>
      <c r="BL24" s="128"/>
      <c r="BM24" s="128"/>
      <c r="BN24" s="128"/>
      <c r="BO24" s="128"/>
      <c r="BP24" s="128"/>
      <c r="BQ24" s="128"/>
      <c r="BR24" s="128"/>
      <c r="BS24" s="128"/>
      <c r="BT24" s="128"/>
      <c r="BU24" s="128"/>
      <c r="BV24" s="128"/>
    </row>
    <row r="25" spans="1:74" ht="14" customHeight="1">
      <c r="A25" s="104"/>
      <c r="F25" s="143"/>
      <c r="G25" s="99">
        <v>62.5</v>
      </c>
      <c r="H25" s="100">
        <v>137.80000000000001</v>
      </c>
      <c r="I25" s="101"/>
      <c r="J25" s="101"/>
      <c r="K25" s="101">
        <v>1</v>
      </c>
      <c r="L25" s="102"/>
      <c r="M25" s="101"/>
      <c r="N25" s="101">
        <v>1</v>
      </c>
      <c r="O25" s="101">
        <v>1</v>
      </c>
      <c r="P25" s="101">
        <v>1</v>
      </c>
      <c r="Q25" s="76"/>
      <c r="AM25" s="128"/>
      <c r="AN25" s="128"/>
      <c r="AO25" s="128"/>
      <c r="AP25" s="128"/>
      <c r="AQ25" s="128"/>
      <c r="AR25" s="128"/>
      <c r="AS25" s="128"/>
      <c r="AT25" s="128"/>
      <c r="AU25" s="128"/>
      <c r="AV25" s="128"/>
      <c r="AW25" s="128"/>
      <c r="AX25" s="128"/>
      <c r="AY25" s="128"/>
      <c r="AZ25" s="128"/>
      <c r="BA25" s="128"/>
      <c r="BB25" s="136"/>
      <c r="BH25" s="128"/>
      <c r="BI25" s="128"/>
      <c r="BJ25" s="128"/>
      <c r="BK25" s="128"/>
      <c r="BL25" s="128"/>
      <c r="BM25" s="128"/>
      <c r="BN25" s="128"/>
      <c r="BO25" s="128"/>
      <c r="BP25" s="128"/>
      <c r="BQ25" s="128"/>
      <c r="BR25" s="128"/>
      <c r="BS25" s="128"/>
      <c r="BT25" s="128"/>
      <c r="BU25" s="128"/>
      <c r="BV25" s="128"/>
    </row>
    <row r="26" spans="1:74">
      <c r="F26" s="143"/>
      <c r="G26" s="99">
        <v>65</v>
      </c>
      <c r="H26" s="100">
        <v>143.30000000000001</v>
      </c>
      <c r="I26" s="101"/>
      <c r="J26" s="101">
        <v>1</v>
      </c>
      <c r="K26" s="101"/>
      <c r="L26" s="102"/>
      <c r="M26" s="101"/>
      <c r="N26" s="101"/>
      <c r="O26" s="101"/>
      <c r="P26" s="101">
        <v>1</v>
      </c>
      <c r="Q26" s="76"/>
      <c r="AM26" s="128"/>
      <c r="AN26" s="128"/>
      <c r="AO26" s="128"/>
      <c r="AP26" s="128"/>
      <c r="AQ26" s="128"/>
      <c r="AR26" s="128"/>
      <c r="AS26" s="128"/>
      <c r="AT26" s="128"/>
      <c r="AU26" s="128"/>
      <c r="AV26" s="128"/>
      <c r="AW26" s="128"/>
      <c r="AX26" s="128"/>
      <c r="AY26" s="128"/>
      <c r="AZ26" s="128"/>
      <c r="BA26" s="128"/>
      <c r="BB26" s="136"/>
      <c r="BH26" s="128"/>
      <c r="BI26" s="128"/>
      <c r="BJ26" s="128"/>
      <c r="BK26" s="128"/>
      <c r="BL26" s="128"/>
      <c r="BM26" s="128"/>
      <c r="BN26" s="128"/>
      <c r="BO26" s="128"/>
      <c r="BP26" s="128"/>
      <c r="BQ26" s="128"/>
      <c r="BR26" s="128"/>
      <c r="BS26" s="128"/>
      <c r="BT26" s="128"/>
      <c r="BU26" s="128"/>
      <c r="BV26" s="128"/>
    </row>
    <row r="27" spans="1:74">
      <c r="F27" s="143"/>
      <c r="G27" s="99">
        <v>67.5</v>
      </c>
      <c r="H27" s="100">
        <v>148.80000000000001</v>
      </c>
      <c r="I27" s="101"/>
      <c r="J27" s="101">
        <v>1</v>
      </c>
      <c r="K27" s="101"/>
      <c r="L27" s="102"/>
      <c r="M27" s="101"/>
      <c r="N27" s="101"/>
      <c r="O27" s="101">
        <v>1</v>
      </c>
      <c r="P27" s="101">
        <v>1</v>
      </c>
      <c r="Q27" s="76"/>
      <c r="AM27" s="128"/>
      <c r="AN27" s="128"/>
      <c r="AO27" s="128"/>
      <c r="AP27" s="128"/>
      <c r="AQ27" s="128"/>
      <c r="AR27" s="128"/>
      <c r="AS27" s="128"/>
      <c r="AT27" s="128"/>
      <c r="AU27" s="128"/>
      <c r="AV27" s="128"/>
      <c r="AW27" s="128"/>
      <c r="AX27" s="128"/>
      <c r="AY27" s="128"/>
      <c r="AZ27" s="128"/>
      <c r="BA27" s="128"/>
      <c r="BB27" s="136"/>
      <c r="BH27" s="128"/>
      <c r="BI27" s="128"/>
      <c r="BJ27" s="128"/>
      <c r="BK27" s="128"/>
      <c r="BL27" s="128"/>
      <c r="BM27" s="128"/>
      <c r="BN27" s="128"/>
      <c r="BO27" s="128"/>
      <c r="BP27" s="128"/>
      <c r="BQ27" s="128"/>
      <c r="BR27" s="128"/>
      <c r="BS27" s="128"/>
      <c r="BT27" s="128"/>
      <c r="BU27" s="128"/>
      <c r="BV27" s="128"/>
    </row>
    <row r="28" spans="1:74">
      <c r="F28" s="143"/>
      <c r="G28" s="99">
        <v>70</v>
      </c>
      <c r="H28" s="100">
        <v>154.30000000000001</v>
      </c>
      <c r="I28" s="101"/>
      <c r="J28" s="101">
        <v>1</v>
      </c>
      <c r="K28" s="101"/>
      <c r="L28" s="102"/>
      <c r="M28" s="101"/>
      <c r="N28" s="101">
        <v>1</v>
      </c>
      <c r="O28" s="101"/>
      <c r="P28" s="101">
        <v>1</v>
      </c>
      <c r="Q28" s="76"/>
      <c r="AM28" s="128"/>
      <c r="AN28" s="128"/>
      <c r="AO28" s="128"/>
      <c r="AP28" s="128"/>
      <c r="AQ28" s="128"/>
      <c r="AR28" s="128"/>
      <c r="AS28" s="128"/>
      <c r="AT28" s="128"/>
      <c r="AU28" s="128"/>
      <c r="AV28" s="128"/>
      <c r="AW28" s="128"/>
      <c r="AX28" s="128"/>
      <c r="AY28" s="128"/>
      <c r="AZ28" s="128"/>
      <c r="BA28" s="128"/>
      <c r="BB28" s="136"/>
      <c r="BH28" s="128"/>
      <c r="BI28" s="128"/>
      <c r="BJ28" s="128"/>
      <c r="BK28" s="128"/>
      <c r="BL28" s="128"/>
      <c r="BM28" s="128"/>
      <c r="BN28" s="128"/>
      <c r="BO28" s="128"/>
      <c r="BP28" s="128"/>
      <c r="BQ28" s="128"/>
      <c r="BR28" s="128"/>
      <c r="BS28" s="128"/>
      <c r="BT28" s="128"/>
      <c r="BU28" s="128"/>
      <c r="BV28" s="128"/>
    </row>
    <row r="29" spans="1:74">
      <c r="F29" s="143"/>
      <c r="G29" s="99">
        <v>72.5</v>
      </c>
      <c r="H29" s="100">
        <v>159.80000000000001</v>
      </c>
      <c r="I29" s="101"/>
      <c r="J29" s="101">
        <v>1</v>
      </c>
      <c r="K29" s="101"/>
      <c r="L29" s="102"/>
      <c r="M29" s="101"/>
      <c r="N29" s="101">
        <v>1</v>
      </c>
      <c r="O29" s="101">
        <v>1</v>
      </c>
      <c r="P29" s="101">
        <v>1</v>
      </c>
      <c r="Q29" s="76"/>
      <c r="AM29" s="128"/>
      <c r="AN29" s="128"/>
      <c r="AO29" s="128"/>
      <c r="AP29" s="128"/>
      <c r="AQ29" s="128"/>
      <c r="AR29" s="128"/>
      <c r="AS29" s="128"/>
      <c r="AT29" s="128"/>
      <c r="AU29" s="128"/>
      <c r="AV29" s="128"/>
      <c r="AW29" s="128"/>
      <c r="AX29" s="128"/>
      <c r="AY29" s="128"/>
      <c r="AZ29" s="128"/>
      <c r="BA29" s="128"/>
      <c r="BB29" s="136"/>
      <c r="BH29" s="128"/>
      <c r="BI29" s="128"/>
      <c r="BJ29" s="128"/>
      <c r="BK29" s="128"/>
      <c r="BL29" s="128"/>
      <c r="BM29" s="128"/>
      <c r="BN29" s="128"/>
      <c r="BO29" s="128"/>
      <c r="BP29" s="128"/>
      <c r="BQ29" s="128"/>
      <c r="BR29" s="128"/>
      <c r="BS29" s="128"/>
      <c r="BT29" s="128"/>
      <c r="BU29" s="128"/>
      <c r="BV29" s="128"/>
    </row>
    <row r="30" spans="1:74">
      <c r="F30" s="143"/>
      <c r="G30" s="99">
        <v>75</v>
      </c>
      <c r="H30" s="100">
        <v>165.3</v>
      </c>
      <c r="I30" s="101">
        <v>1</v>
      </c>
      <c r="J30" s="101"/>
      <c r="K30" s="101"/>
      <c r="L30" s="102"/>
      <c r="M30" s="101"/>
      <c r="N30" s="101"/>
      <c r="O30" s="101"/>
      <c r="P30" s="101">
        <v>1</v>
      </c>
      <c r="Q30" s="76"/>
      <c r="AM30" s="128"/>
      <c r="AN30" s="130"/>
      <c r="AO30" s="128"/>
      <c r="AP30" s="128"/>
      <c r="AQ30" s="128"/>
      <c r="AR30" s="128"/>
      <c r="AS30" s="128"/>
      <c r="AT30" s="128"/>
      <c r="AU30" s="128"/>
      <c r="AV30" s="128"/>
      <c r="AW30" s="128"/>
      <c r="AX30" s="128"/>
      <c r="AY30" s="128"/>
      <c r="AZ30" s="128"/>
      <c r="BA30" s="128"/>
      <c r="BB30" s="136"/>
      <c r="BH30" s="128"/>
      <c r="BI30" s="128"/>
      <c r="BJ30" s="128"/>
      <c r="BK30" s="128"/>
      <c r="BL30" s="128"/>
      <c r="BM30" s="128"/>
      <c r="BN30" s="128"/>
      <c r="BO30" s="128"/>
      <c r="BP30" s="128"/>
      <c r="BQ30" s="128"/>
      <c r="BR30" s="128"/>
      <c r="BS30" s="128"/>
      <c r="BT30" s="128"/>
      <c r="BU30" s="128"/>
      <c r="BV30" s="128"/>
    </row>
    <row r="31" spans="1:74" ht="14" customHeight="1">
      <c r="F31" s="76"/>
      <c r="G31" s="99">
        <v>77.5</v>
      </c>
      <c r="H31" s="100">
        <v>170.9</v>
      </c>
      <c r="I31" s="101">
        <v>1</v>
      </c>
      <c r="J31" s="101"/>
      <c r="K31" s="101"/>
      <c r="L31" s="102"/>
      <c r="M31" s="101"/>
      <c r="N31" s="101"/>
      <c r="O31" s="101">
        <v>1</v>
      </c>
      <c r="P31" s="101">
        <v>1</v>
      </c>
      <c r="Q31" s="76"/>
      <c r="AM31" s="129"/>
      <c r="AN31" s="130"/>
      <c r="AO31" s="129"/>
      <c r="AP31" s="130"/>
      <c r="AQ31" s="129"/>
      <c r="AR31" s="130"/>
      <c r="AS31" s="129"/>
      <c r="AT31" s="130"/>
      <c r="AU31" s="129"/>
      <c r="AV31" s="130"/>
      <c r="AW31" s="129"/>
      <c r="AX31" s="130"/>
      <c r="AY31" s="131"/>
      <c r="AZ31" s="130"/>
      <c r="BA31" s="129"/>
      <c r="BB31" s="136"/>
      <c r="BH31" s="129"/>
      <c r="BI31" s="130"/>
      <c r="BJ31" s="129"/>
      <c r="BK31" s="130"/>
      <c r="BL31" s="129"/>
      <c r="BM31" s="130"/>
      <c r="BN31" s="129"/>
      <c r="BO31" s="130"/>
      <c r="BP31" s="129"/>
      <c r="BQ31" s="130"/>
      <c r="BR31" s="129"/>
      <c r="BS31" s="130"/>
      <c r="BT31" s="131"/>
      <c r="BU31" s="130"/>
      <c r="BV31" s="129"/>
    </row>
    <row r="32" spans="1:74">
      <c r="F32" s="76"/>
      <c r="G32" s="99">
        <v>80</v>
      </c>
      <c r="H32" s="100">
        <v>176.4</v>
      </c>
      <c r="I32" s="101">
        <v>1</v>
      </c>
      <c r="J32" s="101"/>
      <c r="K32" s="101"/>
      <c r="L32" s="102"/>
      <c r="M32" s="101"/>
      <c r="N32" s="101">
        <v>1</v>
      </c>
      <c r="O32" s="101"/>
      <c r="P32" s="101">
        <v>1</v>
      </c>
      <c r="Q32" s="76"/>
      <c r="AM32" s="129"/>
      <c r="AN32" s="132"/>
      <c r="AO32" s="129"/>
      <c r="AP32" s="130"/>
      <c r="AQ32" s="129"/>
      <c r="AR32" s="130"/>
      <c r="AS32" s="129"/>
      <c r="AT32" s="130"/>
      <c r="AU32" s="129"/>
      <c r="AV32" s="130"/>
      <c r="AW32" s="129"/>
      <c r="AX32" s="130"/>
      <c r="AY32" s="131"/>
      <c r="AZ32" s="130"/>
      <c r="BA32" s="129"/>
      <c r="BB32" s="136"/>
      <c r="BH32" s="129"/>
      <c r="BI32" s="130"/>
      <c r="BJ32" s="129"/>
      <c r="BK32" s="130"/>
      <c r="BL32" s="129"/>
      <c r="BM32" s="130"/>
      <c r="BN32" s="129"/>
      <c r="BO32" s="130"/>
      <c r="BP32" s="129"/>
      <c r="BQ32" s="130"/>
      <c r="BR32" s="129"/>
      <c r="BS32" s="130"/>
      <c r="BT32" s="131"/>
      <c r="BU32" s="130"/>
      <c r="BV32" s="129"/>
    </row>
    <row r="33" spans="6:74">
      <c r="F33" s="76"/>
      <c r="G33" s="99">
        <v>82.5</v>
      </c>
      <c r="H33" s="100">
        <v>181.9</v>
      </c>
      <c r="I33" s="101">
        <v>1</v>
      </c>
      <c r="J33" s="101"/>
      <c r="K33" s="101"/>
      <c r="L33" s="102"/>
      <c r="M33" s="101"/>
      <c r="N33" s="101">
        <v>1</v>
      </c>
      <c r="O33" s="101">
        <v>1</v>
      </c>
      <c r="P33" s="101">
        <v>1</v>
      </c>
      <c r="Q33" s="76"/>
      <c r="AM33" s="129"/>
      <c r="AN33" s="128"/>
      <c r="AO33" s="129"/>
      <c r="AP33" s="132"/>
      <c r="AQ33" s="129"/>
      <c r="AR33" s="132"/>
      <c r="AS33" s="129"/>
      <c r="AT33" s="132"/>
      <c r="AU33" s="129"/>
      <c r="AV33" s="132"/>
      <c r="AW33" s="129"/>
      <c r="AX33" s="132"/>
      <c r="AY33" s="131"/>
      <c r="AZ33" s="132"/>
      <c r="BA33" s="129"/>
      <c r="BB33" s="136"/>
      <c r="BH33" s="129"/>
      <c r="BI33" s="132"/>
      <c r="BJ33" s="129"/>
      <c r="BK33" s="132"/>
      <c r="BL33" s="129"/>
      <c r="BM33" s="132"/>
      <c r="BN33" s="129"/>
      <c r="BO33" s="132"/>
      <c r="BP33" s="129"/>
      <c r="BQ33" s="132"/>
      <c r="BR33" s="129"/>
      <c r="BS33" s="132"/>
      <c r="BT33" s="131"/>
      <c r="BU33" s="132"/>
      <c r="BV33" s="129"/>
    </row>
    <row r="34" spans="6:74">
      <c r="F34" s="76"/>
      <c r="G34" s="99">
        <v>85</v>
      </c>
      <c r="H34" s="100">
        <v>187.4</v>
      </c>
      <c r="I34" s="101">
        <v>1</v>
      </c>
      <c r="J34" s="101"/>
      <c r="K34" s="101"/>
      <c r="L34" s="102"/>
      <c r="M34" s="101">
        <v>1</v>
      </c>
      <c r="N34" s="101"/>
      <c r="O34" s="101"/>
      <c r="P34" s="101">
        <v>1</v>
      </c>
      <c r="Q34" s="76"/>
      <c r="AM34" s="128"/>
      <c r="AN34" s="128"/>
      <c r="AO34" s="128"/>
      <c r="AP34" s="128"/>
      <c r="AQ34" s="128"/>
      <c r="AR34" s="128"/>
      <c r="AS34" s="128"/>
      <c r="AT34" s="128"/>
      <c r="AU34" s="128"/>
      <c r="AV34" s="128"/>
      <c r="AW34" s="128"/>
      <c r="AX34" s="128"/>
      <c r="AY34" s="128"/>
      <c r="AZ34" s="128"/>
      <c r="BA34" s="128"/>
      <c r="BB34" s="136"/>
      <c r="BH34" s="128"/>
      <c r="BI34" s="128"/>
      <c r="BJ34" s="128"/>
      <c r="BK34" s="128"/>
      <c r="BL34" s="128"/>
      <c r="BM34" s="128"/>
      <c r="BN34" s="128"/>
      <c r="BO34" s="128"/>
      <c r="BP34" s="128"/>
      <c r="BQ34" s="128"/>
      <c r="BR34" s="128"/>
      <c r="BS34" s="128"/>
      <c r="BT34" s="128"/>
      <c r="BU34" s="128"/>
      <c r="BV34" s="128"/>
    </row>
    <row r="35" spans="6:74">
      <c r="F35" s="76"/>
      <c r="G35" s="99">
        <v>87.5</v>
      </c>
      <c r="H35" s="100">
        <v>192.9</v>
      </c>
      <c r="I35" s="101">
        <v>1</v>
      </c>
      <c r="J35" s="101"/>
      <c r="K35" s="101"/>
      <c r="L35" s="102"/>
      <c r="M35" s="101">
        <v>1</v>
      </c>
      <c r="N35" s="101"/>
      <c r="O35" s="101">
        <v>1</v>
      </c>
      <c r="P35" s="101">
        <v>1</v>
      </c>
      <c r="Q35" s="76"/>
      <c r="AM35" s="128"/>
      <c r="AN35" s="128"/>
      <c r="AO35" s="128"/>
      <c r="AP35" s="128"/>
      <c r="AQ35" s="128"/>
      <c r="AR35" s="128"/>
      <c r="AS35" s="128"/>
      <c r="AT35" s="128"/>
      <c r="AU35" s="128"/>
      <c r="AV35" s="128"/>
      <c r="AW35" s="128"/>
      <c r="AX35" s="128"/>
      <c r="AY35" s="128"/>
      <c r="AZ35" s="128"/>
      <c r="BA35" s="128"/>
      <c r="BB35" s="136"/>
      <c r="BH35" s="128"/>
      <c r="BI35" s="128"/>
      <c r="BJ35" s="128"/>
      <c r="BK35" s="128"/>
      <c r="BL35" s="128"/>
      <c r="BM35" s="128"/>
      <c r="BN35" s="128"/>
      <c r="BO35" s="128"/>
      <c r="BP35" s="128"/>
      <c r="BQ35" s="128"/>
      <c r="BR35" s="128"/>
      <c r="BS35" s="128"/>
      <c r="BT35" s="128"/>
      <c r="BU35" s="128"/>
      <c r="BV35" s="128"/>
    </row>
    <row r="36" spans="6:74">
      <c r="F36" s="76"/>
      <c r="G36" s="99">
        <v>90</v>
      </c>
      <c r="H36" s="100">
        <v>198.4</v>
      </c>
      <c r="I36" s="101">
        <v>1</v>
      </c>
      <c r="J36" s="101"/>
      <c r="K36" s="101"/>
      <c r="L36" s="102"/>
      <c r="M36" s="101">
        <v>1</v>
      </c>
      <c r="N36" s="101">
        <v>1</v>
      </c>
      <c r="O36" s="101"/>
      <c r="P36" s="101">
        <v>1</v>
      </c>
      <c r="Q36" s="76"/>
      <c r="AM36" s="128"/>
      <c r="AN36" s="128"/>
      <c r="AO36" s="128"/>
      <c r="AP36" s="128"/>
      <c r="AQ36" s="128"/>
      <c r="AR36" s="128"/>
      <c r="AS36" s="128"/>
      <c r="AT36" s="128"/>
      <c r="AU36" s="128"/>
      <c r="AV36" s="128"/>
      <c r="AW36" s="128"/>
      <c r="AX36" s="128"/>
      <c r="AY36" s="128"/>
      <c r="AZ36" s="128"/>
      <c r="BA36" s="128"/>
      <c r="BB36" s="136"/>
      <c r="BH36" s="128"/>
      <c r="BI36" s="128"/>
      <c r="BJ36" s="128"/>
      <c r="BK36" s="128"/>
      <c r="BL36" s="128"/>
      <c r="BM36" s="128"/>
      <c r="BN36" s="128"/>
      <c r="BO36" s="128"/>
      <c r="BP36" s="128"/>
      <c r="BQ36" s="128"/>
      <c r="BR36" s="128"/>
      <c r="BS36" s="128"/>
      <c r="BT36" s="128"/>
      <c r="BU36" s="128"/>
      <c r="BV36" s="128"/>
    </row>
    <row r="37" spans="6:74">
      <c r="F37" s="76"/>
      <c r="G37" s="99">
        <v>92.5</v>
      </c>
      <c r="H37" s="100">
        <v>203.9</v>
      </c>
      <c r="I37" s="101">
        <v>1</v>
      </c>
      <c r="J37" s="101"/>
      <c r="K37" s="101"/>
      <c r="L37" s="102"/>
      <c r="M37" s="101">
        <v>1</v>
      </c>
      <c r="N37" s="101">
        <v>1</v>
      </c>
      <c r="O37" s="101">
        <v>1</v>
      </c>
      <c r="P37" s="101">
        <v>1</v>
      </c>
      <c r="Q37" s="76"/>
      <c r="AM37" s="128"/>
      <c r="AN37" s="128"/>
      <c r="AO37" s="128"/>
      <c r="AP37" s="128"/>
      <c r="AQ37" s="128"/>
      <c r="AR37" s="128"/>
      <c r="AS37" s="128"/>
      <c r="AT37" s="128"/>
      <c r="AU37" s="128"/>
      <c r="AV37" s="128"/>
      <c r="AW37" s="128"/>
      <c r="AX37" s="128"/>
      <c r="AY37" s="128"/>
      <c r="AZ37" s="128"/>
      <c r="BA37" s="128"/>
      <c r="BB37" s="136"/>
      <c r="BH37" s="128"/>
      <c r="BI37" s="128"/>
      <c r="BJ37" s="128"/>
      <c r="BK37" s="128"/>
      <c r="BL37" s="128"/>
      <c r="BM37" s="128"/>
      <c r="BN37" s="128"/>
      <c r="BO37" s="128"/>
      <c r="BP37" s="128"/>
      <c r="BQ37" s="128"/>
      <c r="BR37" s="128"/>
      <c r="BS37" s="128"/>
      <c r="BT37" s="128"/>
      <c r="BU37" s="128"/>
      <c r="BV37" s="128"/>
    </row>
    <row r="38" spans="6:74">
      <c r="F38" s="76"/>
      <c r="G38" s="99">
        <v>95</v>
      </c>
      <c r="H38" s="100">
        <v>209.4</v>
      </c>
      <c r="I38" s="101">
        <v>1</v>
      </c>
      <c r="J38" s="101"/>
      <c r="K38" s="101"/>
      <c r="L38" s="102">
        <v>1</v>
      </c>
      <c r="M38" s="101"/>
      <c r="N38" s="101"/>
      <c r="O38" s="101"/>
      <c r="P38" s="101">
        <v>1</v>
      </c>
      <c r="Q38" s="76"/>
      <c r="AM38" s="128"/>
      <c r="AN38" s="128"/>
      <c r="AO38" s="128"/>
      <c r="AP38" s="128"/>
      <c r="AQ38" s="128"/>
      <c r="AR38" s="128"/>
      <c r="AS38" s="128"/>
      <c r="AT38" s="128"/>
      <c r="AU38" s="128"/>
      <c r="AV38" s="128"/>
      <c r="AW38" s="128"/>
      <c r="AX38" s="128"/>
      <c r="AY38" s="128"/>
      <c r="AZ38" s="128"/>
      <c r="BA38" s="128"/>
      <c r="BB38" s="136"/>
      <c r="BH38" s="128"/>
      <c r="BI38" s="128"/>
      <c r="BJ38" s="128"/>
      <c r="BK38" s="128"/>
      <c r="BL38" s="128"/>
      <c r="BM38" s="128"/>
      <c r="BN38" s="128"/>
      <c r="BO38" s="128"/>
      <c r="BP38" s="128"/>
      <c r="BQ38" s="128"/>
      <c r="BR38" s="128"/>
      <c r="BS38" s="128"/>
      <c r="BT38" s="128"/>
      <c r="BU38" s="128"/>
      <c r="BV38" s="128"/>
    </row>
    <row r="39" spans="6:74">
      <c r="F39" s="76"/>
      <c r="G39" s="99">
        <v>97.5</v>
      </c>
      <c r="H39" s="100">
        <v>214.9</v>
      </c>
      <c r="I39" s="101">
        <v>1</v>
      </c>
      <c r="J39" s="101"/>
      <c r="K39" s="101"/>
      <c r="L39" s="102">
        <v>1</v>
      </c>
      <c r="M39" s="101"/>
      <c r="N39" s="101"/>
      <c r="O39" s="101">
        <v>1</v>
      </c>
      <c r="P39" s="101">
        <v>1</v>
      </c>
      <c r="Q39" s="76"/>
      <c r="AM39" s="128"/>
      <c r="AN39" s="128"/>
      <c r="AO39" s="128"/>
      <c r="AP39" s="128"/>
      <c r="AQ39" s="128"/>
      <c r="AR39" s="128"/>
      <c r="AS39" s="128"/>
      <c r="AT39" s="128"/>
      <c r="AU39" s="128"/>
      <c r="AV39" s="128"/>
      <c r="AW39" s="128"/>
      <c r="AX39" s="128"/>
      <c r="AY39" s="128"/>
      <c r="AZ39" s="128"/>
      <c r="BA39" s="128"/>
      <c r="BB39" s="136"/>
      <c r="BH39" s="128"/>
      <c r="BI39" s="128"/>
      <c r="BJ39" s="128"/>
      <c r="BK39" s="128"/>
      <c r="BL39" s="128"/>
      <c r="BM39" s="128"/>
      <c r="BN39" s="128"/>
      <c r="BO39" s="128"/>
      <c r="BP39" s="128"/>
      <c r="BQ39" s="128"/>
      <c r="BR39" s="128"/>
      <c r="BS39" s="128"/>
      <c r="BT39" s="128"/>
      <c r="BU39" s="128"/>
      <c r="BV39" s="128"/>
    </row>
    <row r="40" spans="6:74">
      <c r="F40" s="76"/>
      <c r="G40" s="99">
        <v>100</v>
      </c>
      <c r="H40" s="100">
        <v>220.5</v>
      </c>
      <c r="I40" s="101">
        <v>1</v>
      </c>
      <c r="J40" s="101"/>
      <c r="K40" s="101"/>
      <c r="L40" s="102">
        <v>1</v>
      </c>
      <c r="M40" s="101"/>
      <c r="N40" s="101">
        <v>1</v>
      </c>
      <c r="O40" s="101"/>
      <c r="P40" s="101">
        <v>1</v>
      </c>
      <c r="Q40" s="76"/>
      <c r="AM40" s="128"/>
      <c r="AN40" s="128"/>
      <c r="AO40" s="128"/>
      <c r="AP40" s="128"/>
      <c r="AQ40" s="128"/>
      <c r="AR40" s="128"/>
      <c r="AS40" s="128"/>
      <c r="AT40" s="128"/>
      <c r="AU40" s="128"/>
      <c r="AV40" s="128"/>
      <c r="AW40" s="128"/>
      <c r="AX40" s="128"/>
      <c r="AY40" s="128"/>
      <c r="AZ40" s="128"/>
      <c r="BA40" s="128"/>
      <c r="BB40" s="136"/>
      <c r="BH40" s="128"/>
      <c r="BI40" s="128"/>
      <c r="BJ40" s="128"/>
      <c r="BK40" s="128"/>
      <c r="BL40" s="128"/>
      <c r="BM40" s="128"/>
      <c r="BN40" s="128"/>
      <c r="BO40" s="128"/>
      <c r="BP40" s="128"/>
      <c r="BQ40" s="128"/>
      <c r="BR40" s="128"/>
      <c r="BS40" s="128"/>
      <c r="BT40" s="128"/>
      <c r="BU40" s="128"/>
      <c r="BV40" s="128"/>
    </row>
    <row r="41" spans="6:74">
      <c r="F41" s="76"/>
      <c r="G41" s="99">
        <v>102.5</v>
      </c>
      <c r="H41" s="100">
        <v>226</v>
      </c>
      <c r="I41" s="101">
        <v>1</v>
      </c>
      <c r="J41" s="101"/>
      <c r="K41" s="101"/>
      <c r="L41" s="102">
        <v>1</v>
      </c>
      <c r="M41" s="101"/>
      <c r="N41" s="101">
        <v>1</v>
      </c>
      <c r="O41" s="101">
        <v>1</v>
      </c>
      <c r="P41" s="101">
        <v>1</v>
      </c>
      <c r="Q41" s="76"/>
      <c r="AM41" s="128"/>
      <c r="AN41" s="128"/>
      <c r="AO41" s="128"/>
      <c r="AP41" s="128"/>
      <c r="AQ41" s="128"/>
      <c r="AR41" s="128"/>
      <c r="AS41" s="128"/>
      <c r="AT41" s="128"/>
      <c r="AU41" s="128"/>
      <c r="AV41" s="128"/>
      <c r="AW41" s="128"/>
      <c r="AX41" s="128"/>
      <c r="AY41" s="128"/>
      <c r="AZ41" s="128"/>
      <c r="BA41" s="128"/>
      <c r="BB41" s="136"/>
      <c r="BH41" s="128"/>
      <c r="BI41" s="128"/>
      <c r="BJ41" s="128"/>
      <c r="BK41" s="128"/>
      <c r="BL41" s="128"/>
      <c r="BM41" s="128"/>
      <c r="BN41" s="128"/>
      <c r="BO41" s="128"/>
      <c r="BP41" s="128"/>
      <c r="BQ41" s="128"/>
      <c r="BR41" s="128"/>
      <c r="BS41" s="128"/>
      <c r="BT41" s="128"/>
      <c r="BU41" s="128"/>
      <c r="BV41" s="128"/>
    </row>
    <row r="42" spans="6:74">
      <c r="F42" s="76"/>
      <c r="G42" s="99">
        <v>105</v>
      </c>
      <c r="H42" s="100">
        <v>231.5</v>
      </c>
      <c r="I42" s="101">
        <v>1</v>
      </c>
      <c r="J42" s="101"/>
      <c r="K42" s="101">
        <v>1</v>
      </c>
      <c r="L42" s="102"/>
      <c r="M42" s="101"/>
      <c r="N42" s="101"/>
      <c r="O42" s="101"/>
      <c r="P42" s="101">
        <v>1</v>
      </c>
      <c r="Q42" s="76"/>
      <c r="AM42" s="128"/>
      <c r="AN42" s="128"/>
      <c r="AO42" s="128"/>
      <c r="AP42" s="128"/>
      <c r="AQ42" s="128"/>
      <c r="AR42" s="128"/>
      <c r="AS42" s="128"/>
      <c r="AT42" s="128"/>
      <c r="AU42" s="128"/>
      <c r="AV42" s="128"/>
      <c r="AW42" s="128"/>
      <c r="AX42" s="128"/>
      <c r="AY42" s="128"/>
      <c r="AZ42" s="128"/>
      <c r="BA42" s="128"/>
      <c r="BB42" s="136"/>
      <c r="BH42" s="128"/>
      <c r="BI42" s="128"/>
      <c r="BJ42" s="128"/>
      <c r="BK42" s="128"/>
      <c r="BL42" s="128"/>
      <c r="BM42" s="128"/>
      <c r="BN42" s="128"/>
      <c r="BO42" s="128"/>
      <c r="BP42" s="128"/>
      <c r="BQ42" s="128"/>
      <c r="BR42" s="128"/>
      <c r="BS42" s="128"/>
      <c r="BT42" s="128"/>
      <c r="BU42" s="128"/>
      <c r="BV42" s="128"/>
    </row>
    <row r="43" spans="6:74">
      <c r="G43" s="99">
        <v>107.5</v>
      </c>
      <c r="H43" s="100">
        <v>237</v>
      </c>
      <c r="I43" s="101">
        <v>1</v>
      </c>
      <c r="J43" s="101"/>
      <c r="K43" s="101">
        <v>1</v>
      </c>
      <c r="L43" s="102"/>
      <c r="M43" s="101"/>
      <c r="N43" s="101"/>
      <c r="O43" s="101">
        <v>1</v>
      </c>
      <c r="P43" s="101">
        <v>1</v>
      </c>
      <c r="Q43" s="76"/>
      <c r="AM43" s="128"/>
      <c r="AN43" s="128"/>
      <c r="AO43" s="128"/>
      <c r="AP43" s="128"/>
      <c r="AQ43" s="128"/>
      <c r="AR43" s="128"/>
      <c r="AS43" s="128"/>
      <c r="AT43" s="128"/>
      <c r="AU43" s="128"/>
      <c r="AV43" s="128"/>
      <c r="AW43" s="128"/>
      <c r="AX43" s="128"/>
      <c r="AY43" s="128"/>
      <c r="AZ43" s="128"/>
      <c r="BA43" s="128"/>
      <c r="BB43" s="136"/>
      <c r="BH43" s="128"/>
      <c r="BI43" s="128"/>
      <c r="BJ43" s="128"/>
      <c r="BK43" s="128"/>
      <c r="BL43" s="128"/>
      <c r="BM43" s="128"/>
      <c r="BN43" s="128"/>
      <c r="BO43" s="128"/>
      <c r="BP43" s="128"/>
      <c r="BQ43" s="128"/>
      <c r="BR43" s="128"/>
      <c r="BS43" s="128"/>
      <c r="BT43" s="128"/>
      <c r="BU43" s="128"/>
      <c r="BV43" s="128"/>
    </row>
    <row r="44" spans="6:74">
      <c r="G44" s="99">
        <v>110</v>
      </c>
      <c r="H44" s="100">
        <v>242.5</v>
      </c>
      <c r="I44" s="101">
        <v>1</v>
      </c>
      <c r="J44" s="101"/>
      <c r="K44" s="101">
        <v>1</v>
      </c>
      <c r="L44" s="102"/>
      <c r="M44" s="101"/>
      <c r="N44" s="101">
        <v>1</v>
      </c>
      <c r="O44" s="101"/>
      <c r="P44" s="101">
        <v>1</v>
      </c>
      <c r="Q44" s="76"/>
      <c r="AM44" s="128"/>
      <c r="AN44" s="128"/>
      <c r="AO44" s="128"/>
      <c r="AP44" s="128"/>
      <c r="AQ44" s="128"/>
      <c r="AR44" s="128"/>
      <c r="AS44" s="128"/>
      <c r="AT44" s="128"/>
      <c r="AU44" s="128"/>
      <c r="AV44" s="128"/>
      <c r="AW44" s="128"/>
      <c r="AX44" s="128"/>
      <c r="AY44" s="128"/>
      <c r="AZ44" s="128"/>
      <c r="BA44" s="128"/>
      <c r="BB44" s="136"/>
      <c r="BH44" s="128"/>
      <c r="BI44" s="128"/>
      <c r="BJ44" s="128"/>
      <c r="BK44" s="128"/>
      <c r="BL44" s="128"/>
      <c r="BM44" s="128"/>
      <c r="BN44" s="128"/>
      <c r="BO44" s="128"/>
      <c r="BP44" s="128"/>
      <c r="BQ44" s="128"/>
      <c r="BR44" s="128"/>
      <c r="BS44" s="128"/>
      <c r="BT44" s="128"/>
      <c r="BU44" s="128"/>
      <c r="BV44" s="128"/>
    </row>
    <row r="45" spans="6:74">
      <c r="G45" s="99">
        <v>112.5</v>
      </c>
      <c r="H45" s="100">
        <v>248</v>
      </c>
      <c r="I45" s="101">
        <v>1</v>
      </c>
      <c r="J45" s="101"/>
      <c r="K45" s="101">
        <v>1</v>
      </c>
      <c r="L45" s="102"/>
      <c r="M45" s="101"/>
      <c r="N45" s="101">
        <v>1</v>
      </c>
      <c r="O45" s="101">
        <v>1</v>
      </c>
      <c r="P45" s="101">
        <v>1</v>
      </c>
      <c r="Q45" s="76"/>
      <c r="AM45" s="128"/>
      <c r="AN45" s="136"/>
      <c r="AO45" s="128"/>
      <c r="AP45" s="128"/>
      <c r="AQ45" s="128"/>
      <c r="AR45" s="128"/>
      <c r="AS45" s="128"/>
      <c r="AT45" s="128"/>
      <c r="AU45" s="128"/>
      <c r="AV45" s="128"/>
      <c r="AW45" s="128"/>
      <c r="AX45" s="128"/>
      <c r="AY45" s="128"/>
      <c r="AZ45" s="128"/>
      <c r="BA45" s="128"/>
      <c r="BB45" s="136"/>
      <c r="BH45" s="128"/>
      <c r="BI45" s="128"/>
      <c r="BJ45" s="128"/>
      <c r="BK45" s="128"/>
      <c r="BL45" s="128"/>
      <c r="BM45" s="128"/>
      <c r="BN45" s="128"/>
      <c r="BO45" s="128"/>
      <c r="BP45" s="128"/>
      <c r="BQ45" s="128"/>
      <c r="BR45" s="128"/>
      <c r="BS45" s="128"/>
      <c r="BT45" s="128"/>
      <c r="BU45" s="128"/>
      <c r="BV45" s="128"/>
    </row>
    <row r="46" spans="6:74">
      <c r="G46" s="99">
        <v>115</v>
      </c>
      <c r="H46" s="100">
        <v>253.5</v>
      </c>
      <c r="I46" s="101">
        <v>1</v>
      </c>
      <c r="J46" s="101">
        <v>1</v>
      </c>
      <c r="K46" s="101"/>
      <c r="L46" s="102"/>
      <c r="M46" s="101"/>
      <c r="N46" s="101"/>
      <c r="O46" s="101"/>
      <c r="P46" s="101">
        <v>1</v>
      </c>
      <c r="Q46" s="76"/>
      <c r="AM46" s="136"/>
      <c r="AN46" s="136"/>
      <c r="AO46" s="136"/>
      <c r="AP46" s="136"/>
      <c r="AQ46" s="136"/>
      <c r="AR46" s="136"/>
      <c r="AS46" s="136"/>
      <c r="AT46" s="136"/>
      <c r="AU46" s="136"/>
      <c r="AV46" s="136"/>
      <c r="AW46" s="136"/>
      <c r="AX46" s="136"/>
      <c r="AY46" s="136"/>
      <c r="AZ46" s="136"/>
      <c r="BA46" s="136"/>
      <c r="BB46" s="136"/>
      <c r="BH46" s="136"/>
      <c r="BI46" s="136"/>
      <c r="BJ46" s="136"/>
      <c r="BK46" s="136"/>
      <c r="BL46" s="136"/>
      <c r="BM46" s="136"/>
      <c r="BN46" s="136"/>
      <c r="BO46" s="136"/>
      <c r="BP46" s="136"/>
      <c r="BQ46" s="136"/>
      <c r="BR46" s="136"/>
      <c r="BS46" s="136"/>
      <c r="BT46" s="136"/>
      <c r="BU46" s="136"/>
      <c r="BV46" s="136"/>
    </row>
    <row r="47" spans="6:74">
      <c r="G47" s="99">
        <v>117.5</v>
      </c>
      <c r="H47" s="100">
        <v>259</v>
      </c>
      <c r="I47" s="101">
        <v>1</v>
      </c>
      <c r="J47" s="101">
        <v>1</v>
      </c>
      <c r="K47" s="101"/>
      <c r="L47" s="102"/>
      <c r="M47" s="101"/>
      <c r="N47" s="101"/>
      <c r="O47" s="101">
        <v>1</v>
      </c>
      <c r="P47" s="101">
        <v>1</v>
      </c>
      <c r="Q47" s="76"/>
      <c r="AM47" s="136"/>
      <c r="AN47" s="136"/>
      <c r="AO47" s="136"/>
      <c r="AP47" s="136"/>
      <c r="AQ47" s="136"/>
      <c r="AR47" s="136"/>
      <c r="AS47" s="136"/>
      <c r="AT47" s="136"/>
      <c r="AU47" s="136"/>
      <c r="AV47" s="136"/>
      <c r="AW47" s="136"/>
      <c r="AX47" s="136"/>
      <c r="AY47" s="136"/>
      <c r="AZ47" s="136"/>
      <c r="BA47" s="136"/>
      <c r="BB47" s="136"/>
      <c r="BH47" s="136"/>
      <c r="BI47" s="136"/>
      <c r="BJ47" s="136"/>
      <c r="BK47" s="136"/>
      <c r="BL47" s="136"/>
      <c r="BM47" s="136"/>
      <c r="BN47" s="136"/>
      <c r="BO47" s="136"/>
      <c r="BP47" s="136"/>
      <c r="BQ47" s="136"/>
      <c r="BR47" s="136"/>
      <c r="BS47" s="136"/>
      <c r="BT47" s="136"/>
      <c r="BU47" s="136"/>
      <c r="BV47" s="136"/>
    </row>
    <row r="48" spans="6:74">
      <c r="G48" s="99">
        <v>120</v>
      </c>
      <c r="H48" s="100">
        <v>264.60000000000002</v>
      </c>
      <c r="I48" s="101">
        <v>1</v>
      </c>
      <c r="J48" s="101">
        <v>1</v>
      </c>
      <c r="K48" s="101"/>
      <c r="L48" s="102"/>
      <c r="M48" s="101"/>
      <c r="N48" s="101">
        <v>1</v>
      </c>
      <c r="O48" s="101"/>
      <c r="P48" s="101">
        <v>1</v>
      </c>
      <c r="Q48" s="76"/>
      <c r="AM48" s="136"/>
      <c r="AN48" s="136"/>
      <c r="AO48" s="136"/>
      <c r="AP48" s="136"/>
      <c r="AQ48" s="136"/>
      <c r="AR48" s="136"/>
      <c r="AS48" s="136"/>
      <c r="AT48" s="136"/>
      <c r="AU48" s="136"/>
      <c r="AV48" s="136"/>
      <c r="AW48" s="136"/>
      <c r="AX48" s="136"/>
      <c r="AY48" s="136"/>
      <c r="AZ48" s="136"/>
      <c r="BA48" s="136"/>
      <c r="BB48" s="136"/>
      <c r="BH48" s="136"/>
      <c r="BI48" s="136"/>
      <c r="BJ48" s="136"/>
      <c r="BK48" s="136"/>
      <c r="BL48" s="136"/>
      <c r="BM48" s="136"/>
      <c r="BN48" s="136"/>
      <c r="BO48" s="136"/>
      <c r="BP48" s="136"/>
      <c r="BQ48" s="136"/>
      <c r="BR48" s="136"/>
      <c r="BS48" s="136"/>
      <c r="BT48" s="136"/>
      <c r="BU48" s="136"/>
      <c r="BV48" s="136"/>
    </row>
    <row r="49" spans="7:74">
      <c r="G49" s="99">
        <v>122.5</v>
      </c>
      <c r="H49" s="100">
        <v>270.10000000000002</v>
      </c>
      <c r="I49" s="101">
        <v>1</v>
      </c>
      <c r="J49" s="101">
        <v>1</v>
      </c>
      <c r="K49" s="101"/>
      <c r="L49" s="102"/>
      <c r="M49" s="101"/>
      <c r="N49" s="101">
        <v>1</v>
      </c>
      <c r="O49" s="101">
        <v>1</v>
      </c>
      <c r="P49" s="101">
        <v>1</v>
      </c>
      <c r="Q49" s="76"/>
      <c r="AM49" s="136"/>
      <c r="AN49" s="136"/>
      <c r="AO49" s="136"/>
      <c r="AP49" s="136"/>
      <c r="AQ49" s="136"/>
      <c r="AR49" s="136"/>
      <c r="AS49" s="136"/>
      <c r="AT49" s="136"/>
      <c r="AU49" s="136"/>
      <c r="AV49" s="136"/>
      <c r="AW49" s="136"/>
      <c r="AX49" s="136"/>
      <c r="AY49" s="136"/>
      <c r="AZ49" s="136"/>
      <c r="BA49" s="136"/>
      <c r="BB49" s="136"/>
      <c r="BH49" s="136"/>
      <c r="BI49" s="136"/>
      <c r="BJ49" s="136"/>
      <c r="BK49" s="136"/>
      <c r="BL49" s="136"/>
      <c r="BM49" s="136"/>
      <c r="BN49" s="136"/>
      <c r="BO49" s="136"/>
      <c r="BP49" s="136"/>
      <c r="BQ49" s="136"/>
      <c r="BR49" s="136"/>
      <c r="BS49" s="136"/>
      <c r="BT49" s="136"/>
      <c r="BU49" s="136"/>
      <c r="BV49" s="136"/>
    </row>
    <row r="50" spans="7:74">
      <c r="G50" s="99">
        <v>125</v>
      </c>
      <c r="H50" s="100">
        <v>275.60000000000002</v>
      </c>
      <c r="I50" s="101">
        <v>2</v>
      </c>
      <c r="J50" s="101"/>
      <c r="K50" s="101"/>
      <c r="L50" s="102"/>
      <c r="M50" s="101"/>
      <c r="N50" s="101"/>
      <c r="O50" s="101"/>
      <c r="P50" s="101">
        <v>1</v>
      </c>
      <c r="Q50" s="76"/>
      <c r="AM50" s="136"/>
      <c r="AN50" s="136"/>
      <c r="AO50" s="136"/>
      <c r="AP50" s="136"/>
      <c r="AQ50" s="136"/>
      <c r="AR50" s="136"/>
      <c r="AS50" s="136"/>
      <c r="AT50" s="136"/>
      <c r="AU50" s="136"/>
      <c r="AV50" s="136"/>
      <c r="AW50" s="136"/>
      <c r="AX50" s="136"/>
      <c r="AY50" s="136"/>
      <c r="AZ50" s="136"/>
      <c r="BA50" s="136"/>
      <c r="BB50" s="136"/>
      <c r="BH50" s="136"/>
      <c r="BI50" s="136"/>
      <c r="BJ50" s="136"/>
      <c r="BK50" s="136"/>
      <c r="BL50" s="136"/>
      <c r="BM50" s="136"/>
      <c r="BN50" s="136"/>
      <c r="BO50" s="136"/>
      <c r="BP50" s="136"/>
      <c r="BQ50" s="136"/>
      <c r="BR50" s="136"/>
      <c r="BS50" s="136"/>
      <c r="BT50" s="136"/>
      <c r="BU50" s="136"/>
      <c r="BV50" s="136"/>
    </row>
    <row r="51" spans="7:74">
      <c r="G51" s="99">
        <v>127.5</v>
      </c>
      <c r="H51" s="100">
        <v>281.10000000000002</v>
      </c>
      <c r="I51" s="101">
        <v>2</v>
      </c>
      <c r="J51" s="101"/>
      <c r="K51" s="101"/>
      <c r="L51" s="102"/>
      <c r="M51" s="101"/>
      <c r="N51" s="101"/>
      <c r="O51" s="101">
        <v>1</v>
      </c>
      <c r="P51" s="101">
        <v>1</v>
      </c>
      <c r="Q51" s="76"/>
      <c r="AM51" s="136"/>
      <c r="AN51" s="136"/>
      <c r="AO51" s="136"/>
      <c r="AP51" s="136"/>
      <c r="AQ51" s="136"/>
      <c r="AR51" s="136"/>
      <c r="AS51" s="136"/>
      <c r="AT51" s="136"/>
      <c r="AU51" s="136"/>
      <c r="AV51" s="136"/>
      <c r="AW51" s="136"/>
      <c r="AX51" s="136"/>
      <c r="AY51" s="136"/>
      <c r="AZ51" s="136"/>
      <c r="BA51" s="136"/>
      <c r="BB51" s="136"/>
      <c r="BH51" s="136"/>
      <c r="BI51" s="136"/>
      <c r="BJ51" s="136"/>
      <c r="BK51" s="136"/>
      <c r="BL51" s="136"/>
      <c r="BM51" s="136"/>
      <c r="BN51" s="136"/>
      <c r="BO51" s="136"/>
      <c r="BP51" s="136"/>
      <c r="BQ51" s="136"/>
      <c r="BR51" s="136"/>
      <c r="BS51" s="136"/>
      <c r="BT51" s="136"/>
      <c r="BU51" s="136"/>
      <c r="BV51" s="136"/>
    </row>
    <row r="52" spans="7:74">
      <c r="G52" s="99">
        <v>130</v>
      </c>
      <c r="H52" s="100">
        <v>286.60000000000002</v>
      </c>
      <c r="I52" s="101">
        <v>2</v>
      </c>
      <c r="J52" s="101"/>
      <c r="K52" s="101"/>
      <c r="L52" s="102"/>
      <c r="M52" s="101"/>
      <c r="N52" s="101">
        <v>1</v>
      </c>
      <c r="O52" s="101"/>
      <c r="P52" s="101">
        <v>1</v>
      </c>
      <c r="Q52" s="76"/>
      <c r="AM52" s="136"/>
      <c r="AN52" s="136"/>
      <c r="AO52" s="136"/>
      <c r="AP52" s="136"/>
      <c r="AQ52" s="136"/>
      <c r="AR52" s="136"/>
      <c r="AS52" s="136"/>
      <c r="AT52" s="136"/>
      <c r="AU52" s="136"/>
      <c r="AV52" s="136"/>
      <c r="AW52" s="136"/>
      <c r="AX52" s="136"/>
      <c r="AY52" s="136"/>
      <c r="AZ52" s="136"/>
      <c r="BA52" s="136"/>
      <c r="BB52" s="136"/>
      <c r="BH52" s="136"/>
      <c r="BI52" s="136"/>
      <c r="BJ52" s="136"/>
      <c r="BK52" s="136"/>
      <c r="BL52" s="136"/>
      <c r="BM52" s="136"/>
      <c r="BN52" s="136"/>
      <c r="BO52" s="136"/>
      <c r="BP52" s="136"/>
      <c r="BQ52" s="136"/>
      <c r="BR52" s="136"/>
      <c r="BS52" s="136"/>
      <c r="BT52" s="136"/>
      <c r="BU52" s="136"/>
      <c r="BV52" s="136"/>
    </row>
    <row r="53" spans="7:74">
      <c r="G53" s="99">
        <v>132.5</v>
      </c>
      <c r="H53" s="100">
        <v>292.10000000000002</v>
      </c>
      <c r="I53" s="101">
        <v>2</v>
      </c>
      <c r="J53" s="101"/>
      <c r="K53" s="101"/>
      <c r="L53" s="102"/>
      <c r="M53" s="101"/>
      <c r="N53" s="101">
        <v>1</v>
      </c>
      <c r="O53" s="101">
        <v>1</v>
      </c>
      <c r="P53" s="101">
        <v>1</v>
      </c>
      <c r="Q53" s="76"/>
      <c r="AM53" s="136"/>
      <c r="AN53" s="136"/>
      <c r="AO53" s="136"/>
      <c r="AP53" s="136"/>
      <c r="AQ53" s="136"/>
      <c r="AR53" s="136"/>
      <c r="AS53" s="136"/>
      <c r="AT53" s="136"/>
      <c r="AU53" s="136"/>
      <c r="AV53" s="136"/>
      <c r="AW53" s="136"/>
      <c r="AX53" s="136"/>
      <c r="AY53" s="136"/>
      <c r="AZ53" s="136"/>
      <c r="BA53" s="136"/>
      <c r="BB53" s="136"/>
      <c r="BH53" s="136"/>
      <c r="BI53" s="136"/>
      <c r="BJ53" s="136"/>
      <c r="BK53" s="136"/>
      <c r="BL53" s="136"/>
      <c r="BM53" s="136"/>
      <c r="BN53" s="136"/>
      <c r="BO53" s="136"/>
      <c r="BP53" s="136"/>
      <c r="BQ53" s="136"/>
      <c r="BR53" s="136"/>
      <c r="BS53" s="136"/>
      <c r="BT53" s="136"/>
      <c r="BU53" s="136"/>
      <c r="BV53" s="136"/>
    </row>
    <row r="54" spans="7:74">
      <c r="G54" s="99">
        <v>135</v>
      </c>
      <c r="H54" s="100">
        <v>297.60000000000002</v>
      </c>
      <c r="I54" s="101">
        <v>2</v>
      </c>
      <c r="J54" s="101"/>
      <c r="K54" s="101"/>
      <c r="L54" s="102"/>
      <c r="M54" s="101">
        <v>1</v>
      </c>
      <c r="N54" s="101"/>
      <c r="O54" s="101"/>
      <c r="P54" s="101">
        <v>1</v>
      </c>
      <c r="Q54" s="76"/>
      <c r="AM54" s="136"/>
      <c r="AO54" s="136"/>
      <c r="AP54" s="136"/>
      <c r="AQ54" s="136"/>
      <c r="AR54" s="136"/>
      <c r="AS54" s="136"/>
      <c r="AT54" s="136"/>
      <c r="AU54" s="136"/>
      <c r="AV54" s="136"/>
      <c r="AW54" s="136"/>
      <c r="AX54" s="136"/>
      <c r="AY54" s="136"/>
      <c r="AZ54" s="136"/>
      <c r="BA54" s="136"/>
      <c r="BB54" s="136"/>
      <c r="BH54" s="136"/>
      <c r="BI54" s="136"/>
      <c r="BJ54" s="136"/>
      <c r="BK54" s="136"/>
      <c r="BL54" s="136"/>
      <c r="BM54" s="136"/>
      <c r="BN54" s="136"/>
      <c r="BO54" s="136"/>
      <c r="BP54" s="136"/>
      <c r="BQ54" s="136"/>
      <c r="BR54" s="136"/>
      <c r="BS54" s="136"/>
      <c r="BT54" s="136"/>
      <c r="BU54" s="136"/>
      <c r="BV54" s="136"/>
    </row>
    <row r="55" spans="7:74">
      <c r="G55" s="99">
        <v>137.5</v>
      </c>
      <c r="H55" s="100">
        <v>303.10000000000002</v>
      </c>
      <c r="I55" s="101">
        <v>2</v>
      </c>
      <c r="J55" s="101"/>
      <c r="K55" s="101"/>
      <c r="L55" s="102"/>
      <c r="M55" s="101">
        <v>1</v>
      </c>
      <c r="N55" s="101"/>
      <c r="O55" s="101">
        <v>1</v>
      </c>
      <c r="P55" s="101">
        <v>1</v>
      </c>
      <c r="Q55" s="76"/>
    </row>
    <row r="56" spans="7:74">
      <c r="G56" s="99">
        <v>140</v>
      </c>
      <c r="H56" s="100">
        <v>308.60000000000002</v>
      </c>
      <c r="I56" s="101">
        <v>2</v>
      </c>
      <c r="J56" s="101"/>
      <c r="K56" s="101"/>
      <c r="L56" s="102"/>
      <c r="M56" s="101">
        <v>1</v>
      </c>
      <c r="N56" s="101">
        <v>1</v>
      </c>
      <c r="O56" s="101"/>
      <c r="P56" s="101">
        <v>1</v>
      </c>
      <c r="Q56" s="76"/>
    </row>
    <row r="57" spans="7:74">
      <c r="G57" s="99">
        <v>142.5</v>
      </c>
      <c r="H57" s="100">
        <v>314.2</v>
      </c>
      <c r="I57" s="101">
        <v>2</v>
      </c>
      <c r="J57" s="101"/>
      <c r="K57" s="101"/>
      <c r="L57" s="102"/>
      <c r="M57" s="101">
        <v>1</v>
      </c>
      <c r="N57" s="101">
        <v>1</v>
      </c>
      <c r="O57" s="101">
        <v>1</v>
      </c>
      <c r="P57" s="101">
        <v>1</v>
      </c>
      <c r="Q57" s="76"/>
    </row>
    <row r="58" spans="7:74">
      <c r="G58" s="99">
        <v>145</v>
      </c>
      <c r="H58" s="100">
        <v>319.7</v>
      </c>
      <c r="I58" s="101">
        <v>2</v>
      </c>
      <c r="J58" s="101"/>
      <c r="K58" s="101"/>
      <c r="L58" s="102">
        <v>1</v>
      </c>
      <c r="M58" s="101"/>
      <c r="N58" s="101"/>
      <c r="O58" s="101"/>
      <c r="P58" s="101">
        <v>1</v>
      </c>
      <c r="Q58" s="76"/>
    </row>
    <row r="59" spans="7:74">
      <c r="G59" s="99">
        <v>147.5</v>
      </c>
      <c r="H59" s="100">
        <v>325.2</v>
      </c>
      <c r="I59" s="101">
        <v>2</v>
      </c>
      <c r="J59" s="101"/>
      <c r="K59" s="101"/>
      <c r="L59" s="102">
        <v>1</v>
      </c>
      <c r="M59" s="101"/>
      <c r="N59" s="101"/>
      <c r="O59" s="101">
        <v>1</v>
      </c>
      <c r="P59" s="101">
        <v>1</v>
      </c>
      <c r="Q59" s="76"/>
    </row>
    <row r="60" spans="7:74">
      <c r="G60" s="99">
        <v>150</v>
      </c>
      <c r="H60" s="100">
        <v>330.7</v>
      </c>
      <c r="I60" s="101">
        <v>2</v>
      </c>
      <c r="J60" s="101"/>
      <c r="K60" s="101"/>
      <c r="L60" s="102">
        <v>1</v>
      </c>
      <c r="M60" s="101"/>
      <c r="N60" s="101">
        <v>1</v>
      </c>
      <c r="O60" s="101"/>
      <c r="P60" s="101">
        <v>1</v>
      </c>
      <c r="Q60" s="76"/>
    </row>
    <row r="61" spans="7:74">
      <c r="G61" s="99">
        <v>152.5</v>
      </c>
      <c r="H61" s="100">
        <v>336.2</v>
      </c>
      <c r="I61" s="101">
        <v>2</v>
      </c>
      <c r="J61" s="101"/>
      <c r="K61" s="101"/>
      <c r="L61" s="102">
        <v>1</v>
      </c>
      <c r="M61" s="101"/>
      <c r="N61" s="101">
        <v>1</v>
      </c>
      <c r="O61" s="101">
        <v>1</v>
      </c>
      <c r="P61" s="101">
        <v>1</v>
      </c>
      <c r="Q61" s="76"/>
    </row>
    <row r="62" spans="7:74">
      <c r="G62" s="99">
        <v>155</v>
      </c>
      <c r="H62" s="100">
        <v>341.7</v>
      </c>
      <c r="I62" s="101">
        <v>2</v>
      </c>
      <c r="J62" s="101"/>
      <c r="K62" s="101">
        <v>1</v>
      </c>
      <c r="L62" s="102"/>
      <c r="M62" s="101"/>
      <c r="N62" s="101"/>
      <c r="O62" s="101"/>
      <c r="P62" s="101">
        <v>1</v>
      </c>
      <c r="Q62" s="76"/>
    </row>
    <row r="63" spans="7:74">
      <c r="G63" s="99">
        <v>157.5</v>
      </c>
      <c r="H63" s="100">
        <v>347.2</v>
      </c>
      <c r="I63" s="101">
        <v>2</v>
      </c>
      <c r="J63" s="101"/>
      <c r="K63" s="101">
        <v>1</v>
      </c>
      <c r="L63" s="102"/>
      <c r="M63" s="101"/>
      <c r="N63" s="101"/>
      <c r="O63" s="101">
        <v>1</v>
      </c>
      <c r="P63" s="101">
        <v>1</v>
      </c>
      <c r="Q63" s="76"/>
    </row>
    <row r="64" spans="7:74">
      <c r="G64" s="99">
        <v>160</v>
      </c>
      <c r="H64" s="100">
        <v>352.7</v>
      </c>
      <c r="I64" s="101">
        <v>2</v>
      </c>
      <c r="J64" s="101"/>
      <c r="K64" s="101">
        <v>1</v>
      </c>
      <c r="L64" s="102"/>
      <c r="M64" s="101"/>
      <c r="N64" s="101">
        <v>1</v>
      </c>
      <c r="O64" s="101"/>
      <c r="P64" s="101">
        <v>1</v>
      </c>
      <c r="Q64" s="76"/>
    </row>
    <row r="65" spans="7:17">
      <c r="G65" s="99">
        <v>162.5</v>
      </c>
      <c r="H65" s="100">
        <v>358.2</v>
      </c>
      <c r="I65" s="101">
        <v>2</v>
      </c>
      <c r="J65" s="101"/>
      <c r="K65" s="101">
        <v>1</v>
      </c>
      <c r="L65" s="102"/>
      <c r="M65" s="101"/>
      <c r="N65" s="101">
        <v>1</v>
      </c>
      <c r="O65" s="101">
        <v>1</v>
      </c>
      <c r="P65" s="101">
        <v>1</v>
      </c>
      <c r="Q65" s="76"/>
    </row>
    <row r="66" spans="7:17">
      <c r="G66" s="99">
        <v>165</v>
      </c>
      <c r="H66" s="100">
        <v>363.8</v>
      </c>
      <c r="I66" s="101">
        <v>2</v>
      </c>
      <c r="J66" s="101">
        <v>1</v>
      </c>
      <c r="K66" s="101"/>
      <c r="L66" s="102"/>
      <c r="M66" s="101"/>
      <c r="N66" s="101"/>
      <c r="O66" s="101"/>
      <c r="P66" s="101">
        <v>1</v>
      </c>
      <c r="Q66" s="76"/>
    </row>
    <row r="67" spans="7:17">
      <c r="G67" s="99">
        <v>167.5</v>
      </c>
      <c r="H67" s="100">
        <v>369.3</v>
      </c>
      <c r="I67" s="101">
        <v>2</v>
      </c>
      <c r="J67" s="101">
        <v>1</v>
      </c>
      <c r="K67" s="101"/>
      <c r="L67" s="102"/>
      <c r="M67" s="101"/>
      <c r="N67" s="101"/>
      <c r="O67" s="101">
        <v>1</v>
      </c>
      <c r="P67" s="101">
        <v>1</v>
      </c>
      <c r="Q67" s="76"/>
    </row>
    <row r="68" spans="7:17">
      <c r="G68" s="99">
        <v>170</v>
      </c>
      <c r="H68" s="100">
        <v>374.8</v>
      </c>
      <c r="I68" s="101">
        <v>2</v>
      </c>
      <c r="J68" s="101">
        <v>1</v>
      </c>
      <c r="K68" s="101"/>
      <c r="L68" s="102"/>
      <c r="M68" s="101"/>
      <c r="N68" s="101">
        <v>1</v>
      </c>
      <c r="O68" s="101"/>
      <c r="P68" s="101">
        <v>1</v>
      </c>
      <c r="Q68" s="76"/>
    </row>
    <row r="69" spans="7:17">
      <c r="G69" s="99">
        <v>172.5</v>
      </c>
      <c r="H69" s="100">
        <v>380.3</v>
      </c>
      <c r="I69" s="101">
        <v>2</v>
      </c>
      <c r="J69" s="101">
        <v>1</v>
      </c>
      <c r="K69" s="101"/>
      <c r="L69" s="102"/>
      <c r="M69" s="101"/>
      <c r="N69" s="101">
        <v>1</v>
      </c>
      <c r="O69" s="101">
        <v>1</v>
      </c>
      <c r="P69" s="101">
        <v>1</v>
      </c>
      <c r="Q69" s="76"/>
    </row>
    <row r="70" spans="7:17">
      <c r="G70" s="99">
        <v>175</v>
      </c>
      <c r="H70" s="100">
        <v>385.8</v>
      </c>
      <c r="I70" s="101">
        <v>3</v>
      </c>
      <c r="J70" s="101"/>
      <c r="K70" s="101"/>
      <c r="L70" s="102"/>
      <c r="M70" s="101"/>
      <c r="N70" s="101"/>
      <c r="O70" s="101"/>
      <c r="P70" s="101">
        <v>1</v>
      </c>
      <c r="Q70" s="76"/>
    </row>
    <row r="71" spans="7:17">
      <c r="G71" s="99">
        <v>177.5</v>
      </c>
      <c r="H71" s="100">
        <v>391.3</v>
      </c>
      <c r="I71" s="101">
        <v>3</v>
      </c>
      <c r="J71" s="101"/>
      <c r="K71" s="101"/>
      <c r="L71" s="102"/>
      <c r="M71" s="101"/>
      <c r="N71" s="101"/>
      <c r="O71" s="101">
        <v>1</v>
      </c>
      <c r="P71" s="101">
        <v>1</v>
      </c>
      <c r="Q71" s="76"/>
    </row>
    <row r="72" spans="7:17">
      <c r="G72" s="99">
        <v>180</v>
      </c>
      <c r="H72" s="100">
        <v>396.8</v>
      </c>
      <c r="I72" s="101">
        <v>3</v>
      </c>
      <c r="J72" s="101"/>
      <c r="K72" s="101"/>
      <c r="L72" s="102"/>
      <c r="M72" s="101"/>
      <c r="N72" s="101">
        <v>1</v>
      </c>
      <c r="O72" s="101"/>
      <c r="P72" s="101">
        <v>1</v>
      </c>
      <c r="Q72" s="76"/>
    </row>
    <row r="73" spans="7:17">
      <c r="G73" s="99">
        <v>182.5</v>
      </c>
      <c r="H73" s="100">
        <v>402.3</v>
      </c>
      <c r="I73" s="101">
        <v>3</v>
      </c>
      <c r="J73" s="101"/>
      <c r="K73" s="101"/>
      <c r="L73" s="102"/>
      <c r="M73" s="101"/>
      <c r="N73" s="101">
        <v>1</v>
      </c>
      <c r="O73" s="101">
        <v>1</v>
      </c>
      <c r="P73" s="101">
        <v>1</v>
      </c>
      <c r="Q73" s="76"/>
    </row>
    <row r="74" spans="7:17">
      <c r="G74" s="99">
        <v>185</v>
      </c>
      <c r="H74" s="100">
        <v>407.9</v>
      </c>
      <c r="I74" s="101">
        <v>3</v>
      </c>
      <c r="J74" s="101"/>
      <c r="K74" s="101"/>
      <c r="L74" s="102"/>
      <c r="M74" s="101">
        <v>1</v>
      </c>
      <c r="N74" s="101"/>
      <c r="O74" s="101"/>
      <c r="P74" s="101">
        <v>1</v>
      </c>
      <c r="Q74" s="76"/>
    </row>
    <row r="75" spans="7:17">
      <c r="G75" s="99">
        <v>187.5</v>
      </c>
      <c r="H75" s="100">
        <v>413.4</v>
      </c>
      <c r="I75" s="101">
        <v>3</v>
      </c>
      <c r="J75" s="101"/>
      <c r="K75" s="101"/>
      <c r="L75" s="102"/>
      <c r="M75" s="101">
        <v>1</v>
      </c>
      <c r="N75" s="101"/>
      <c r="O75" s="101">
        <v>1</v>
      </c>
      <c r="P75" s="101">
        <v>1</v>
      </c>
      <c r="Q75" s="76"/>
    </row>
    <row r="76" spans="7:17">
      <c r="G76" s="99">
        <v>190</v>
      </c>
      <c r="H76" s="100">
        <v>418.9</v>
      </c>
      <c r="I76" s="101">
        <v>3</v>
      </c>
      <c r="J76" s="101"/>
      <c r="K76" s="101"/>
      <c r="L76" s="102"/>
      <c r="M76" s="101">
        <v>1</v>
      </c>
      <c r="N76" s="101">
        <v>1</v>
      </c>
      <c r="O76" s="101"/>
      <c r="P76" s="101">
        <v>1</v>
      </c>
      <c r="Q76" s="76"/>
    </row>
    <row r="77" spans="7:17">
      <c r="G77" s="99">
        <v>192.5</v>
      </c>
      <c r="H77" s="100">
        <v>424.4</v>
      </c>
      <c r="I77" s="101">
        <v>3</v>
      </c>
      <c r="J77" s="101"/>
      <c r="K77" s="101"/>
      <c r="L77" s="102"/>
      <c r="M77" s="101">
        <v>1</v>
      </c>
      <c r="N77" s="101">
        <v>1</v>
      </c>
      <c r="O77" s="101">
        <v>1</v>
      </c>
      <c r="P77" s="101">
        <v>1</v>
      </c>
      <c r="Q77" s="76"/>
    </row>
    <row r="78" spans="7:17">
      <c r="G78" s="99">
        <v>195</v>
      </c>
      <c r="H78" s="100">
        <v>429.9</v>
      </c>
      <c r="I78" s="101">
        <v>3</v>
      </c>
      <c r="J78" s="101"/>
      <c r="K78" s="101"/>
      <c r="L78" s="102">
        <v>1</v>
      </c>
      <c r="M78" s="101"/>
      <c r="N78" s="101"/>
      <c r="O78" s="101"/>
      <c r="P78" s="101">
        <v>1</v>
      </c>
      <c r="Q78" s="76"/>
    </row>
    <row r="79" spans="7:17">
      <c r="G79" s="99">
        <v>197.5</v>
      </c>
      <c r="H79" s="100">
        <v>435.4</v>
      </c>
      <c r="I79" s="101">
        <v>3</v>
      </c>
      <c r="J79" s="101"/>
      <c r="K79" s="101"/>
      <c r="L79" s="102">
        <v>1</v>
      </c>
      <c r="M79" s="101"/>
      <c r="N79" s="101"/>
      <c r="O79" s="101">
        <v>1</v>
      </c>
      <c r="P79" s="101">
        <v>1</v>
      </c>
      <c r="Q79" s="76"/>
    </row>
    <row r="80" spans="7:17">
      <c r="G80" s="99">
        <v>200</v>
      </c>
      <c r="H80" s="100">
        <v>440.9</v>
      </c>
      <c r="I80" s="101">
        <v>3</v>
      </c>
      <c r="J80" s="101"/>
      <c r="K80" s="101"/>
      <c r="L80" s="102">
        <v>1</v>
      </c>
      <c r="M80" s="101"/>
      <c r="N80" s="101">
        <v>1</v>
      </c>
      <c r="O80" s="101"/>
      <c r="P80" s="101">
        <v>1</v>
      </c>
      <c r="Q80" s="76"/>
    </row>
    <row r="81" spans="7:17">
      <c r="G81" s="99">
        <v>202.5</v>
      </c>
      <c r="H81" s="100">
        <v>446.4</v>
      </c>
      <c r="I81" s="101">
        <v>3</v>
      </c>
      <c r="J81" s="101"/>
      <c r="K81" s="101"/>
      <c r="L81" s="102">
        <v>1</v>
      </c>
      <c r="M81" s="101"/>
      <c r="N81" s="101">
        <v>1</v>
      </c>
      <c r="O81" s="101">
        <v>1</v>
      </c>
      <c r="P81" s="101">
        <v>1</v>
      </c>
      <c r="Q81" s="76"/>
    </row>
    <row r="82" spans="7:17">
      <c r="G82" s="99">
        <v>205</v>
      </c>
      <c r="H82" s="100">
        <v>451.9</v>
      </c>
      <c r="I82" s="101">
        <v>3</v>
      </c>
      <c r="J82" s="101"/>
      <c r="K82" s="101">
        <v>1</v>
      </c>
      <c r="L82" s="102"/>
      <c r="M82" s="101"/>
      <c r="N82" s="101"/>
      <c r="O82" s="101"/>
      <c r="P82" s="101">
        <v>1</v>
      </c>
      <c r="Q82" s="76"/>
    </row>
    <row r="83" spans="7:17">
      <c r="G83" s="99">
        <v>207.5</v>
      </c>
      <c r="H83" s="100">
        <v>457.5</v>
      </c>
      <c r="I83" s="101">
        <v>3</v>
      </c>
      <c r="J83" s="101"/>
      <c r="K83" s="101">
        <v>1</v>
      </c>
      <c r="L83" s="102"/>
      <c r="M83" s="101"/>
      <c r="N83" s="101"/>
      <c r="O83" s="101">
        <v>1</v>
      </c>
      <c r="P83" s="101">
        <v>1</v>
      </c>
      <c r="Q83" s="76"/>
    </row>
    <row r="84" spans="7:17">
      <c r="G84" s="99">
        <v>210</v>
      </c>
      <c r="H84" s="100">
        <v>463</v>
      </c>
      <c r="I84" s="101">
        <v>3</v>
      </c>
      <c r="J84" s="101"/>
      <c r="K84" s="101">
        <v>1</v>
      </c>
      <c r="L84" s="102"/>
      <c r="M84" s="101"/>
      <c r="N84" s="101">
        <v>1</v>
      </c>
      <c r="O84" s="101"/>
      <c r="P84" s="101">
        <v>1</v>
      </c>
      <c r="Q84" s="76"/>
    </row>
    <row r="85" spans="7:17">
      <c r="G85" s="99">
        <v>212.5</v>
      </c>
      <c r="H85" s="100">
        <v>468.5</v>
      </c>
      <c r="I85" s="101">
        <v>3</v>
      </c>
      <c r="J85" s="101"/>
      <c r="K85" s="101">
        <v>1</v>
      </c>
      <c r="L85" s="102"/>
      <c r="M85" s="101"/>
      <c r="N85" s="101">
        <v>1</v>
      </c>
      <c r="O85" s="101">
        <v>1</v>
      </c>
      <c r="P85" s="101">
        <v>1</v>
      </c>
      <c r="Q85" s="76"/>
    </row>
    <row r="86" spans="7:17">
      <c r="G86" s="99">
        <v>215</v>
      </c>
      <c r="H86" s="100">
        <v>474</v>
      </c>
      <c r="I86" s="101">
        <v>3</v>
      </c>
      <c r="J86" s="101">
        <v>1</v>
      </c>
      <c r="K86" s="101"/>
      <c r="L86" s="102"/>
      <c r="M86" s="101"/>
      <c r="N86" s="101"/>
      <c r="O86" s="101"/>
      <c r="P86" s="101">
        <v>1</v>
      </c>
      <c r="Q86" s="76"/>
    </row>
    <row r="87" spans="7:17">
      <c r="G87" s="99">
        <v>217.5</v>
      </c>
      <c r="H87" s="100">
        <v>479.5</v>
      </c>
      <c r="I87" s="101">
        <v>3</v>
      </c>
      <c r="J87" s="101">
        <v>1</v>
      </c>
      <c r="K87" s="101"/>
      <c r="L87" s="102"/>
      <c r="M87" s="101"/>
      <c r="N87" s="101"/>
      <c r="O87" s="101">
        <v>1</v>
      </c>
      <c r="P87" s="101">
        <v>1</v>
      </c>
      <c r="Q87" s="76"/>
    </row>
    <row r="88" spans="7:17">
      <c r="G88" s="99">
        <v>220</v>
      </c>
      <c r="H88" s="100">
        <v>485</v>
      </c>
      <c r="I88" s="101">
        <v>3</v>
      </c>
      <c r="J88" s="101">
        <v>1</v>
      </c>
      <c r="K88" s="101"/>
      <c r="L88" s="102"/>
      <c r="M88" s="101"/>
      <c r="N88" s="101">
        <v>1</v>
      </c>
      <c r="O88" s="101"/>
      <c r="P88" s="101">
        <v>1</v>
      </c>
      <c r="Q88" s="76"/>
    </row>
    <row r="89" spans="7:17">
      <c r="G89" s="99">
        <v>222.5</v>
      </c>
      <c r="H89" s="100">
        <v>490.5</v>
      </c>
      <c r="I89" s="101">
        <v>3</v>
      </c>
      <c r="J89" s="101">
        <v>1</v>
      </c>
      <c r="K89" s="101"/>
      <c r="L89" s="102"/>
      <c r="M89" s="101"/>
      <c r="N89" s="101">
        <v>1</v>
      </c>
      <c r="O89" s="101">
        <v>1</v>
      </c>
      <c r="P89" s="101">
        <v>1</v>
      </c>
      <c r="Q89" s="76"/>
    </row>
    <row r="90" spans="7:17">
      <c r="G90" s="99">
        <v>225</v>
      </c>
      <c r="H90" s="100">
        <v>496</v>
      </c>
      <c r="I90" s="101">
        <v>4</v>
      </c>
      <c r="J90" s="101"/>
      <c r="K90" s="101"/>
      <c r="L90" s="102"/>
      <c r="M90" s="101"/>
      <c r="N90" s="101"/>
      <c r="O90" s="101"/>
      <c r="P90" s="101">
        <v>1</v>
      </c>
      <c r="Q90" s="76"/>
    </row>
    <row r="91" spans="7:17">
      <c r="G91" s="99">
        <v>227.5</v>
      </c>
      <c r="H91" s="100">
        <v>501.5</v>
      </c>
      <c r="I91" s="101">
        <v>4</v>
      </c>
      <c r="J91" s="101"/>
      <c r="K91" s="101"/>
      <c r="L91" s="102"/>
      <c r="M91" s="101"/>
      <c r="N91" s="101"/>
      <c r="O91" s="101">
        <v>1</v>
      </c>
      <c r="P91" s="101">
        <v>1</v>
      </c>
      <c r="Q91" s="76"/>
    </row>
    <row r="92" spans="7:17">
      <c r="G92" s="99">
        <v>230</v>
      </c>
      <c r="H92" s="100">
        <v>507.1</v>
      </c>
      <c r="I92" s="101">
        <v>4</v>
      </c>
      <c r="J92" s="101"/>
      <c r="K92" s="101"/>
      <c r="L92" s="102"/>
      <c r="M92" s="101"/>
      <c r="N92" s="101">
        <v>1</v>
      </c>
      <c r="O92" s="101"/>
      <c r="P92" s="101">
        <v>1</v>
      </c>
      <c r="Q92" s="76"/>
    </row>
    <row r="93" spans="7:17">
      <c r="G93" s="99">
        <v>232.5</v>
      </c>
      <c r="H93" s="100">
        <v>512.6</v>
      </c>
      <c r="I93" s="101">
        <v>4</v>
      </c>
      <c r="J93" s="101"/>
      <c r="K93" s="101"/>
      <c r="L93" s="102"/>
      <c r="M93" s="101"/>
      <c r="N93" s="101">
        <v>1</v>
      </c>
      <c r="O93" s="101">
        <v>1</v>
      </c>
      <c r="P93" s="101">
        <v>1</v>
      </c>
      <c r="Q93" s="76"/>
    </row>
    <row r="94" spans="7:17">
      <c r="G94" s="99">
        <v>235</v>
      </c>
      <c r="H94" s="100">
        <v>518.1</v>
      </c>
      <c r="I94" s="101">
        <v>4</v>
      </c>
      <c r="J94" s="101"/>
      <c r="K94" s="101"/>
      <c r="L94" s="102"/>
      <c r="M94" s="101">
        <v>1</v>
      </c>
      <c r="N94" s="101"/>
      <c r="O94" s="101"/>
      <c r="P94" s="101">
        <v>1</v>
      </c>
      <c r="Q94" s="76"/>
    </row>
    <row r="95" spans="7:17">
      <c r="G95" s="99">
        <v>237.5</v>
      </c>
      <c r="H95" s="100">
        <v>523.6</v>
      </c>
      <c r="I95" s="101">
        <v>4</v>
      </c>
      <c r="J95" s="101"/>
      <c r="K95" s="101"/>
      <c r="L95" s="102"/>
      <c r="M95" s="101">
        <v>1</v>
      </c>
      <c r="N95" s="101"/>
      <c r="O95" s="101">
        <v>1</v>
      </c>
      <c r="P95" s="101">
        <v>1</v>
      </c>
      <c r="Q95" s="76"/>
    </row>
    <row r="96" spans="7:17">
      <c r="G96" s="99">
        <v>240</v>
      </c>
      <c r="H96" s="100">
        <v>529.1</v>
      </c>
      <c r="I96" s="101">
        <v>4</v>
      </c>
      <c r="J96" s="101"/>
      <c r="K96" s="101"/>
      <c r="L96" s="102"/>
      <c r="M96" s="101">
        <v>1</v>
      </c>
      <c r="N96" s="101">
        <v>1</v>
      </c>
      <c r="O96" s="101"/>
      <c r="P96" s="101">
        <v>1</v>
      </c>
      <c r="Q96" s="76"/>
    </row>
    <row r="97" spans="7:17">
      <c r="G97" s="99">
        <v>242.5</v>
      </c>
      <c r="H97" s="100">
        <v>534.6</v>
      </c>
      <c r="I97" s="101">
        <v>4</v>
      </c>
      <c r="J97" s="101"/>
      <c r="K97" s="101"/>
      <c r="L97" s="102"/>
      <c r="M97" s="101">
        <v>1</v>
      </c>
      <c r="N97" s="101">
        <v>1</v>
      </c>
      <c r="O97" s="101">
        <v>1</v>
      </c>
      <c r="P97" s="101">
        <v>1</v>
      </c>
      <c r="Q97" s="76"/>
    </row>
    <row r="98" spans="7:17">
      <c r="G98" s="99">
        <v>245</v>
      </c>
      <c r="H98" s="100">
        <v>540.1</v>
      </c>
      <c r="I98" s="101">
        <v>4</v>
      </c>
      <c r="J98" s="101"/>
      <c r="K98" s="101"/>
      <c r="L98" s="102">
        <v>1</v>
      </c>
      <c r="M98" s="101"/>
      <c r="N98" s="101"/>
      <c r="O98" s="101"/>
      <c r="P98" s="101">
        <v>1</v>
      </c>
      <c r="Q98" s="76"/>
    </row>
    <row r="99" spans="7:17">
      <c r="G99" s="99">
        <v>247.5</v>
      </c>
      <c r="H99" s="100">
        <v>545.6</v>
      </c>
      <c r="I99" s="101">
        <v>4</v>
      </c>
      <c r="J99" s="101"/>
      <c r="K99" s="101"/>
      <c r="L99" s="102">
        <v>1</v>
      </c>
      <c r="M99" s="101"/>
      <c r="N99" s="101"/>
      <c r="O99" s="101">
        <v>1</v>
      </c>
      <c r="P99" s="101">
        <v>1</v>
      </c>
      <c r="Q99" s="76"/>
    </row>
    <row r="100" spans="7:17">
      <c r="G100" s="99">
        <v>250</v>
      </c>
      <c r="H100" s="100">
        <v>551.20000000000005</v>
      </c>
      <c r="I100" s="101">
        <v>4</v>
      </c>
      <c r="J100" s="101"/>
      <c r="K100" s="101"/>
      <c r="L100" s="102">
        <v>1</v>
      </c>
      <c r="M100" s="101"/>
      <c r="N100" s="101">
        <v>1</v>
      </c>
      <c r="O100" s="101"/>
      <c r="P100" s="101">
        <v>1</v>
      </c>
      <c r="Q100" s="76"/>
    </row>
    <row r="101" spans="7:17">
      <c r="G101" s="99">
        <v>252.5</v>
      </c>
      <c r="H101" s="100">
        <v>556.70000000000005</v>
      </c>
      <c r="I101" s="101">
        <v>4</v>
      </c>
      <c r="J101" s="101"/>
      <c r="K101" s="101"/>
      <c r="L101" s="102">
        <v>1</v>
      </c>
      <c r="M101" s="101"/>
      <c r="N101" s="101">
        <v>1</v>
      </c>
      <c r="O101" s="101">
        <v>1</v>
      </c>
      <c r="P101" s="101">
        <v>1</v>
      </c>
      <c r="Q101" s="76"/>
    </row>
    <row r="102" spans="7:17">
      <c r="G102" s="99">
        <v>255</v>
      </c>
      <c r="H102" s="100">
        <v>562.20000000000005</v>
      </c>
      <c r="I102" s="101">
        <v>4</v>
      </c>
      <c r="J102" s="101"/>
      <c r="K102" s="101">
        <v>1</v>
      </c>
      <c r="L102" s="102"/>
      <c r="M102" s="101"/>
      <c r="N102" s="101"/>
      <c r="O102" s="101"/>
      <c r="P102" s="101">
        <v>1</v>
      </c>
      <c r="Q102" s="76"/>
    </row>
    <row r="103" spans="7:17">
      <c r="G103" s="99">
        <v>257.5</v>
      </c>
      <c r="H103" s="100">
        <v>567.70000000000005</v>
      </c>
      <c r="I103" s="101">
        <v>4</v>
      </c>
      <c r="J103" s="101"/>
      <c r="K103" s="101">
        <v>1</v>
      </c>
      <c r="L103" s="102"/>
      <c r="M103" s="101"/>
      <c r="N103" s="101"/>
      <c r="O103" s="101">
        <v>1</v>
      </c>
      <c r="P103" s="101">
        <v>1</v>
      </c>
      <c r="Q103" s="76"/>
    </row>
    <row r="104" spans="7:17">
      <c r="G104" s="99">
        <v>260</v>
      </c>
      <c r="H104" s="100">
        <v>573.20000000000005</v>
      </c>
      <c r="I104" s="101">
        <v>4</v>
      </c>
      <c r="J104" s="101"/>
      <c r="K104" s="101">
        <v>1</v>
      </c>
      <c r="L104" s="102"/>
      <c r="M104" s="101"/>
      <c r="N104" s="101">
        <v>1</v>
      </c>
      <c r="O104" s="101"/>
      <c r="P104" s="101">
        <v>1</v>
      </c>
      <c r="Q104" s="76"/>
    </row>
    <row r="105" spans="7:17">
      <c r="G105" s="99">
        <v>262.5</v>
      </c>
      <c r="H105" s="100">
        <v>578.70000000000005</v>
      </c>
      <c r="I105" s="101">
        <v>4</v>
      </c>
      <c r="J105" s="101"/>
      <c r="K105" s="101">
        <v>1</v>
      </c>
      <c r="L105" s="102"/>
      <c r="M105" s="101"/>
      <c r="N105" s="101">
        <v>1</v>
      </c>
      <c r="O105" s="101">
        <v>1</v>
      </c>
      <c r="P105" s="101">
        <v>1</v>
      </c>
      <c r="Q105" s="76"/>
    </row>
    <row r="106" spans="7:17">
      <c r="G106" s="99">
        <v>265</v>
      </c>
      <c r="H106" s="100">
        <v>584.20000000000005</v>
      </c>
      <c r="I106" s="101">
        <v>4</v>
      </c>
      <c r="J106" s="101">
        <v>1</v>
      </c>
      <c r="K106" s="101"/>
      <c r="L106" s="102"/>
      <c r="M106" s="101"/>
      <c r="N106" s="101"/>
      <c r="O106" s="101"/>
      <c r="P106" s="101">
        <v>1</v>
      </c>
      <c r="Q106" s="76"/>
    </row>
    <row r="107" spans="7:17">
      <c r="G107" s="99">
        <v>267.5</v>
      </c>
      <c r="H107" s="100">
        <v>589.70000000000005</v>
      </c>
      <c r="I107" s="101">
        <v>4</v>
      </c>
      <c r="J107" s="101">
        <v>1</v>
      </c>
      <c r="K107" s="101"/>
      <c r="L107" s="102"/>
      <c r="M107" s="101"/>
      <c r="N107" s="101"/>
      <c r="O107" s="101">
        <v>1</v>
      </c>
      <c r="P107" s="101">
        <v>1</v>
      </c>
      <c r="Q107" s="76"/>
    </row>
    <row r="108" spans="7:17">
      <c r="G108" s="99">
        <v>270</v>
      </c>
      <c r="H108" s="100">
        <v>595.20000000000005</v>
      </c>
      <c r="I108" s="101">
        <v>4</v>
      </c>
      <c r="J108" s="101">
        <v>1</v>
      </c>
      <c r="K108" s="101"/>
      <c r="L108" s="102"/>
      <c r="M108" s="101"/>
      <c r="N108" s="101">
        <v>1</v>
      </c>
      <c r="O108" s="101"/>
      <c r="P108" s="101">
        <v>1</v>
      </c>
      <c r="Q108" s="76"/>
    </row>
    <row r="109" spans="7:17">
      <c r="G109" s="99">
        <v>272.5</v>
      </c>
      <c r="H109" s="100">
        <v>600.79999999999995</v>
      </c>
      <c r="I109" s="101">
        <v>4</v>
      </c>
      <c r="J109" s="101">
        <v>1</v>
      </c>
      <c r="K109" s="101"/>
      <c r="L109" s="102"/>
      <c r="M109" s="101"/>
      <c r="N109" s="101">
        <v>1</v>
      </c>
      <c r="O109" s="101">
        <v>1</v>
      </c>
      <c r="P109" s="101">
        <v>1</v>
      </c>
      <c r="Q109" s="76"/>
    </row>
    <row r="110" spans="7:17">
      <c r="G110" s="99">
        <v>275</v>
      </c>
      <c r="H110" s="100">
        <v>606.29999999999995</v>
      </c>
      <c r="I110" s="101">
        <v>5</v>
      </c>
      <c r="J110" s="101"/>
      <c r="K110" s="101"/>
      <c r="L110" s="102"/>
      <c r="M110" s="101"/>
      <c r="N110" s="101"/>
      <c r="O110" s="101"/>
      <c r="P110" s="101">
        <v>1</v>
      </c>
      <c r="Q110" s="76"/>
    </row>
    <row r="111" spans="7:17">
      <c r="G111" s="99">
        <v>277.5</v>
      </c>
      <c r="H111" s="100">
        <v>611.79999999999995</v>
      </c>
      <c r="I111" s="101">
        <v>5</v>
      </c>
      <c r="J111" s="101"/>
      <c r="K111" s="101"/>
      <c r="L111" s="102"/>
      <c r="M111" s="101"/>
      <c r="N111" s="101"/>
      <c r="O111" s="101">
        <v>1</v>
      </c>
      <c r="P111" s="101">
        <v>1</v>
      </c>
      <c r="Q111" s="76"/>
    </row>
    <row r="112" spans="7:17">
      <c r="G112" s="99">
        <v>280</v>
      </c>
      <c r="H112" s="100">
        <v>617.29999999999995</v>
      </c>
      <c r="I112" s="101">
        <v>5</v>
      </c>
      <c r="J112" s="101"/>
      <c r="K112" s="101"/>
      <c r="L112" s="102"/>
      <c r="M112" s="101"/>
      <c r="N112" s="101">
        <v>1</v>
      </c>
      <c r="O112" s="101"/>
      <c r="P112" s="101">
        <v>1</v>
      </c>
      <c r="Q112" s="76"/>
    </row>
    <row r="113" spans="7:17">
      <c r="G113" s="99">
        <v>282.5</v>
      </c>
      <c r="H113" s="100">
        <v>622.79999999999995</v>
      </c>
      <c r="I113" s="101">
        <v>5</v>
      </c>
      <c r="J113" s="101"/>
      <c r="K113" s="101"/>
      <c r="L113" s="102"/>
      <c r="M113" s="101"/>
      <c r="N113" s="101">
        <v>1</v>
      </c>
      <c r="O113" s="101">
        <v>1</v>
      </c>
      <c r="P113" s="101">
        <v>1</v>
      </c>
      <c r="Q113" s="76"/>
    </row>
    <row r="114" spans="7:17">
      <c r="G114" s="99">
        <v>285</v>
      </c>
      <c r="H114" s="100">
        <v>628.29999999999995</v>
      </c>
      <c r="I114" s="101">
        <v>5</v>
      </c>
      <c r="J114" s="101"/>
      <c r="K114" s="101"/>
      <c r="L114" s="102"/>
      <c r="M114" s="101">
        <v>1</v>
      </c>
      <c r="N114" s="101"/>
      <c r="O114" s="101"/>
      <c r="P114" s="101">
        <v>1</v>
      </c>
      <c r="Q114" s="76"/>
    </row>
    <row r="115" spans="7:17">
      <c r="G115" s="99">
        <v>287.5</v>
      </c>
      <c r="H115" s="100">
        <v>633.79999999999995</v>
      </c>
      <c r="I115" s="101">
        <v>5</v>
      </c>
      <c r="J115" s="101"/>
      <c r="K115" s="101"/>
      <c r="L115" s="102"/>
      <c r="M115" s="101">
        <v>1</v>
      </c>
      <c r="N115" s="101"/>
      <c r="O115" s="101">
        <v>1</v>
      </c>
      <c r="P115" s="101">
        <v>1</v>
      </c>
      <c r="Q115" s="76"/>
    </row>
    <row r="116" spans="7:17">
      <c r="G116" s="99">
        <v>290</v>
      </c>
      <c r="H116" s="100">
        <v>639.29999999999995</v>
      </c>
      <c r="I116" s="101">
        <v>5</v>
      </c>
      <c r="J116" s="101"/>
      <c r="K116" s="101"/>
      <c r="L116" s="102"/>
      <c r="M116" s="101">
        <v>1</v>
      </c>
      <c r="N116" s="101">
        <v>1</v>
      </c>
      <c r="O116" s="101"/>
      <c r="P116" s="101">
        <v>1</v>
      </c>
      <c r="Q116" s="76"/>
    </row>
    <row r="117" spans="7:17">
      <c r="G117" s="99">
        <v>292.5</v>
      </c>
      <c r="H117" s="100">
        <v>644.79999999999995</v>
      </c>
      <c r="I117" s="101">
        <v>5</v>
      </c>
      <c r="J117" s="101"/>
      <c r="K117" s="101"/>
      <c r="L117" s="102"/>
      <c r="M117" s="101">
        <v>1</v>
      </c>
      <c r="N117" s="101">
        <v>1</v>
      </c>
      <c r="O117" s="101">
        <v>1</v>
      </c>
      <c r="P117" s="101">
        <v>1</v>
      </c>
      <c r="Q117" s="76"/>
    </row>
    <row r="118" spans="7:17">
      <c r="G118" s="99">
        <v>295</v>
      </c>
      <c r="H118" s="100">
        <v>650.4</v>
      </c>
      <c r="I118" s="101">
        <v>5</v>
      </c>
      <c r="J118" s="101"/>
      <c r="K118" s="101"/>
      <c r="L118" s="102">
        <v>1</v>
      </c>
      <c r="M118" s="101"/>
      <c r="N118" s="101"/>
      <c r="O118" s="101"/>
      <c r="P118" s="101">
        <v>1</v>
      </c>
      <c r="Q118" s="76"/>
    </row>
    <row r="119" spans="7:17">
      <c r="G119" s="99">
        <v>297.5</v>
      </c>
      <c r="H119" s="100">
        <v>655.9</v>
      </c>
      <c r="I119" s="101">
        <v>5</v>
      </c>
      <c r="J119" s="101"/>
      <c r="K119" s="101"/>
      <c r="L119" s="102">
        <v>1</v>
      </c>
      <c r="M119" s="101"/>
      <c r="N119" s="101"/>
      <c r="O119" s="101">
        <v>1</v>
      </c>
      <c r="P119" s="101">
        <v>1</v>
      </c>
      <c r="Q119" s="76"/>
    </row>
    <row r="120" spans="7:17">
      <c r="G120" s="99">
        <v>300</v>
      </c>
      <c r="H120" s="100">
        <v>661.4</v>
      </c>
      <c r="I120" s="101">
        <v>5</v>
      </c>
      <c r="J120" s="101"/>
      <c r="K120" s="101"/>
      <c r="L120" s="102">
        <v>1</v>
      </c>
      <c r="M120" s="101"/>
      <c r="N120" s="101">
        <v>1</v>
      </c>
      <c r="O120" s="101"/>
      <c r="P120" s="101">
        <v>1</v>
      </c>
      <c r="Q120" s="76"/>
    </row>
    <row r="121" spans="7:17">
      <c r="G121" s="99">
        <v>302.5</v>
      </c>
      <c r="H121" s="100">
        <v>666.9</v>
      </c>
      <c r="I121" s="101">
        <v>5</v>
      </c>
      <c r="J121" s="101"/>
      <c r="K121" s="101"/>
      <c r="L121" s="102">
        <v>1</v>
      </c>
      <c r="M121" s="101"/>
      <c r="N121" s="101">
        <v>1</v>
      </c>
      <c r="O121" s="101">
        <v>1</v>
      </c>
      <c r="P121" s="101">
        <v>1</v>
      </c>
      <c r="Q121" s="76"/>
    </row>
    <row r="122" spans="7:17">
      <c r="G122" s="99">
        <v>305</v>
      </c>
      <c r="H122" s="100">
        <v>672.4</v>
      </c>
      <c r="I122" s="101">
        <v>5</v>
      </c>
      <c r="J122" s="101"/>
      <c r="K122" s="101">
        <v>1</v>
      </c>
      <c r="L122" s="102"/>
      <c r="M122" s="101"/>
      <c r="N122" s="101"/>
      <c r="O122" s="101"/>
      <c r="P122" s="101">
        <v>1</v>
      </c>
      <c r="Q122" s="76"/>
    </row>
    <row r="123" spans="7:17">
      <c r="G123" s="99">
        <v>307.5</v>
      </c>
      <c r="H123" s="100">
        <v>677.9</v>
      </c>
      <c r="I123" s="101">
        <v>5</v>
      </c>
      <c r="J123" s="101"/>
      <c r="K123" s="101">
        <v>1</v>
      </c>
      <c r="L123" s="102"/>
      <c r="M123" s="101"/>
      <c r="N123" s="101"/>
      <c r="O123" s="101">
        <v>1</v>
      </c>
      <c r="P123" s="101">
        <v>1</v>
      </c>
      <c r="Q123" s="76"/>
    </row>
    <row r="124" spans="7:17">
      <c r="G124" s="99">
        <v>310</v>
      </c>
      <c r="H124" s="100">
        <v>683.4</v>
      </c>
      <c r="I124" s="101">
        <v>5</v>
      </c>
      <c r="J124" s="101"/>
      <c r="K124" s="101">
        <v>1</v>
      </c>
      <c r="L124" s="102"/>
      <c r="M124" s="101"/>
      <c r="N124" s="101">
        <v>1</v>
      </c>
      <c r="O124" s="101"/>
      <c r="P124" s="101">
        <v>1</v>
      </c>
      <c r="Q124" s="76"/>
    </row>
    <row r="125" spans="7:17">
      <c r="G125" s="99">
        <v>312.5</v>
      </c>
      <c r="H125" s="100">
        <v>688.9</v>
      </c>
      <c r="I125" s="101">
        <v>5</v>
      </c>
      <c r="J125" s="101"/>
      <c r="K125" s="101">
        <v>1</v>
      </c>
      <c r="L125" s="102"/>
      <c r="M125" s="101"/>
      <c r="N125" s="101">
        <v>1</v>
      </c>
      <c r="O125" s="101">
        <v>1</v>
      </c>
      <c r="P125" s="101">
        <v>1</v>
      </c>
      <c r="Q125" s="76"/>
    </row>
    <row r="126" spans="7:17">
      <c r="G126" s="99">
        <v>315</v>
      </c>
      <c r="H126" s="100">
        <v>694.4</v>
      </c>
      <c r="I126" s="101">
        <v>5</v>
      </c>
      <c r="J126" s="101">
        <v>1</v>
      </c>
      <c r="K126" s="101"/>
      <c r="L126" s="102"/>
      <c r="M126" s="101"/>
      <c r="N126" s="101"/>
      <c r="O126" s="101"/>
      <c r="P126" s="101">
        <v>1</v>
      </c>
      <c r="Q126" s="76"/>
    </row>
    <row r="127" spans="7:17">
      <c r="G127" s="99">
        <v>317.5</v>
      </c>
      <c r="H127" s="100">
        <v>700</v>
      </c>
      <c r="I127" s="101">
        <v>5</v>
      </c>
      <c r="J127" s="101">
        <v>1</v>
      </c>
      <c r="K127" s="101"/>
      <c r="L127" s="102"/>
      <c r="M127" s="101"/>
      <c r="N127" s="101"/>
      <c r="O127" s="101">
        <v>1</v>
      </c>
      <c r="P127" s="101">
        <v>1</v>
      </c>
      <c r="Q127" s="76"/>
    </row>
    <row r="128" spans="7:17">
      <c r="G128" s="99">
        <v>320</v>
      </c>
      <c r="H128" s="100">
        <v>705.5</v>
      </c>
      <c r="I128" s="101">
        <v>5</v>
      </c>
      <c r="J128" s="101">
        <v>1</v>
      </c>
      <c r="K128" s="101"/>
      <c r="L128" s="102"/>
      <c r="M128" s="101"/>
      <c r="N128" s="101">
        <v>1</v>
      </c>
      <c r="O128" s="101"/>
      <c r="P128" s="101">
        <v>1</v>
      </c>
      <c r="Q128" s="76"/>
    </row>
    <row r="129" spans="7:17">
      <c r="G129" s="99">
        <v>322.5</v>
      </c>
      <c r="H129" s="100">
        <v>711</v>
      </c>
      <c r="I129" s="101">
        <v>5</v>
      </c>
      <c r="J129" s="101">
        <v>1</v>
      </c>
      <c r="K129" s="101"/>
      <c r="L129" s="102"/>
      <c r="M129" s="101"/>
      <c r="N129" s="101">
        <v>1</v>
      </c>
      <c r="O129" s="101">
        <v>1</v>
      </c>
      <c r="P129" s="101">
        <v>1</v>
      </c>
      <c r="Q129" s="76"/>
    </row>
    <row r="130" spans="7:17">
      <c r="G130" s="99">
        <v>325</v>
      </c>
      <c r="H130" s="100">
        <v>716.5</v>
      </c>
      <c r="I130" s="101">
        <v>6</v>
      </c>
      <c r="J130" s="101"/>
      <c r="K130" s="101"/>
      <c r="L130" s="102"/>
      <c r="M130" s="101"/>
      <c r="N130" s="101"/>
      <c r="O130" s="101"/>
      <c r="P130" s="101">
        <v>1</v>
      </c>
      <c r="Q130" s="76"/>
    </row>
    <row r="131" spans="7:17">
      <c r="G131" s="99">
        <v>327.5</v>
      </c>
      <c r="H131" s="100">
        <v>722</v>
      </c>
      <c r="I131" s="101">
        <v>6</v>
      </c>
      <c r="J131" s="101"/>
      <c r="K131" s="101"/>
      <c r="L131" s="102"/>
      <c r="M131" s="101"/>
      <c r="N131" s="101"/>
      <c r="O131" s="101">
        <v>1</v>
      </c>
      <c r="P131" s="101">
        <v>1</v>
      </c>
      <c r="Q131" s="76"/>
    </row>
    <row r="132" spans="7:17">
      <c r="G132" s="99">
        <v>330</v>
      </c>
      <c r="H132" s="100">
        <v>727.5</v>
      </c>
      <c r="I132" s="101">
        <v>6</v>
      </c>
      <c r="J132" s="101"/>
      <c r="K132" s="101"/>
      <c r="L132" s="102"/>
      <c r="M132" s="101"/>
      <c r="N132" s="101">
        <v>1</v>
      </c>
      <c r="O132" s="101"/>
      <c r="P132" s="101">
        <v>1</v>
      </c>
      <c r="Q132" s="76"/>
    </row>
    <row r="133" spans="7:17">
      <c r="G133" s="99">
        <v>332.5</v>
      </c>
      <c r="H133" s="100">
        <v>733</v>
      </c>
      <c r="I133" s="101">
        <v>6</v>
      </c>
      <c r="J133" s="101"/>
      <c r="K133" s="101"/>
      <c r="L133" s="102"/>
      <c r="M133" s="101"/>
      <c r="N133" s="101">
        <v>1</v>
      </c>
      <c r="O133" s="101">
        <v>1</v>
      </c>
      <c r="P133" s="101">
        <v>1</v>
      </c>
      <c r="Q133" s="76"/>
    </row>
    <row r="134" spans="7:17">
      <c r="G134" s="99">
        <v>335</v>
      </c>
      <c r="H134" s="100">
        <v>738.5</v>
      </c>
      <c r="I134" s="101">
        <v>6</v>
      </c>
      <c r="J134" s="101"/>
      <c r="K134" s="101"/>
      <c r="L134" s="102"/>
      <c r="M134" s="101">
        <v>1</v>
      </c>
      <c r="N134" s="101"/>
      <c r="O134" s="101"/>
      <c r="P134" s="101">
        <v>1</v>
      </c>
      <c r="Q134" s="76"/>
    </row>
    <row r="135" spans="7:17">
      <c r="G135" s="99">
        <v>337.5</v>
      </c>
      <c r="H135" s="100">
        <v>744.1</v>
      </c>
      <c r="I135" s="101">
        <v>6</v>
      </c>
      <c r="J135" s="101"/>
      <c r="K135" s="101"/>
      <c r="L135" s="102"/>
      <c r="M135" s="101">
        <v>1</v>
      </c>
      <c r="N135" s="101"/>
      <c r="O135" s="101">
        <v>1</v>
      </c>
      <c r="P135" s="101">
        <v>1</v>
      </c>
      <c r="Q135" s="76"/>
    </row>
    <row r="136" spans="7:17">
      <c r="G136" s="99">
        <v>340</v>
      </c>
      <c r="H136" s="100">
        <v>749.6</v>
      </c>
      <c r="I136" s="101">
        <v>6</v>
      </c>
      <c r="J136" s="101"/>
      <c r="K136" s="101"/>
      <c r="L136" s="102"/>
      <c r="M136" s="101">
        <v>1</v>
      </c>
      <c r="N136" s="101">
        <v>1</v>
      </c>
      <c r="O136" s="101"/>
      <c r="P136" s="101">
        <v>1</v>
      </c>
      <c r="Q136" s="76"/>
    </row>
    <row r="137" spans="7:17">
      <c r="G137" s="99">
        <v>342.5</v>
      </c>
      <c r="H137" s="100">
        <v>755.1</v>
      </c>
      <c r="I137" s="101">
        <v>6</v>
      </c>
      <c r="J137" s="101"/>
      <c r="K137" s="101"/>
      <c r="L137" s="102"/>
      <c r="M137" s="101">
        <v>1</v>
      </c>
      <c r="N137" s="101">
        <v>1</v>
      </c>
      <c r="O137" s="101">
        <v>1</v>
      </c>
      <c r="P137" s="101">
        <v>1</v>
      </c>
      <c r="Q137" s="76"/>
    </row>
    <row r="138" spans="7:17">
      <c r="G138" s="99">
        <v>345</v>
      </c>
      <c r="H138" s="100">
        <v>760.6</v>
      </c>
      <c r="I138" s="101">
        <v>6</v>
      </c>
      <c r="J138" s="101"/>
      <c r="K138" s="101"/>
      <c r="L138" s="102">
        <v>1</v>
      </c>
      <c r="M138" s="101"/>
      <c r="N138" s="101"/>
      <c r="O138" s="101"/>
      <c r="P138" s="101">
        <v>1</v>
      </c>
      <c r="Q138" s="76"/>
    </row>
    <row r="139" spans="7:17">
      <c r="G139" s="99">
        <v>347.5</v>
      </c>
      <c r="H139" s="100">
        <v>766.1</v>
      </c>
      <c r="I139" s="101">
        <v>6</v>
      </c>
      <c r="J139" s="101"/>
      <c r="K139" s="101"/>
      <c r="L139" s="102">
        <v>1</v>
      </c>
      <c r="M139" s="101"/>
      <c r="N139" s="101"/>
      <c r="O139" s="101">
        <v>1</v>
      </c>
      <c r="P139" s="101">
        <v>1</v>
      </c>
      <c r="Q139" s="76"/>
    </row>
    <row r="140" spans="7:17">
      <c r="G140" s="99">
        <v>350</v>
      </c>
      <c r="H140" s="100">
        <v>771.6</v>
      </c>
      <c r="I140" s="101">
        <v>6</v>
      </c>
      <c r="J140" s="101"/>
      <c r="K140" s="101"/>
      <c r="L140" s="102">
        <v>1</v>
      </c>
      <c r="M140" s="101"/>
      <c r="N140" s="101">
        <v>1</v>
      </c>
      <c r="O140" s="101"/>
      <c r="P140" s="101">
        <v>1</v>
      </c>
      <c r="Q140" s="76"/>
    </row>
    <row r="141" spans="7:17">
      <c r="G141" s="99">
        <v>352.5</v>
      </c>
      <c r="H141" s="100">
        <v>777.1</v>
      </c>
      <c r="I141" s="101">
        <v>6</v>
      </c>
      <c r="J141" s="101"/>
      <c r="K141" s="101"/>
      <c r="L141" s="102">
        <v>1</v>
      </c>
      <c r="M141" s="101"/>
      <c r="N141" s="101">
        <v>1</v>
      </c>
      <c r="O141" s="101">
        <v>1</v>
      </c>
      <c r="P141" s="101">
        <v>1</v>
      </c>
      <c r="Q141" s="76"/>
    </row>
    <row r="142" spans="7:17">
      <c r="G142" s="99">
        <v>355</v>
      </c>
      <c r="H142" s="100">
        <v>782.6</v>
      </c>
      <c r="I142" s="101">
        <v>6</v>
      </c>
      <c r="J142" s="101"/>
      <c r="K142" s="101">
        <v>1</v>
      </c>
      <c r="L142" s="102"/>
      <c r="M142" s="101"/>
      <c r="N142" s="101"/>
      <c r="O142" s="101"/>
      <c r="P142" s="101">
        <v>1</v>
      </c>
      <c r="Q142" s="76"/>
    </row>
    <row r="143" spans="7:17">
      <c r="G143" s="99">
        <v>357.5</v>
      </c>
      <c r="H143" s="100">
        <v>788.1</v>
      </c>
      <c r="I143" s="101">
        <v>6</v>
      </c>
      <c r="J143" s="101"/>
      <c r="K143" s="101">
        <v>1</v>
      </c>
      <c r="L143" s="102"/>
      <c r="M143" s="101"/>
      <c r="N143" s="101"/>
      <c r="O143" s="101">
        <v>1</v>
      </c>
      <c r="P143" s="101">
        <v>1</v>
      </c>
      <c r="Q143" s="76"/>
    </row>
    <row r="144" spans="7:17">
      <c r="G144" s="99">
        <v>360</v>
      </c>
      <c r="H144" s="100">
        <v>793.7</v>
      </c>
      <c r="I144" s="101">
        <v>6</v>
      </c>
      <c r="J144" s="101"/>
      <c r="K144" s="101">
        <v>1</v>
      </c>
      <c r="L144" s="102"/>
      <c r="M144" s="101"/>
      <c r="N144" s="101">
        <v>1</v>
      </c>
      <c r="O144" s="101"/>
      <c r="P144" s="101">
        <v>1</v>
      </c>
      <c r="Q144" s="76"/>
    </row>
    <row r="145" spans="7:17">
      <c r="G145" s="99">
        <v>362.5</v>
      </c>
      <c r="H145" s="100">
        <v>799.2</v>
      </c>
      <c r="I145" s="101">
        <v>6</v>
      </c>
      <c r="J145" s="101"/>
      <c r="K145" s="101">
        <v>1</v>
      </c>
      <c r="L145" s="102"/>
      <c r="M145" s="101"/>
      <c r="N145" s="101">
        <v>1</v>
      </c>
      <c r="O145" s="101">
        <v>1</v>
      </c>
      <c r="P145" s="101">
        <v>1</v>
      </c>
      <c r="Q145" s="76"/>
    </row>
    <row r="146" spans="7:17">
      <c r="G146" s="99">
        <v>365</v>
      </c>
      <c r="H146" s="100">
        <v>804.7</v>
      </c>
      <c r="I146" s="101">
        <v>6</v>
      </c>
      <c r="J146" s="101">
        <v>1</v>
      </c>
      <c r="K146" s="101"/>
      <c r="L146" s="102"/>
      <c r="M146" s="101"/>
      <c r="N146" s="101"/>
      <c r="O146" s="101"/>
      <c r="P146" s="101">
        <v>1</v>
      </c>
      <c r="Q146" s="76"/>
    </row>
    <row r="147" spans="7:17">
      <c r="G147" s="99">
        <v>367.5</v>
      </c>
      <c r="H147" s="100">
        <v>810.2</v>
      </c>
      <c r="I147" s="101">
        <v>6</v>
      </c>
      <c r="J147" s="101">
        <v>1</v>
      </c>
      <c r="K147" s="101"/>
      <c r="L147" s="102"/>
      <c r="M147" s="101"/>
      <c r="N147" s="101"/>
      <c r="O147" s="101">
        <v>1</v>
      </c>
      <c r="P147" s="101">
        <v>1</v>
      </c>
      <c r="Q147" s="76"/>
    </row>
    <row r="148" spans="7:17">
      <c r="G148" s="99">
        <v>370</v>
      </c>
      <c r="H148" s="100">
        <v>815.7</v>
      </c>
      <c r="I148" s="101">
        <v>6</v>
      </c>
      <c r="J148" s="101">
        <v>1</v>
      </c>
      <c r="K148" s="101"/>
      <c r="L148" s="102"/>
      <c r="M148" s="101"/>
      <c r="N148" s="101">
        <v>1</v>
      </c>
      <c r="O148" s="101"/>
      <c r="P148" s="101">
        <v>1</v>
      </c>
      <c r="Q148" s="76"/>
    </row>
    <row r="149" spans="7:17">
      <c r="G149" s="99">
        <v>372.5</v>
      </c>
      <c r="H149" s="100">
        <v>821.2</v>
      </c>
      <c r="I149" s="101">
        <v>6</v>
      </c>
      <c r="J149" s="101">
        <v>1</v>
      </c>
      <c r="K149" s="101"/>
      <c r="L149" s="102"/>
      <c r="M149" s="101"/>
      <c r="N149" s="101">
        <v>1</v>
      </c>
      <c r="O149" s="101">
        <v>1</v>
      </c>
      <c r="P149" s="101">
        <v>1</v>
      </c>
      <c r="Q149" s="76"/>
    </row>
    <row r="150" spans="7:17">
      <c r="G150" s="99">
        <v>375</v>
      </c>
      <c r="H150" s="100">
        <v>826.7</v>
      </c>
      <c r="I150" s="101">
        <v>6</v>
      </c>
      <c r="J150" s="101">
        <v>1</v>
      </c>
      <c r="K150" s="101"/>
      <c r="L150" s="102"/>
      <c r="M150" s="101">
        <v>1</v>
      </c>
      <c r="N150" s="101"/>
      <c r="O150" s="101"/>
      <c r="P150" s="101">
        <v>1</v>
      </c>
      <c r="Q150" s="76"/>
    </row>
    <row r="151" spans="7:17">
      <c r="G151" s="99">
        <v>377.5</v>
      </c>
      <c r="H151" s="100">
        <v>832.2</v>
      </c>
      <c r="I151" s="101">
        <v>6</v>
      </c>
      <c r="J151" s="101">
        <v>1</v>
      </c>
      <c r="K151" s="101"/>
      <c r="L151" s="102"/>
      <c r="M151" s="101">
        <v>1</v>
      </c>
      <c r="N151" s="101"/>
      <c r="O151" s="101">
        <v>1</v>
      </c>
      <c r="P151" s="101">
        <v>1</v>
      </c>
      <c r="Q151" s="76"/>
    </row>
    <row r="152" spans="7:17">
      <c r="G152" s="99">
        <v>380</v>
      </c>
      <c r="H152" s="100">
        <v>837.7</v>
      </c>
      <c r="I152" s="101">
        <v>6</v>
      </c>
      <c r="J152" s="101">
        <v>1</v>
      </c>
      <c r="K152" s="101"/>
      <c r="L152" s="102"/>
      <c r="M152" s="101">
        <v>1</v>
      </c>
      <c r="N152" s="101">
        <v>1</v>
      </c>
      <c r="O152" s="101"/>
      <c r="P152" s="101">
        <v>1</v>
      </c>
      <c r="Q152" s="76"/>
    </row>
    <row r="153" spans="7:17">
      <c r="G153" s="99">
        <v>382.5</v>
      </c>
      <c r="H153" s="100">
        <v>843.3</v>
      </c>
      <c r="I153" s="101">
        <v>6</v>
      </c>
      <c r="J153" s="101">
        <v>1</v>
      </c>
      <c r="K153" s="101"/>
      <c r="L153" s="102"/>
      <c r="M153" s="101">
        <v>1</v>
      </c>
      <c r="N153" s="101">
        <v>1</v>
      </c>
      <c r="O153" s="101">
        <v>1</v>
      </c>
      <c r="P153" s="101">
        <v>1</v>
      </c>
      <c r="Q153" s="76"/>
    </row>
    <row r="154" spans="7:17">
      <c r="G154" s="99">
        <v>385</v>
      </c>
      <c r="H154" s="100">
        <v>848.8</v>
      </c>
      <c r="I154" s="101">
        <v>6</v>
      </c>
      <c r="J154" s="101">
        <v>1</v>
      </c>
      <c r="K154" s="101"/>
      <c r="L154" s="102">
        <v>1</v>
      </c>
      <c r="M154" s="101"/>
      <c r="N154" s="101"/>
      <c r="O154" s="101"/>
      <c r="P154" s="101">
        <v>1</v>
      </c>
      <c r="Q154" s="76"/>
    </row>
    <row r="155" spans="7:17">
      <c r="G155" s="99">
        <v>387.5</v>
      </c>
      <c r="H155" s="100">
        <v>854.3</v>
      </c>
      <c r="I155" s="101">
        <v>6</v>
      </c>
      <c r="J155" s="101">
        <v>1</v>
      </c>
      <c r="K155" s="101"/>
      <c r="L155" s="102">
        <v>1</v>
      </c>
      <c r="M155" s="101"/>
      <c r="N155" s="101"/>
      <c r="O155" s="101">
        <v>1</v>
      </c>
      <c r="P155" s="101">
        <v>1</v>
      </c>
      <c r="Q155" s="76"/>
    </row>
    <row r="156" spans="7:17">
      <c r="G156" s="99">
        <v>390</v>
      </c>
      <c r="H156" s="100">
        <v>859.8</v>
      </c>
      <c r="I156" s="101">
        <v>6</v>
      </c>
      <c r="J156" s="101">
        <v>1</v>
      </c>
      <c r="K156" s="101"/>
      <c r="L156" s="102">
        <v>1</v>
      </c>
      <c r="M156" s="101"/>
      <c r="N156" s="101">
        <v>1</v>
      </c>
      <c r="O156" s="101"/>
      <c r="P156" s="101">
        <v>1</v>
      </c>
      <c r="Q156" s="76"/>
    </row>
    <row r="157" spans="7:17">
      <c r="G157" s="99">
        <v>392.5</v>
      </c>
      <c r="H157" s="100">
        <v>865.3</v>
      </c>
      <c r="I157" s="101">
        <v>6</v>
      </c>
      <c r="J157" s="101">
        <v>1</v>
      </c>
      <c r="K157" s="101"/>
      <c r="L157" s="102">
        <v>1</v>
      </c>
      <c r="M157" s="101"/>
      <c r="N157" s="101">
        <v>1</v>
      </c>
      <c r="O157" s="101">
        <v>1</v>
      </c>
      <c r="P157" s="101">
        <v>1</v>
      </c>
      <c r="Q157" s="76"/>
    </row>
    <row r="158" spans="7:17">
      <c r="G158" s="99">
        <v>395</v>
      </c>
      <c r="H158" s="100">
        <v>870.8</v>
      </c>
      <c r="I158" s="101">
        <v>6</v>
      </c>
      <c r="J158" s="101">
        <v>1</v>
      </c>
      <c r="K158" s="101">
        <v>1</v>
      </c>
      <c r="L158" s="102"/>
      <c r="M158" s="101"/>
      <c r="N158" s="101"/>
      <c r="O158" s="101"/>
      <c r="P158" s="101">
        <v>1</v>
      </c>
      <c r="Q158" s="76"/>
    </row>
    <row r="159" spans="7:17">
      <c r="G159" s="99">
        <v>397.5</v>
      </c>
      <c r="H159" s="100">
        <v>876.3</v>
      </c>
      <c r="I159" s="101">
        <v>6</v>
      </c>
      <c r="J159" s="101">
        <v>1</v>
      </c>
      <c r="K159" s="101">
        <v>1</v>
      </c>
      <c r="L159" s="102"/>
      <c r="M159" s="101"/>
      <c r="N159" s="101"/>
      <c r="O159" s="101">
        <v>1</v>
      </c>
      <c r="P159" s="101">
        <v>1</v>
      </c>
      <c r="Q159" s="76"/>
    </row>
    <row r="160" spans="7:17">
      <c r="G160" s="99">
        <v>400</v>
      </c>
      <c r="H160" s="100">
        <v>881.8</v>
      </c>
      <c r="I160" s="101">
        <v>6</v>
      </c>
      <c r="J160" s="101">
        <v>1</v>
      </c>
      <c r="K160" s="101">
        <v>1</v>
      </c>
      <c r="L160" s="102"/>
      <c r="M160" s="101"/>
      <c r="N160" s="101">
        <v>1</v>
      </c>
      <c r="O160" s="101"/>
      <c r="P160" s="101">
        <v>1</v>
      </c>
      <c r="Q160" s="76"/>
    </row>
    <row r="161" spans="7:17">
      <c r="G161" s="99">
        <v>402.5</v>
      </c>
      <c r="H161" s="100">
        <v>887.4</v>
      </c>
      <c r="I161" s="101">
        <v>6</v>
      </c>
      <c r="J161" s="101">
        <v>1</v>
      </c>
      <c r="K161" s="101">
        <v>1</v>
      </c>
      <c r="L161" s="102"/>
      <c r="M161" s="101"/>
      <c r="N161" s="101">
        <v>1</v>
      </c>
      <c r="O161" s="101">
        <v>1</v>
      </c>
      <c r="P161" s="101">
        <v>1</v>
      </c>
      <c r="Q161" s="76"/>
    </row>
    <row r="162" spans="7:17">
      <c r="G162" s="99">
        <v>405</v>
      </c>
      <c r="H162" s="100">
        <v>892.9</v>
      </c>
      <c r="I162" s="101">
        <v>6</v>
      </c>
      <c r="J162" s="101">
        <v>1</v>
      </c>
      <c r="K162" s="101">
        <v>1</v>
      </c>
      <c r="L162" s="102"/>
      <c r="M162" s="101">
        <v>1</v>
      </c>
      <c r="N162" s="101"/>
      <c r="O162" s="101"/>
      <c r="P162" s="101">
        <v>1</v>
      </c>
      <c r="Q162" s="76"/>
    </row>
    <row r="163" spans="7:17">
      <c r="G163" s="99">
        <v>407.5</v>
      </c>
      <c r="H163" s="100">
        <v>898.4</v>
      </c>
      <c r="I163" s="101">
        <v>6</v>
      </c>
      <c r="J163" s="101">
        <v>1</v>
      </c>
      <c r="K163" s="101">
        <v>1</v>
      </c>
      <c r="L163" s="102"/>
      <c r="M163" s="101">
        <v>1</v>
      </c>
      <c r="N163" s="101"/>
      <c r="O163" s="101">
        <v>1</v>
      </c>
      <c r="P163" s="101">
        <v>1</v>
      </c>
      <c r="Q163" s="76"/>
    </row>
    <row r="164" spans="7:17">
      <c r="G164" s="99">
        <v>410</v>
      </c>
      <c r="H164" s="100">
        <v>903.9</v>
      </c>
      <c r="I164" s="101">
        <v>6</v>
      </c>
      <c r="J164" s="101">
        <v>1</v>
      </c>
      <c r="K164" s="101">
        <v>1</v>
      </c>
      <c r="L164" s="102"/>
      <c r="M164" s="101">
        <v>1</v>
      </c>
      <c r="N164" s="101">
        <v>1</v>
      </c>
      <c r="O164" s="101"/>
      <c r="P164" s="101">
        <v>1</v>
      </c>
      <c r="Q164" s="76"/>
    </row>
    <row r="165" spans="7:17">
      <c r="G165" s="99">
        <v>412.5</v>
      </c>
      <c r="H165" s="100">
        <v>909.4</v>
      </c>
      <c r="I165" s="101">
        <v>6</v>
      </c>
      <c r="J165" s="101">
        <v>1</v>
      </c>
      <c r="K165" s="101">
        <v>1</v>
      </c>
      <c r="L165" s="102"/>
      <c r="M165" s="101">
        <v>1</v>
      </c>
      <c r="N165" s="101">
        <v>1</v>
      </c>
      <c r="O165" s="101">
        <v>1</v>
      </c>
      <c r="P165" s="101">
        <v>1</v>
      </c>
      <c r="Q165" s="76"/>
    </row>
    <row r="166" spans="7:17">
      <c r="G166" s="99">
        <v>415</v>
      </c>
      <c r="H166" s="100">
        <v>914.9</v>
      </c>
      <c r="I166" s="101">
        <v>6</v>
      </c>
      <c r="J166" s="101">
        <v>1</v>
      </c>
      <c r="K166" s="101">
        <v>1</v>
      </c>
      <c r="L166" s="102">
        <v>1</v>
      </c>
      <c r="M166" s="101"/>
      <c r="N166" s="101"/>
      <c r="O166" s="101"/>
      <c r="P166" s="101">
        <v>1</v>
      </c>
      <c r="Q166" s="76"/>
    </row>
    <row r="167" spans="7:17">
      <c r="G167" s="99">
        <v>417.5</v>
      </c>
      <c r="H167" s="100">
        <v>920.4</v>
      </c>
      <c r="I167" s="101">
        <v>6</v>
      </c>
      <c r="J167" s="101">
        <v>1</v>
      </c>
      <c r="K167" s="101">
        <v>1</v>
      </c>
      <c r="L167" s="102">
        <v>1</v>
      </c>
      <c r="M167" s="101"/>
      <c r="N167" s="101"/>
      <c r="O167" s="101">
        <v>1</v>
      </c>
      <c r="P167" s="101">
        <v>1</v>
      </c>
      <c r="Q167" s="76"/>
    </row>
    <row r="168" spans="7:17">
      <c r="G168" s="99">
        <v>420</v>
      </c>
      <c r="H168" s="100">
        <v>925.9</v>
      </c>
      <c r="I168" s="101">
        <v>6</v>
      </c>
      <c r="J168" s="101">
        <v>1</v>
      </c>
      <c r="K168" s="101">
        <v>1</v>
      </c>
      <c r="L168" s="102">
        <v>1</v>
      </c>
      <c r="M168" s="101"/>
      <c r="N168" s="101">
        <v>1</v>
      </c>
      <c r="O168" s="101"/>
      <c r="P168" s="101">
        <v>1</v>
      </c>
      <c r="Q168" s="76"/>
    </row>
    <row r="169" spans="7:17">
      <c r="G169" s="99">
        <v>422.5</v>
      </c>
      <c r="H169" s="100">
        <v>931.4</v>
      </c>
      <c r="I169" s="101">
        <v>6</v>
      </c>
      <c r="J169" s="101">
        <v>1</v>
      </c>
      <c r="K169" s="101">
        <v>1</v>
      </c>
      <c r="L169" s="102">
        <v>1</v>
      </c>
      <c r="M169" s="101"/>
      <c r="N169" s="101">
        <v>1</v>
      </c>
      <c r="O169" s="101">
        <v>1</v>
      </c>
      <c r="P169" s="101">
        <v>1</v>
      </c>
      <c r="Q169" s="76"/>
    </row>
    <row r="170" spans="7:17">
      <c r="G170" s="99">
        <v>425</v>
      </c>
      <c r="H170" s="100">
        <v>937</v>
      </c>
      <c r="I170" s="101">
        <v>6</v>
      </c>
      <c r="J170" s="101">
        <v>1</v>
      </c>
      <c r="K170" s="101">
        <v>1</v>
      </c>
      <c r="L170" s="102">
        <v>1</v>
      </c>
      <c r="M170" s="101">
        <v>1</v>
      </c>
      <c r="N170" s="101"/>
      <c r="O170" s="101"/>
      <c r="P170" s="101">
        <v>1</v>
      </c>
      <c r="Q170" s="76"/>
    </row>
    <row r="171" spans="7:17">
      <c r="G171" s="99">
        <v>427.5</v>
      </c>
      <c r="H171" s="100">
        <v>942.5</v>
      </c>
      <c r="I171" s="101">
        <v>6</v>
      </c>
      <c r="J171" s="101">
        <v>1</v>
      </c>
      <c r="K171" s="101">
        <v>1</v>
      </c>
      <c r="L171" s="102">
        <v>1</v>
      </c>
      <c r="M171" s="101">
        <v>1</v>
      </c>
      <c r="N171" s="101"/>
      <c r="O171" s="101">
        <v>1</v>
      </c>
      <c r="P171" s="101">
        <v>1</v>
      </c>
      <c r="Q171" s="76"/>
    </row>
    <row r="172" spans="7:17">
      <c r="G172" s="99">
        <v>430</v>
      </c>
      <c r="H172" s="100">
        <v>948</v>
      </c>
      <c r="I172" s="101">
        <v>6</v>
      </c>
      <c r="J172" s="101">
        <v>1</v>
      </c>
      <c r="K172" s="101">
        <v>1</v>
      </c>
      <c r="L172" s="102">
        <v>1</v>
      </c>
      <c r="M172" s="101">
        <v>1</v>
      </c>
      <c r="N172" s="101">
        <v>1</v>
      </c>
      <c r="O172" s="101"/>
      <c r="P172" s="101">
        <v>1</v>
      </c>
      <c r="Q172" s="76"/>
    </row>
    <row r="173" spans="7:17">
      <c r="G173" s="99">
        <v>432.5</v>
      </c>
      <c r="H173" s="100">
        <v>953.5</v>
      </c>
      <c r="I173" s="101">
        <v>6</v>
      </c>
      <c r="J173" s="101">
        <v>1</v>
      </c>
      <c r="K173" s="101">
        <v>1</v>
      </c>
      <c r="L173" s="102">
        <v>1</v>
      </c>
      <c r="M173" s="101">
        <v>1</v>
      </c>
      <c r="N173" s="101">
        <v>1</v>
      </c>
      <c r="O173" s="101">
        <v>1</v>
      </c>
      <c r="P173" s="101">
        <v>1</v>
      </c>
      <c r="Q173" s="76"/>
    </row>
  </sheetData>
  <sheetProtection password="81CF" sheet="1" objects="1" scenarios="1" formatCells="0" selectLockedCells="1"/>
  <mergeCells count="25">
    <mergeCell ref="R7:R9"/>
    <mergeCell ref="BR7:BR9"/>
    <mergeCell ref="BT7:BT9"/>
    <mergeCell ref="BV7:BV9"/>
    <mergeCell ref="AM7:AM9"/>
    <mergeCell ref="AO7:AO9"/>
    <mergeCell ref="AQ7:AQ9"/>
    <mergeCell ref="AS7:AS9"/>
    <mergeCell ref="AU7:AU9"/>
    <mergeCell ref="AW7:AW9"/>
    <mergeCell ref="AY7:AY9"/>
    <mergeCell ref="BA7:BA9"/>
    <mergeCell ref="BH7:BH9"/>
    <mergeCell ref="BJ7:BJ9"/>
    <mergeCell ref="BL7:BL9"/>
    <mergeCell ref="AH3:BV6"/>
    <mergeCell ref="BN7:BN9"/>
    <mergeCell ref="AF7:AF9"/>
    <mergeCell ref="T7:T9"/>
    <mergeCell ref="V7:V9"/>
    <mergeCell ref="X7:X9"/>
    <mergeCell ref="Z7:Z9"/>
    <mergeCell ref="AB7:AB9"/>
    <mergeCell ref="AD7:AD9"/>
    <mergeCell ref="BP7:BP9"/>
  </mergeCells>
  <phoneticPr fontId="19" type="noConversion"/>
  <conditionalFormatting sqref="R10:S18 AM22:AN25 AM26:AM30 AN26:AN29 AM34:AM45 AN33:AN44">
    <cfRule type="notContainsBlanks" dxfId="27" priority="42">
      <formula>LEN(TRIM(R10))&gt;0</formula>
    </cfRule>
  </conditionalFormatting>
  <conditionalFormatting sqref="T10:U18">
    <cfRule type="notContainsBlanks" dxfId="26" priority="41">
      <formula>LEN(TRIM(T10))&gt;0</formula>
    </cfRule>
  </conditionalFormatting>
  <conditionalFormatting sqref="V10:W18">
    <cfRule type="notContainsBlanks" dxfId="25" priority="40">
      <formula>LEN(TRIM(V10))&gt;0</formula>
    </cfRule>
  </conditionalFormatting>
  <conditionalFormatting sqref="X10:X18">
    <cfRule type="notContainsBlanks" dxfId="24" priority="39">
      <formula>LEN(TRIM(X10))&gt;0</formula>
    </cfRule>
  </conditionalFormatting>
  <conditionalFormatting sqref="Z10:Z18">
    <cfRule type="notContainsBlanks" dxfId="23" priority="38">
      <formula>LEN(TRIM(Z10))&gt;0</formula>
    </cfRule>
  </conditionalFormatting>
  <conditionalFormatting sqref="AB10:AB18">
    <cfRule type="notContainsBlanks" dxfId="22" priority="37">
      <formula>LEN(TRIM(AB10))&gt;0</formula>
    </cfRule>
  </conditionalFormatting>
  <conditionalFormatting sqref="AD10:AD18">
    <cfRule type="notContainsBlanks" dxfId="21" priority="36">
      <formula>LEN(TRIM(AD10))&gt;0</formula>
    </cfRule>
  </conditionalFormatting>
  <conditionalFormatting sqref="R4:S6">
    <cfRule type="notContainsBlanks" dxfId="20" priority="35">
      <formula>LEN(TRIM(R4))&gt;0</formula>
    </cfRule>
  </conditionalFormatting>
  <conditionalFormatting sqref="T4:U6">
    <cfRule type="notContainsBlanks" dxfId="19" priority="34">
      <formula>LEN(TRIM(T4))&gt;0</formula>
    </cfRule>
  </conditionalFormatting>
  <conditionalFormatting sqref="V4:W6">
    <cfRule type="notContainsBlanks" dxfId="18" priority="33">
      <formula>LEN(TRIM(V4))&gt;0</formula>
    </cfRule>
  </conditionalFormatting>
  <conditionalFormatting sqref="X4:X6">
    <cfRule type="notContainsBlanks" dxfId="17" priority="32">
      <formula>LEN(TRIM(X4))&gt;0</formula>
    </cfRule>
  </conditionalFormatting>
  <conditionalFormatting sqref="Z4:Z6">
    <cfRule type="notContainsBlanks" dxfId="16" priority="31">
      <formula>LEN(TRIM(Z4))&gt;0</formula>
    </cfRule>
  </conditionalFormatting>
  <conditionalFormatting sqref="AB4:AB6">
    <cfRule type="notContainsBlanks" dxfId="15" priority="30">
      <formula>LEN(TRIM(AB4))&gt;0</formula>
    </cfRule>
  </conditionalFormatting>
  <conditionalFormatting sqref="AD4:AD6">
    <cfRule type="notContainsBlanks" dxfId="14" priority="29">
      <formula>LEN(TRIM(AD4))&gt;0</formula>
    </cfRule>
  </conditionalFormatting>
  <conditionalFormatting sqref="AM10:AN18">
    <cfRule type="notContainsBlanks" dxfId="13" priority="28">
      <formula>LEN(TRIM(AM10))&gt;0</formula>
    </cfRule>
  </conditionalFormatting>
  <conditionalFormatting sqref="AO22:AP30 AO34:AP45 AO10:AP18">
    <cfRule type="notContainsBlanks" dxfId="12" priority="27">
      <formula>LEN(TRIM(AO10))&gt;0</formula>
    </cfRule>
  </conditionalFormatting>
  <conditionalFormatting sqref="AQ22:AR30 AQ34:AR45 AQ10:AR18">
    <cfRule type="notContainsBlanks" dxfId="11" priority="26">
      <formula>LEN(TRIM(AQ10))&gt;0</formula>
    </cfRule>
  </conditionalFormatting>
  <conditionalFormatting sqref="AS22:AS30 AS34:AS45 AS10:AS18">
    <cfRule type="notContainsBlanks" dxfId="10" priority="25">
      <formula>LEN(TRIM(AS10))&gt;0</formula>
    </cfRule>
  </conditionalFormatting>
  <conditionalFormatting sqref="AU22:AU30 AU34:AU45 AU10:AU18">
    <cfRule type="notContainsBlanks" dxfId="9" priority="24">
      <formula>LEN(TRIM(AU10))&gt;0</formula>
    </cfRule>
  </conditionalFormatting>
  <conditionalFormatting sqref="AW22:AW30 AW34:AW45 AW10:AW18">
    <cfRule type="notContainsBlanks" dxfId="8" priority="23">
      <formula>LEN(TRIM(AW10))&gt;0</formula>
    </cfRule>
  </conditionalFormatting>
  <conditionalFormatting sqref="AY22:AY30 AY34:AY45 AY10:AY18">
    <cfRule type="notContainsBlanks" dxfId="7" priority="22">
      <formula>LEN(TRIM(AY10))&gt;0</formula>
    </cfRule>
  </conditionalFormatting>
  <conditionalFormatting sqref="BH22:BI30 BH34:BI45 BH10:BI18">
    <cfRule type="notContainsBlanks" dxfId="6" priority="14">
      <formula>LEN(TRIM(BH10))&gt;0</formula>
    </cfRule>
  </conditionalFormatting>
  <conditionalFormatting sqref="BJ22:BK30 BJ34:BK45 BJ10:BK18">
    <cfRule type="notContainsBlanks" dxfId="5" priority="13">
      <formula>LEN(TRIM(BJ10))&gt;0</formula>
    </cfRule>
  </conditionalFormatting>
  <conditionalFormatting sqref="BL22:BM30 BL34:BM45 BL10:BM18">
    <cfRule type="notContainsBlanks" dxfId="4" priority="12">
      <formula>LEN(TRIM(BL10))&gt;0</formula>
    </cfRule>
  </conditionalFormatting>
  <conditionalFormatting sqref="BN22:BN30 BN34:BN45 BN10:BN18">
    <cfRule type="notContainsBlanks" dxfId="3" priority="11">
      <formula>LEN(TRIM(BN10))&gt;0</formula>
    </cfRule>
  </conditionalFormatting>
  <conditionalFormatting sqref="BP22:BP30 BP34:BP45 BP10:BP18">
    <cfRule type="notContainsBlanks" dxfId="2" priority="10">
      <formula>LEN(TRIM(BP10))&gt;0</formula>
    </cfRule>
  </conditionalFormatting>
  <conditionalFormatting sqref="BR22:BR30 BR34:BR45 BR10:BR18">
    <cfRule type="notContainsBlanks" dxfId="1" priority="9">
      <formula>LEN(TRIM(BR10))&gt;0</formula>
    </cfRule>
  </conditionalFormatting>
  <conditionalFormatting sqref="BT22:BT30 BT34:BT45 BT10:BT18">
    <cfRule type="notContainsBlanks" dxfId="0" priority="8">
      <formula>LEN(TRIM(BT10))&gt;0</formula>
    </cfRule>
  </conditionalFormatting>
  <dataValidations count="2">
    <dataValidation type="list" allowBlank="1" showInputMessage="1" showErrorMessage="1" sqref="D9 AJ9 BE9" xr:uid="{00000000-0002-0000-0200-000000000000}">
      <formula1>"weight (lbs),weight (kgs)"</formula1>
    </dataValidation>
    <dataValidation type="list" allowBlank="1" showInputMessage="1" showErrorMessage="1" sqref="C9 AI9 BD9" xr:uid="{00000000-0002-0000-0200-000001000000}">
      <formula1>"weight: (lbs),weight: (kgs)"</formula1>
    </dataValidation>
  </dataValidations>
  <pageMargins left="0.75" right="0.75" top="1" bottom="1" header="0.5" footer="0.5"/>
  <pageSetup scale="71" orientation="landscape" horizontalDpi="0" verticalDpi="0"/>
  <rowBreaks count="1" manualBreakCount="1">
    <brk id="29" max="16383" man="1"/>
  </rowBreaks>
  <colBreaks count="1" manualBreakCount="1">
    <brk id="75" max="1048575" man="1"/>
  </colBreaks>
  <ignoredErrors>
    <ignoredError sqref="B11" formula="1"/>
  </ignoredErrors>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1"/>
  </sheetPr>
  <dimension ref="B2:Z162"/>
  <sheetViews>
    <sheetView showGridLines="0" workbookViewId="0">
      <selection activeCell="J8" sqref="J8"/>
    </sheetView>
  </sheetViews>
  <sheetFormatPr defaultColWidth="10.6640625" defaultRowHeight="15.5"/>
  <cols>
    <col min="2" max="2" width="11.5" style="302" customWidth="1"/>
    <col min="4" max="4" width="10.83203125" customWidth="1"/>
    <col min="6" max="6" width="10.83203125" style="303"/>
    <col min="12" max="12" width="20.6640625" customWidth="1"/>
    <col min="13" max="13" width="4.83203125" customWidth="1"/>
    <col min="17" max="17" width="11.5" style="302" customWidth="1"/>
  </cols>
  <sheetData>
    <row r="2" spans="2:26">
      <c r="G2" s="303"/>
      <c r="H2" s="303"/>
      <c r="I2" s="303"/>
      <c r="J2" s="303"/>
      <c r="K2" s="303"/>
    </row>
    <row r="3" spans="2:26">
      <c r="B3" s="305" t="s">
        <v>88</v>
      </c>
      <c r="C3" s="305" t="s">
        <v>96</v>
      </c>
      <c r="D3" s="305" t="s">
        <v>95</v>
      </c>
      <c r="E3" s="305" t="s">
        <v>89</v>
      </c>
      <c r="F3" s="306" t="s">
        <v>90</v>
      </c>
      <c r="G3" s="305" t="s">
        <v>91</v>
      </c>
      <c r="H3" s="305" t="s">
        <v>92</v>
      </c>
      <c r="I3" s="305" t="s">
        <v>93</v>
      </c>
      <c r="J3" s="305" t="s">
        <v>94</v>
      </c>
      <c r="K3" s="305" t="s">
        <v>97</v>
      </c>
      <c r="M3" s="302" t="s">
        <v>98</v>
      </c>
      <c r="R3" s="302"/>
      <c r="S3" s="302"/>
      <c r="T3" s="302"/>
      <c r="U3" s="304"/>
      <c r="V3" s="302"/>
      <c r="W3" s="302"/>
      <c r="X3" s="302"/>
      <c r="Y3" s="302"/>
      <c r="Z3" s="302"/>
    </row>
    <row r="4" spans="2:26">
      <c r="B4" s="305">
        <v>20</v>
      </c>
      <c r="C4" s="307">
        <v>0</v>
      </c>
      <c r="D4" s="307">
        <v>0</v>
      </c>
      <c r="E4" s="307">
        <v>0</v>
      </c>
      <c r="F4" s="307">
        <v>0</v>
      </c>
      <c r="G4" s="307">
        <v>0</v>
      </c>
      <c r="H4" s="307">
        <v>0</v>
      </c>
      <c r="I4" s="307">
        <v>0</v>
      </c>
      <c r="J4" s="307">
        <v>0</v>
      </c>
      <c r="K4" s="307">
        <v>0</v>
      </c>
      <c r="M4">
        <f t="shared" ref="M4:M35" si="0">COUNTIF(C4:K4,"&gt;0")</f>
        <v>0</v>
      </c>
      <c r="Q4" s="305"/>
      <c r="R4" s="305" t="s">
        <v>99</v>
      </c>
      <c r="S4" s="305" t="s">
        <v>100</v>
      </c>
      <c r="T4" s="305" t="s">
        <v>101</v>
      </c>
      <c r="U4" s="306" t="s">
        <v>102</v>
      </c>
      <c r="V4" s="305" t="s">
        <v>103</v>
      </c>
      <c r="W4" s="305" t="s">
        <v>104</v>
      </c>
      <c r="X4" s="305" t="s">
        <v>105</v>
      </c>
      <c r="Y4" s="305" t="s">
        <v>106</v>
      </c>
      <c r="Z4" s="305" t="s">
        <v>107</v>
      </c>
    </row>
    <row r="5" spans="2:26">
      <c r="B5" s="305">
        <v>22.5</v>
      </c>
      <c r="C5" s="307">
        <v>20</v>
      </c>
      <c r="D5" s="307">
        <v>0</v>
      </c>
      <c r="E5" s="307">
        <v>0</v>
      </c>
      <c r="F5" s="307">
        <v>0</v>
      </c>
      <c r="G5" s="307">
        <v>0</v>
      </c>
      <c r="H5" s="307">
        <v>0</v>
      </c>
      <c r="I5" s="307">
        <v>0</v>
      </c>
      <c r="J5" s="307">
        <v>0</v>
      </c>
      <c r="K5" s="307">
        <v>0</v>
      </c>
      <c r="M5">
        <f t="shared" si="0"/>
        <v>1</v>
      </c>
      <c r="Q5" s="305">
        <v>50</v>
      </c>
      <c r="R5" s="308">
        <f t="shared" ref="R5:R36" si="1">C5/$Q5</f>
        <v>0.4</v>
      </c>
      <c r="S5" s="309"/>
      <c r="T5" s="309"/>
      <c r="U5" s="309"/>
      <c r="V5" s="309"/>
      <c r="W5" s="309"/>
      <c r="X5" s="309"/>
      <c r="Y5" s="309"/>
      <c r="Z5" s="309"/>
    </row>
    <row r="6" spans="2:26">
      <c r="B6" s="305">
        <v>25</v>
      </c>
      <c r="C6" s="307">
        <v>20</v>
      </c>
      <c r="D6" s="307">
        <v>0</v>
      </c>
      <c r="E6" s="307">
        <v>0</v>
      </c>
      <c r="F6" s="307">
        <v>0</v>
      </c>
      <c r="G6" s="307">
        <v>0</v>
      </c>
      <c r="H6" s="307">
        <v>0</v>
      </c>
      <c r="I6" s="307">
        <v>0</v>
      </c>
      <c r="J6" s="307">
        <v>0</v>
      </c>
      <c r="K6" s="307">
        <v>0</v>
      </c>
      <c r="M6">
        <f t="shared" si="0"/>
        <v>1</v>
      </c>
      <c r="Q6" s="305">
        <v>55</v>
      </c>
      <c r="R6" s="310">
        <f t="shared" si="1"/>
        <v>0.36363636363636365</v>
      </c>
      <c r="S6" s="311"/>
      <c r="T6" s="311"/>
      <c r="U6" s="311"/>
      <c r="V6" s="311"/>
      <c r="W6" s="311"/>
      <c r="X6" s="311"/>
      <c r="Y6" s="311"/>
      <c r="Z6" s="311"/>
    </row>
    <row r="7" spans="2:26">
      <c r="B7" s="305">
        <v>30</v>
      </c>
      <c r="C7" s="307">
        <v>20</v>
      </c>
      <c r="D7" s="307">
        <v>0</v>
      </c>
      <c r="E7" s="307">
        <v>0</v>
      </c>
      <c r="F7" s="307">
        <v>0</v>
      </c>
      <c r="G7" s="307">
        <v>0</v>
      </c>
      <c r="H7" s="307">
        <v>0</v>
      </c>
      <c r="I7" s="307">
        <v>0</v>
      </c>
      <c r="J7" s="307">
        <v>0</v>
      </c>
      <c r="K7" s="307">
        <v>0</v>
      </c>
      <c r="M7">
        <f t="shared" si="0"/>
        <v>1</v>
      </c>
      <c r="Q7" s="305">
        <v>65</v>
      </c>
      <c r="R7" s="310">
        <f t="shared" si="1"/>
        <v>0.30769230769230771</v>
      </c>
      <c r="S7" s="311"/>
      <c r="T7" s="311"/>
      <c r="U7" s="311"/>
      <c r="V7" s="311"/>
      <c r="W7" s="311"/>
      <c r="X7" s="311"/>
      <c r="Y7" s="311"/>
      <c r="Z7" s="311"/>
    </row>
    <row r="8" spans="2:26">
      <c r="B8" s="305">
        <v>32.5</v>
      </c>
      <c r="C8" s="307">
        <v>20</v>
      </c>
      <c r="D8" s="307">
        <v>0</v>
      </c>
      <c r="E8" s="307">
        <v>0</v>
      </c>
      <c r="F8" s="307">
        <v>0</v>
      </c>
      <c r="G8" s="307">
        <v>0</v>
      </c>
      <c r="H8" s="307">
        <v>0</v>
      </c>
      <c r="I8" s="307">
        <v>0</v>
      </c>
      <c r="J8" s="307">
        <v>0</v>
      </c>
      <c r="K8" s="307">
        <v>0</v>
      </c>
      <c r="M8">
        <f t="shared" si="0"/>
        <v>1</v>
      </c>
      <c r="Q8" s="305">
        <v>70</v>
      </c>
      <c r="R8" s="310">
        <f t="shared" si="1"/>
        <v>0.2857142857142857</v>
      </c>
      <c r="S8" s="311"/>
      <c r="T8" s="311"/>
      <c r="U8" s="311"/>
      <c r="V8" s="311"/>
      <c r="W8" s="311"/>
      <c r="X8" s="311"/>
      <c r="Y8" s="311"/>
      <c r="Z8" s="311"/>
    </row>
    <row r="9" spans="2:26">
      <c r="B9" s="305">
        <v>35</v>
      </c>
      <c r="C9" s="307">
        <v>20</v>
      </c>
      <c r="D9" s="307">
        <v>22.5</v>
      </c>
      <c r="E9" s="307">
        <v>27.5</v>
      </c>
      <c r="F9" s="307">
        <v>0</v>
      </c>
      <c r="G9" s="307">
        <v>0</v>
      </c>
      <c r="H9" s="307">
        <v>0</v>
      </c>
      <c r="I9" s="307">
        <v>0</v>
      </c>
      <c r="J9" s="307">
        <v>0</v>
      </c>
      <c r="K9" s="307">
        <v>0</v>
      </c>
      <c r="M9">
        <f t="shared" si="0"/>
        <v>3</v>
      </c>
      <c r="Q9" s="305">
        <v>75</v>
      </c>
      <c r="R9" s="310">
        <f t="shared" si="1"/>
        <v>0.26666666666666666</v>
      </c>
      <c r="S9" s="311">
        <f t="shared" ref="S9:S40" si="2">D9/$Q9</f>
        <v>0.3</v>
      </c>
      <c r="T9" s="311">
        <f t="shared" ref="T9:T40" si="3">E9/$Q9</f>
        <v>0.36666666666666664</v>
      </c>
      <c r="U9" s="311"/>
      <c r="V9" s="311"/>
      <c r="W9" s="311"/>
      <c r="X9" s="311"/>
      <c r="Y9" s="311"/>
      <c r="Z9" s="311"/>
    </row>
    <row r="10" spans="2:26">
      <c r="B10" s="305">
        <v>37.5</v>
      </c>
      <c r="C10" s="307">
        <v>20</v>
      </c>
      <c r="D10" s="307">
        <v>25</v>
      </c>
      <c r="E10" s="307">
        <v>30</v>
      </c>
      <c r="F10" s="307">
        <v>32.5</v>
      </c>
      <c r="G10" s="307">
        <v>0</v>
      </c>
      <c r="H10" s="307">
        <v>0</v>
      </c>
      <c r="I10" s="307">
        <v>0</v>
      </c>
      <c r="J10" s="307">
        <v>0</v>
      </c>
      <c r="K10" s="307">
        <v>0</v>
      </c>
      <c r="M10">
        <f t="shared" si="0"/>
        <v>4</v>
      </c>
      <c r="Q10" s="305">
        <v>80</v>
      </c>
      <c r="R10" s="310">
        <f t="shared" si="1"/>
        <v>0.25</v>
      </c>
      <c r="S10" s="311">
        <f t="shared" si="2"/>
        <v>0.3125</v>
      </c>
      <c r="T10" s="311">
        <f t="shared" si="3"/>
        <v>0.375</v>
      </c>
      <c r="U10" s="311">
        <f t="shared" ref="U10:U41" si="4">F10/$Q10</f>
        <v>0.40625</v>
      </c>
      <c r="V10" s="311"/>
      <c r="W10" s="311"/>
      <c r="X10" s="311"/>
      <c r="Y10" s="311"/>
      <c r="Z10" s="311"/>
    </row>
    <row r="11" spans="2:26">
      <c r="B11" s="305">
        <v>37.5</v>
      </c>
      <c r="C11" s="307">
        <v>20</v>
      </c>
      <c r="D11" s="307">
        <v>25</v>
      </c>
      <c r="E11" s="307">
        <v>30</v>
      </c>
      <c r="F11" s="307">
        <v>32.5</v>
      </c>
      <c r="G11" s="307">
        <v>0</v>
      </c>
      <c r="H11" s="307">
        <v>0</v>
      </c>
      <c r="I11" s="307">
        <v>0</v>
      </c>
      <c r="J11" s="307">
        <v>0</v>
      </c>
      <c r="K11" s="307">
        <v>0</v>
      </c>
      <c r="M11">
        <f t="shared" si="0"/>
        <v>4</v>
      </c>
      <c r="Q11" s="305">
        <v>85</v>
      </c>
      <c r="R11" s="310">
        <f t="shared" si="1"/>
        <v>0.23529411764705882</v>
      </c>
      <c r="S11" s="311">
        <f t="shared" si="2"/>
        <v>0.29411764705882354</v>
      </c>
      <c r="T11" s="311">
        <f t="shared" si="3"/>
        <v>0.35294117647058826</v>
      </c>
      <c r="U11" s="311">
        <f t="shared" si="4"/>
        <v>0.38235294117647056</v>
      </c>
      <c r="V11" s="311"/>
      <c r="W11" s="311"/>
      <c r="X11" s="311"/>
      <c r="Y11" s="311"/>
      <c r="Z11" s="311"/>
    </row>
    <row r="12" spans="2:26">
      <c r="B12" s="305">
        <v>40</v>
      </c>
      <c r="C12" s="307">
        <v>20</v>
      </c>
      <c r="D12" s="307">
        <v>25</v>
      </c>
      <c r="E12" s="307">
        <v>30</v>
      </c>
      <c r="F12" s="307">
        <v>37.5</v>
      </c>
      <c r="G12" s="307">
        <v>0</v>
      </c>
      <c r="H12" s="307">
        <v>0</v>
      </c>
      <c r="I12" s="307">
        <v>0</v>
      </c>
      <c r="J12" s="307">
        <v>0</v>
      </c>
      <c r="K12" s="307">
        <v>0</v>
      </c>
      <c r="M12">
        <f t="shared" si="0"/>
        <v>4</v>
      </c>
      <c r="Q12" s="305">
        <v>90</v>
      </c>
      <c r="R12" s="310">
        <f t="shared" si="1"/>
        <v>0.22222222222222221</v>
      </c>
      <c r="S12" s="311">
        <f t="shared" si="2"/>
        <v>0.27777777777777779</v>
      </c>
      <c r="T12" s="311">
        <f t="shared" si="3"/>
        <v>0.33333333333333331</v>
      </c>
      <c r="U12" s="311">
        <f t="shared" si="4"/>
        <v>0.41666666666666669</v>
      </c>
      <c r="V12" s="311"/>
      <c r="W12" s="311"/>
      <c r="X12" s="311"/>
      <c r="Y12" s="311"/>
      <c r="Z12" s="311"/>
    </row>
    <row r="13" spans="2:26">
      <c r="B13" s="305">
        <v>42.5</v>
      </c>
      <c r="C13" s="307">
        <v>20</v>
      </c>
      <c r="D13" s="307">
        <v>25</v>
      </c>
      <c r="E13" s="307">
        <v>32.5</v>
      </c>
      <c r="F13" s="307">
        <v>37.5</v>
      </c>
      <c r="G13" s="307">
        <v>0</v>
      </c>
      <c r="H13" s="307">
        <v>0</v>
      </c>
      <c r="I13" s="307">
        <v>0</v>
      </c>
      <c r="J13" s="307">
        <v>0</v>
      </c>
      <c r="K13" s="307">
        <v>0</v>
      </c>
      <c r="M13">
        <f t="shared" si="0"/>
        <v>4</v>
      </c>
      <c r="Q13" s="305">
        <v>95</v>
      </c>
      <c r="R13" s="310">
        <f t="shared" si="1"/>
        <v>0.21052631578947367</v>
      </c>
      <c r="S13" s="311">
        <f t="shared" si="2"/>
        <v>0.26315789473684209</v>
      </c>
      <c r="T13" s="311">
        <f t="shared" si="3"/>
        <v>0.34210526315789475</v>
      </c>
      <c r="U13" s="311">
        <f t="shared" si="4"/>
        <v>0.39473684210526316</v>
      </c>
      <c r="V13" s="311"/>
      <c r="W13" s="311"/>
      <c r="X13" s="311"/>
      <c r="Y13" s="311"/>
      <c r="Z13" s="311"/>
    </row>
    <row r="14" spans="2:26">
      <c r="B14" s="305">
        <v>45</v>
      </c>
      <c r="C14" s="307">
        <v>20</v>
      </c>
      <c r="D14" s="307">
        <v>30</v>
      </c>
      <c r="E14" s="307">
        <v>35</v>
      </c>
      <c r="F14" s="307">
        <v>37.5</v>
      </c>
      <c r="G14" s="307">
        <v>0</v>
      </c>
      <c r="H14" s="307">
        <v>0</v>
      </c>
      <c r="I14" s="307">
        <v>0</v>
      </c>
      <c r="J14" s="307">
        <v>0</v>
      </c>
      <c r="K14" s="307">
        <v>0</v>
      </c>
      <c r="M14">
        <f t="shared" si="0"/>
        <v>4</v>
      </c>
      <c r="Q14" s="305">
        <v>100</v>
      </c>
      <c r="R14" s="310">
        <f t="shared" si="1"/>
        <v>0.2</v>
      </c>
      <c r="S14" s="311">
        <f t="shared" si="2"/>
        <v>0.3</v>
      </c>
      <c r="T14" s="311">
        <f t="shared" si="3"/>
        <v>0.35</v>
      </c>
      <c r="U14" s="311">
        <f t="shared" si="4"/>
        <v>0.375</v>
      </c>
      <c r="V14" s="311"/>
      <c r="W14" s="311"/>
      <c r="X14" s="311"/>
      <c r="Y14" s="311"/>
      <c r="Z14" s="311"/>
    </row>
    <row r="15" spans="2:26">
      <c r="B15" s="305">
        <v>47.5</v>
      </c>
      <c r="C15" s="307">
        <v>20</v>
      </c>
      <c r="D15" s="307">
        <v>30</v>
      </c>
      <c r="E15" s="307">
        <v>35</v>
      </c>
      <c r="F15" s="307">
        <v>37.5</v>
      </c>
      <c r="G15" s="307">
        <v>0</v>
      </c>
      <c r="H15" s="307">
        <v>0</v>
      </c>
      <c r="I15" s="307">
        <v>0</v>
      </c>
      <c r="J15" s="307">
        <v>0</v>
      </c>
      <c r="K15" s="307">
        <v>0</v>
      </c>
      <c r="M15">
        <f t="shared" si="0"/>
        <v>4</v>
      </c>
      <c r="Q15" s="305">
        <v>105</v>
      </c>
      <c r="R15" s="310">
        <f t="shared" si="1"/>
        <v>0.19047619047619047</v>
      </c>
      <c r="S15" s="311">
        <f t="shared" si="2"/>
        <v>0.2857142857142857</v>
      </c>
      <c r="T15" s="311">
        <f t="shared" si="3"/>
        <v>0.33333333333333331</v>
      </c>
      <c r="U15" s="311">
        <f t="shared" si="4"/>
        <v>0.35714285714285715</v>
      </c>
      <c r="V15" s="311"/>
      <c r="W15" s="311"/>
      <c r="X15" s="311"/>
      <c r="Y15" s="311"/>
      <c r="Z15" s="311"/>
    </row>
    <row r="16" spans="2:26">
      <c r="B16" s="305">
        <v>50</v>
      </c>
      <c r="C16" s="307">
        <v>20</v>
      </c>
      <c r="D16" s="307">
        <v>30</v>
      </c>
      <c r="E16" s="307">
        <v>37.5</v>
      </c>
      <c r="F16" s="307">
        <v>40</v>
      </c>
      <c r="G16" s="307">
        <v>0</v>
      </c>
      <c r="H16" s="307">
        <v>0</v>
      </c>
      <c r="I16" s="307">
        <v>0</v>
      </c>
      <c r="J16" s="307">
        <v>0</v>
      </c>
      <c r="K16" s="307">
        <v>0</v>
      </c>
      <c r="M16">
        <f t="shared" si="0"/>
        <v>4</v>
      </c>
      <c r="Q16" s="305">
        <v>110</v>
      </c>
      <c r="R16" s="310">
        <f t="shared" si="1"/>
        <v>0.18181818181818182</v>
      </c>
      <c r="S16" s="311">
        <f t="shared" si="2"/>
        <v>0.27272727272727271</v>
      </c>
      <c r="T16" s="311">
        <f t="shared" si="3"/>
        <v>0.34090909090909088</v>
      </c>
      <c r="U16" s="311">
        <f t="shared" si="4"/>
        <v>0.36363636363636365</v>
      </c>
      <c r="V16" s="311"/>
      <c r="W16" s="311"/>
      <c r="X16" s="311"/>
      <c r="Y16" s="311"/>
      <c r="Z16" s="311"/>
    </row>
    <row r="17" spans="2:26">
      <c r="B17" s="305">
        <v>52.5</v>
      </c>
      <c r="C17" s="307">
        <v>20</v>
      </c>
      <c r="D17" s="307">
        <v>30</v>
      </c>
      <c r="E17" s="307">
        <v>37.5</v>
      </c>
      <c r="F17" s="307">
        <v>40</v>
      </c>
      <c r="G17" s="307">
        <v>45</v>
      </c>
      <c r="H17" s="307">
        <v>0</v>
      </c>
      <c r="I17" s="307">
        <v>0</v>
      </c>
      <c r="J17" s="307">
        <v>0</v>
      </c>
      <c r="K17" s="307">
        <v>0</v>
      </c>
      <c r="M17">
        <f t="shared" si="0"/>
        <v>5</v>
      </c>
      <c r="Q17" s="305">
        <v>115</v>
      </c>
      <c r="R17" s="310">
        <f t="shared" si="1"/>
        <v>0.17391304347826086</v>
      </c>
      <c r="S17" s="311">
        <f t="shared" si="2"/>
        <v>0.2608695652173913</v>
      </c>
      <c r="T17" s="311">
        <f t="shared" si="3"/>
        <v>0.32608695652173914</v>
      </c>
      <c r="U17" s="311">
        <f t="shared" si="4"/>
        <v>0.34782608695652173</v>
      </c>
      <c r="V17" s="311">
        <f t="shared" ref="V17:V48" si="5">G17/$Q17</f>
        <v>0.39130434782608697</v>
      </c>
      <c r="W17" s="311"/>
      <c r="X17" s="311"/>
      <c r="Y17" s="311"/>
      <c r="Z17" s="311"/>
    </row>
    <row r="18" spans="2:26">
      <c r="B18" s="305">
        <v>55</v>
      </c>
      <c r="C18" s="307">
        <v>20</v>
      </c>
      <c r="D18" s="307">
        <v>30</v>
      </c>
      <c r="E18" s="307">
        <v>37.5</v>
      </c>
      <c r="F18" s="307">
        <v>40</v>
      </c>
      <c r="G18" s="307">
        <v>45</v>
      </c>
      <c r="H18" s="307">
        <v>0</v>
      </c>
      <c r="I18" s="307">
        <v>0</v>
      </c>
      <c r="J18" s="307">
        <v>0</v>
      </c>
      <c r="K18" s="307">
        <v>0</v>
      </c>
      <c r="M18">
        <f t="shared" si="0"/>
        <v>5</v>
      </c>
      <c r="Q18" s="305">
        <v>120</v>
      </c>
      <c r="R18" s="310">
        <f t="shared" si="1"/>
        <v>0.16666666666666666</v>
      </c>
      <c r="S18" s="311">
        <f t="shared" si="2"/>
        <v>0.25</v>
      </c>
      <c r="T18" s="311">
        <f t="shared" si="3"/>
        <v>0.3125</v>
      </c>
      <c r="U18" s="311">
        <f t="shared" si="4"/>
        <v>0.33333333333333331</v>
      </c>
      <c r="V18" s="311">
        <f t="shared" si="5"/>
        <v>0.375</v>
      </c>
      <c r="W18" s="311"/>
      <c r="X18" s="311"/>
      <c r="Y18" s="311"/>
      <c r="Z18" s="311"/>
    </row>
    <row r="19" spans="2:26">
      <c r="B19" s="305">
        <v>57.5</v>
      </c>
      <c r="C19" s="307">
        <v>20</v>
      </c>
      <c r="D19" s="307">
        <v>30</v>
      </c>
      <c r="E19" s="307">
        <v>37.5</v>
      </c>
      <c r="F19" s="307">
        <v>42.5</v>
      </c>
      <c r="G19" s="307">
        <v>45</v>
      </c>
      <c r="H19" s="307">
        <v>0</v>
      </c>
      <c r="I19" s="307">
        <v>0</v>
      </c>
      <c r="J19" s="307">
        <v>0</v>
      </c>
      <c r="K19" s="307">
        <v>0</v>
      </c>
      <c r="M19">
        <f t="shared" si="0"/>
        <v>5</v>
      </c>
      <c r="Q19" s="305">
        <v>125</v>
      </c>
      <c r="R19" s="310">
        <f t="shared" si="1"/>
        <v>0.16</v>
      </c>
      <c r="S19" s="311">
        <f t="shared" si="2"/>
        <v>0.24</v>
      </c>
      <c r="T19" s="311">
        <f t="shared" si="3"/>
        <v>0.3</v>
      </c>
      <c r="U19" s="311">
        <f t="shared" si="4"/>
        <v>0.34</v>
      </c>
      <c r="V19" s="311">
        <f t="shared" si="5"/>
        <v>0.36</v>
      </c>
      <c r="W19" s="311"/>
      <c r="X19" s="311"/>
      <c r="Y19" s="311"/>
      <c r="Z19" s="311"/>
    </row>
    <row r="20" spans="2:26">
      <c r="B20" s="305">
        <v>60</v>
      </c>
      <c r="C20" s="307">
        <v>20</v>
      </c>
      <c r="D20" s="307">
        <v>30</v>
      </c>
      <c r="E20" s="307">
        <v>37.5</v>
      </c>
      <c r="F20" s="307">
        <v>45</v>
      </c>
      <c r="G20" s="307">
        <v>50</v>
      </c>
      <c r="H20" s="307">
        <v>0</v>
      </c>
      <c r="I20" s="307">
        <v>0</v>
      </c>
      <c r="J20" s="307">
        <v>0</v>
      </c>
      <c r="K20" s="307">
        <v>0</v>
      </c>
      <c r="M20">
        <f t="shared" si="0"/>
        <v>5</v>
      </c>
      <c r="Q20" s="305">
        <v>130</v>
      </c>
      <c r="R20" s="310">
        <f t="shared" si="1"/>
        <v>0.15384615384615385</v>
      </c>
      <c r="S20" s="311">
        <f t="shared" si="2"/>
        <v>0.23076923076923078</v>
      </c>
      <c r="T20" s="311">
        <f t="shared" si="3"/>
        <v>0.28846153846153844</v>
      </c>
      <c r="U20" s="311">
        <f t="shared" si="4"/>
        <v>0.34615384615384615</v>
      </c>
      <c r="V20" s="311">
        <f t="shared" si="5"/>
        <v>0.38461538461538464</v>
      </c>
      <c r="W20" s="311"/>
      <c r="X20" s="311"/>
      <c r="Y20" s="311"/>
      <c r="Z20" s="311"/>
    </row>
    <row r="21" spans="2:26">
      <c r="B21" s="305">
        <v>60</v>
      </c>
      <c r="C21" s="307">
        <v>20</v>
      </c>
      <c r="D21" s="307">
        <v>30</v>
      </c>
      <c r="E21" s="307">
        <v>42.5</v>
      </c>
      <c r="F21" s="307">
        <v>47.5</v>
      </c>
      <c r="G21" s="307">
        <v>52.5</v>
      </c>
      <c r="H21" s="307">
        <v>0</v>
      </c>
      <c r="I21" s="307">
        <v>0</v>
      </c>
      <c r="J21" s="307">
        <v>0</v>
      </c>
      <c r="K21" s="307">
        <v>0</v>
      </c>
      <c r="M21">
        <f t="shared" si="0"/>
        <v>5</v>
      </c>
      <c r="Q21" s="305">
        <v>135</v>
      </c>
      <c r="R21" s="310">
        <f t="shared" si="1"/>
        <v>0.14814814814814814</v>
      </c>
      <c r="S21" s="311">
        <f t="shared" si="2"/>
        <v>0.22222222222222221</v>
      </c>
      <c r="T21" s="311">
        <f t="shared" si="3"/>
        <v>0.31481481481481483</v>
      </c>
      <c r="U21" s="311">
        <f t="shared" si="4"/>
        <v>0.35185185185185186</v>
      </c>
      <c r="V21" s="311">
        <f t="shared" si="5"/>
        <v>0.3888888888888889</v>
      </c>
      <c r="W21" s="311"/>
      <c r="X21" s="311"/>
      <c r="Y21" s="311"/>
      <c r="Z21" s="311"/>
    </row>
    <row r="22" spans="2:26">
      <c r="B22" s="305">
        <v>62.5</v>
      </c>
      <c r="C22" s="307">
        <v>20</v>
      </c>
      <c r="D22" s="307">
        <v>30</v>
      </c>
      <c r="E22" s="307">
        <v>42.5</v>
      </c>
      <c r="F22" s="307">
        <v>52.5</v>
      </c>
      <c r="G22" s="307">
        <v>55</v>
      </c>
      <c r="H22" s="307">
        <v>0</v>
      </c>
      <c r="I22" s="307">
        <v>0</v>
      </c>
      <c r="J22" s="307">
        <v>0</v>
      </c>
      <c r="K22" s="307">
        <v>0</v>
      </c>
      <c r="M22">
        <f t="shared" si="0"/>
        <v>5</v>
      </c>
      <c r="Q22" s="305">
        <v>140</v>
      </c>
      <c r="R22" s="310">
        <f t="shared" si="1"/>
        <v>0.14285714285714285</v>
      </c>
      <c r="S22" s="311">
        <f t="shared" si="2"/>
        <v>0.21428571428571427</v>
      </c>
      <c r="T22" s="311">
        <f t="shared" si="3"/>
        <v>0.30357142857142855</v>
      </c>
      <c r="U22" s="311">
        <f t="shared" si="4"/>
        <v>0.375</v>
      </c>
      <c r="V22" s="311">
        <f t="shared" si="5"/>
        <v>0.39285714285714285</v>
      </c>
      <c r="W22" s="311"/>
      <c r="X22" s="311"/>
      <c r="Y22" s="311"/>
      <c r="Z22" s="311"/>
    </row>
    <row r="23" spans="2:26">
      <c r="B23" s="305">
        <v>65</v>
      </c>
      <c r="C23" s="307">
        <v>20</v>
      </c>
      <c r="D23" s="307">
        <v>30</v>
      </c>
      <c r="E23" s="307">
        <v>42.5</v>
      </c>
      <c r="F23" s="307">
        <v>52.5</v>
      </c>
      <c r="G23" s="307">
        <v>55</v>
      </c>
      <c r="H23" s="307">
        <v>0</v>
      </c>
      <c r="I23" s="307">
        <v>0</v>
      </c>
      <c r="J23" s="307">
        <v>0</v>
      </c>
      <c r="K23" s="307">
        <v>0</v>
      </c>
      <c r="M23">
        <f t="shared" si="0"/>
        <v>5</v>
      </c>
      <c r="Q23" s="305">
        <v>145</v>
      </c>
      <c r="R23" s="310">
        <f t="shared" si="1"/>
        <v>0.13793103448275862</v>
      </c>
      <c r="S23" s="311">
        <f t="shared" si="2"/>
        <v>0.20689655172413793</v>
      </c>
      <c r="T23" s="311">
        <f t="shared" si="3"/>
        <v>0.29310344827586204</v>
      </c>
      <c r="U23" s="311">
        <f t="shared" si="4"/>
        <v>0.36206896551724138</v>
      </c>
      <c r="V23" s="311">
        <f t="shared" si="5"/>
        <v>0.37931034482758619</v>
      </c>
      <c r="W23" s="311"/>
      <c r="X23" s="311"/>
      <c r="Y23" s="311"/>
      <c r="Z23" s="311"/>
    </row>
    <row r="24" spans="2:26">
      <c r="B24" s="305">
        <v>67.5</v>
      </c>
      <c r="C24" s="307">
        <v>20</v>
      </c>
      <c r="D24" s="307">
        <v>30</v>
      </c>
      <c r="E24" s="307">
        <v>42.5</v>
      </c>
      <c r="F24" s="307">
        <v>52.5</v>
      </c>
      <c r="G24" s="307">
        <v>60</v>
      </c>
      <c r="H24" s="307">
        <v>0</v>
      </c>
      <c r="I24" s="307">
        <v>0</v>
      </c>
      <c r="J24" s="307">
        <v>0</v>
      </c>
      <c r="K24" s="307">
        <v>0</v>
      </c>
      <c r="M24">
        <f t="shared" si="0"/>
        <v>5</v>
      </c>
      <c r="Q24" s="305">
        <v>150</v>
      </c>
      <c r="R24" s="310">
        <f t="shared" si="1"/>
        <v>0.13333333333333333</v>
      </c>
      <c r="S24" s="311">
        <f t="shared" si="2"/>
        <v>0.2</v>
      </c>
      <c r="T24" s="311">
        <f t="shared" si="3"/>
        <v>0.28333333333333333</v>
      </c>
      <c r="U24" s="311">
        <f t="shared" si="4"/>
        <v>0.35</v>
      </c>
      <c r="V24" s="311">
        <f t="shared" si="5"/>
        <v>0.4</v>
      </c>
      <c r="W24" s="311"/>
      <c r="X24" s="311"/>
      <c r="Y24" s="311"/>
      <c r="Z24" s="311"/>
    </row>
    <row r="25" spans="2:26">
      <c r="B25" s="305">
        <v>70</v>
      </c>
      <c r="C25" s="307">
        <v>20</v>
      </c>
      <c r="D25" s="307">
        <v>30</v>
      </c>
      <c r="E25" s="307">
        <v>42.5</v>
      </c>
      <c r="F25" s="307">
        <v>52.5</v>
      </c>
      <c r="G25" s="307">
        <v>60</v>
      </c>
      <c r="H25" s="307">
        <v>0</v>
      </c>
      <c r="I25" s="307">
        <v>0</v>
      </c>
      <c r="J25" s="307">
        <v>0</v>
      </c>
      <c r="K25" s="307">
        <v>0</v>
      </c>
      <c r="M25">
        <f t="shared" si="0"/>
        <v>5</v>
      </c>
      <c r="Q25" s="305">
        <v>155</v>
      </c>
      <c r="R25" s="310">
        <f t="shared" si="1"/>
        <v>0.12903225806451613</v>
      </c>
      <c r="S25" s="311">
        <f t="shared" si="2"/>
        <v>0.19354838709677419</v>
      </c>
      <c r="T25" s="311">
        <f t="shared" si="3"/>
        <v>0.27419354838709675</v>
      </c>
      <c r="U25" s="311">
        <f t="shared" si="4"/>
        <v>0.33870967741935482</v>
      </c>
      <c r="V25" s="311">
        <f t="shared" si="5"/>
        <v>0.38709677419354838</v>
      </c>
      <c r="W25" s="311"/>
      <c r="X25" s="311"/>
      <c r="Y25" s="311"/>
      <c r="Z25" s="311"/>
    </row>
    <row r="26" spans="2:26">
      <c r="B26" s="305">
        <v>72.5</v>
      </c>
      <c r="C26" s="307">
        <v>20</v>
      </c>
      <c r="D26" s="307">
        <v>42.5</v>
      </c>
      <c r="E26" s="307">
        <v>52.5</v>
      </c>
      <c r="F26" s="307">
        <v>60</v>
      </c>
      <c r="G26" s="307">
        <v>65</v>
      </c>
      <c r="H26" s="307">
        <v>0</v>
      </c>
      <c r="I26" s="307">
        <v>0</v>
      </c>
      <c r="J26" s="307">
        <v>0</v>
      </c>
      <c r="K26" s="307">
        <v>0</v>
      </c>
      <c r="M26">
        <f t="shared" si="0"/>
        <v>5</v>
      </c>
      <c r="Q26" s="305">
        <v>160</v>
      </c>
      <c r="R26" s="310">
        <f t="shared" si="1"/>
        <v>0.125</v>
      </c>
      <c r="S26" s="311">
        <f t="shared" si="2"/>
        <v>0.265625</v>
      </c>
      <c r="T26" s="311">
        <f t="shared" si="3"/>
        <v>0.328125</v>
      </c>
      <c r="U26" s="311">
        <f t="shared" si="4"/>
        <v>0.375</v>
      </c>
      <c r="V26" s="311">
        <f t="shared" si="5"/>
        <v>0.40625</v>
      </c>
      <c r="W26" s="311"/>
      <c r="X26" s="311"/>
      <c r="Y26" s="311"/>
      <c r="Z26" s="311"/>
    </row>
    <row r="27" spans="2:26">
      <c r="B27" s="305">
        <v>75</v>
      </c>
      <c r="C27" s="307">
        <v>20</v>
      </c>
      <c r="D27" s="307">
        <v>42.5</v>
      </c>
      <c r="E27" s="307">
        <v>52.5</v>
      </c>
      <c r="F27" s="307">
        <v>60</v>
      </c>
      <c r="G27" s="307">
        <v>65</v>
      </c>
      <c r="H27" s="307">
        <v>0</v>
      </c>
      <c r="I27" s="307">
        <v>0</v>
      </c>
      <c r="J27" s="307">
        <v>0</v>
      </c>
      <c r="K27" s="307">
        <v>0</v>
      </c>
      <c r="M27">
        <f t="shared" si="0"/>
        <v>5</v>
      </c>
      <c r="Q27" s="305">
        <v>165</v>
      </c>
      <c r="R27" s="310">
        <f t="shared" si="1"/>
        <v>0.12121212121212122</v>
      </c>
      <c r="S27" s="311">
        <f t="shared" si="2"/>
        <v>0.25757575757575757</v>
      </c>
      <c r="T27" s="311">
        <f t="shared" si="3"/>
        <v>0.31818181818181818</v>
      </c>
      <c r="U27" s="311">
        <f t="shared" si="4"/>
        <v>0.36363636363636365</v>
      </c>
      <c r="V27" s="311">
        <f t="shared" si="5"/>
        <v>0.39393939393939392</v>
      </c>
      <c r="W27" s="311"/>
      <c r="X27" s="311"/>
      <c r="Y27" s="311"/>
      <c r="Z27" s="311"/>
    </row>
    <row r="28" spans="2:26">
      <c r="B28" s="305">
        <v>77.5</v>
      </c>
      <c r="C28" s="307">
        <v>20</v>
      </c>
      <c r="D28" s="307">
        <v>42.5</v>
      </c>
      <c r="E28" s="307">
        <v>52.5</v>
      </c>
      <c r="F28" s="307">
        <v>60</v>
      </c>
      <c r="G28" s="307">
        <v>67.5</v>
      </c>
      <c r="H28" s="307">
        <v>0</v>
      </c>
      <c r="I28" s="307">
        <v>0</v>
      </c>
      <c r="J28" s="307">
        <v>0</v>
      </c>
      <c r="K28" s="307">
        <v>0</v>
      </c>
      <c r="M28">
        <f t="shared" si="0"/>
        <v>5</v>
      </c>
      <c r="Q28" s="305">
        <v>170</v>
      </c>
      <c r="R28" s="310">
        <f t="shared" si="1"/>
        <v>0.11764705882352941</v>
      </c>
      <c r="S28" s="311">
        <f t="shared" si="2"/>
        <v>0.25</v>
      </c>
      <c r="T28" s="311">
        <f t="shared" si="3"/>
        <v>0.30882352941176472</v>
      </c>
      <c r="U28" s="311">
        <f t="shared" si="4"/>
        <v>0.35294117647058826</v>
      </c>
      <c r="V28" s="311">
        <f t="shared" si="5"/>
        <v>0.39705882352941174</v>
      </c>
      <c r="W28" s="311"/>
      <c r="X28" s="311"/>
      <c r="Y28" s="311"/>
      <c r="Z28" s="311"/>
    </row>
    <row r="29" spans="2:26">
      <c r="B29" s="305">
        <v>80</v>
      </c>
      <c r="C29" s="307">
        <v>20</v>
      </c>
      <c r="D29" s="307">
        <v>42.5</v>
      </c>
      <c r="E29" s="307">
        <v>52.5</v>
      </c>
      <c r="F29" s="307">
        <v>60</v>
      </c>
      <c r="G29" s="307">
        <v>67.5</v>
      </c>
      <c r="H29" s="307">
        <v>0</v>
      </c>
      <c r="I29" s="307">
        <v>0</v>
      </c>
      <c r="J29" s="307">
        <v>0</v>
      </c>
      <c r="K29" s="307">
        <v>0</v>
      </c>
      <c r="M29">
        <f t="shared" si="0"/>
        <v>5</v>
      </c>
      <c r="Q29" s="305">
        <v>175</v>
      </c>
      <c r="R29" s="310">
        <f t="shared" si="1"/>
        <v>0.11428571428571428</v>
      </c>
      <c r="S29" s="311">
        <f t="shared" si="2"/>
        <v>0.24285714285714285</v>
      </c>
      <c r="T29" s="311">
        <f t="shared" si="3"/>
        <v>0.3</v>
      </c>
      <c r="U29" s="311">
        <f t="shared" si="4"/>
        <v>0.34285714285714286</v>
      </c>
      <c r="V29" s="311">
        <f t="shared" si="5"/>
        <v>0.38571428571428573</v>
      </c>
      <c r="W29" s="311"/>
      <c r="X29" s="311"/>
      <c r="Y29" s="311"/>
      <c r="Z29" s="311"/>
    </row>
    <row r="30" spans="2:26">
      <c r="B30" s="305">
        <v>82.5</v>
      </c>
      <c r="C30" s="307">
        <v>20</v>
      </c>
      <c r="D30" s="307">
        <v>42.5</v>
      </c>
      <c r="E30" s="307">
        <v>52.5</v>
      </c>
      <c r="F30" s="307">
        <v>60</v>
      </c>
      <c r="G30" s="307">
        <v>70</v>
      </c>
      <c r="H30" s="307">
        <v>0</v>
      </c>
      <c r="I30" s="307">
        <v>0</v>
      </c>
      <c r="J30" s="307">
        <v>0</v>
      </c>
      <c r="K30" s="307">
        <v>0</v>
      </c>
      <c r="M30">
        <f t="shared" si="0"/>
        <v>5</v>
      </c>
      <c r="Q30" s="305">
        <v>180</v>
      </c>
      <c r="R30" s="310">
        <f t="shared" si="1"/>
        <v>0.1111111111111111</v>
      </c>
      <c r="S30" s="311">
        <f t="shared" si="2"/>
        <v>0.2361111111111111</v>
      </c>
      <c r="T30" s="311">
        <f t="shared" si="3"/>
        <v>0.29166666666666669</v>
      </c>
      <c r="U30" s="311">
        <f t="shared" si="4"/>
        <v>0.33333333333333331</v>
      </c>
      <c r="V30" s="311">
        <f t="shared" si="5"/>
        <v>0.3888888888888889</v>
      </c>
      <c r="W30" s="311"/>
      <c r="X30" s="311"/>
      <c r="Y30" s="311"/>
      <c r="Z30" s="311"/>
    </row>
    <row r="31" spans="2:26">
      <c r="B31" s="305">
        <v>85</v>
      </c>
      <c r="C31" s="307">
        <v>20</v>
      </c>
      <c r="D31" s="307">
        <v>42.5</v>
      </c>
      <c r="E31" s="307">
        <v>52.5</v>
      </c>
      <c r="F31" s="307">
        <v>60</v>
      </c>
      <c r="G31" s="307">
        <v>72.5</v>
      </c>
      <c r="H31" s="307">
        <v>0</v>
      </c>
      <c r="I31" s="307">
        <v>0</v>
      </c>
      <c r="J31" s="307">
        <v>0</v>
      </c>
      <c r="K31" s="307">
        <v>0</v>
      </c>
      <c r="M31">
        <f t="shared" si="0"/>
        <v>5</v>
      </c>
      <c r="Q31" s="305">
        <v>185</v>
      </c>
      <c r="R31" s="310">
        <f t="shared" si="1"/>
        <v>0.10810810810810811</v>
      </c>
      <c r="S31" s="311">
        <f t="shared" si="2"/>
        <v>0.22972972972972974</v>
      </c>
      <c r="T31" s="311">
        <f t="shared" si="3"/>
        <v>0.28378378378378377</v>
      </c>
      <c r="U31" s="311">
        <f t="shared" si="4"/>
        <v>0.32432432432432434</v>
      </c>
      <c r="V31" s="311">
        <f t="shared" si="5"/>
        <v>0.39189189189189189</v>
      </c>
      <c r="W31" s="311"/>
      <c r="X31" s="311"/>
      <c r="Y31" s="311"/>
      <c r="Z31" s="311"/>
    </row>
    <row r="32" spans="2:26">
      <c r="B32" s="305">
        <v>85</v>
      </c>
      <c r="C32" s="307">
        <v>20</v>
      </c>
      <c r="D32" s="307">
        <v>42.5</v>
      </c>
      <c r="E32" s="307">
        <v>52.5</v>
      </c>
      <c r="F32" s="307">
        <v>60</v>
      </c>
      <c r="G32" s="307">
        <v>72.5</v>
      </c>
      <c r="H32" s="307">
        <v>0</v>
      </c>
      <c r="I32" s="307">
        <v>0</v>
      </c>
      <c r="J32" s="307">
        <v>0</v>
      </c>
      <c r="K32" s="307">
        <v>0</v>
      </c>
      <c r="M32">
        <f t="shared" si="0"/>
        <v>5</v>
      </c>
      <c r="Q32" s="305">
        <v>190</v>
      </c>
      <c r="R32" s="310">
        <f t="shared" si="1"/>
        <v>0.10526315789473684</v>
      </c>
      <c r="S32" s="311">
        <f t="shared" si="2"/>
        <v>0.22368421052631579</v>
      </c>
      <c r="T32" s="311">
        <f t="shared" si="3"/>
        <v>0.27631578947368424</v>
      </c>
      <c r="U32" s="311">
        <f t="shared" si="4"/>
        <v>0.31578947368421051</v>
      </c>
      <c r="V32" s="311">
        <f t="shared" si="5"/>
        <v>0.38157894736842107</v>
      </c>
      <c r="W32" s="311"/>
      <c r="X32" s="311"/>
      <c r="Y32" s="311"/>
      <c r="Z32" s="311"/>
    </row>
    <row r="33" spans="2:26">
      <c r="B33" s="305">
        <v>87.5</v>
      </c>
      <c r="C33" s="307">
        <v>20</v>
      </c>
      <c r="D33" s="307">
        <v>42.5</v>
      </c>
      <c r="E33" s="307">
        <v>52.5</v>
      </c>
      <c r="F33" s="307">
        <v>65</v>
      </c>
      <c r="G33" s="307">
        <v>80</v>
      </c>
      <c r="H33" s="307">
        <v>0</v>
      </c>
      <c r="I33" s="307">
        <v>0</v>
      </c>
      <c r="J33" s="307">
        <v>0</v>
      </c>
      <c r="K33" s="307">
        <v>0</v>
      </c>
      <c r="M33">
        <f t="shared" si="0"/>
        <v>5</v>
      </c>
      <c r="Q33" s="305">
        <v>195</v>
      </c>
      <c r="R33" s="310">
        <f t="shared" si="1"/>
        <v>0.10256410256410256</v>
      </c>
      <c r="S33" s="311">
        <f t="shared" si="2"/>
        <v>0.21794871794871795</v>
      </c>
      <c r="T33" s="311">
        <f t="shared" si="3"/>
        <v>0.26923076923076922</v>
      </c>
      <c r="U33" s="311">
        <f t="shared" si="4"/>
        <v>0.33333333333333331</v>
      </c>
      <c r="V33" s="311">
        <f t="shared" si="5"/>
        <v>0.41025641025641024</v>
      </c>
      <c r="W33" s="311"/>
      <c r="X33" s="311"/>
      <c r="Y33" s="311"/>
      <c r="Z33" s="311"/>
    </row>
    <row r="34" spans="2:26">
      <c r="B34" s="305">
        <v>90</v>
      </c>
      <c r="C34" s="307">
        <v>20</v>
      </c>
      <c r="D34" s="307">
        <v>42.5</v>
      </c>
      <c r="E34" s="307">
        <v>52.5</v>
      </c>
      <c r="F34" s="307">
        <v>70</v>
      </c>
      <c r="G34" s="307">
        <v>82.5</v>
      </c>
      <c r="H34" s="307">
        <v>0</v>
      </c>
      <c r="I34" s="307">
        <v>0</v>
      </c>
      <c r="J34" s="307">
        <v>0</v>
      </c>
      <c r="K34" s="307">
        <v>0</v>
      </c>
      <c r="M34">
        <f t="shared" si="0"/>
        <v>5</v>
      </c>
      <c r="Q34" s="305">
        <v>200</v>
      </c>
      <c r="R34" s="310">
        <f t="shared" si="1"/>
        <v>0.1</v>
      </c>
      <c r="S34" s="311">
        <f t="shared" si="2"/>
        <v>0.21249999999999999</v>
      </c>
      <c r="T34" s="311">
        <f t="shared" si="3"/>
        <v>0.26250000000000001</v>
      </c>
      <c r="U34" s="311">
        <f t="shared" si="4"/>
        <v>0.35</v>
      </c>
      <c r="V34" s="311">
        <f t="shared" si="5"/>
        <v>0.41249999999999998</v>
      </c>
      <c r="W34" s="311"/>
      <c r="X34" s="311"/>
      <c r="Y34" s="311"/>
      <c r="Z34" s="311"/>
    </row>
    <row r="35" spans="2:26">
      <c r="B35" s="305">
        <v>92.5</v>
      </c>
      <c r="C35" s="307">
        <v>20</v>
      </c>
      <c r="D35" s="307">
        <v>42.5</v>
      </c>
      <c r="E35" s="307">
        <v>52.5</v>
      </c>
      <c r="F35" s="307">
        <v>70</v>
      </c>
      <c r="G35" s="307">
        <v>82.5</v>
      </c>
      <c r="H35" s="307">
        <v>0</v>
      </c>
      <c r="I35" s="307">
        <v>0</v>
      </c>
      <c r="J35" s="307">
        <v>0</v>
      </c>
      <c r="K35" s="307">
        <v>0</v>
      </c>
      <c r="M35">
        <f t="shared" si="0"/>
        <v>5</v>
      </c>
      <c r="Q35" s="305">
        <v>205</v>
      </c>
      <c r="R35" s="310">
        <f t="shared" si="1"/>
        <v>9.7560975609756101E-2</v>
      </c>
      <c r="S35" s="311">
        <f t="shared" si="2"/>
        <v>0.2073170731707317</v>
      </c>
      <c r="T35" s="311">
        <f t="shared" si="3"/>
        <v>0.25609756097560976</v>
      </c>
      <c r="U35" s="311">
        <f t="shared" si="4"/>
        <v>0.34146341463414637</v>
      </c>
      <c r="V35" s="311">
        <f t="shared" si="5"/>
        <v>0.40243902439024393</v>
      </c>
      <c r="W35" s="311"/>
      <c r="X35" s="311"/>
      <c r="Y35" s="311"/>
      <c r="Z35" s="311"/>
    </row>
    <row r="36" spans="2:26">
      <c r="B36" s="305">
        <v>95</v>
      </c>
      <c r="C36" s="307">
        <v>20</v>
      </c>
      <c r="D36" s="307">
        <v>42.5</v>
      </c>
      <c r="E36" s="307">
        <v>60</v>
      </c>
      <c r="F36" s="307">
        <v>70</v>
      </c>
      <c r="G36" s="307">
        <v>85</v>
      </c>
      <c r="H36" s="307">
        <v>0</v>
      </c>
      <c r="I36" s="307">
        <v>0</v>
      </c>
      <c r="J36" s="307">
        <v>0</v>
      </c>
      <c r="K36" s="307">
        <v>0</v>
      </c>
      <c r="M36">
        <f t="shared" ref="M36:M67" si="6">COUNTIF(C36:K36,"&gt;0")</f>
        <v>5</v>
      </c>
      <c r="Q36" s="305">
        <v>210</v>
      </c>
      <c r="R36" s="310">
        <f t="shared" si="1"/>
        <v>9.5238095238095233E-2</v>
      </c>
      <c r="S36" s="311">
        <f t="shared" si="2"/>
        <v>0.20238095238095238</v>
      </c>
      <c r="T36" s="311">
        <f t="shared" si="3"/>
        <v>0.2857142857142857</v>
      </c>
      <c r="U36" s="311">
        <f t="shared" si="4"/>
        <v>0.33333333333333331</v>
      </c>
      <c r="V36" s="311">
        <f t="shared" si="5"/>
        <v>0.40476190476190477</v>
      </c>
      <c r="W36" s="311"/>
      <c r="X36" s="311"/>
      <c r="Y36" s="311"/>
      <c r="Z36" s="311"/>
    </row>
    <row r="37" spans="2:26">
      <c r="B37" s="305">
        <v>97.5</v>
      </c>
      <c r="C37" s="307">
        <v>20</v>
      </c>
      <c r="D37" s="307">
        <v>42.5</v>
      </c>
      <c r="E37" s="307">
        <v>60</v>
      </c>
      <c r="F37" s="307">
        <v>70</v>
      </c>
      <c r="G37" s="307">
        <v>87.5</v>
      </c>
      <c r="H37" s="307">
        <v>0</v>
      </c>
      <c r="I37" s="307">
        <v>0</v>
      </c>
      <c r="J37" s="307">
        <v>0</v>
      </c>
      <c r="K37" s="307">
        <v>0</v>
      </c>
      <c r="M37">
        <f t="shared" si="6"/>
        <v>5</v>
      </c>
      <c r="Q37" s="305">
        <v>215</v>
      </c>
      <c r="R37" s="310">
        <f t="shared" ref="R37:R68" si="7">C37/$Q37</f>
        <v>9.3023255813953487E-2</v>
      </c>
      <c r="S37" s="311">
        <f t="shared" si="2"/>
        <v>0.19767441860465115</v>
      </c>
      <c r="T37" s="311">
        <f t="shared" si="3"/>
        <v>0.27906976744186046</v>
      </c>
      <c r="U37" s="311">
        <f t="shared" si="4"/>
        <v>0.32558139534883723</v>
      </c>
      <c r="V37" s="311">
        <f t="shared" si="5"/>
        <v>0.40697674418604651</v>
      </c>
      <c r="W37" s="311"/>
      <c r="X37" s="311"/>
      <c r="Y37" s="311"/>
      <c r="Z37" s="311"/>
    </row>
    <row r="38" spans="2:26">
      <c r="B38" s="305">
        <v>100</v>
      </c>
      <c r="C38" s="307">
        <v>20</v>
      </c>
      <c r="D38" s="307">
        <v>42.5</v>
      </c>
      <c r="E38" s="307">
        <v>60</v>
      </c>
      <c r="F38" s="307">
        <v>75</v>
      </c>
      <c r="G38" s="307">
        <v>90</v>
      </c>
      <c r="H38" s="307">
        <v>0</v>
      </c>
      <c r="I38" s="307">
        <v>0</v>
      </c>
      <c r="J38" s="307">
        <v>0</v>
      </c>
      <c r="K38" s="307">
        <v>0</v>
      </c>
      <c r="M38">
        <f t="shared" si="6"/>
        <v>5</v>
      </c>
      <c r="Q38" s="305">
        <v>220</v>
      </c>
      <c r="R38" s="310">
        <f t="shared" si="7"/>
        <v>9.0909090909090912E-2</v>
      </c>
      <c r="S38" s="311">
        <f t="shared" si="2"/>
        <v>0.19318181818181818</v>
      </c>
      <c r="T38" s="311">
        <f t="shared" si="3"/>
        <v>0.27272727272727271</v>
      </c>
      <c r="U38" s="311">
        <f t="shared" si="4"/>
        <v>0.34090909090909088</v>
      </c>
      <c r="V38" s="311">
        <f t="shared" si="5"/>
        <v>0.40909090909090912</v>
      </c>
      <c r="W38" s="311"/>
      <c r="X38" s="311"/>
      <c r="Y38" s="311"/>
      <c r="Z38" s="311"/>
    </row>
    <row r="39" spans="2:26">
      <c r="B39" s="305">
        <v>102.5</v>
      </c>
      <c r="C39" s="307">
        <v>20</v>
      </c>
      <c r="D39" s="307">
        <v>42.5</v>
      </c>
      <c r="E39" s="307">
        <v>60</v>
      </c>
      <c r="F39" s="307">
        <v>80</v>
      </c>
      <c r="G39" s="307">
        <v>90</v>
      </c>
      <c r="H39" s="307">
        <v>0</v>
      </c>
      <c r="I39" s="307">
        <v>0</v>
      </c>
      <c r="J39" s="307">
        <v>0</v>
      </c>
      <c r="K39" s="307">
        <v>0</v>
      </c>
      <c r="M39">
        <f t="shared" si="6"/>
        <v>5</v>
      </c>
      <c r="Q39" s="305">
        <v>225</v>
      </c>
      <c r="R39" s="310">
        <f t="shared" si="7"/>
        <v>8.8888888888888892E-2</v>
      </c>
      <c r="S39" s="311">
        <f t="shared" si="2"/>
        <v>0.18888888888888888</v>
      </c>
      <c r="T39" s="311">
        <f t="shared" si="3"/>
        <v>0.26666666666666666</v>
      </c>
      <c r="U39" s="311">
        <f t="shared" si="4"/>
        <v>0.35555555555555557</v>
      </c>
      <c r="V39" s="311">
        <f t="shared" si="5"/>
        <v>0.4</v>
      </c>
      <c r="W39" s="311"/>
      <c r="X39" s="311"/>
      <c r="Y39" s="311"/>
      <c r="Z39" s="311"/>
    </row>
    <row r="40" spans="2:26">
      <c r="B40" s="305">
        <v>105</v>
      </c>
      <c r="C40" s="307">
        <v>20</v>
      </c>
      <c r="D40" s="307">
        <v>42.5</v>
      </c>
      <c r="E40" s="307">
        <v>60</v>
      </c>
      <c r="F40" s="307">
        <v>85</v>
      </c>
      <c r="G40" s="307">
        <v>92.5</v>
      </c>
      <c r="H40" s="307">
        <v>0</v>
      </c>
      <c r="I40" s="307">
        <v>0</v>
      </c>
      <c r="J40" s="307">
        <v>0</v>
      </c>
      <c r="K40" s="307">
        <v>0</v>
      </c>
      <c r="M40">
        <f t="shared" si="6"/>
        <v>5</v>
      </c>
      <c r="Q40" s="305">
        <v>230</v>
      </c>
      <c r="R40" s="310">
        <f t="shared" si="7"/>
        <v>8.6956521739130432E-2</v>
      </c>
      <c r="S40" s="311">
        <f t="shared" si="2"/>
        <v>0.18478260869565216</v>
      </c>
      <c r="T40" s="311">
        <f t="shared" si="3"/>
        <v>0.2608695652173913</v>
      </c>
      <c r="U40" s="311">
        <f t="shared" si="4"/>
        <v>0.36956521739130432</v>
      </c>
      <c r="V40" s="311">
        <f t="shared" si="5"/>
        <v>0.40217391304347827</v>
      </c>
      <c r="W40" s="311"/>
      <c r="X40" s="311"/>
      <c r="Y40" s="311"/>
      <c r="Z40" s="311"/>
    </row>
    <row r="41" spans="2:26">
      <c r="B41" s="305">
        <v>107.5</v>
      </c>
      <c r="C41" s="307">
        <v>20</v>
      </c>
      <c r="D41" s="307">
        <v>42.5</v>
      </c>
      <c r="E41" s="307">
        <v>60</v>
      </c>
      <c r="F41" s="307">
        <v>85</v>
      </c>
      <c r="G41" s="307">
        <v>92.5</v>
      </c>
      <c r="H41" s="307">
        <v>0</v>
      </c>
      <c r="I41" s="307">
        <v>0</v>
      </c>
      <c r="J41" s="307">
        <v>0</v>
      </c>
      <c r="K41" s="307">
        <v>0</v>
      </c>
      <c r="M41">
        <f t="shared" si="6"/>
        <v>5</v>
      </c>
      <c r="Q41" s="305">
        <v>235</v>
      </c>
      <c r="R41" s="310">
        <f t="shared" si="7"/>
        <v>8.5106382978723402E-2</v>
      </c>
      <c r="S41" s="311">
        <f t="shared" ref="S41:S72" si="8">D41/$Q41</f>
        <v>0.18085106382978725</v>
      </c>
      <c r="T41" s="311">
        <f t="shared" ref="T41:T72" si="9">E41/$Q41</f>
        <v>0.25531914893617019</v>
      </c>
      <c r="U41" s="311">
        <f t="shared" si="4"/>
        <v>0.36170212765957449</v>
      </c>
      <c r="V41" s="311">
        <f t="shared" si="5"/>
        <v>0.39361702127659576</v>
      </c>
      <c r="W41" s="311"/>
      <c r="X41" s="311"/>
      <c r="Y41" s="311"/>
      <c r="Z41" s="311"/>
    </row>
    <row r="42" spans="2:26">
      <c r="B42" s="305">
        <v>110</v>
      </c>
      <c r="C42" s="307">
        <v>20</v>
      </c>
      <c r="D42" s="307">
        <v>42.5</v>
      </c>
      <c r="E42" s="307">
        <v>60</v>
      </c>
      <c r="F42" s="307">
        <v>85</v>
      </c>
      <c r="G42" s="307">
        <v>97.5</v>
      </c>
      <c r="H42" s="307">
        <v>0</v>
      </c>
      <c r="I42" s="307">
        <v>0</v>
      </c>
      <c r="J42" s="307">
        <v>0</v>
      </c>
      <c r="K42" s="307">
        <v>0</v>
      </c>
      <c r="M42">
        <f t="shared" si="6"/>
        <v>5</v>
      </c>
      <c r="Q42" s="305">
        <v>240</v>
      </c>
      <c r="R42" s="310">
        <f t="shared" si="7"/>
        <v>8.3333333333333329E-2</v>
      </c>
      <c r="S42" s="311">
        <f t="shared" si="8"/>
        <v>0.17708333333333334</v>
      </c>
      <c r="T42" s="311">
        <f t="shared" si="9"/>
        <v>0.25</v>
      </c>
      <c r="U42" s="311">
        <f t="shared" ref="U42:U73" si="10">F42/$Q42</f>
        <v>0.35416666666666669</v>
      </c>
      <c r="V42" s="311">
        <f t="shared" si="5"/>
        <v>0.40625</v>
      </c>
      <c r="W42" s="311"/>
      <c r="X42" s="311"/>
      <c r="Y42" s="311"/>
      <c r="Z42" s="311"/>
    </row>
    <row r="43" spans="2:26">
      <c r="B43" s="305">
        <v>110</v>
      </c>
      <c r="C43" s="307">
        <v>20</v>
      </c>
      <c r="D43" s="307">
        <v>42.5</v>
      </c>
      <c r="E43" s="307">
        <v>60</v>
      </c>
      <c r="F43" s="307">
        <v>85</v>
      </c>
      <c r="G43" s="307">
        <v>97.5</v>
      </c>
      <c r="H43" s="307">
        <v>0</v>
      </c>
      <c r="I43" s="307">
        <v>0</v>
      </c>
      <c r="J43" s="307">
        <v>0</v>
      </c>
      <c r="K43" s="307">
        <v>0</v>
      </c>
      <c r="M43">
        <f t="shared" si="6"/>
        <v>5</v>
      </c>
      <c r="Q43" s="305">
        <v>245</v>
      </c>
      <c r="R43" s="310">
        <f t="shared" si="7"/>
        <v>8.1632653061224483E-2</v>
      </c>
      <c r="S43" s="311">
        <f t="shared" si="8"/>
        <v>0.17346938775510204</v>
      </c>
      <c r="T43" s="311">
        <f t="shared" si="9"/>
        <v>0.24489795918367346</v>
      </c>
      <c r="U43" s="311">
        <f t="shared" si="10"/>
        <v>0.34693877551020408</v>
      </c>
      <c r="V43" s="311">
        <f t="shared" si="5"/>
        <v>0.39795918367346939</v>
      </c>
      <c r="W43" s="311"/>
      <c r="X43" s="311"/>
      <c r="Y43" s="311"/>
      <c r="Z43" s="311"/>
    </row>
    <row r="44" spans="2:26">
      <c r="B44" s="305">
        <v>112.5</v>
      </c>
      <c r="C44" s="307">
        <v>20</v>
      </c>
      <c r="D44" s="307">
        <v>42.5</v>
      </c>
      <c r="E44" s="307">
        <v>60</v>
      </c>
      <c r="F44" s="307">
        <v>85</v>
      </c>
      <c r="G44" s="307">
        <v>100</v>
      </c>
      <c r="H44" s="307">
        <v>0</v>
      </c>
      <c r="I44" s="307">
        <v>0</v>
      </c>
      <c r="J44" s="307">
        <v>0</v>
      </c>
      <c r="K44" s="307">
        <v>0</v>
      </c>
      <c r="M44">
        <f t="shared" si="6"/>
        <v>5</v>
      </c>
      <c r="Q44" s="305">
        <v>250</v>
      </c>
      <c r="R44" s="310">
        <f t="shared" si="7"/>
        <v>0.08</v>
      </c>
      <c r="S44" s="311">
        <f t="shared" si="8"/>
        <v>0.17</v>
      </c>
      <c r="T44" s="311">
        <f t="shared" si="9"/>
        <v>0.24</v>
      </c>
      <c r="U44" s="311">
        <f t="shared" si="10"/>
        <v>0.34</v>
      </c>
      <c r="V44" s="311">
        <f t="shared" si="5"/>
        <v>0.4</v>
      </c>
      <c r="W44" s="311"/>
      <c r="X44" s="311"/>
      <c r="Y44" s="311"/>
      <c r="Z44" s="311"/>
    </row>
    <row r="45" spans="2:26">
      <c r="B45" s="305">
        <v>115</v>
      </c>
      <c r="C45" s="307">
        <v>20</v>
      </c>
      <c r="D45" s="307">
        <v>42.5</v>
      </c>
      <c r="E45" s="307">
        <v>60</v>
      </c>
      <c r="F45" s="307">
        <v>85</v>
      </c>
      <c r="G45" s="307">
        <v>100</v>
      </c>
      <c r="H45" s="307">
        <v>0</v>
      </c>
      <c r="I45" s="307">
        <v>0</v>
      </c>
      <c r="J45" s="307">
        <v>0</v>
      </c>
      <c r="K45" s="307">
        <v>0</v>
      </c>
      <c r="M45">
        <f t="shared" si="6"/>
        <v>5</v>
      </c>
      <c r="Q45" s="305">
        <v>255</v>
      </c>
      <c r="R45" s="310">
        <f t="shared" si="7"/>
        <v>7.8431372549019607E-2</v>
      </c>
      <c r="S45" s="311">
        <f t="shared" si="8"/>
        <v>0.16666666666666666</v>
      </c>
      <c r="T45" s="311">
        <f t="shared" si="9"/>
        <v>0.23529411764705882</v>
      </c>
      <c r="U45" s="311">
        <f t="shared" si="10"/>
        <v>0.33333333333333331</v>
      </c>
      <c r="V45" s="311">
        <f t="shared" si="5"/>
        <v>0.39215686274509803</v>
      </c>
      <c r="W45" s="311"/>
      <c r="X45" s="311"/>
      <c r="Y45" s="311"/>
      <c r="Z45" s="311"/>
    </row>
    <row r="46" spans="2:26">
      <c r="B46" s="305">
        <v>117.5</v>
      </c>
      <c r="C46" s="307">
        <v>20</v>
      </c>
      <c r="D46" s="307">
        <v>60</v>
      </c>
      <c r="E46" s="307">
        <v>70</v>
      </c>
      <c r="F46" s="307">
        <v>85</v>
      </c>
      <c r="G46" s="307">
        <v>105</v>
      </c>
      <c r="H46" s="307">
        <v>0</v>
      </c>
      <c r="I46" s="307">
        <v>0</v>
      </c>
      <c r="J46" s="307">
        <v>0</v>
      </c>
      <c r="K46" s="307">
        <v>0</v>
      </c>
      <c r="M46">
        <f t="shared" si="6"/>
        <v>5</v>
      </c>
      <c r="Q46" s="305">
        <v>260</v>
      </c>
      <c r="R46" s="310">
        <f t="shared" si="7"/>
        <v>7.6923076923076927E-2</v>
      </c>
      <c r="S46" s="311">
        <f t="shared" si="8"/>
        <v>0.23076923076923078</v>
      </c>
      <c r="T46" s="311">
        <f t="shared" si="9"/>
        <v>0.26923076923076922</v>
      </c>
      <c r="U46" s="311">
        <f t="shared" si="10"/>
        <v>0.32692307692307693</v>
      </c>
      <c r="V46" s="311">
        <f t="shared" si="5"/>
        <v>0.40384615384615385</v>
      </c>
      <c r="W46" s="311"/>
      <c r="X46" s="311"/>
      <c r="Y46" s="311"/>
      <c r="Z46" s="311"/>
    </row>
    <row r="47" spans="2:26">
      <c r="B47" s="305">
        <v>120</v>
      </c>
      <c r="C47" s="307">
        <v>20</v>
      </c>
      <c r="D47" s="307">
        <v>60</v>
      </c>
      <c r="E47" s="307">
        <v>70</v>
      </c>
      <c r="F47" s="307">
        <v>85</v>
      </c>
      <c r="G47" s="307">
        <v>105</v>
      </c>
      <c r="H47" s="307">
        <v>0</v>
      </c>
      <c r="I47" s="307">
        <v>0</v>
      </c>
      <c r="J47" s="307">
        <v>0</v>
      </c>
      <c r="K47" s="307">
        <v>0</v>
      </c>
      <c r="M47">
        <f t="shared" si="6"/>
        <v>5</v>
      </c>
      <c r="Q47" s="305">
        <v>265</v>
      </c>
      <c r="R47" s="310">
        <f t="shared" si="7"/>
        <v>7.5471698113207544E-2</v>
      </c>
      <c r="S47" s="311">
        <f t="shared" si="8"/>
        <v>0.22641509433962265</v>
      </c>
      <c r="T47" s="311">
        <f t="shared" si="9"/>
        <v>0.26415094339622641</v>
      </c>
      <c r="U47" s="311">
        <f t="shared" si="10"/>
        <v>0.32075471698113206</v>
      </c>
      <c r="V47" s="311">
        <f t="shared" si="5"/>
        <v>0.39622641509433965</v>
      </c>
      <c r="W47" s="311"/>
      <c r="X47" s="311"/>
      <c r="Y47" s="311"/>
      <c r="Z47" s="311"/>
    </row>
    <row r="48" spans="2:26">
      <c r="B48" s="305">
        <v>122.5</v>
      </c>
      <c r="C48" s="307">
        <v>20</v>
      </c>
      <c r="D48" s="307">
        <v>60</v>
      </c>
      <c r="E48" s="307">
        <v>70</v>
      </c>
      <c r="F48" s="307">
        <v>85</v>
      </c>
      <c r="G48" s="307">
        <v>110</v>
      </c>
      <c r="H48" s="307">
        <v>0</v>
      </c>
      <c r="I48" s="307">
        <v>0</v>
      </c>
      <c r="J48" s="307">
        <v>0</v>
      </c>
      <c r="K48" s="307">
        <v>0</v>
      </c>
      <c r="M48">
        <f t="shared" si="6"/>
        <v>5</v>
      </c>
      <c r="Q48" s="305">
        <v>270</v>
      </c>
      <c r="R48" s="310">
        <f t="shared" si="7"/>
        <v>7.407407407407407E-2</v>
      </c>
      <c r="S48" s="311">
        <f t="shared" si="8"/>
        <v>0.22222222222222221</v>
      </c>
      <c r="T48" s="311">
        <f t="shared" si="9"/>
        <v>0.25925925925925924</v>
      </c>
      <c r="U48" s="311">
        <f t="shared" si="10"/>
        <v>0.31481481481481483</v>
      </c>
      <c r="V48" s="311">
        <f t="shared" si="5"/>
        <v>0.40740740740740738</v>
      </c>
      <c r="W48" s="311"/>
      <c r="X48" s="311"/>
      <c r="Y48" s="311"/>
      <c r="Z48" s="311"/>
    </row>
    <row r="49" spans="2:26">
      <c r="B49" s="305">
        <v>125</v>
      </c>
      <c r="C49" s="307">
        <v>20</v>
      </c>
      <c r="D49" s="307">
        <v>60</v>
      </c>
      <c r="E49" s="307">
        <v>70</v>
      </c>
      <c r="F49" s="307">
        <v>85</v>
      </c>
      <c r="G49" s="307">
        <v>110</v>
      </c>
      <c r="H49" s="307">
        <v>0</v>
      </c>
      <c r="I49" s="307">
        <v>0</v>
      </c>
      <c r="J49" s="307">
        <v>0</v>
      </c>
      <c r="K49" s="307">
        <v>0</v>
      </c>
      <c r="M49">
        <f t="shared" si="6"/>
        <v>5</v>
      </c>
      <c r="Q49" s="305">
        <v>275</v>
      </c>
      <c r="R49" s="310">
        <f t="shared" si="7"/>
        <v>7.2727272727272724E-2</v>
      </c>
      <c r="S49" s="311">
        <f t="shared" si="8"/>
        <v>0.21818181818181817</v>
      </c>
      <c r="T49" s="311">
        <f t="shared" si="9"/>
        <v>0.25454545454545452</v>
      </c>
      <c r="U49" s="311">
        <f t="shared" si="10"/>
        <v>0.30909090909090908</v>
      </c>
      <c r="V49" s="311">
        <f t="shared" ref="V49:V80" si="11">G49/$Q49</f>
        <v>0.4</v>
      </c>
      <c r="W49" s="311"/>
      <c r="X49" s="311"/>
      <c r="Y49" s="311"/>
      <c r="Z49" s="311"/>
    </row>
    <row r="50" spans="2:26">
      <c r="B50" s="305">
        <v>127.5</v>
      </c>
      <c r="C50" s="307">
        <v>20</v>
      </c>
      <c r="D50" s="307">
        <v>60</v>
      </c>
      <c r="E50" s="307">
        <v>70</v>
      </c>
      <c r="F50" s="307">
        <v>85</v>
      </c>
      <c r="G50" s="307">
        <v>112.5</v>
      </c>
      <c r="H50" s="307">
        <v>0</v>
      </c>
      <c r="I50" s="307">
        <v>0</v>
      </c>
      <c r="J50" s="307">
        <v>0</v>
      </c>
      <c r="K50" s="307">
        <v>0</v>
      </c>
      <c r="M50">
        <f t="shared" si="6"/>
        <v>5</v>
      </c>
      <c r="Q50" s="305">
        <v>280</v>
      </c>
      <c r="R50" s="310">
        <f t="shared" si="7"/>
        <v>7.1428571428571425E-2</v>
      </c>
      <c r="S50" s="311">
        <f t="shared" si="8"/>
        <v>0.21428571428571427</v>
      </c>
      <c r="T50" s="311">
        <f t="shared" si="9"/>
        <v>0.25</v>
      </c>
      <c r="U50" s="311">
        <f t="shared" si="10"/>
        <v>0.30357142857142855</v>
      </c>
      <c r="V50" s="311">
        <f t="shared" si="11"/>
        <v>0.4017857142857143</v>
      </c>
      <c r="W50" s="311"/>
      <c r="X50" s="311"/>
      <c r="Y50" s="311"/>
      <c r="Z50" s="311"/>
    </row>
    <row r="51" spans="2:26">
      <c r="B51" s="305">
        <v>130</v>
      </c>
      <c r="C51" s="307">
        <v>20</v>
      </c>
      <c r="D51" s="307">
        <v>60</v>
      </c>
      <c r="E51" s="307">
        <v>70</v>
      </c>
      <c r="F51" s="307">
        <v>85</v>
      </c>
      <c r="G51" s="307">
        <v>115</v>
      </c>
      <c r="H51" s="307">
        <v>0</v>
      </c>
      <c r="I51" s="307">
        <v>0</v>
      </c>
      <c r="J51" s="307">
        <v>0</v>
      </c>
      <c r="K51" s="307">
        <v>0</v>
      </c>
      <c r="M51">
        <f t="shared" si="6"/>
        <v>5</v>
      </c>
      <c r="Q51" s="305">
        <v>285</v>
      </c>
      <c r="R51" s="310">
        <f t="shared" si="7"/>
        <v>7.0175438596491224E-2</v>
      </c>
      <c r="S51" s="311">
        <f t="shared" si="8"/>
        <v>0.21052631578947367</v>
      </c>
      <c r="T51" s="311">
        <f t="shared" si="9"/>
        <v>0.24561403508771928</v>
      </c>
      <c r="U51" s="311">
        <f t="shared" si="10"/>
        <v>0.2982456140350877</v>
      </c>
      <c r="V51" s="311">
        <f t="shared" si="11"/>
        <v>0.40350877192982454</v>
      </c>
      <c r="W51" s="311"/>
      <c r="X51" s="311"/>
      <c r="Y51" s="311"/>
      <c r="Z51" s="311"/>
    </row>
    <row r="52" spans="2:26">
      <c r="B52" s="305">
        <v>132.5</v>
      </c>
      <c r="C52" s="307">
        <v>20</v>
      </c>
      <c r="D52" s="307">
        <v>60</v>
      </c>
      <c r="E52" s="307">
        <v>85</v>
      </c>
      <c r="F52" s="307">
        <v>102.5</v>
      </c>
      <c r="G52" s="307">
        <v>117.5</v>
      </c>
      <c r="H52" s="307">
        <v>0</v>
      </c>
      <c r="I52" s="307">
        <v>0</v>
      </c>
      <c r="J52" s="307">
        <v>0</v>
      </c>
      <c r="K52" s="307">
        <v>0</v>
      </c>
      <c r="M52">
        <f t="shared" si="6"/>
        <v>5</v>
      </c>
      <c r="Q52" s="305">
        <v>290</v>
      </c>
      <c r="R52" s="310">
        <f t="shared" si="7"/>
        <v>6.8965517241379309E-2</v>
      </c>
      <c r="S52" s="311">
        <f t="shared" si="8"/>
        <v>0.20689655172413793</v>
      </c>
      <c r="T52" s="311">
        <f t="shared" si="9"/>
        <v>0.29310344827586204</v>
      </c>
      <c r="U52" s="311">
        <f t="shared" si="10"/>
        <v>0.35344827586206895</v>
      </c>
      <c r="V52" s="311">
        <f t="shared" si="11"/>
        <v>0.40517241379310343</v>
      </c>
      <c r="W52" s="311"/>
      <c r="X52" s="311"/>
      <c r="Y52" s="311"/>
      <c r="Z52" s="311"/>
    </row>
    <row r="53" spans="2:26">
      <c r="B53" s="305">
        <v>135</v>
      </c>
      <c r="C53" s="307">
        <v>20</v>
      </c>
      <c r="D53" s="307">
        <v>60</v>
      </c>
      <c r="E53" s="307">
        <v>85</v>
      </c>
      <c r="F53" s="307">
        <v>102.5</v>
      </c>
      <c r="G53" s="307">
        <v>120</v>
      </c>
      <c r="H53" s="307">
        <v>0</v>
      </c>
      <c r="I53" s="307">
        <v>0</v>
      </c>
      <c r="J53" s="307">
        <v>0</v>
      </c>
      <c r="K53" s="307">
        <v>0</v>
      </c>
      <c r="M53">
        <f t="shared" si="6"/>
        <v>5</v>
      </c>
      <c r="Q53" s="305">
        <v>295</v>
      </c>
      <c r="R53" s="310">
        <f t="shared" si="7"/>
        <v>6.7796610169491525E-2</v>
      </c>
      <c r="S53" s="311">
        <f t="shared" si="8"/>
        <v>0.20338983050847459</v>
      </c>
      <c r="T53" s="311">
        <f t="shared" si="9"/>
        <v>0.28813559322033899</v>
      </c>
      <c r="U53" s="311">
        <f t="shared" si="10"/>
        <v>0.34745762711864409</v>
      </c>
      <c r="V53" s="311">
        <f t="shared" si="11"/>
        <v>0.40677966101694918</v>
      </c>
      <c r="W53" s="311"/>
      <c r="X53" s="311"/>
      <c r="Y53" s="311"/>
      <c r="Z53" s="311"/>
    </row>
    <row r="54" spans="2:26">
      <c r="B54" s="305">
        <v>135</v>
      </c>
      <c r="C54" s="307">
        <v>20</v>
      </c>
      <c r="D54" s="307">
        <v>60</v>
      </c>
      <c r="E54" s="307">
        <v>85</v>
      </c>
      <c r="F54" s="307">
        <v>102.5</v>
      </c>
      <c r="G54" s="307">
        <v>120</v>
      </c>
      <c r="H54" s="307">
        <v>0</v>
      </c>
      <c r="I54" s="307">
        <v>0</v>
      </c>
      <c r="J54" s="307">
        <v>0</v>
      </c>
      <c r="K54" s="307">
        <v>0</v>
      </c>
      <c r="M54">
        <f t="shared" si="6"/>
        <v>5</v>
      </c>
      <c r="Q54" s="305">
        <v>300</v>
      </c>
      <c r="R54" s="310">
        <f t="shared" si="7"/>
        <v>6.6666666666666666E-2</v>
      </c>
      <c r="S54" s="311">
        <f t="shared" si="8"/>
        <v>0.2</v>
      </c>
      <c r="T54" s="311">
        <f t="shared" si="9"/>
        <v>0.28333333333333333</v>
      </c>
      <c r="U54" s="311">
        <f t="shared" si="10"/>
        <v>0.34166666666666667</v>
      </c>
      <c r="V54" s="311">
        <f t="shared" si="11"/>
        <v>0.4</v>
      </c>
      <c r="W54" s="311"/>
      <c r="X54" s="311"/>
      <c r="Y54" s="311"/>
      <c r="Z54" s="311"/>
    </row>
    <row r="55" spans="2:26">
      <c r="B55" s="305">
        <v>137.5</v>
      </c>
      <c r="C55" s="307">
        <v>20</v>
      </c>
      <c r="D55" s="307">
        <v>60</v>
      </c>
      <c r="E55" s="307">
        <v>85</v>
      </c>
      <c r="F55" s="307">
        <v>102.5</v>
      </c>
      <c r="G55" s="307">
        <v>122.5</v>
      </c>
      <c r="H55" s="307">
        <v>0</v>
      </c>
      <c r="I55" s="307">
        <v>0</v>
      </c>
      <c r="J55" s="307">
        <v>0</v>
      </c>
      <c r="K55" s="307">
        <v>0</v>
      </c>
      <c r="M55">
        <f t="shared" si="6"/>
        <v>5</v>
      </c>
      <c r="Q55" s="305">
        <v>305</v>
      </c>
      <c r="R55" s="310">
        <f t="shared" si="7"/>
        <v>6.5573770491803282E-2</v>
      </c>
      <c r="S55" s="311">
        <f t="shared" si="8"/>
        <v>0.19672131147540983</v>
      </c>
      <c r="T55" s="311">
        <f t="shared" si="9"/>
        <v>0.27868852459016391</v>
      </c>
      <c r="U55" s="311">
        <f t="shared" si="10"/>
        <v>0.33606557377049179</v>
      </c>
      <c r="V55" s="311">
        <f t="shared" si="11"/>
        <v>0.40163934426229508</v>
      </c>
      <c r="W55" s="311"/>
      <c r="X55" s="311"/>
      <c r="Y55" s="311"/>
      <c r="Z55" s="311"/>
    </row>
    <row r="56" spans="2:26">
      <c r="B56" s="305">
        <v>140</v>
      </c>
      <c r="C56" s="307">
        <v>20</v>
      </c>
      <c r="D56" s="307">
        <v>60</v>
      </c>
      <c r="E56" s="307">
        <v>85</v>
      </c>
      <c r="F56" s="307">
        <v>102.5</v>
      </c>
      <c r="G56" s="307">
        <v>122.5</v>
      </c>
      <c r="H56" s="307">
        <v>0</v>
      </c>
      <c r="I56" s="307">
        <v>0</v>
      </c>
      <c r="J56" s="307">
        <v>0</v>
      </c>
      <c r="K56" s="307">
        <v>0</v>
      </c>
      <c r="M56">
        <f t="shared" si="6"/>
        <v>5</v>
      </c>
      <c r="Q56" s="305">
        <v>310</v>
      </c>
      <c r="R56" s="310">
        <f t="shared" si="7"/>
        <v>6.4516129032258063E-2</v>
      </c>
      <c r="S56" s="311">
        <f t="shared" si="8"/>
        <v>0.19354838709677419</v>
      </c>
      <c r="T56" s="311">
        <f t="shared" si="9"/>
        <v>0.27419354838709675</v>
      </c>
      <c r="U56" s="311">
        <f t="shared" si="10"/>
        <v>0.33064516129032256</v>
      </c>
      <c r="V56" s="311">
        <f t="shared" si="11"/>
        <v>0.39516129032258063</v>
      </c>
      <c r="W56" s="311"/>
      <c r="X56" s="311"/>
      <c r="Y56" s="311"/>
      <c r="Z56" s="311"/>
    </row>
    <row r="57" spans="2:26">
      <c r="B57" s="305">
        <v>142.5</v>
      </c>
      <c r="C57" s="307">
        <v>20</v>
      </c>
      <c r="D57" s="307">
        <v>60</v>
      </c>
      <c r="E57" s="307">
        <v>85</v>
      </c>
      <c r="F57" s="307">
        <v>102.5</v>
      </c>
      <c r="G57" s="307">
        <v>125</v>
      </c>
      <c r="H57" s="307">
        <v>0</v>
      </c>
      <c r="I57" s="307">
        <v>0</v>
      </c>
      <c r="J57" s="307">
        <v>0</v>
      </c>
      <c r="K57" s="307">
        <v>0</v>
      </c>
      <c r="M57">
        <f t="shared" si="6"/>
        <v>5</v>
      </c>
      <c r="Q57" s="305">
        <v>315</v>
      </c>
      <c r="R57" s="310">
        <f t="shared" si="7"/>
        <v>6.3492063492063489E-2</v>
      </c>
      <c r="S57" s="311">
        <f t="shared" si="8"/>
        <v>0.19047619047619047</v>
      </c>
      <c r="T57" s="311">
        <f t="shared" si="9"/>
        <v>0.26984126984126983</v>
      </c>
      <c r="U57" s="311">
        <f t="shared" si="10"/>
        <v>0.32539682539682541</v>
      </c>
      <c r="V57" s="311">
        <f t="shared" si="11"/>
        <v>0.3968253968253968</v>
      </c>
      <c r="W57" s="311"/>
      <c r="X57" s="311"/>
      <c r="Y57" s="311"/>
      <c r="Z57" s="311"/>
    </row>
    <row r="58" spans="2:26">
      <c r="B58" s="305">
        <v>145</v>
      </c>
      <c r="C58" s="307">
        <v>20</v>
      </c>
      <c r="D58" s="307">
        <v>60</v>
      </c>
      <c r="E58" s="307">
        <v>85</v>
      </c>
      <c r="F58" s="307">
        <v>102.5</v>
      </c>
      <c r="G58" s="307">
        <v>127.5</v>
      </c>
      <c r="H58" s="307">
        <v>0</v>
      </c>
      <c r="I58" s="307">
        <v>0</v>
      </c>
      <c r="J58" s="307">
        <v>0</v>
      </c>
      <c r="K58" s="307">
        <v>0</v>
      </c>
      <c r="M58">
        <f t="shared" si="6"/>
        <v>5</v>
      </c>
      <c r="Q58" s="305">
        <v>320</v>
      </c>
      <c r="R58" s="310">
        <f t="shared" si="7"/>
        <v>6.25E-2</v>
      </c>
      <c r="S58" s="311">
        <f t="shared" si="8"/>
        <v>0.1875</v>
      </c>
      <c r="T58" s="311">
        <f t="shared" si="9"/>
        <v>0.265625</v>
      </c>
      <c r="U58" s="311">
        <f t="shared" si="10"/>
        <v>0.3203125</v>
      </c>
      <c r="V58" s="311">
        <f t="shared" si="11"/>
        <v>0.3984375</v>
      </c>
      <c r="W58" s="311"/>
      <c r="X58" s="311"/>
      <c r="Y58" s="311"/>
      <c r="Z58" s="311"/>
    </row>
    <row r="59" spans="2:26">
      <c r="B59" s="305">
        <v>147.5</v>
      </c>
      <c r="C59" s="307">
        <v>20</v>
      </c>
      <c r="D59" s="307">
        <v>60</v>
      </c>
      <c r="E59" s="307">
        <v>85</v>
      </c>
      <c r="F59" s="307">
        <v>102.5</v>
      </c>
      <c r="G59" s="307">
        <v>130</v>
      </c>
      <c r="H59" s="307">
        <v>0</v>
      </c>
      <c r="I59" s="307">
        <v>0</v>
      </c>
      <c r="J59" s="307">
        <v>0</v>
      </c>
      <c r="K59" s="307">
        <v>0</v>
      </c>
      <c r="M59">
        <f t="shared" si="6"/>
        <v>5</v>
      </c>
      <c r="Q59" s="305">
        <v>325</v>
      </c>
      <c r="R59" s="310">
        <f t="shared" si="7"/>
        <v>6.1538461538461542E-2</v>
      </c>
      <c r="S59" s="311">
        <f t="shared" si="8"/>
        <v>0.18461538461538463</v>
      </c>
      <c r="T59" s="311">
        <f t="shared" si="9"/>
        <v>0.26153846153846155</v>
      </c>
      <c r="U59" s="311">
        <f t="shared" si="10"/>
        <v>0.31538461538461537</v>
      </c>
      <c r="V59" s="311">
        <f t="shared" si="11"/>
        <v>0.4</v>
      </c>
      <c r="W59" s="311"/>
      <c r="X59" s="311"/>
      <c r="Y59" s="311"/>
      <c r="Z59" s="311"/>
    </row>
    <row r="60" spans="2:26">
      <c r="B60" s="305">
        <v>150</v>
      </c>
      <c r="C60" s="307">
        <v>20</v>
      </c>
      <c r="D60" s="307">
        <v>60</v>
      </c>
      <c r="E60" s="307">
        <v>85</v>
      </c>
      <c r="F60" s="307">
        <v>102.5</v>
      </c>
      <c r="G60" s="307">
        <v>132.5</v>
      </c>
      <c r="H60" s="307">
        <v>0</v>
      </c>
      <c r="I60" s="307">
        <v>0</v>
      </c>
      <c r="J60" s="307">
        <v>0</v>
      </c>
      <c r="K60" s="307">
        <v>0</v>
      </c>
      <c r="M60">
        <f t="shared" si="6"/>
        <v>5</v>
      </c>
      <c r="Q60" s="305">
        <v>330</v>
      </c>
      <c r="R60" s="310">
        <f t="shared" si="7"/>
        <v>6.0606060606060608E-2</v>
      </c>
      <c r="S60" s="311">
        <f t="shared" si="8"/>
        <v>0.18181818181818182</v>
      </c>
      <c r="T60" s="311">
        <f t="shared" si="9"/>
        <v>0.25757575757575757</v>
      </c>
      <c r="U60" s="311">
        <f t="shared" si="10"/>
        <v>0.31060606060606061</v>
      </c>
      <c r="V60" s="311">
        <f t="shared" si="11"/>
        <v>0.40151515151515149</v>
      </c>
      <c r="W60" s="311"/>
      <c r="X60" s="311"/>
      <c r="Y60" s="311"/>
      <c r="Z60" s="311"/>
    </row>
    <row r="61" spans="2:26">
      <c r="B61" s="305">
        <v>152.5</v>
      </c>
      <c r="C61" s="307">
        <v>20</v>
      </c>
      <c r="D61" s="307">
        <v>60</v>
      </c>
      <c r="E61" s="307">
        <v>85</v>
      </c>
      <c r="F61" s="307">
        <v>125</v>
      </c>
      <c r="G61" s="307">
        <v>135</v>
      </c>
      <c r="H61" s="307">
        <v>0</v>
      </c>
      <c r="I61" s="307">
        <v>0</v>
      </c>
      <c r="J61" s="307">
        <v>0</v>
      </c>
      <c r="K61" s="307">
        <v>0</v>
      </c>
      <c r="M61">
        <f t="shared" si="6"/>
        <v>5</v>
      </c>
      <c r="Q61" s="305">
        <v>335</v>
      </c>
      <c r="R61" s="310">
        <f t="shared" si="7"/>
        <v>5.9701492537313432E-2</v>
      </c>
      <c r="S61" s="311">
        <f t="shared" si="8"/>
        <v>0.17910447761194029</v>
      </c>
      <c r="T61" s="311">
        <f t="shared" si="9"/>
        <v>0.2537313432835821</v>
      </c>
      <c r="U61" s="311">
        <f t="shared" si="10"/>
        <v>0.37313432835820898</v>
      </c>
      <c r="V61" s="311">
        <f t="shared" si="11"/>
        <v>0.40298507462686567</v>
      </c>
      <c r="W61" s="311"/>
      <c r="X61" s="311"/>
      <c r="Y61" s="311"/>
      <c r="Z61" s="311"/>
    </row>
    <row r="62" spans="2:26">
      <c r="B62" s="305">
        <v>155</v>
      </c>
      <c r="C62" s="307">
        <v>20</v>
      </c>
      <c r="D62" s="307">
        <v>60</v>
      </c>
      <c r="E62" s="307">
        <v>85</v>
      </c>
      <c r="F62" s="307">
        <v>125</v>
      </c>
      <c r="G62" s="307">
        <v>135</v>
      </c>
      <c r="H62" s="307">
        <v>0</v>
      </c>
      <c r="I62" s="307">
        <v>0</v>
      </c>
      <c r="J62" s="307">
        <v>0</v>
      </c>
      <c r="K62" s="307">
        <v>0</v>
      </c>
      <c r="M62">
        <f t="shared" si="6"/>
        <v>5</v>
      </c>
      <c r="Q62" s="305">
        <v>340</v>
      </c>
      <c r="R62" s="310">
        <f t="shared" si="7"/>
        <v>5.8823529411764705E-2</v>
      </c>
      <c r="S62" s="311">
        <f t="shared" si="8"/>
        <v>0.17647058823529413</v>
      </c>
      <c r="T62" s="311">
        <f t="shared" si="9"/>
        <v>0.25</v>
      </c>
      <c r="U62" s="311">
        <f t="shared" si="10"/>
        <v>0.36764705882352944</v>
      </c>
      <c r="V62" s="311">
        <f t="shared" si="11"/>
        <v>0.39705882352941174</v>
      </c>
      <c r="W62" s="311"/>
      <c r="X62" s="311"/>
      <c r="Y62" s="311"/>
      <c r="Z62" s="311"/>
    </row>
    <row r="63" spans="2:26">
      <c r="B63" s="305">
        <v>157.5</v>
      </c>
      <c r="C63" s="307">
        <v>20</v>
      </c>
      <c r="D63" s="307">
        <v>60</v>
      </c>
      <c r="E63" s="307">
        <v>85</v>
      </c>
      <c r="F63" s="307">
        <v>125</v>
      </c>
      <c r="G63" s="307">
        <v>137.5</v>
      </c>
      <c r="H63" s="307">
        <v>0</v>
      </c>
      <c r="I63" s="307">
        <v>0</v>
      </c>
      <c r="J63" s="307">
        <v>0</v>
      </c>
      <c r="K63" s="307">
        <v>0</v>
      </c>
      <c r="M63">
        <f t="shared" si="6"/>
        <v>5</v>
      </c>
      <c r="Q63" s="305">
        <v>345</v>
      </c>
      <c r="R63" s="310">
        <f t="shared" si="7"/>
        <v>5.7971014492753624E-2</v>
      </c>
      <c r="S63" s="311">
        <f t="shared" si="8"/>
        <v>0.17391304347826086</v>
      </c>
      <c r="T63" s="311">
        <f t="shared" si="9"/>
        <v>0.24637681159420291</v>
      </c>
      <c r="U63" s="311">
        <f t="shared" si="10"/>
        <v>0.36231884057971014</v>
      </c>
      <c r="V63" s="311">
        <f t="shared" si="11"/>
        <v>0.39855072463768115</v>
      </c>
      <c r="W63" s="311"/>
      <c r="X63" s="311"/>
      <c r="Y63" s="311"/>
      <c r="Z63" s="311"/>
    </row>
    <row r="64" spans="2:26">
      <c r="B64" s="305">
        <v>160</v>
      </c>
      <c r="C64" s="307">
        <v>20</v>
      </c>
      <c r="D64" s="307">
        <v>60</v>
      </c>
      <c r="E64" s="307">
        <v>85</v>
      </c>
      <c r="F64" s="307">
        <v>125</v>
      </c>
      <c r="G64" s="307">
        <v>140</v>
      </c>
      <c r="H64" s="307">
        <v>0</v>
      </c>
      <c r="I64" s="307">
        <v>0</v>
      </c>
      <c r="J64" s="307">
        <v>0</v>
      </c>
      <c r="K64" s="307">
        <v>0</v>
      </c>
      <c r="M64">
        <f t="shared" si="6"/>
        <v>5</v>
      </c>
      <c r="Q64" s="305">
        <v>350</v>
      </c>
      <c r="R64" s="310">
        <f t="shared" si="7"/>
        <v>5.7142857142857141E-2</v>
      </c>
      <c r="S64" s="311">
        <f t="shared" si="8"/>
        <v>0.17142857142857143</v>
      </c>
      <c r="T64" s="311">
        <f t="shared" si="9"/>
        <v>0.24285714285714285</v>
      </c>
      <c r="U64" s="311">
        <f t="shared" si="10"/>
        <v>0.35714285714285715</v>
      </c>
      <c r="V64" s="311">
        <f t="shared" si="11"/>
        <v>0.4</v>
      </c>
      <c r="W64" s="311"/>
      <c r="X64" s="311"/>
      <c r="Y64" s="311"/>
      <c r="Z64" s="311"/>
    </row>
    <row r="65" spans="2:26">
      <c r="B65" s="305">
        <v>160</v>
      </c>
      <c r="C65" s="307">
        <v>20</v>
      </c>
      <c r="D65" s="307">
        <v>60</v>
      </c>
      <c r="E65" s="307">
        <v>85</v>
      </c>
      <c r="F65" s="307">
        <v>125</v>
      </c>
      <c r="G65" s="307">
        <v>142.5</v>
      </c>
      <c r="H65" s="307">
        <v>0</v>
      </c>
      <c r="I65" s="307">
        <v>0</v>
      </c>
      <c r="J65" s="307">
        <v>0</v>
      </c>
      <c r="K65" s="307">
        <v>0</v>
      </c>
      <c r="M65">
        <f t="shared" si="6"/>
        <v>5</v>
      </c>
      <c r="Q65" s="305">
        <v>355</v>
      </c>
      <c r="R65" s="310">
        <f t="shared" si="7"/>
        <v>5.6338028169014086E-2</v>
      </c>
      <c r="S65" s="311">
        <f t="shared" si="8"/>
        <v>0.16901408450704225</v>
      </c>
      <c r="T65" s="311">
        <f t="shared" si="9"/>
        <v>0.23943661971830985</v>
      </c>
      <c r="U65" s="311">
        <f t="shared" si="10"/>
        <v>0.352112676056338</v>
      </c>
      <c r="V65" s="311">
        <f t="shared" si="11"/>
        <v>0.40140845070422537</v>
      </c>
      <c r="W65" s="311"/>
      <c r="X65" s="311"/>
      <c r="Y65" s="311"/>
      <c r="Z65" s="311"/>
    </row>
    <row r="66" spans="2:26">
      <c r="B66" s="305">
        <v>162.5</v>
      </c>
      <c r="C66" s="307">
        <v>20</v>
      </c>
      <c r="D66" s="307">
        <v>60</v>
      </c>
      <c r="E66" s="307">
        <v>102.5</v>
      </c>
      <c r="F66" s="307">
        <v>142.5</v>
      </c>
      <c r="G66" s="307">
        <v>155</v>
      </c>
      <c r="H66" s="307">
        <v>0</v>
      </c>
      <c r="I66" s="307">
        <v>0</v>
      </c>
      <c r="J66" s="307">
        <v>0</v>
      </c>
      <c r="K66" s="307">
        <v>0</v>
      </c>
      <c r="M66">
        <f t="shared" si="6"/>
        <v>5</v>
      </c>
      <c r="Q66" s="305">
        <v>360</v>
      </c>
      <c r="R66" s="310">
        <f t="shared" si="7"/>
        <v>5.5555555555555552E-2</v>
      </c>
      <c r="S66" s="311">
        <f t="shared" si="8"/>
        <v>0.16666666666666666</v>
      </c>
      <c r="T66" s="311">
        <f t="shared" si="9"/>
        <v>0.28472222222222221</v>
      </c>
      <c r="U66" s="311">
        <f t="shared" si="10"/>
        <v>0.39583333333333331</v>
      </c>
      <c r="V66" s="311">
        <f t="shared" si="11"/>
        <v>0.43055555555555558</v>
      </c>
      <c r="W66" s="311"/>
      <c r="X66" s="311"/>
      <c r="Y66" s="311"/>
      <c r="Z66" s="311"/>
    </row>
    <row r="67" spans="2:26">
      <c r="B67" s="305">
        <v>165</v>
      </c>
      <c r="C67" s="307">
        <v>20</v>
      </c>
      <c r="D67" s="307">
        <v>60</v>
      </c>
      <c r="E67" s="307">
        <v>102.5</v>
      </c>
      <c r="F67" s="307">
        <v>142.5</v>
      </c>
      <c r="G67" s="307">
        <v>155</v>
      </c>
      <c r="H67" s="307">
        <v>0</v>
      </c>
      <c r="I67" s="307">
        <v>0</v>
      </c>
      <c r="J67" s="307">
        <v>0</v>
      </c>
      <c r="K67" s="307">
        <v>0</v>
      </c>
      <c r="M67">
        <f t="shared" si="6"/>
        <v>5</v>
      </c>
      <c r="Q67" s="305">
        <v>365</v>
      </c>
      <c r="R67" s="310">
        <f t="shared" si="7"/>
        <v>5.4794520547945202E-2</v>
      </c>
      <c r="S67" s="311">
        <f t="shared" si="8"/>
        <v>0.16438356164383561</v>
      </c>
      <c r="T67" s="311">
        <f t="shared" si="9"/>
        <v>0.28082191780821919</v>
      </c>
      <c r="U67" s="311">
        <f t="shared" si="10"/>
        <v>0.3904109589041096</v>
      </c>
      <c r="V67" s="311">
        <f t="shared" si="11"/>
        <v>0.42465753424657532</v>
      </c>
      <c r="W67" s="311"/>
      <c r="X67" s="311"/>
      <c r="Y67" s="311"/>
      <c r="Z67" s="311"/>
    </row>
    <row r="68" spans="2:26">
      <c r="B68" s="305">
        <v>167.5</v>
      </c>
      <c r="C68" s="307">
        <v>20</v>
      </c>
      <c r="D68" s="307">
        <v>60</v>
      </c>
      <c r="E68" s="307">
        <v>102.5</v>
      </c>
      <c r="F68" s="307">
        <v>142.5</v>
      </c>
      <c r="G68" s="307">
        <v>155</v>
      </c>
      <c r="H68" s="307">
        <v>0</v>
      </c>
      <c r="I68" s="307">
        <v>0</v>
      </c>
      <c r="J68" s="307">
        <v>0</v>
      </c>
      <c r="K68" s="307">
        <v>0</v>
      </c>
      <c r="M68">
        <f t="shared" ref="M68:M99" si="12">COUNTIF(C68:K68,"&gt;0")</f>
        <v>5</v>
      </c>
      <c r="Q68" s="305">
        <v>370</v>
      </c>
      <c r="R68" s="310">
        <f t="shared" si="7"/>
        <v>5.4054054054054057E-2</v>
      </c>
      <c r="S68" s="311">
        <f t="shared" si="8"/>
        <v>0.16216216216216217</v>
      </c>
      <c r="T68" s="311">
        <f t="shared" si="9"/>
        <v>0.27702702702702703</v>
      </c>
      <c r="U68" s="311">
        <f t="shared" si="10"/>
        <v>0.38513513513513514</v>
      </c>
      <c r="V68" s="311">
        <f t="shared" si="11"/>
        <v>0.41891891891891891</v>
      </c>
      <c r="W68" s="311"/>
      <c r="X68" s="311"/>
      <c r="Y68" s="311"/>
      <c r="Z68" s="311"/>
    </row>
    <row r="69" spans="2:26">
      <c r="B69" s="305">
        <v>170</v>
      </c>
      <c r="C69" s="307">
        <v>20</v>
      </c>
      <c r="D69" s="307">
        <v>60</v>
      </c>
      <c r="E69" s="307">
        <v>102.5</v>
      </c>
      <c r="F69" s="307">
        <v>142.5</v>
      </c>
      <c r="G69" s="307">
        <v>157.5</v>
      </c>
      <c r="H69" s="307">
        <v>0</v>
      </c>
      <c r="I69" s="307">
        <v>0</v>
      </c>
      <c r="J69" s="307">
        <v>0</v>
      </c>
      <c r="K69" s="307">
        <v>0</v>
      </c>
      <c r="M69">
        <f t="shared" si="12"/>
        <v>5</v>
      </c>
      <c r="Q69" s="305">
        <v>375</v>
      </c>
      <c r="R69" s="310">
        <f t="shared" ref="R69:R100" si="13">C69/$Q69</f>
        <v>5.3333333333333337E-2</v>
      </c>
      <c r="S69" s="311">
        <f t="shared" si="8"/>
        <v>0.16</v>
      </c>
      <c r="T69" s="311">
        <f t="shared" si="9"/>
        <v>0.27333333333333332</v>
      </c>
      <c r="U69" s="311">
        <f t="shared" si="10"/>
        <v>0.38</v>
      </c>
      <c r="V69" s="311">
        <f t="shared" si="11"/>
        <v>0.42</v>
      </c>
      <c r="W69" s="311"/>
      <c r="X69" s="311"/>
      <c r="Y69" s="311"/>
      <c r="Z69" s="311"/>
    </row>
    <row r="70" spans="2:26">
      <c r="B70" s="305">
        <v>172.5</v>
      </c>
      <c r="C70" s="307">
        <v>20</v>
      </c>
      <c r="D70" s="307">
        <v>60</v>
      </c>
      <c r="E70" s="307">
        <v>102.5</v>
      </c>
      <c r="F70" s="307">
        <v>142.5</v>
      </c>
      <c r="G70" s="307">
        <v>160</v>
      </c>
      <c r="H70" s="307">
        <v>0</v>
      </c>
      <c r="I70" s="307">
        <v>0</v>
      </c>
      <c r="J70" s="307">
        <v>0</v>
      </c>
      <c r="K70" s="307">
        <v>0</v>
      </c>
      <c r="M70">
        <f t="shared" si="12"/>
        <v>5</v>
      </c>
      <c r="Q70" s="305">
        <v>380</v>
      </c>
      <c r="R70" s="310">
        <f t="shared" si="13"/>
        <v>5.2631578947368418E-2</v>
      </c>
      <c r="S70" s="311">
        <f t="shared" si="8"/>
        <v>0.15789473684210525</v>
      </c>
      <c r="T70" s="311">
        <f t="shared" si="9"/>
        <v>0.26973684210526316</v>
      </c>
      <c r="U70" s="311">
        <f t="shared" si="10"/>
        <v>0.375</v>
      </c>
      <c r="V70" s="311">
        <f t="shared" si="11"/>
        <v>0.42105263157894735</v>
      </c>
      <c r="W70" s="311"/>
      <c r="X70" s="311"/>
      <c r="Y70" s="311"/>
      <c r="Z70" s="311"/>
    </row>
    <row r="71" spans="2:26">
      <c r="B71" s="305">
        <v>175</v>
      </c>
      <c r="C71" s="307">
        <v>20</v>
      </c>
      <c r="D71" s="307">
        <v>60</v>
      </c>
      <c r="E71" s="307">
        <v>102.5</v>
      </c>
      <c r="F71" s="307">
        <v>142.5</v>
      </c>
      <c r="G71" s="307">
        <v>160</v>
      </c>
      <c r="H71" s="307">
        <v>0</v>
      </c>
      <c r="I71" s="307">
        <v>0</v>
      </c>
      <c r="J71" s="307">
        <v>0</v>
      </c>
      <c r="K71" s="307">
        <v>0</v>
      </c>
      <c r="M71">
        <f t="shared" si="12"/>
        <v>5</v>
      </c>
      <c r="Q71" s="305">
        <v>385</v>
      </c>
      <c r="R71" s="310">
        <f t="shared" si="13"/>
        <v>5.1948051948051951E-2</v>
      </c>
      <c r="S71" s="311">
        <f t="shared" si="8"/>
        <v>0.15584415584415584</v>
      </c>
      <c r="T71" s="311">
        <f t="shared" si="9"/>
        <v>0.26623376623376621</v>
      </c>
      <c r="U71" s="311">
        <f t="shared" si="10"/>
        <v>0.37012987012987014</v>
      </c>
      <c r="V71" s="311">
        <f t="shared" si="11"/>
        <v>0.41558441558441561</v>
      </c>
      <c r="W71" s="311"/>
      <c r="X71" s="311"/>
      <c r="Y71" s="311"/>
      <c r="Z71" s="311"/>
    </row>
    <row r="72" spans="2:26">
      <c r="B72" s="305">
        <v>177.5</v>
      </c>
      <c r="C72" s="307">
        <v>20</v>
      </c>
      <c r="D72" s="307">
        <v>60</v>
      </c>
      <c r="E72" s="307">
        <v>102.5</v>
      </c>
      <c r="F72" s="307">
        <v>142.5</v>
      </c>
      <c r="G72" s="307">
        <v>160</v>
      </c>
      <c r="H72" s="307">
        <v>0</v>
      </c>
      <c r="I72" s="307">
        <v>0</v>
      </c>
      <c r="J72" s="307">
        <v>0</v>
      </c>
      <c r="K72" s="307">
        <v>0</v>
      </c>
      <c r="M72">
        <f t="shared" si="12"/>
        <v>5</v>
      </c>
      <c r="Q72" s="305">
        <v>390</v>
      </c>
      <c r="R72" s="310">
        <f t="shared" si="13"/>
        <v>5.128205128205128E-2</v>
      </c>
      <c r="S72" s="311">
        <f t="shared" si="8"/>
        <v>0.15384615384615385</v>
      </c>
      <c r="T72" s="311">
        <f t="shared" si="9"/>
        <v>0.26282051282051283</v>
      </c>
      <c r="U72" s="311">
        <f t="shared" si="10"/>
        <v>0.36538461538461536</v>
      </c>
      <c r="V72" s="311">
        <f t="shared" si="11"/>
        <v>0.41025641025641024</v>
      </c>
      <c r="W72" s="311"/>
      <c r="X72" s="311"/>
      <c r="Y72" s="311"/>
      <c r="Z72" s="311"/>
    </row>
    <row r="73" spans="2:26">
      <c r="B73" s="305">
        <v>180</v>
      </c>
      <c r="C73" s="307">
        <v>20</v>
      </c>
      <c r="D73" s="307">
        <v>60</v>
      </c>
      <c r="E73" s="307">
        <v>102.5</v>
      </c>
      <c r="F73" s="307">
        <v>142.5</v>
      </c>
      <c r="G73" s="307">
        <v>160</v>
      </c>
      <c r="H73" s="307">
        <v>0</v>
      </c>
      <c r="I73" s="307">
        <v>0</v>
      </c>
      <c r="J73" s="307">
        <v>0</v>
      </c>
      <c r="K73" s="307">
        <v>0</v>
      </c>
      <c r="M73">
        <f t="shared" si="12"/>
        <v>5</v>
      </c>
      <c r="Q73" s="305">
        <v>395</v>
      </c>
      <c r="R73" s="310">
        <f t="shared" si="13"/>
        <v>5.0632911392405063E-2</v>
      </c>
      <c r="S73" s="311">
        <f t="shared" ref="S73:S104" si="14">D73/$Q73</f>
        <v>0.15189873417721519</v>
      </c>
      <c r="T73" s="311">
        <f t="shared" ref="T73:T104" si="15">E73/$Q73</f>
        <v>0.25949367088607594</v>
      </c>
      <c r="U73" s="311">
        <f t="shared" si="10"/>
        <v>0.36075949367088606</v>
      </c>
      <c r="V73" s="311">
        <f t="shared" si="11"/>
        <v>0.4050632911392405</v>
      </c>
      <c r="W73" s="311"/>
      <c r="X73" s="311"/>
      <c r="Y73" s="311"/>
      <c r="Z73" s="311"/>
    </row>
    <row r="74" spans="2:26">
      <c r="B74" s="305">
        <v>182.5</v>
      </c>
      <c r="C74" s="307">
        <v>20</v>
      </c>
      <c r="D74" s="307">
        <v>60</v>
      </c>
      <c r="E74" s="307">
        <v>102.5</v>
      </c>
      <c r="F74" s="307">
        <v>142.5</v>
      </c>
      <c r="G74" s="307">
        <v>162.5</v>
      </c>
      <c r="H74" s="307">
        <v>0</v>
      </c>
      <c r="I74" s="307">
        <v>0</v>
      </c>
      <c r="J74" s="307">
        <v>0</v>
      </c>
      <c r="K74" s="307">
        <v>0</v>
      </c>
      <c r="M74">
        <f t="shared" si="12"/>
        <v>5</v>
      </c>
      <c r="Q74" s="305">
        <v>400</v>
      </c>
      <c r="R74" s="310">
        <f t="shared" si="13"/>
        <v>0.05</v>
      </c>
      <c r="S74" s="311">
        <f t="shared" si="14"/>
        <v>0.15</v>
      </c>
      <c r="T74" s="311">
        <f t="shared" si="15"/>
        <v>0.25624999999999998</v>
      </c>
      <c r="U74" s="311">
        <f t="shared" ref="U74:U105" si="16">F74/$Q74</f>
        <v>0.35625000000000001</v>
      </c>
      <c r="V74" s="311">
        <f t="shared" si="11"/>
        <v>0.40625</v>
      </c>
      <c r="W74" s="311"/>
      <c r="X74" s="311"/>
      <c r="Y74" s="311"/>
      <c r="Z74" s="311"/>
    </row>
    <row r="75" spans="2:26">
      <c r="B75" s="305">
        <v>182.5</v>
      </c>
      <c r="C75" s="307">
        <v>20</v>
      </c>
      <c r="D75" s="307">
        <v>60</v>
      </c>
      <c r="E75" s="307">
        <v>102.5</v>
      </c>
      <c r="F75" s="307">
        <v>142.5</v>
      </c>
      <c r="G75" s="307">
        <v>165</v>
      </c>
      <c r="H75" s="307">
        <v>0</v>
      </c>
      <c r="I75" s="307">
        <v>0</v>
      </c>
      <c r="J75" s="307">
        <v>0</v>
      </c>
      <c r="K75" s="307">
        <v>0</v>
      </c>
      <c r="M75">
        <f t="shared" si="12"/>
        <v>5</v>
      </c>
      <c r="Q75" s="305">
        <v>405</v>
      </c>
      <c r="R75" s="310">
        <f t="shared" si="13"/>
        <v>4.9382716049382713E-2</v>
      </c>
      <c r="S75" s="311">
        <f t="shared" si="14"/>
        <v>0.14814814814814814</v>
      </c>
      <c r="T75" s="311">
        <f t="shared" si="15"/>
        <v>0.25308641975308643</v>
      </c>
      <c r="U75" s="311">
        <f t="shared" si="16"/>
        <v>0.35185185185185186</v>
      </c>
      <c r="V75" s="311">
        <f t="shared" si="11"/>
        <v>0.40740740740740738</v>
      </c>
      <c r="W75" s="311"/>
      <c r="X75" s="311"/>
      <c r="Y75" s="311"/>
      <c r="Z75" s="311"/>
    </row>
    <row r="76" spans="2:26">
      <c r="B76" s="305">
        <v>185</v>
      </c>
      <c r="C76" s="307">
        <v>20</v>
      </c>
      <c r="D76" s="307">
        <v>60</v>
      </c>
      <c r="E76" s="307">
        <v>102.5</v>
      </c>
      <c r="F76" s="307">
        <v>142.5</v>
      </c>
      <c r="G76" s="307">
        <v>167.5</v>
      </c>
      <c r="H76" s="307">
        <v>0</v>
      </c>
      <c r="I76" s="307">
        <v>0</v>
      </c>
      <c r="J76" s="307">
        <v>0</v>
      </c>
      <c r="K76" s="307">
        <v>0</v>
      </c>
      <c r="M76">
        <f t="shared" si="12"/>
        <v>5</v>
      </c>
      <c r="Q76" s="305">
        <v>410</v>
      </c>
      <c r="R76" s="310">
        <f t="shared" si="13"/>
        <v>4.878048780487805E-2</v>
      </c>
      <c r="S76" s="311">
        <f t="shared" si="14"/>
        <v>0.14634146341463414</v>
      </c>
      <c r="T76" s="311">
        <f t="shared" si="15"/>
        <v>0.25</v>
      </c>
      <c r="U76" s="311">
        <f t="shared" si="16"/>
        <v>0.34756097560975607</v>
      </c>
      <c r="V76" s="311">
        <f t="shared" si="11"/>
        <v>0.40853658536585363</v>
      </c>
      <c r="W76" s="311"/>
      <c r="X76" s="311"/>
      <c r="Y76" s="311"/>
      <c r="Z76" s="311"/>
    </row>
    <row r="77" spans="2:26">
      <c r="B77" s="305">
        <v>187.5</v>
      </c>
      <c r="C77" s="307">
        <v>20</v>
      </c>
      <c r="D77" s="307">
        <v>60</v>
      </c>
      <c r="E77" s="307">
        <v>102.5</v>
      </c>
      <c r="F77" s="307">
        <v>142.5</v>
      </c>
      <c r="G77" s="307">
        <v>172.5</v>
      </c>
      <c r="H77" s="307">
        <v>0</v>
      </c>
      <c r="I77" s="307">
        <v>0</v>
      </c>
      <c r="J77" s="307">
        <v>0</v>
      </c>
      <c r="K77" s="307">
        <v>0</v>
      </c>
      <c r="M77">
        <f t="shared" si="12"/>
        <v>5</v>
      </c>
      <c r="Q77" s="305">
        <v>415</v>
      </c>
      <c r="R77" s="310">
        <f t="shared" si="13"/>
        <v>4.8192771084337352E-2</v>
      </c>
      <c r="S77" s="311">
        <f t="shared" si="14"/>
        <v>0.14457831325301204</v>
      </c>
      <c r="T77" s="311">
        <f t="shared" si="15"/>
        <v>0.24698795180722891</v>
      </c>
      <c r="U77" s="311">
        <f t="shared" si="16"/>
        <v>0.34337349397590361</v>
      </c>
      <c r="V77" s="311">
        <f t="shared" si="11"/>
        <v>0.41566265060240964</v>
      </c>
      <c r="W77" s="311"/>
      <c r="X77" s="311"/>
      <c r="Y77" s="311"/>
      <c r="Z77" s="311"/>
    </row>
    <row r="78" spans="2:26">
      <c r="B78" s="305">
        <v>190</v>
      </c>
      <c r="C78" s="307">
        <v>20</v>
      </c>
      <c r="D78" s="307">
        <v>60</v>
      </c>
      <c r="E78" s="307">
        <v>102.5</v>
      </c>
      <c r="F78" s="307">
        <v>142.5</v>
      </c>
      <c r="G78" s="307">
        <v>177.5</v>
      </c>
      <c r="H78" s="307">
        <v>0</v>
      </c>
      <c r="I78" s="307">
        <v>0</v>
      </c>
      <c r="J78" s="307">
        <v>0</v>
      </c>
      <c r="K78" s="307">
        <v>0</v>
      </c>
      <c r="M78">
        <f t="shared" si="12"/>
        <v>5</v>
      </c>
      <c r="Q78" s="305">
        <v>420</v>
      </c>
      <c r="R78" s="310">
        <f t="shared" si="13"/>
        <v>4.7619047619047616E-2</v>
      </c>
      <c r="S78" s="311">
        <f t="shared" si="14"/>
        <v>0.14285714285714285</v>
      </c>
      <c r="T78" s="311">
        <f t="shared" si="15"/>
        <v>0.24404761904761904</v>
      </c>
      <c r="U78" s="311">
        <f t="shared" si="16"/>
        <v>0.3392857142857143</v>
      </c>
      <c r="V78" s="311">
        <f t="shared" si="11"/>
        <v>0.42261904761904762</v>
      </c>
      <c r="W78" s="311"/>
      <c r="X78" s="311"/>
      <c r="Y78" s="311"/>
      <c r="Z78" s="311"/>
    </row>
    <row r="79" spans="2:26">
      <c r="B79" s="305">
        <v>192.5</v>
      </c>
      <c r="C79" s="307">
        <v>20</v>
      </c>
      <c r="D79" s="307">
        <v>60</v>
      </c>
      <c r="E79" s="307">
        <v>102.5</v>
      </c>
      <c r="F79" s="307">
        <v>142.5</v>
      </c>
      <c r="G79" s="307">
        <v>177.5</v>
      </c>
      <c r="H79" s="307">
        <v>0</v>
      </c>
      <c r="I79" s="307">
        <v>0</v>
      </c>
      <c r="J79" s="307">
        <v>0</v>
      </c>
      <c r="K79" s="307">
        <v>0</v>
      </c>
      <c r="M79">
        <f t="shared" si="12"/>
        <v>5</v>
      </c>
      <c r="Q79" s="305">
        <v>425</v>
      </c>
      <c r="R79" s="310">
        <f t="shared" si="13"/>
        <v>4.7058823529411764E-2</v>
      </c>
      <c r="S79" s="311">
        <f t="shared" si="14"/>
        <v>0.14117647058823529</v>
      </c>
      <c r="T79" s="311">
        <f t="shared" si="15"/>
        <v>0.2411764705882353</v>
      </c>
      <c r="U79" s="311">
        <f t="shared" si="16"/>
        <v>0.3352941176470588</v>
      </c>
      <c r="V79" s="311">
        <f t="shared" si="11"/>
        <v>0.41764705882352943</v>
      </c>
      <c r="W79" s="311"/>
      <c r="X79" s="311"/>
      <c r="Y79" s="311"/>
      <c r="Z79" s="311"/>
    </row>
    <row r="80" spans="2:26">
      <c r="B80" s="305">
        <v>195</v>
      </c>
      <c r="C80" s="307">
        <v>20</v>
      </c>
      <c r="D80" s="307">
        <v>60</v>
      </c>
      <c r="E80" s="307">
        <v>102.5</v>
      </c>
      <c r="F80" s="307">
        <v>142.5</v>
      </c>
      <c r="G80" s="307">
        <v>182.5</v>
      </c>
      <c r="H80" s="307">
        <v>0</v>
      </c>
      <c r="I80" s="307">
        <v>0</v>
      </c>
      <c r="J80" s="307">
        <v>0</v>
      </c>
      <c r="K80" s="307">
        <v>0</v>
      </c>
      <c r="M80">
        <f t="shared" si="12"/>
        <v>5</v>
      </c>
      <c r="Q80" s="305">
        <v>430</v>
      </c>
      <c r="R80" s="310">
        <f t="shared" si="13"/>
        <v>4.6511627906976744E-2</v>
      </c>
      <c r="S80" s="311">
        <f t="shared" si="14"/>
        <v>0.13953488372093023</v>
      </c>
      <c r="T80" s="311">
        <f t="shared" si="15"/>
        <v>0.23837209302325582</v>
      </c>
      <c r="U80" s="311">
        <f t="shared" si="16"/>
        <v>0.33139534883720928</v>
      </c>
      <c r="V80" s="311">
        <f t="shared" si="11"/>
        <v>0.42441860465116277</v>
      </c>
      <c r="W80" s="311"/>
      <c r="X80" s="311"/>
      <c r="Y80" s="311"/>
      <c r="Z80" s="311"/>
    </row>
    <row r="81" spans="2:26">
      <c r="B81" s="305">
        <v>197.5</v>
      </c>
      <c r="C81" s="307">
        <v>20</v>
      </c>
      <c r="D81" s="307">
        <v>60</v>
      </c>
      <c r="E81" s="307">
        <v>102.5</v>
      </c>
      <c r="F81" s="307">
        <v>142.5</v>
      </c>
      <c r="G81" s="307">
        <v>182.5</v>
      </c>
      <c r="H81" s="307">
        <v>0</v>
      </c>
      <c r="I81" s="307">
        <v>0</v>
      </c>
      <c r="J81" s="307">
        <v>0</v>
      </c>
      <c r="K81" s="307">
        <v>0</v>
      </c>
      <c r="M81">
        <f t="shared" si="12"/>
        <v>5</v>
      </c>
      <c r="Q81" s="305">
        <v>435</v>
      </c>
      <c r="R81" s="310">
        <f t="shared" si="13"/>
        <v>4.5977011494252873E-2</v>
      </c>
      <c r="S81" s="311">
        <f t="shared" si="14"/>
        <v>0.13793103448275862</v>
      </c>
      <c r="T81" s="311">
        <f t="shared" si="15"/>
        <v>0.23563218390804597</v>
      </c>
      <c r="U81" s="311">
        <f t="shared" si="16"/>
        <v>0.32758620689655171</v>
      </c>
      <c r="V81" s="311">
        <f t="shared" ref="V81:V112" si="17">G81/$Q81</f>
        <v>0.41954022988505746</v>
      </c>
      <c r="W81" s="311"/>
      <c r="X81" s="311"/>
      <c r="Y81" s="311"/>
      <c r="Z81" s="311"/>
    </row>
    <row r="82" spans="2:26">
      <c r="B82" s="305">
        <v>200</v>
      </c>
      <c r="C82" s="307">
        <v>20</v>
      </c>
      <c r="D82" s="307">
        <v>60</v>
      </c>
      <c r="E82" s="307">
        <v>102.5</v>
      </c>
      <c r="F82" s="307">
        <v>142.5</v>
      </c>
      <c r="G82" s="307">
        <v>165</v>
      </c>
      <c r="H82" s="307">
        <v>182.5</v>
      </c>
      <c r="I82" s="307">
        <v>0</v>
      </c>
      <c r="J82" s="307">
        <v>0</v>
      </c>
      <c r="K82" s="307">
        <v>0</v>
      </c>
      <c r="M82">
        <f t="shared" si="12"/>
        <v>6</v>
      </c>
      <c r="Q82" s="305">
        <v>440</v>
      </c>
      <c r="R82" s="310">
        <f t="shared" si="13"/>
        <v>4.5454545454545456E-2</v>
      </c>
      <c r="S82" s="311">
        <f t="shared" si="14"/>
        <v>0.13636363636363635</v>
      </c>
      <c r="T82" s="311">
        <f t="shared" si="15"/>
        <v>0.23295454545454544</v>
      </c>
      <c r="U82" s="311">
        <f t="shared" si="16"/>
        <v>0.32386363636363635</v>
      </c>
      <c r="V82" s="311">
        <f t="shared" si="17"/>
        <v>0.375</v>
      </c>
      <c r="W82" s="311">
        <f t="shared" ref="W82:W113" si="18">H82/$Q82</f>
        <v>0.41477272727272729</v>
      </c>
      <c r="X82" s="311"/>
      <c r="Y82" s="311"/>
      <c r="Z82" s="311"/>
    </row>
    <row r="83" spans="2:26">
      <c r="B83" s="305">
        <v>202.5</v>
      </c>
      <c r="C83" s="307">
        <v>20</v>
      </c>
      <c r="D83" s="307">
        <v>60</v>
      </c>
      <c r="E83" s="307">
        <v>102.5</v>
      </c>
      <c r="F83" s="307">
        <v>142.5</v>
      </c>
      <c r="G83" s="307">
        <v>165</v>
      </c>
      <c r="H83" s="307">
        <v>182.5</v>
      </c>
      <c r="I83" s="307">
        <v>0</v>
      </c>
      <c r="J83" s="307">
        <v>0</v>
      </c>
      <c r="K83" s="307">
        <v>0</v>
      </c>
      <c r="M83">
        <f t="shared" si="12"/>
        <v>6</v>
      </c>
      <c r="Q83" s="305">
        <v>445</v>
      </c>
      <c r="R83" s="310">
        <f t="shared" si="13"/>
        <v>4.49438202247191E-2</v>
      </c>
      <c r="S83" s="311">
        <f t="shared" si="14"/>
        <v>0.1348314606741573</v>
      </c>
      <c r="T83" s="311">
        <f t="shared" si="15"/>
        <v>0.2303370786516854</v>
      </c>
      <c r="U83" s="311">
        <f t="shared" si="16"/>
        <v>0.3202247191011236</v>
      </c>
      <c r="V83" s="311">
        <f t="shared" si="17"/>
        <v>0.3707865168539326</v>
      </c>
      <c r="W83" s="311">
        <f t="shared" si="18"/>
        <v>0.4101123595505618</v>
      </c>
      <c r="X83" s="311"/>
      <c r="Y83" s="311"/>
      <c r="Z83" s="311"/>
    </row>
    <row r="84" spans="2:26">
      <c r="B84" s="305">
        <v>205</v>
      </c>
      <c r="C84" s="307">
        <v>20</v>
      </c>
      <c r="D84" s="307">
        <v>60</v>
      </c>
      <c r="E84" s="307">
        <v>102.5</v>
      </c>
      <c r="F84" s="307">
        <v>142.5</v>
      </c>
      <c r="G84" s="307">
        <v>165</v>
      </c>
      <c r="H84" s="307">
        <v>182.5</v>
      </c>
      <c r="I84" s="307">
        <v>0</v>
      </c>
      <c r="J84" s="307">
        <v>0</v>
      </c>
      <c r="K84" s="307">
        <v>0</v>
      </c>
      <c r="M84">
        <f t="shared" si="12"/>
        <v>6</v>
      </c>
      <c r="Q84" s="305">
        <v>450</v>
      </c>
      <c r="R84" s="310">
        <f t="shared" si="13"/>
        <v>4.4444444444444446E-2</v>
      </c>
      <c r="S84" s="311">
        <f t="shared" si="14"/>
        <v>0.13333333333333333</v>
      </c>
      <c r="T84" s="311">
        <f t="shared" si="15"/>
        <v>0.22777777777777777</v>
      </c>
      <c r="U84" s="311">
        <f t="shared" si="16"/>
        <v>0.31666666666666665</v>
      </c>
      <c r="V84" s="311">
        <f t="shared" si="17"/>
        <v>0.36666666666666664</v>
      </c>
      <c r="W84" s="311">
        <f t="shared" si="18"/>
        <v>0.40555555555555556</v>
      </c>
      <c r="X84" s="311"/>
      <c r="Y84" s="311"/>
      <c r="Z84" s="311"/>
    </row>
    <row r="85" spans="2:26">
      <c r="B85" s="305">
        <v>207.5</v>
      </c>
      <c r="C85" s="307">
        <v>20</v>
      </c>
      <c r="D85" s="307">
        <v>60</v>
      </c>
      <c r="E85" s="307">
        <v>102.5</v>
      </c>
      <c r="F85" s="307">
        <v>142.5</v>
      </c>
      <c r="G85" s="307">
        <v>165</v>
      </c>
      <c r="H85" s="307">
        <v>182.5</v>
      </c>
      <c r="I85" s="307">
        <v>0</v>
      </c>
      <c r="J85" s="307">
        <v>0</v>
      </c>
      <c r="K85" s="307">
        <v>0</v>
      </c>
      <c r="M85">
        <f t="shared" si="12"/>
        <v>6</v>
      </c>
      <c r="Q85" s="305">
        <v>455</v>
      </c>
      <c r="R85" s="310">
        <f t="shared" si="13"/>
        <v>4.3956043956043959E-2</v>
      </c>
      <c r="S85" s="311">
        <f t="shared" si="14"/>
        <v>0.13186813186813187</v>
      </c>
      <c r="T85" s="311">
        <f t="shared" si="15"/>
        <v>0.22527472527472528</v>
      </c>
      <c r="U85" s="311">
        <f t="shared" si="16"/>
        <v>0.31318681318681318</v>
      </c>
      <c r="V85" s="311">
        <f t="shared" si="17"/>
        <v>0.36263736263736263</v>
      </c>
      <c r="W85" s="311">
        <f t="shared" si="18"/>
        <v>0.40109890109890112</v>
      </c>
      <c r="X85" s="311"/>
      <c r="Y85" s="311"/>
      <c r="Z85" s="311"/>
    </row>
    <row r="86" spans="2:26">
      <c r="B86" s="305">
        <v>207.5</v>
      </c>
      <c r="C86" s="307">
        <v>20</v>
      </c>
      <c r="D86" s="307">
        <v>60</v>
      </c>
      <c r="E86" s="307">
        <v>102.5</v>
      </c>
      <c r="F86" s="307">
        <v>142.5</v>
      </c>
      <c r="G86" s="307">
        <v>165</v>
      </c>
      <c r="H86" s="307">
        <v>182.5</v>
      </c>
      <c r="I86" s="307">
        <v>0</v>
      </c>
      <c r="J86" s="307">
        <v>0</v>
      </c>
      <c r="K86" s="307">
        <v>0</v>
      </c>
      <c r="M86">
        <f t="shared" si="12"/>
        <v>6</v>
      </c>
      <c r="Q86" s="305">
        <v>460</v>
      </c>
      <c r="R86" s="310">
        <f t="shared" si="13"/>
        <v>4.3478260869565216E-2</v>
      </c>
      <c r="S86" s="311">
        <f t="shared" si="14"/>
        <v>0.13043478260869565</v>
      </c>
      <c r="T86" s="311">
        <f t="shared" si="15"/>
        <v>0.22282608695652173</v>
      </c>
      <c r="U86" s="311">
        <f t="shared" si="16"/>
        <v>0.30978260869565216</v>
      </c>
      <c r="V86" s="311">
        <f t="shared" si="17"/>
        <v>0.35869565217391303</v>
      </c>
      <c r="W86" s="311">
        <f t="shared" si="18"/>
        <v>0.39673913043478259</v>
      </c>
      <c r="X86" s="311"/>
      <c r="Y86" s="311"/>
      <c r="Z86" s="311"/>
    </row>
    <row r="87" spans="2:26">
      <c r="B87" s="305">
        <v>210</v>
      </c>
      <c r="C87" s="307">
        <v>20</v>
      </c>
      <c r="D87" s="307">
        <v>60</v>
      </c>
      <c r="E87" s="307">
        <v>102.5</v>
      </c>
      <c r="F87" s="307">
        <v>142.5</v>
      </c>
      <c r="G87" s="307">
        <v>165</v>
      </c>
      <c r="H87" s="307">
        <v>182.5</v>
      </c>
      <c r="I87" s="307">
        <v>195</v>
      </c>
      <c r="J87" s="307">
        <v>0</v>
      </c>
      <c r="K87" s="307">
        <v>0</v>
      </c>
      <c r="M87">
        <f t="shared" si="12"/>
        <v>7</v>
      </c>
      <c r="Q87" s="305">
        <v>465</v>
      </c>
      <c r="R87" s="310">
        <f t="shared" si="13"/>
        <v>4.3010752688172046E-2</v>
      </c>
      <c r="S87" s="311">
        <f t="shared" si="14"/>
        <v>0.12903225806451613</v>
      </c>
      <c r="T87" s="311">
        <f t="shared" si="15"/>
        <v>0.22043010752688172</v>
      </c>
      <c r="U87" s="311">
        <f t="shared" si="16"/>
        <v>0.30645161290322581</v>
      </c>
      <c r="V87" s="311">
        <f t="shared" si="17"/>
        <v>0.35483870967741937</v>
      </c>
      <c r="W87" s="311">
        <f t="shared" si="18"/>
        <v>0.39247311827956988</v>
      </c>
      <c r="X87" s="311">
        <f t="shared" ref="X87:X118" si="19">I87/$Q87</f>
        <v>0.41935483870967744</v>
      </c>
      <c r="Y87" s="311"/>
      <c r="Z87" s="311"/>
    </row>
    <row r="88" spans="2:26">
      <c r="B88" s="305">
        <v>212.5</v>
      </c>
      <c r="C88" s="307">
        <v>20</v>
      </c>
      <c r="D88" s="307">
        <v>60</v>
      </c>
      <c r="E88" s="307">
        <v>102.5</v>
      </c>
      <c r="F88" s="307">
        <v>142.5</v>
      </c>
      <c r="G88" s="307">
        <v>165</v>
      </c>
      <c r="H88" s="307">
        <v>182.5</v>
      </c>
      <c r="I88" s="307">
        <v>197.5</v>
      </c>
      <c r="J88" s="307">
        <v>0</v>
      </c>
      <c r="K88" s="307">
        <v>0</v>
      </c>
      <c r="M88">
        <f t="shared" si="12"/>
        <v>7</v>
      </c>
      <c r="Q88" s="305">
        <v>470</v>
      </c>
      <c r="R88" s="310">
        <f t="shared" si="13"/>
        <v>4.2553191489361701E-2</v>
      </c>
      <c r="S88" s="311">
        <f t="shared" si="14"/>
        <v>0.1276595744680851</v>
      </c>
      <c r="T88" s="311">
        <f t="shared" si="15"/>
        <v>0.21808510638297873</v>
      </c>
      <c r="U88" s="311">
        <f t="shared" si="16"/>
        <v>0.30319148936170215</v>
      </c>
      <c r="V88" s="311">
        <f t="shared" si="17"/>
        <v>0.35106382978723405</v>
      </c>
      <c r="W88" s="311">
        <f t="shared" si="18"/>
        <v>0.38829787234042551</v>
      </c>
      <c r="X88" s="311">
        <f t="shared" si="19"/>
        <v>0.42021276595744683</v>
      </c>
      <c r="Y88" s="311"/>
      <c r="Z88" s="311"/>
    </row>
    <row r="89" spans="2:26">
      <c r="B89" s="305">
        <v>215</v>
      </c>
      <c r="C89" s="307">
        <v>20</v>
      </c>
      <c r="D89" s="307">
        <v>60</v>
      </c>
      <c r="E89" s="307">
        <v>102.5</v>
      </c>
      <c r="F89" s="307">
        <v>142.5</v>
      </c>
      <c r="G89" s="307">
        <v>165</v>
      </c>
      <c r="H89" s="307">
        <v>182.5</v>
      </c>
      <c r="I89" s="307">
        <v>200</v>
      </c>
      <c r="J89" s="307">
        <v>0</v>
      </c>
      <c r="K89" s="307">
        <v>0</v>
      </c>
      <c r="M89">
        <f t="shared" si="12"/>
        <v>7</v>
      </c>
      <c r="Q89" s="305">
        <v>475</v>
      </c>
      <c r="R89" s="310">
        <f t="shared" si="13"/>
        <v>4.2105263157894736E-2</v>
      </c>
      <c r="S89" s="311">
        <f t="shared" si="14"/>
        <v>0.12631578947368421</v>
      </c>
      <c r="T89" s="311">
        <f t="shared" si="15"/>
        <v>0.21578947368421053</v>
      </c>
      <c r="U89" s="311">
        <f t="shared" si="16"/>
        <v>0.3</v>
      </c>
      <c r="V89" s="311">
        <f t="shared" si="17"/>
        <v>0.3473684210526316</v>
      </c>
      <c r="W89" s="311">
        <f t="shared" si="18"/>
        <v>0.38421052631578945</v>
      </c>
      <c r="X89" s="311">
        <f t="shared" si="19"/>
        <v>0.42105263157894735</v>
      </c>
      <c r="Y89" s="311"/>
      <c r="Z89" s="311"/>
    </row>
    <row r="90" spans="2:26">
      <c r="B90" s="305">
        <v>217.5</v>
      </c>
      <c r="C90" s="307">
        <v>20</v>
      </c>
      <c r="D90" s="307">
        <v>60</v>
      </c>
      <c r="E90" s="307">
        <v>102.5</v>
      </c>
      <c r="F90" s="307">
        <v>142.5</v>
      </c>
      <c r="G90" s="307">
        <v>165</v>
      </c>
      <c r="H90" s="307">
        <v>182.5</v>
      </c>
      <c r="I90" s="307">
        <v>202.5</v>
      </c>
      <c r="J90" s="307">
        <v>0</v>
      </c>
      <c r="K90" s="307">
        <v>0</v>
      </c>
      <c r="M90">
        <f t="shared" si="12"/>
        <v>7</v>
      </c>
      <c r="Q90" s="305">
        <v>480</v>
      </c>
      <c r="R90" s="310">
        <f t="shared" si="13"/>
        <v>4.1666666666666664E-2</v>
      </c>
      <c r="S90" s="311">
        <f t="shared" si="14"/>
        <v>0.125</v>
      </c>
      <c r="T90" s="311">
        <f t="shared" si="15"/>
        <v>0.21354166666666666</v>
      </c>
      <c r="U90" s="311">
        <f t="shared" si="16"/>
        <v>0.296875</v>
      </c>
      <c r="V90" s="311">
        <f t="shared" si="17"/>
        <v>0.34375</v>
      </c>
      <c r="W90" s="311">
        <f t="shared" si="18"/>
        <v>0.38020833333333331</v>
      </c>
      <c r="X90" s="311">
        <f t="shared" si="19"/>
        <v>0.421875</v>
      </c>
      <c r="Y90" s="311"/>
      <c r="Z90" s="311"/>
    </row>
    <row r="91" spans="2:26">
      <c r="B91" s="305">
        <v>220</v>
      </c>
      <c r="C91" s="307">
        <v>20</v>
      </c>
      <c r="D91" s="307">
        <v>60</v>
      </c>
      <c r="E91" s="307">
        <v>102.5</v>
      </c>
      <c r="F91" s="307">
        <v>142.5</v>
      </c>
      <c r="G91" s="307">
        <v>165</v>
      </c>
      <c r="H91" s="307">
        <v>182.5</v>
      </c>
      <c r="I91" s="307">
        <v>202.5</v>
      </c>
      <c r="J91" s="307">
        <v>0</v>
      </c>
      <c r="K91" s="307">
        <v>0</v>
      </c>
      <c r="M91">
        <f t="shared" si="12"/>
        <v>7</v>
      </c>
      <c r="Q91" s="305">
        <v>485</v>
      </c>
      <c r="R91" s="310">
        <f t="shared" si="13"/>
        <v>4.1237113402061855E-2</v>
      </c>
      <c r="S91" s="311">
        <f t="shared" si="14"/>
        <v>0.12371134020618557</v>
      </c>
      <c r="T91" s="311">
        <f t="shared" si="15"/>
        <v>0.21134020618556701</v>
      </c>
      <c r="U91" s="311">
        <f t="shared" si="16"/>
        <v>0.29381443298969073</v>
      </c>
      <c r="V91" s="311">
        <f t="shared" si="17"/>
        <v>0.34020618556701032</v>
      </c>
      <c r="W91" s="311">
        <f t="shared" si="18"/>
        <v>0.37628865979381443</v>
      </c>
      <c r="X91" s="311">
        <f t="shared" si="19"/>
        <v>0.4175257731958763</v>
      </c>
      <c r="Y91" s="311"/>
      <c r="Z91" s="311"/>
    </row>
    <row r="92" spans="2:26">
      <c r="B92" s="305">
        <v>222.5</v>
      </c>
      <c r="C92" s="307">
        <v>20</v>
      </c>
      <c r="D92" s="307">
        <v>60</v>
      </c>
      <c r="E92" s="307">
        <v>102.5</v>
      </c>
      <c r="F92" s="307">
        <v>142.5</v>
      </c>
      <c r="G92" s="307">
        <v>165</v>
      </c>
      <c r="H92" s="307">
        <v>182.5</v>
      </c>
      <c r="I92" s="307">
        <v>202.5</v>
      </c>
      <c r="J92" s="307">
        <v>0</v>
      </c>
      <c r="K92" s="307">
        <v>0</v>
      </c>
      <c r="M92">
        <f t="shared" si="12"/>
        <v>7</v>
      </c>
      <c r="Q92" s="305">
        <v>490</v>
      </c>
      <c r="R92" s="310">
        <f t="shared" si="13"/>
        <v>4.0816326530612242E-2</v>
      </c>
      <c r="S92" s="311">
        <f t="shared" si="14"/>
        <v>0.12244897959183673</v>
      </c>
      <c r="T92" s="311">
        <f t="shared" si="15"/>
        <v>0.20918367346938777</v>
      </c>
      <c r="U92" s="311">
        <f t="shared" si="16"/>
        <v>0.29081632653061223</v>
      </c>
      <c r="V92" s="311">
        <f t="shared" si="17"/>
        <v>0.33673469387755101</v>
      </c>
      <c r="W92" s="311">
        <f t="shared" si="18"/>
        <v>0.37244897959183676</v>
      </c>
      <c r="X92" s="311">
        <f t="shared" si="19"/>
        <v>0.41326530612244899</v>
      </c>
      <c r="Y92" s="311"/>
      <c r="Z92" s="311"/>
    </row>
    <row r="93" spans="2:26">
      <c r="B93" s="305">
        <v>225</v>
      </c>
      <c r="C93" s="307">
        <v>20</v>
      </c>
      <c r="D93" s="307">
        <v>60</v>
      </c>
      <c r="E93" s="307">
        <v>102.5</v>
      </c>
      <c r="F93" s="307">
        <v>142.5</v>
      </c>
      <c r="G93" s="307">
        <v>165</v>
      </c>
      <c r="H93" s="307">
        <v>182.5</v>
      </c>
      <c r="I93" s="307">
        <v>202.5</v>
      </c>
      <c r="J93" s="307">
        <v>0</v>
      </c>
      <c r="K93" s="307">
        <v>0</v>
      </c>
      <c r="M93">
        <f t="shared" si="12"/>
        <v>7</v>
      </c>
      <c r="Q93" s="305">
        <v>495</v>
      </c>
      <c r="R93" s="310">
        <f t="shared" si="13"/>
        <v>4.0404040404040407E-2</v>
      </c>
      <c r="S93" s="311">
        <f t="shared" si="14"/>
        <v>0.12121212121212122</v>
      </c>
      <c r="T93" s="311">
        <f t="shared" si="15"/>
        <v>0.20707070707070707</v>
      </c>
      <c r="U93" s="311">
        <f t="shared" si="16"/>
        <v>0.2878787878787879</v>
      </c>
      <c r="V93" s="311">
        <f t="shared" si="17"/>
        <v>0.33333333333333331</v>
      </c>
      <c r="W93" s="311">
        <f t="shared" si="18"/>
        <v>0.36868686868686867</v>
      </c>
      <c r="X93" s="311">
        <f t="shared" si="19"/>
        <v>0.40909090909090912</v>
      </c>
      <c r="Y93" s="311"/>
      <c r="Z93" s="311"/>
    </row>
    <row r="94" spans="2:26">
      <c r="B94" s="305">
        <v>227.5</v>
      </c>
      <c r="C94" s="307">
        <v>20</v>
      </c>
      <c r="D94" s="307">
        <v>60</v>
      </c>
      <c r="E94" s="307">
        <v>102.5</v>
      </c>
      <c r="F94" s="307">
        <v>142.5</v>
      </c>
      <c r="G94" s="307">
        <v>175</v>
      </c>
      <c r="H94" s="307">
        <v>182.5</v>
      </c>
      <c r="I94" s="307">
        <v>205</v>
      </c>
      <c r="J94" s="307">
        <v>0</v>
      </c>
      <c r="K94" s="307">
        <v>0</v>
      </c>
      <c r="M94">
        <f t="shared" si="12"/>
        <v>7</v>
      </c>
      <c r="Q94" s="305">
        <v>500</v>
      </c>
      <c r="R94" s="310">
        <f t="shared" si="13"/>
        <v>0.04</v>
      </c>
      <c r="S94" s="311">
        <f t="shared" si="14"/>
        <v>0.12</v>
      </c>
      <c r="T94" s="311">
        <f t="shared" si="15"/>
        <v>0.20499999999999999</v>
      </c>
      <c r="U94" s="311">
        <f t="shared" si="16"/>
        <v>0.28499999999999998</v>
      </c>
      <c r="V94" s="311">
        <f t="shared" si="17"/>
        <v>0.35</v>
      </c>
      <c r="W94" s="311">
        <f t="shared" si="18"/>
        <v>0.36499999999999999</v>
      </c>
      <c r="X94" s="311">
        <f t="shared" si="19"/>
        <v>0.41</v>
      </c>
      <c r="Y94" s="311"/>
      <c r="Z94" s="311"/>
    </row>
    <row r="95" spans="2:26">
      <c r="B95" s="305">
        <v>230</v>
      </c>
      <c r="C95" s="307">
        <v>20</v>
      </c>
      <c r="D95" s="307">
        <v>60</v>
      </c>
      <c r="E95" s="307">
        <v>102.5</v>
      </c>
      <c r="F95" s="307">
        <v>142.5</v>
      </c>
      <c r="G95" s="307">
        <v>175</v>
      </c>
      <c r="H95" s="307">
        <v>182.5</v>
      </c>
      <c r="I95" s="307">
        <v>205</v>
      </c>
      <c r="J95" s="307">
        <v>0</v>
      </c>
      <c r="K95" s="307">
        <v>0</v>
      </c>
      <c r="M95">
        <f t="shared" si="12"/>
        <v>7</v>
      </c>
      <c r="Q95" s="305">
        <v>505</v>
      </c>
      <c r="R95" s="310">
        <f t="shared" si="13"/>
        <v>3.9603960396039604E-2</v>
      </c>
      <c r="S95" s="311">
        <f t="shared" si="14"/>
        <v>0.11881188118811881</v>
      </c>
      <c r="T95" s="311">
        <f t="shared" si="15"/>
        <v>0.20297029702970298</v>
      </c>
      <c r="U95" s="311">
        <f t="shared" si="16"/>
        <v>0.28217821782178215</v>
      </c>
      <c r="V95" s="311">
        <f t="shared" si="17"/>
        <v>0.34653465346534651</v>
      </c>
      <c r="W95" s="311">
        <f t="shared" si="18"/>
        <v>0.36138613861386137</v>
      </c>
      <c r="X95" s="311">
        <f t="shared" si="19"/>
        <v>0.40594059405940597</v>
      </c>
      <c r="Y95" s="311"/>
      <c r="Z95" s="311"/>
    </row>
    <row r="96" spans="2:26">
      <c r="B96" s="305">
        <v>232.5</v>
      </c>
      <c r="C96" s="307">
        <v>20</v>
      </c>
      <c r="D96" s="307">
        <v>60</v>
      </c>
      <c r="E96" s="307">
        <v>102.5</v>
      </c>
      <c r="F96" s="307">
        <v>142.5</v>
      </c>
      <c r="G96" s="307">
        <v>175</v>
      </c>
      <c r="H96" s="307">
        <v>182.5</v>
      </c>
      <c r="I96" s="307">
        <v>207.5</v>
      </c>
      <c r="J96" s="307">
        <v>0</v>
      </c>
      <c r="K96" s="307">
        <v>0</v>
      </c>
      <c r="M96">
        <f t="shared" si="12"/>
        <v>7</v>
      </c>
      <c r="Q96" s="305">
        <v>510</v>
      </c>
      <c r="R96" s="310">
        <f t="shared" si="13"/>
        <v>3.9215686274509803E-2</v>
      </c>
      <c r="S96" s="311">
        <f t="shared" si="14"/>
        <v>0.11764705882352941</v>
      </c>
      <c r="T96" s="311">
        <f t="shared" si="15"/>
        <v>0.20098039215686275</v>
      </c>
      <c r="U96" s="311">
        <f t="shared" si="16"/>
        <v>0.27941176470588236</v>
      </c>
      <c r="V96" s="311">
        <f t="shared" si="17"/>
        <v>0.34313725490196079</v>
      </c>
      <c r="W96" s="311">
        <f t="shared" si="18"/>
        <v>0.35784313725490197</v>
      </c>
      <c r="X96" s="311">
        <f t="shared" si="19"/>
        <v>0.40686274509803921</v>
      </c>
      <c r="Y96" s="311"/>
      <c r="Z96" s="311"/>
    </row>
    <row r="97" spans="2:26">
      <c r="B97" s="305">
        <v>232.5</v>
      </c>
      <c r="C97" s="307">
        <v>20</v>
      </c>
      <c r="D97" s="307">
        <v>60</v>
      </c>
      <c r="E97" s="307">
        <v>102.5</v>
      </c>
      <c r="F97" s="307">
        <v>142.5</v>
      </c>
      <c r="G97" s="307">
        <v>175</v>
      </c>
      <c r="H97" s="307">
        <v>182.5</v>
      </c>
      <c r="I97" s="307">
        <v>207.5</v>
      </c>
      <c r="J97" s="307">
        <v>0</v>
      </c>
      <c r="K97" s="307">
        <v>0</v>
      </c>
      <c r="M97">
        <f t="shared" si="12"/>
        <v>7</v>
      </c>
      <c r="Q97" s="305">
        <v>515</v>
      </c>
      <c r="R97" s="310">
        <f t="shared" si="13"/>
        <v>3.8834951456310676E-2</v>
      </c>
      <c r="S97" s="311">
        <f t="shared" si="14"/>
        <v>0.11650485436893204</v>
      </c>
      <c r="T97" s="311">
        <f t="shared" si="15"/>
        <v>0.19902912621359223</v>
      </c>
      <c r="U97" s="311">
        <f t="shared" si="16"/>
        <v>0.27669902912621358</v>
      </c>
      <c r="V97" s="311">
        <f t="shared" si="17"/>
        <v>0.33980582524271846</v>
      </c>
      <c r="W97" s="311">
        <f t="shared" si="18"/>
        <v>0.35436893203883496</v>
      </c>
      <c r="X97" s="311">
        <f t="shared" si="19"/>
        <v>0.40291262135922329</v>
      </c>
      <c r="Y97" s="311"/>
      <c r="Z97" s="311"/>
    </row>
    <row r="98" spans="2:26">
      <c r="B98" s="305">
        <v>235</v>
      </c>
      <c r="C98" s="307">
        <v>20</v>
      </c>
      <c r="D98" s="307">
        <v>60</v>
      </c>
      <c r="E98" s="307">
        <v>102.5</v>
      </c>
      <c r="F98" s="307">
        <v>142.5</v>
      </c>
      <c r="G98" s="307">
        <v>175</v>
      </c>
      <c r="H98" s="307">
        <v>182.5</v>
      </c>
      <c r="I98" s="307">
        <v>210</v>
      </c>
      <c r="J98" s="307">
        <v>0</v>
      </c>
      <c r="K98" s="307">
        <v>0</v>
      </c>
      <c r="M98">
        <f t="shared" si="12"/>
        <v>7</v>
      </c>
      <c r="Q98" s="305">
        <v>520</v>
      </c>
      <c r="R98" s="310">
        <f t="shared" si="13"/>
        <v>3.8461538461538464E-2</v>
      </c>
      <c r="S98" s="311">
        <f t="shared" si="14"/>
        <v>0.11538461538461539</v>
      </c>
      <c r="T98" s="311">
        <f t="shared" si="15"/>
        <v>0.19711538461538461</v>
      </c>
      <c r="U98" s="311">
        <f t="shared" si="16"/>
        <v>0.27403846153846156</v>
      </c>
      <c r="V98" s="311">
        <f t="shared" si="17"/>
        <v>0.33653846153846156</v>
      </c>
      <c r="W98" s="311">
        <f t="shared" si="18"/>
        <v>0.35096153846153844</v>
      </c>
      <c r="X98" s="311">
        <f t="shared" si="19"/>
        <v>0.40384615384615385</v>
      </c>
      <c r="Y98" s="311"/>
      <c r="Z98" s="311"/>
    </row>
    <row r="99" spans="2:26">
      <c r="B99" s="305">
        <v>237.5</v>
      </c>
      <c r="C99" s="307">
        <v>20</v>
      </c>
      <c r="D99" s="307">
        <v>60</v>
      </c>
      <c r="E99" s="307">
        <v>102.5</v>
      </c>
      <c r="F99" s="307">
        <v>142.5</v>
      </c>
      <c r="G99" s="307">
        <v>175</v>
      </c>
      <c r="H99" s="307">
        <v>182.5</v>
      </c>
      <c r="I99" s="307">
        <v>215</v>
      </c>
      <c r="J99" s="307">
        <v>0</v>
      </c>
      <c r="K99" s="307">
        <v>0</v>
      </c>
      <c r="M99">
        <f t="shared" si="12"/>
        <v>7</v>
      </c>
      <c r="Q99" s="305">
        <v>525</v>
      </c>
      <c r="R99" s="310">
        <f t="shared" si="13"/>
        <v>3.8095238095238099E-2</v>
      </c>
      <c r="S99" s="311">
        <f t="shared" si="14"/>
        <v>0.11428571428571428</v>
      </c>
      <c r="T99" s="311">
        <f t="shared" si="15"/>
        <v>0.19523809523809524</v>
      </c>
      <c r="U99" s="311">
        <f t="shared" si="16"/>
        <v>0.27142857142857141</v>
      </c>
      <c r="V99" s="311">
        <f t="shared" si="17"/>
        <v>0.33333333333333331</v>
      </c>
      <c r="W99" s="311">
        <f t="shared" si="18"/>
        <v>0.34761904761904761</v>
      </c>
      <c r="X99" s="311">
        <f t="shared" si="19"/>
        <v>0.40952380952380951</v>
      </c>
      <c r="Y99" s="311"/>
      <c r="Z99" s="311"/>
    </row>
    <row r="100" spans="2:26">
      <c r="B100" s="305">
        <v>240</v>
      </c>
      <c r="C100" s="307">
        <v>20</v>
      </c>
      <c r="D100" s="307">
        <v>60</v>
      </c>
      <c r="E100" s="307">
        <v>102.5</v>
      </c>
      <c r="F100" s="307">
        <v>142.5</v>
      </c>
      <c r="G100" s="307">
        <v>175</v>
      </c>
      <c r="H100" s="307">
        <v>182.5</v>
      </c>
      <c r="I100" s="307">
        <v>215</v>
      </c>
      <c r="J100" s="307">
        <v>0</v>
      </c>
      <c r="K100" s="307">
        <v>0</v>
      </c>
      <c r="M100">
        <f t="shared" ref="M100:M131" si="20">COUNTIF(C100:K100,"&gt;0")</f>
        <v>7</v>
      </c>
      <c r="Q100" s="305">
        <v>530</v>
      </c>
      <c r="R100" s="310">
        <f t="shared" si="13"/>
        <v>3.7735849056603772E-2</v>
      </c>
      <c r="S100" s="311">
        <f t="shared" si="14"/>
        <v>0.11320754716981132</v>
      </c>
      <c r="T100" s="311">
        <f t="shared" si="15"/>
        <v>0.19339622641509435</v>
      </c>
      <c r="U100" s="311">
        <f t="shared" si="16"/>
        <v>0.26886792452830188</v>
      </c>
      <c r="V100" s="311">
        <f t="shared" si="17"/>
        <v>0.330188679245283</v>
      </c>
      <c r="W100" s="311">
        <f t="shared" si="18"/>
        <v>0.34433962264150941</v>
      </c>
      <c r="X100" s="311">
        <f t="shared" si="19"/>
        <v>0.40566037735849059</v>
      </c>
      <c r="Y100" s="311"/>
      <c r="Z100" s="311"/>
    </row>
    <row r="101" spans="2:26">
      <c r="B101" s="305">
        <v>242.5</v>
      </c>
      <c r="C101" s="307">
        <v>20</v>
      </c>
      <c r="D101" s="307">
        <v>60</v>
      </c>
      <c r="E101" s="307">
        <v>102.5</v>
      </c>
      <c r="F101" s="307">
        <v>142.5</v>
      </c>
      <c r="G101" s="307">
        <v>175</v>
      </c>
      <c r="H101" s="307">
        <v>182.5</v>
      </c>
      <c r="I101" s="307">
        <v>217.5</v>
      </c>
      <c r="J101" s="307">
        <v>0</v>
      </c>
      <c r="K101" s="307">
        <v>0</v>
      </c>
      <c r="M101">
        <f t="shared" si="20"/>
        <v>7</v>
      </c>
      <c r="Q101" s="305">
        <v>535</v>
      </c>
      <c r="R101" s="310">
        <f t="shared" ref="R101:R132" si="21">C101/$Q101</f>
        <v>3.7383177570093455E-2</v>
      </c>
      <c r="S101" s="311">
        <f t="shared" si="14"/>
        <v>0.11214953271028037</v>
      </c>
      <c r="T101" s="311">
        <f t="shared" si="15"/>
        <v>0.19158878504672897</v>
      </c>
      <c r="U101" s="311">
        <f t="shared" si="16"/>
        <v>0.26635514018691586</v>
      </c>
      <c r="V101" s="311">
        <f t="shared" si="17"/>
        <v>0.32710280373831774</v>
      </c>
      <c r="W101" s="311">
        <f t="shared" si="18"/>
        <v>0.34112149532710279</v>
      </c>
      <c r="X101" s="311">
        <f t="shared" si="19"/>
        <v>0.40654205607476634</v>
      </c>
      <c r="Y101" s="311"/>
      <c r="Z101" s="311"/>
    </row>
    <row r="102" spans="2:26">
      <c r="B102" s="305">
        <v>245</v>
      </c>
      <c r="C102" s="307">
        <v>20</v>
      </c>
      <c r="D102" s="307">
        <v>60</v>
      </c>
      <c r="E102" s="307">
        <v>102.5</v>
      </c>
      <c r="F102" s="307">
        <v>142.5</v>
      </c>
      <c r="G102" s="307">
        <v>175</v>
      </c>
      <c r="H102" s="307">
        <v>182.5</v>
      </c>
      <c r="I102" s="307">
        <v>217.5</v>
      </c>
      <c r="J102" s="307">
        <v>0</v>
      </c>
      <c r="K102" s="307">
        <v>0</v>
      </c>
      <c r="M102">
        <f t="shared" si="20"/>
        <v>7</v>
      </c>
      <c r="Q102" s="305">
        <v>540</v>
      </c>
      <c r="R102" s="310">
        <f t="shared" si="21"/>
        <v>3.7037037037037035E-2</v>
      </c>
      <c r="S102" s="311">
        <f t="shared" si="14"/>
        <v>0.1111111111111111</v>
      </c>
      <c r="T102" s="311">
        <f t="shared" si="15"/>
        <v>0.18981481481481483</v>
      </c>
      <c r="U102" s="311">
        <f t="shared" si="16"/>
        <v>0.2638888888888889</v>
      </c>
      <c r="V102" s="311">
        <f t="shared" si="17"/>
        <v>0.32407407407407407</v>
      </c>
      <c r="W102" s="311">
        <f t="shared" si="18"/>
        <v>0.33796296296296297</v>
      </c>
      <c r="X102" s="311">
        <f t="shared" si="19"/>
        <v>0.40277777777777779</v>
      </c>
      <c r="Y102" s="311"/>
      <c r="Z102" s="311"/>
    </row>
    <row r="103" spans="2:26">
      <c r="B103" s="305">
        <v>247.5</v>
      </c>
      <c r="C103" s="307">
        <v>20</v>
      </c>
      <c r="D103" s="307">
        <v>60</v>
      </c>
      <c r="E103" s="307">
        <v>102.5</v>
      </c>
      <c r="F103" s="307">
        <v>142.5</v>
      </c>
      <c r="G103" s="307">
        <v>182.5</v>
      </c>
      <c r="H103" s="307">
        <v>207.5</v>
      </c>
      <c r="I103" s="307">
        <v>225</v>
      </c>
      <c r="J103" s="307">
        <v>0</v>
      </c>
      <c r="K103" s="307">
        <v>0</v>
      </c>
      <c r="M103">
        <f t="shared" si="20"/>
        <v>7</v>
      </c>
      <c r="Q103" s="305">
        <v>545</v>
      </c>
      <c r="R103" s="310">
        <f t="shared" si="21"/>
        <v>3.669724770642202E-2</v>
      </c>
      <c r="S103" s="311">
        <f t="shared" si="14"/>
        <v>0.11009174311926606</v>
      </c>
      <c r="T103" s="311">
        <f t="shared" si="15"/>
        <v>0.18807339449541285</v>
      </c>
      <c r="U103" s="311">
        <f t="shared" si="16"/>
        <v>0.26146788990825687</v>
      </c>
      <c r="V103" s="311">
        <f t="shared" si="17"/>
        <v>0.33486238532110091</v>
      </c>
      <c r="W103" s="311">
        <f t="shared" si="18"/>
        <v>0.38073394495412843</v>
      </c>
      <c r="X103" s="311">
        <f t="shared" si="19"/>
        <v>0.41284403669724773</v>
      </c>
      <c r="Y103" s="311"/>
      <c r="Z103" s="311"/>
    </row>
    <row r="104" spans="2:26">
      <c r="B104" s="305">
        <v>250</v>
      </c>
      <c r="C104" s="307">
        <v>20</v>
      </c>
      <c r="D104" s="307">
        <v>60</v>
      </c>
      <c r="E104" s="307">
        <v>102.5</v>
      </c>
      <c r="F104" s="307">
        <v>142.5</v>
      </c>
      <c r="G104" s="307">
        <v>182.5</v>
      </c>
      <c r="H104" s="307">
        <v>207.5</v>
      </c>
      <c r="I104" s="307">
        <v>225</v>
      </c>
      <c r="J104" s="307">
        <v>232.5</v>
      </c>
      <c r="K104" s="307">
        <v>0</v>
      </c>
      <c r="M104">
        <f t="shared" si="20"/>
        <v>8</v>
      </c>
      <c r="Q104" s="305">
        <v>550</v>
      </c>
      <c r="R104" s="310">
        <f t="shared" si="21"/>
        <v>3.6363636363636362E-2</v>
      </c>
      <c r="S104" s="311">
        <f t="shared" si="14"/>
        <v>0.10909090909090909</v>
      </c>
      <c r="T104" s="311">
        <f t="shared" si="15"/>
        <v>0.18636363636363637</v>
      </c>
      <c r="U104" s="311">
        <f t="shared" si="16"/>
        <v>0.25909090909090909</v>
      </c>
      <c r="V104" s="311">
        <f t="shared" si="17"/>
        <v>0.33181818181818185</v>
      </c>
      <c r="W104" s="311">
        <f t="shared" si="18"/>
        <v>0.37727272727272726</v>
      </c>
      <c r="X104" s="311">
        <f t="shared" si="19"/>
        <v>0.40909090909090912</v>
      </c>
      <c r="Y104" s="311">
        <f t="shared" ref="Y104:Y135" si="22">J104/$Q104</f>
        <v>0.42272727272727273</v>
      </c>
      <c r="Z104" s="311"/>
    </row>
    <row r="105" spans="2:26">
      <c r="B105" s="305">
        <v>252.5</v>
      </c>
      <c r="C105" s="307">
        <v>20</v>
      </c>
      <c r="D105" s="307">
        <v>60</v>
      </c>
      <c r="E105" s="307">
        <v>102.5</v>
      </c>
      <c r="F105" s="307">
        <v>142.5</v>
      </c>
      <c r="G105" s="307">
        <v>182.5</v>
      </c>
      <c r="H105" s="307">
        <v>207.5</v>
      </c>
      <c r="I105" s="307">
        <v>225</v>
      </c>
      <c r="J105" s="307">
        <v>232.5</v>
      </c>
      <c r="K105" s="307">
        <v>0</v>
      </c>
      <c r="M105">
        <f t="shared" si="20"/>
        <v>8</v>
      </c>
      <c r="Q105" s="305">
        <v>555</v>
      </c>
      <c r="R105" s="310">
        <f t="shared" si="21"/>
        <v>3.6036036036036036E-2</v>
      </c>
      <c r="S105" s="311">
        <f t="shared" ref="S105:S136" si="23">D105/$Q105</f>
        <v>0.10810810810810811</v>
      </c>
      <c r="T105" s="311">
        <f t="shared" ref="T105:T136" si="24">E105/$Q105</f>
        <v>0.18468468468468469</v>
      </c>
      <c r="U105" s="311">
        <f t="shared" si="16"/>
        <v>0.25675675675675674</v>
      </c>
      <c r="V105" s="311">
        <f t="shared" si="17"/>
        <v>0.32882882882882886</v>
      </c>
      <c r="W105" s="311">
        <f t="shared" si="18"/>
        <v>0.37387387387387389</v>
      </c>
      <c r="X105" s="311">
        <f t="shared" si="19"/>
        <v>0.40540540540540543</v>
      </c>
      <c r="Y105" s="311">
        <f t="shared" si="22"/>
        <v>0.41891891891891891</v>
      </c>
      <c r="Z105" s="311"/>
    </row>
    <row r="106" spans="2:26">
      <c r="B106" s="305">
        <v>255</v>
      </c>
      <c r="C106" s="307">
        <v>20</v>
      </c>
      <c r="D106" s="307">
        <v>60</v>
      </c>
      <c r="E106" s="307">
        <v>102.5</v>
      </c>
      <c r="F106" s="307">
        <v>142.5</v>
      </c>
      <c r="G106" s="307">
        <v>182.5</v>
      </c>
      <c r="H106" s="307">
        <v>207.5</v>
      </c>
      <c r="I106" s="307">
        <v>225</v>
      </c>
      <c r="J106" s="307">
        <v>235</v>
      </c>
      <c r="K106" s="307">
        <v>0</v>
      </c>
      <c r="M106">
        <f t="shared" si="20"/>
        <v>8</v>
      </c>
      <c r="Q106" s="305">
        <v>560</v>
      </c>
      <c r="R106" s="310">
        <f t="shared" si="21"/>
        <v>3.5714285714285712E-2</v>
      </c>
      <c r="S106" s="311">
        <f t="shared" si="23"/>
        <v>0.10714285714285714</v>
      </c>
      <c r="T106" s="311">
        <f t="shared" si="24"/>
        <v>0.18303571428571427</v>
      </c>
      <c r="U106" s="311">
        <f t="shared" ref="U106:U137" si="25">F106/$Q106</f>
        <v>0.2544642857142857</v>
      </c>
      <c r="V106" s="311">
        <f t="shared" si="17"/>
        <v>0.32589285714285715</v>
      </c>
      <c r="W106" s="311">
        <f t="shared" si="18"/>
        <v>0.3705357142857143</v>
      </c>
      <c r="X106" s="311">
        <f t="shared" si="19"/>
        <v>0.4017857142857143</v>
      </c>
      <c r="Y106" s="311">
        <f t="shared" si="22"/>
        <v>0.41964285714285715</v>
      </c>
      <c r="Z106" s="311"/>
    </row>
    <row r="107" spans="2:26">
      <c r="B107" s="305">
        <v>257.5</v>
      </c>
      <c r="C107" s="307">
        <v>20</v>
      </c>
      <c r="D107" s="307">
        <v>60</v>
      </c>
      <c r="E107" s="307">
        <v>102.5</v>
      </c>
      <c r="F107" s="307">
        <v>142.5</v>
      </c>
      <c r="G107" s="307">
        <v>182.5</v>
      </c>
      <c r="H107" s="307">
        <v>207.5</v>
      </c>
      <c r="I107" s="307">
        <v>225</v>
      </c>
      <c r="J107" s="307">
        <v>235</v>
      </c>
      <c r="K107" s="307">
        <v>0</v>
      </c>
      <c r="M107">
        <f t="shared" si="20"/>
        <v>8</v>
      </c>
      <c r="Q107" s="305">
        <v>565</v>
      </c>
      <c r="R107" s="310">
        <f t="shared" si="21"/>
        <v>3.5398230088495575E-2</v>
      </c>
      <c r="S107" s="311">
        <f t="shared" si="23"/>
        <v>0.10619469026548672</v>
      </c>
      <c r="T107" s="311">
        <f t="shared" si="24"/>
        <v>0.18141592920353983</v>
      </c>
      <c r="U107" s="311">
        <f t="shared" si="25"/>
        <v>0.25221238938053098</v>
      </c>
      <c r="V107" s="311">
        <f t="shared" si="17"/>
        <v>0.32300884955752213</v>
      </c>
      <c r="W107" s="311">
        <f t="shared" si="18"/>
        <v>0.36725663716814161</v>
      </c>
      <c r="X107" s="311">
        <f t="shared" si="19"/>
        <v>0.39823008849557523</v>
      </c>
      <c r="Y107" s="311">
        <f t="shared" si="22"/>
        <v>0.41592920353982299</v>
      </c>
      <c r="Z107" s="311"/>
    </row>
    <row r="108" spans="2:26">
      <c r="B108" s="305">
        <v>257.5</v>
      </c>
      <c r="C108" s="307">
        <v>20</v>
      </c>
      <c r="D108" s="307">
        <v>60</v>
      </c>
      <c r="E108" s="307">
        <v>102.5</v>
      </c>
      <c r="F108" s="307">
        <v>142.5</v>
      </c>
      <c r="G108" s="307">
        <v>182.5</v>
      </c>
      <c r="H108" s="307">
        <v>207.5</v>
      </c>
      <c r="I108" s="307">
        <v>225</v>
      </c>
      <c r="J108" s="307">
        <v>237.5</v>
      </c>
      <c r="K108" s="307">
        <v>0</v>
      </c>
      <c r="M108">
        <f t="shared" si="20"/>
        <v>8</v>
      </c>
      <c r="Q108" s="305">
        <v>570</v>
      </c>
      <c r="R108" s="310">
        <f t="shared" si="21"/>
        <v>3.5087719298245612E-2</v>
      </c>
      <c r="S108" s="311">
        <f t="shared" si="23"/>
        <v>0.10526315789473684</v>
      </c>
      <c r="T108" s="311">
        <f t="shared" si="24"/>
        <v>0.17982456140350878</v>
      </c>
      <c r="U108" s="311">
        <f t="shared" si="25"/>
        <v>0.25</v>
      </c>
      <c r="V108" s="311">
        <f t="shared" si="17"/>
        <v>0.32017543859649122</v>
      </c>
      <c r="W108" s="311">
        <f t="shared" si="18"/>
        <v>0.36403508771929827</v>
      </c>
      <c r="X108" s="311">
        <f t="shared" si="19"/>
        <v>0.39473684210526316</v>
      </c>
      <c r="Y108" s="311">
        <f t="shared" si="22"/>
        <v>0.41666666666666669</v>
      </c>
      <c r="Z108" s="311"/>
    </row>
    <row r="109" spans="2:26">
      <c r="B109" s="305">
        <v>260</v>
      </c>
      <c r="C109" s="307">
        <v>20</v>
      </c>
      <c r="D109" s="307">
        <v>60</v>
      </c>
      <c r="E109" s="307">
        <v>102.5</v>
      </c>
      <c r="F109" s="307">
        <v>142.5</v>
      </c>
      <c r="G109" s="307">
        <v>182.5</v>
      </c>
      <c r="H109" s="307">
        <v>207.5</v>
      </c>
      <c r="I109" s="307">
        <v>225</v>
      </c>
      <c r="J109" s="307">
        <v>240</v>
      </c>
      <c r="K109" s="307">
        <v>0</v>
      </c>
      <c r="M109">
        <f t="shared" si="20"/>
        <v>8</v>
      </c>
      <c r="Q109" s="305">
        <v>575</v>
      </c>
      <c r="R109" s="310">
        <f t="shared" si="21"/>
        <v>3.4782608695652174E-2</v>
      </c>
      <c r="S109" s="311">
        <f t="shared" si="23"/>
        <v>0.10434782608695652</v>
      </c>
      <c r="T109" s="311">
        <f t="shared" si="24"/>
        <v>0.17826086956521739</v>
      </c>
      <c r="U109" s="311">
        <f t="shared" si="25"/>
        <v>0.24782608695652175</v>
      </c>
      <c r="V109" s="311">
        <f t="shared" si="17"/>
        <v>0.31739130434782609</v>
      </c>
      <c r="W109" s="311">
        <f t="shared" si="18"/>
        <v>0.36086956521739133</v>
      </c>
      <c r="X109" s="311">
        <f t="shared" si="19"/>
        <v>0.39130434782608697</v>
      </c>
      <c r="Y109" s="311">
        <f t="shared" si="22"/>
        <v>0.41739130434782606</v>
      </c>
      <c r="Z109" s="311"/>
    </row>
    <row r="110" spans="2:26">
      <c r="B110" s="305">
        <v>262.5</v>
      </c>
      <c r="C110" s="307">
        <v>20</v>
      </c>
      <c r="D110" s="307">
        <v>60</v>
      </c>
      <c r="E110" s="307">
        <v>102.5</v>
      </c>
      <c r="F110" s="307">
        <v>142.5</v>
      </c>
      <c r="G110" s="307">
        <v>182.5</v>
      </c>
      <c r="H110" s="307">
        <v>207.5</v>
      </c>
      <c r="I110" s="307">
        <v>225</v>
      </c>
      <c r="J110" s="307">
        <v>242.5</v>
      </c>
      <c r="K110" s="307">
        <v>0</v>
      </c>
      <c r="M110">
        <f t="shared" si="20"/>
        <v>8</v>
      </c>
      <c r="Q110" s="305">
        <v>580</v>
      </c>
      <c r="R110" s="310">
        <f t="shared" si="21"/>
        <v>3.4482758620689655E-2</v>
      </c>
      <c r="S110" s="311">
        <f t="shared" si="23"/>
        <v>0.10344827586206896</v>
      </c>
      <c r="T110" s="311">
        <f t="shared" si="24"/>
        <v>0.17672413793103448</v>
      </c>
      <c r="U110" s="311">
        <f t="shared" si="25"/>
        <v>0.24568965517241378</v>
      </c>
      <c r="V110" s="311">
        <f t="shared" si="17"/>
        <v>0.31465517241379309</v>
      </c>
      <c r="W110" s="311">
        <f t="shared" si="18"/>
        <v>0.35775862068965519</v>
      </c>
      <c r="X110" s="311">
        <f t="shared" si="19"/>
        <v>0.38793103448275862</v>
      </c>
      <c r="Y110" s="311">
        <f t="shared" si="22"/>
        <v>0.41810344827586204</v>
      </c>
      <c r="Z110" s="311"/>
    </row>
    <row r="111" spans="2:26">
      <c r="B111" s="305">
        <v>265</v>
      </c>
      <c r="C111" s="307">
        <v>20</v>
      </c>
      <c r="D111" s="307">
        <v>60</v>
      </c>
      <c r="E111" s="307">
        <v>102.5</v>
      </c>
      <c r="F111" s="307">
        <v>142.5</v>
      </c>
      <c r="G111" s="307">
        <v>182.5</v>
      </c>
      <c r="H111" s="307">
        <v>207.5</v>
      </c>
      <c r="I111" s="307">
        <v>225</v>
      </c>
      <c r="J111" s="307">
        <v>245</v>
      </c>
      <c r="K111" s="307">
        <v>0</v>
      </c>
      <c r="M111">
        <f t="shared" si="20"/>
        <v>8</v>
      </c>
      <c r="Q111" s="305">
        <v>585</v>
      </c>
      <c r="R111" s="310">
        <f t="shared" si="21"/>
        <v>3.4188034188034191E-2</v>
      </c>
      <c r="S111" s="311">
        <f t="shared" si="23"/>
        <v>0.10256410256410256</v>
      </c>
      <c r="T111" s="311">
        <f t="shared" si="24"/>
        <v>0.1752136752136752</v>
      </c>
      <c r="U111" s="311">
        <f t="shared" si="25"/>
        <v>0.24358974358974358</v>
      </c>
      <c r="V111" s="311">
        <f t="shared" si="17"/>
        <v>0.31196581196581197</v>
      </c>
      <c r="W111" s="311">
        <f t="shared" si="18"/>
        <v>0.35470085470085472</v>
      </c>
      <c r="X111" s="311">
        <f t="shared" si="19"/>
        <v>0.38461538461538464</v>
      </c>
      <c r="Y111" s="311">
        <f t="shared" si="22"/>
        <v>0.41880341880341881</v>
      </c>
      <c r="Z111" s="311"/>
    </row>
    <row r="112" spans="2:26">
      <c r="B112" s="305">
        <v>267.5</v>
      </c>
      <c r="C112" s="307">
        <v>20</v>
      </c>
      <c r="D112" s="307">
        <v>60</v>
      </c>
      <c r="E112" s="307">
        <v>102.5</v>
      </c>
      <c r="F112" s="307">
        <v>142.5</v>
      </c>
      <c r="G112" s="307">
        <v>182.5</v>
      </c>
      <c r="H112" s="307">
        <v>207.5</v>
      </c>
      <c r="I112" s="307">
        <v>225</v>
      </c>
      <c r="J112" s="307">
        <v>247.5</v>
      </c>
      <c r="K112" s="307">
        <v>0</v>
      </c>
      <c r="M112">
        <f t="shared" si="20"/>
        <v>8</v>
      </c>
      <c r="Q112" s="305">
        <v>590</v>
      </c>
      <c r="R112" s="310">
        <f t="shared" si="21"/>
        <v>3.3898305084745763E-2</v>
      </c>
      <c r="S112" s="311">
        <f t="shared" si="23"/>
        <v>0.10169491525423729</v>
      </c>
      <c r="T112" s="311">
        <f t="shared" si="24"/>
        <v>0.17372881355932204</v>
      </c>
      <c r="U112" s="311">
        <f t="shared" si="25"/>
        <v>0.24152542372881355</v>
      </c>
      <c r="V112" s="311">
        <f t="shared" si="17"/>
        <v>0.30932203389830509</v>
      </c>
      <c r="W112" s="311">
        <f t="shared" si="18"/>
        <v>0.35169491525423729</v>
      </c>
      <c r="X112" s="311">
        <f t="shared" si="19"/>
        <v>0.38135593220338981</v>
      </c>
      <c r="Y112" s="311">
        <f t="shared" si="22"/>
        <v>0.41949152542372881</v>
      </c>
      <c r="Z112" s="311"/>
    </row>
    <row r="113" spans="2:26">
      <c r="B113" s="305">
        <v>270</v>
      </c>
      <c r="C113" s="307">
        <v>20</v>
      </c>
      <c r="D113" s="307">
        <v>60</v>
      </c>
      <c r="E113" s="307">
        <v>102.5</v>
      </c>
      <c r="F113" s="307">
        <v>142.5</v>
      </c>
      <c r="G113" s="307">
        <v>182.5</v>
      </c>
      <c r="H113" s="307">
        <v>207.5</v>
      </c>
      <c r="I113" s="307">
        <v>227.5</v>
      </c>
      <c r="J113" s="307">
        <v>250</v>
      </c>
      <c r="K113" s="307">
        <v>0</v>
      </c>
      <c r="M113">
        <f t="shared" si="20"/>
        <v>8</v>
      </c>
      <c r="Q113" s="305">
        <v>595</v>
      </c>
      <c r="R113" s="310">
        <f t="shared" si="21"/>
        <v>3.3613445378151259E-2</v>
      </c>
      <c r="S113" s="311">
        <f t="shared" si="23"/>
        <v>0.10084033613445378</v>
      </c>
      <c r="T113" s="311">
        <f t="shared" si="24"/>
        <v>0.17226890756302521</v>
      </c>
      <c r="U113" s="311">
        <f t="shared" si="25"/>
        <v>0.23949579831932774</v>
      </c>
      <c r="V113" s="311">
        <f t="shared" ref="V113:V144" si="26">G113/$Q113</f>
        <v>0.30672268907563027</v>
      </c>
      <c r="W113" s="311">
        <f t="shared" si="18"/>
        <v>0.34873949579831931</v>
      </c>
      <c r="X113" s="311">
        <f t="shared" si="19"/>
        <v>0.38235294117647056</v>
      </c>
      <c r="Y113" s="311">
        <f t="shared" si="22"/>
        <v>0.42016806722689076</v>
      </c>
      <c r="Z113" s="311"/>
    </row>
    <row r="114" spans="2:26">
      <c r="B114" s="305">
        <v>272.5</v>
      </c>
      <c r="C114" s="307">
        <v>20</v>
      </c>
      <c r="D114" s="307">
        <v>60</v>
      </c>
      <c r="E114" s="307">
        <v>102.5</v>
      </c>
      <c r="F114" s="307">
        <v>142.5</v>
      </c>
      <c r="G114" s="307">
        <v>182.5</v>
      </c>
      <c r="H114" s="307">
        <v>207.5</v>
      </c>
      <c r="I114" s="307">
        <v>230</v>
      </c>
      <c r="J114" s="307">
        <v>252.5</v>
      </c>
      <c r="K114" s="307">
        <v>0</v>
      </c>
      <c r="M114">
        <f t="shared" si="20"/>
        <v>8</v>
      </c>
      <c r="Q114" s="305">
        <v>600</v>
      </c>
      <c r="R114" s="310">
        <f t="shared" si="21"/>
        <v>3.3333333333333333E-2</v>
      </c>
      <c r="S114" s="311">
        <f t="shared" si="23"/>
        <v>0.1</v>
      </c>
      <c r="T114" s="311">
        <f t="shared" si="24"/>
        <v>0.17083333333333334</v>
      </c>
      <c r="U114" s="311">
        <f t="shared" si="25"/>
        <v>0.23749999999999999</v>
      </c>
      <c r="V114" s="311">
        <f t="shared" si="26"/>
        <v>0.30416666666666664</v>
      </c>
      <c r="W114" s="311">
        <f t="shared" ref="W114:W145" si="27">H114/$Q114</f>
        <v>0.34583333333333333</v>
      </c>
      <c r="X114" s="311">
        <f t="shared" si="19"/>
        <v>0.38333333333333336</v>
      </c>
      <c r="Y114" s="311">
        <f t="shared" si="22"/>
        <v>0.42083333333333334</v>
      </c>
      <c r="Z114" s="311"/>
    </row>
    <row r="115" spans="2:26">
      <c r="B115" s="305">
        <v>275</v>
      </c>
      <c r="C115" s="307">
        <v>20</v>
      </c>
      <c r="D115" s="307">
        <v>60</v>
      </c>
      <c r="E115" s="307">
        <v>102.5</v>
      </c>
      <c r="F115" s="307">
        <v>142.5</v>
      </c>
      <c r="G115" s="307">
        <v>182.5</v>
      </c>
      <c r="H115" s="307">
        <v>207.5</v>
      </c>
      <c r="I115" s="307">
        <v>232.5</v>
      </c>
      <c r="J115" s="307">
        <v>255</v>
      </c>
      <c r="K115" s="307">
        <v>0</v>
      </c>
      <c r="M115">
        <f t="shared" si="20"/>
        <v>8</v>
      </c>
      <c r="Q115" s="305">
        <v>605</v>
      </c>
      <c r="R115" s="310">
        <f t="shared" si="21"/>
        <v>3.3057851239669422E-2</v>
      </c>
      <c r="S115" s="311">
        <f t="shared" si="23"/>
        <v>9.9173553719008267E-2</v>
      </c>
      <c r="T115" s="311">
        <f t="shared" si="24"/>
        <v>0.16942148760330578</v>
      </c>
      <c r="U115" s="311">
        <f t="shared" si="25"/>
        <v>0.23553719008264462</v>
      </c>
      <c r="V115" s="311">
        <f t="shared" si="26"/>
        <v>0.30165289256198347</v>
      </c>
      <c r="W115" s="311">
        <f t="shared" si="27"/>
        <v>0.34297520661157027</v>
      </c>
      <c r="X115" s="311">
        <f t="shared" si="19"/>
        <v>0.38429752066115702</v>
      </c>
      <c r="Y115" s="311">
        <f t="shared" si="22"/>
        <v>0.42148760330578511</v>
      </c>
      <c r="Z115" s="311"/>
    </row>
    <row r="116" spans="2:26">
      <c r="B116" s="305">
        <v>277.5</v>
      </c>
      <c r="C116" s="307">
        <v>20</v>
      </c>
      <c r="D116" s="307">
        <v>60</v>
      </c>
      <c r="E116" s="307">
        <v>102.5</v>
      </c>
      <c r="F116" s="307">
        <v>142.5</v>
      </c>
      <c r="G116" s="307">
        <v>182.5</v>
      </c>
      <c r="H116" s="307">
        <v>207.5</v>
      </c>
      <c r="I116" s="307">
        <v>235</v>
      </c>
      <c r="J116" s="307">
        <v>257.5</v>
      </c>
      <c r="K116" s="307">
        <v>0</v>
      </c>
      <c r="M116">
        <f t="shared" si="20"/>
        <v>8</v>
      </c>
      <c r="Q116" s="305">
        <v>610</v>
      </c>
      <c r="R116" s="310">
        <f t="shared" si="21"/>
        <v>3.2786885245901641E-2</v>
      </c>
      <c r="S116" s="311">
        <f t="shared" si="23"/>
        <v>9.8360655737704916E-2</v>
      </c>
      <c r="T116" s="311">
        <f t="shared" si="24"/>
        <v>0.16803278688524589</v>
      </c>
      <c r="U116" s="311">
        <f t="shared" si="25"/>
        <v>0.23360655737704919</v>
      </c>
      <c r="V116" s="311">
        <f t="shared" si="26"/>
        <v>0.29918032786885246</v>
      </c>
      <c r="W116" s="311">
        <f t="shared" si="27"/>
        <v>0.3401639344262295</v>
      </c>
      <c r="X116" s="311">
        <f t="shared" si="19"/>
        <v>0.38524590163934425</v>
      </c>
      <c r="Y116" s="311">
        <f t="shared" si="22"/>
        <v>0.42213114754098363</v>
      </c>
      <c r="Z116" s="311"/>
    </row>
    <row r="117" spans="2:26">
      <c r="B117" s="305">
        <v>280</v>
      </c>
      <c r="C117" s="307">
        <v>20</v>
      </c>
      <c r="D117" s="307">
        <v>60</v>
      </c>
      <c r="E117" s="307">
        <v>102.5</v>
      </c>
      <c r="F117" s="307">
        <v>142.5</v>
      </c>
      <c r="G117" s="307">
        <v>182.5</v>
      </c>
      <c r="H117" s="307">
        <v>207.5</v>
      </c>
      <c r="I117" s="307">
        <v>225</v>
      </c>
      <c r="J117" s="307">
        <v>257.5</v>
      </c>
      <c r="K117" s="307">
        <v>0</v>
      </c>
      <c r="M117">
        <f t="shared" si="20"/>
        <v>8</v>
      </c>
      <c r="Q117" s="305">
        <v>615</v>
      </c>
      <c r="R117" s="310">
        <f t="shared" si="21"/>
        <v>3.2520325203252036E-2</v>
      </c>
      <c r="S117" s="311">
        <f t="shared" si="23"/>
        <v>9.7560975609756101E-2</v>
      </c>
      <c r="T117" s="311">
        <f t="shared" si="24"/>
        <v>0.16666666666666666</v>
      </c>
      <c r="U117" s="311">
        <f t="shared" si="25"/>
        <v>0.23170731707317074</v>
      </c>
      <c r="V117" s="311">
        <f t="shared" si="26"/>
        <v>0.2967479674796748</v>
      </c>
      <c r="W117" s="311">
        <f t="shared" si="27"/>
        <v>0.33739837398373984</v>
      </c>
      <c r="X117" s="311">
        <f t="shared" si="19"/>
        <v>0.36585365853658536</v>
      </c>
      <c r="Y117" s="311">
        <f t="shared" si="22"/>
        <v>0.41869918699186992</v>
      </c>
      <c r="Z117" s="311"/>
    </row>
    <row r="118" spans="2:26">
      <c r="B118" s="305">
        <v>280</v>
      </c>
      <c r="C118" s="307">
        <v>20</v>
      </c>
      <c r="D118" s="307">
        <v>60</v>
      </c>
      <c r="E118" s="307">
        <v>102.5</v>
      </c>
      <c r="F118" s="307">
        <v>142.5</v>
      </c>
      <c r="G118" s="307">
        <v>182.5</v>
      </c>
      <c r="H118" s="307">
        <v>225</v>
      </c>
      <c r="I118" s="307">
        <v>247.5</v>
      </c>
      <c r="J118" s="307">
        <v>265</v>
      </c>
      <c r="K118" s="307">
        <v>0</v>
      </c>
      <c r="M118">
        <f t="shared" si="20"/>
        <v>8</v>
      </c>
      <c r="Q118" s="305">
        <v>620</v>
      </c>
      <c r="R118" s="310">
        <f t="shared" si="21"/>
        <v>3.2258064516129031E-2</v>
      </c>
      <c r="S118" s="311">
        <f t="shared" si="23"/>
        <v>9.6774193548387094E-2</v>
      </c>
      <c r="T118" s="311">
        <f t="shared" si="24"/>
        <v>0.16532258064516128</v>
      </c>
      <c r="U118" s="311">
        <f t="shared" si="25"/>
        <v>0.22983870967741934</v>
      </c>
      <c r="V118" s="311">
        <f t="shared" si="26"/>
        <v>0.29435483870967744</v>
      </c>
      <c r="W118" s="311">
        <f t="shared" si="27"/>
        <v>0.36290322580645162</v>
      </c>
      <c r="X118" s="311">
        <f t="shared" si="19"/>
        <v>0.39919354838709675</v>
      </c>
      <c r="Y118" s="311">
        <f t="shared" si="22"/>
        <v>0.42741935483870969</v>
      </c>
      <c r="Z118" s="311"/>
    </row>
    <row r="119" spans="2:26">
      <c r="B119" s="305">
        <v>282.5</v>
      </c>
      <c r="C119" s="307">
        <v>20</v>
      </c>
      <c r="D119" s="307">
        <v>60</v>
      </c>
      <c r="E119" s="307">
        <v>102.5</v>
      </c>
      <c r="F119" s="307">
        <v>142.5</v>
      </c>
      <c r="G119" s="307">
        <v>182.5</v>
      </c>
      <c r="H119" s="307">
        <v>225</v>
      </c>
      <c r="I119" s="307">
        <v>247.5</v>
      </c>
      <c r="J119" s="307">
        <v>265</v>
      </c>
      <c r="K119" s="307">
        <v>0</v>
      </c>
      <c r="M119">
        <f t="shared" si="20"/>
        <v>8</v>
      </c>
      <c r="Q119" s="305">
        <v>625</v>
      </c>
      <c r="R119" s="310">
        <f t="shared" si="21"/>
        <v>3.2000000000000001E-2</v>
      </c>
      <c r="S119" s="311">
        <f t="shared" si="23"/>
        <v>9.6000000000000002E-2</v>
      </c>
      <c r="T119" s="311">
        <f t="shared" si="24"/>
        <v>0.16400000000000001</v>
      </c>
      <c r="U119" s="311">
        <f t="shared" si="25"/>
        <v>0.22800000000000001</v>
      </c>
      <c r="V119" s="311">
        <f t="shared" si="26"/>
        <v>0.29199999999999998</v>
      </c>
      <c r="W119" s="311">
        <f t="shared" si="27"/>
        <v>0.36</v>
      </c>
      <c r="X119" s="311">
        <f t="shared" ref="X119:X150" si="28">I119/$Q119</f>
        <v>0.39600000000000002</v>
      </c>
      <c r="Y119" s="311">
        <f t="shared" si="22"/>
        <v>0.42399999999999999</v>
      </c>
      <c r="Z119" s="311"/>
    </row>
    <row r="120" spans="2:26">
      <c r="B120" s="305">
        <v>285</v>
      </c>
      <c r="C120" s="307">
        <v>20</v>
      </c>
      <c r="D120" s="307">
        <v>60</v>
      </c>
      <c r="E120" s="307">
        <v>102.5</v>
      </c>
      <c r="F120" s="307">
        <v>142.5</v>
      </c>
      <c r="G120" s="307">
        <v>182.5</v>
      </c>
      <c r="H120" s="307">
        <v>225</v>
      </c>
      <c r="I120" s="307">
        <v>247.5</v>
      </c>
      <c r="J120" s="307">
        <v>265</v>
      </c>
      <c r="K120" s="307">
        <v>0</v>
      </c>
      <c r="M120">
        <f t="shared" si="20"/>
        <v>8</v>
      </c>
      <c r="Q120" s="305">
        <v>630</v>
      </c>
      <c r="R120" s="310">
        <f t="shared" si="21"/>
        <v>3.1746031746031744E-2</v>
      </c>
      <c r="S120" s="311">
        <f t="shared" si="23"/>
        <v>9.5238095238095233E-2</v>
      </c>
      <c r="T120" s="311">
        <f t="shared" si="24"/>
        <v>0.1626984126984127</v>
      </c>
      <c r="U120" s="311">
        <f t="shared" si="25"/>
        <v>0.22619047619047619</v>
      </c>
      <c r="V120" s="311">
        <f t="shared" si="26"/>
        <v>0.28968253968253971</v>
      </c>
      <c r="W120" s="311">
        <f t="shared" si="27"/>
        <v>0.35714285714285715</v>
      </c>
      <c r="X120" s="311">
        <f t="shared" si="28"/>
        <v>0.39285714285714285</v>
      </c>
      <c r="Y120" s="311">
        <f t="shared" si="22"/>
        <v>0.42063492063492064</v>
      </c>
      <c r="Z120" s="311"/>
    </row>
    <row r="121" spans="2:26">
      <c r="B121" s="305">
        <v>287.5</v>
      </c>
      <c r="C121" s="307">
        <v>20</v>
      </c>
      <c r="D121" s="307">
        <v>60</v>
      </c>
      <c r="E121" s="307">
        <v>102.5</v>
      </c>
      <c r="F121" s="307">
        <v>142.5</v>
      </c>
      <c r="G121" s="307">
        <v>182.5</v>
      </c>
      <c r="H121" s="307">
        <v>225</v>
      </c>
      <c r="I121" s="307">
        <v>247.5</v>
      </c>
      <c r="J121" s="307">
        <v>265</v>
      </c>
      <c r="K121" s="307">
        <v>0</v>
      </c>
      <c r="M121">
        <f t="shared" si="20"/>
        <v>8</v>
      </c>
      <c r="Q121" s="305">
        <v>635</v>
      </c>
      <c r="R121" s="310">
        <f t="shared" si="21"/>
        <v>3.1496062992125984E-2</v>
      </c>
      <c r="S121" s="311">
        <f t="shared" si="23"/>
        <v>9.4488188976377951E-2</v>
      </c>
      <c r="T121" s="311">
        <f t="shared" si="24"/>
        <v>0.16141732283464566</v>
      </c>
      <c r="U121" s="311">
        <f t="shared" si="25"/>
        <v>0.22440944881889763</v>
      </c>
      <c r="V121" s="311">
        <f t="shared" si="26"/>
        <v>0.2874015748031496</v>
      </c>
      <c r="W121" s="311">
        <f t="shared" si="27"/>
        <v>0.3543307086614173</v>
      </c>
      <c r="X121" s="311">
        <f t="shared" si="28"/>
        <v>0.38976377952755903</v>
      </c>
      <c r="Y121" s="311">
        <f t="shared" si="22"/>
        <v>0.41732283464566927</v>
      </c>
      <c r="Z121" s="311"/>
    </row>
    <row r="122" spans="2:26">
      <c r="B122" s="305">
        <v>290</v>
      </c>
      <c r="C122" s="307">
        <v>20</v>
      </c>
      <c r="D122" s="307">
        <v>60</v>
      </c>
      <c r="E122" s="307">
        <v>102.5</v>
      </c>
      <c r="F122" s="307">
        <v>142.5</v>
      </c>
      <c r="G122" s="307">
        <v>182.5</v>
      </c>
      <c r="H122" s="307">
        <v>225</v>
      </c>
      <c r="I122" s="307">
        <v>247.5</v>
      </c>
      <c r="J122" s="307">
        <v>265</v>
      </c>
      <c r="K122" s="307">
        <v>0</v>
      </c>
      <c r="M122">
        <f t="shared" si="20"/>
        <v>8</v>
      </c>
      <c r="Q122" s="305">
        <v>640</v>
      </c>
      <c r="R122" s="310">
        <f t="shared" si="21"/>
        <v>3.125E-2</v>
      </c>
      <c r="S122" s="311">
        <f t="shared" si="23"/>
        <v>9.375E-2</v>
      </c>
      <c r="T122" s="311">
        <f t="shared" si="24"/>
        <v>0.16015625</v>
      </c>
      <c r="U122" s="311">
        <f t="shared" si="25"/>
        <v>0.22265625</v>
      </c>
      <c r="V122" s="311">
        <f t="shared" si="26"/>
        <v>0.28515625</v>
      </c>
      <c r="W122" s="311">
        <f t="shared" si="27"/>
        <v>0.3515625</v>
      </c>
      <c r="X122" s="311">
        <f t="shared" si="28"/>
        <v>0.38671875</v>
      </c>
      <c r="Y122" s="311">
        <f t="shared" si="22"/>
        <v>0.4140625</v>
      </c>
      <c r="Z122" s="311"/>
    </row>
    <row r="123" spans="2:26">
      <c r="B123" s="305">
        <v>292.5</v>
      </c>
      <c r="C123" s="307">
        <v>20</v>
      </c>
      <c r="D123" s="307">
        <v>60</v>
      </c>
      <c r="E123" s="307">
        <v>102.5</v>
      </c>
      <c r="F123" s="307">
        <v>142.5</v>
      </c>
      <c r="G123" s="307">
        <v>182.5</v>
      </c>
      <c r="H123" s="307">
        <v>225</v>
      </c>
      <c r="I123" s="307">
        <v>247.5</v>
      </c>
      <c r="J123" s="307">
        <v>265</v>
      </c>
      <c r="K123" s="307">
        <v>0</v>
      </c>
      <c r="M123">
        <f t="shared" si="20"/>
        <v>8</v>
      </c>
      <c r="Q123" s="305">
        <v>645</v>
      </c>
      <c r="R123" s="310">
        <f t="shared" si="21"/>
        <v>3.1007751937984496E-2</v>
      </c>
      <c r="S123" s="311">
        <f t="shared" si="23"/>
        <v>9.3023255813953487E-2</v>
      </c>
      <c r="T123" s="311">
        <f t="shared" si="24"/>
        <v>0.15891472868217055</v>
      </c>
      <c r="U123" s="311">
        <f t="shared" si="25"/>
        <v>0.22093023255813954</v>
      </c>
      <c r="V123" s="311">
        <f t="shared" si="26"/>
        <v>0.28294573643410853</v>
      </c>
      <c r="W123" s="311">
        <f t="shared" si="27"/>
        <v>0.34883720930232559</v>
      </c>
      <c r="X123" s="311">
        <f t="shared" si="28"/>
        <v>0.38372093023255816</v>
      </c>
      <c r="Y123" s="311">
        <f t="shared" si="22"/>
        <v>0.41085271317829458</v>
      </c>
      <c r="Z123" s="311"/>
    </row>
    <row r="124" spans="2:26">
      <c r="B124" s="305">
        <v>295</v>
      </c>
      <c r="C124" s="307">
        <v>20</v>
      </c>
      <c r="D124" s="307">
        <v>60</v>
      </c>
      <c r="E124" s="307">
        <v>102.5</v>
      </c>
      <c r="F124" s="307">
        <v>142.5</v>
      </c>
      <c r="G124" s="307">
        <v>182.5</v>
      </c>
      <c r="H124" s="307">
        <v>225</v>
      </c>
      <c r="I124" s="307">
        <v>247.5</v>
      </c>
      <c r="J124" s="307">
        <v>265</v>
      </c>
      <c r="K124" s="307">
        <v>0</v>
      </c>
      <c r="M124">
        <f t="shared" si="20"/>
        <v>8</v>
      </c>
      <c r="Q124" s="305">
        <v>650</v>
      </c>
      <c r="R124" s="310">
        <f t="shared" si="21"/>
        <v>3.0769230769230771E-2</v>
      </c>
      <c r="S124" s="311">
        <f t="shared" si="23"/>
        <v>9.2307692307692313E-2</v>
      </c>
      <c r="T124" s="311">
        <f t="shared" si="24"/>
        <v>0.15769230769230769</v>
      </c>
      <c r="U124" s="311">
        <f t="shared" si="25"/>
        <v>0.21923076923076923</v>
      </c>
      <c r="V124" s="311">
        <f t="shared" si="26"/>
        <v>0.28076923076923077</v>
      </c>
      <c r="W124" s="311">
        <f t="shared" si="27"/>
        <v>0.34615384615384615</v>
      </c>
      <c r="X124" s="311">
        <f t="shared" si="28"/>
        <v>0.38076923076923075</v>
      </c>
      <c r="Y124" s="311">
        <f t="shared" si="22"/>
        <v>0.40769230769230769</v>
      </c>
      <c r="Z124" s="311"/>
    </row>
    <row r="125" spans="2:26">
      <c r="B125" s="305">
        <v>297.5</v>
      </c>
      <c r="C125" s="307">
        <v>20</v>
      </c>
      <c r="D125" s="307">
        <v>60</v>
      </c>
      <c r="E125" s="307">
        <v>102.5</v>
      </c>
      <c r="F125" s="307">
        <v>142.5</v>
      </c>
      <c r="G125" s="307">
        <v>182.5</v>
      </c>
      <c r="H125" s="307">
        <v>225</v>
      </c>
      <c r="I125" s="307">
        <v>247.5</v>
      </c>
      <c r="J125" s="307">
        <v>265</v>
      </c>
      <c r="K125" s="307">
        <v>0</v>
      </c>
      <c r="M125">
        <f t="shared" si="20"/>
        <v>8</v>
      </c>
      <c r="Q125" s="305">
        <v>655</v>
      </c>
      <c r="R125" s="310">
        <f t="shared" si="21"/>
        <v>3.0534351145038167E-2</v>
      </c>
      <c r="S125" s="311">
        <f t="shared" si="23"/>
        <v>9.1603053435114504E-2</v>
      </c>
      <c r="T125" s="311">
        <f t="shared" si="24"/>
        <v>0.15648854961832062</v>
      </c>
      <c r="U125" s="311">
        <f t="shared" si="25"/>
        <v>0.21755725190839695</v>
      </c>
      <c r="V125" s="311">
        <f t="shared" si="26"/>
        <v>0.2786259541984733</v>
      </c>
      <c r="W125" s="311">
        <f t="shared" si="27"/>
        <v>0.34351145038167941</v>
      </c>
      <c r="X125" s="311">
        <f t="shared" si="28"/>
        <v>0.37786259541984735</v>
      </c>
      <c r="Y125" s="311">
        <f t="shared" si="22"/>
        <v>0.40458015267175573</v>
      </c>
      <c r="Z125" s="311"/>
    </row>
    <row r="126" spans="2:26">
      <c r="B126" s="305">
        <v>300</v>
      </c>
      <c r="C126" s="307">
        <v>20</v>
      </c>
      <c r="D126" s="307">
        <v>60</v>
      </c>
      <c r="E126" s="307">
        <v>102.5</v>
      </c>
      <c r="F126" s="307">
        <v>142.5</v>
      </c>
      <c r="G126" s="307">
        <v>182.5</v>
      </c>
      <c r="H126" s="307">
        <v>225</v>
      </c>
      <c r="I126" s="307">
        <v>247.5</v>
      </c>
      <c r="J126" s="307">
        <v>265</v>
      </c>
      <c r="K126" s="307">
        <v>0</v>
      </c>
      <c r="M126">
        <f t="shared" si="20"/>
        <v>8</v>
      </c>
      <c r="Q126" s="305">
        <v>660</v>
      </c>
      <c r="R126" s="310">
        <f t="shared" si="21"/>
        <v>3.0303030303030304E-2</v>
      </c>
      <c r="S126" s="311">
        <f t="shared" si="23"/>
        <v>9.0909090909090912E-2</v>
      </c>
      <c r="T126" s="311">
        <f t="shared" si="24"/>
        <v>0.1553030303030303</v>
      </c>
      <c r="U126" s="311">
        <f t="shared" si="25"/>
        <v>0.21590909090909091</v>
      </c>
      <c r="V126" s="311">
        <f t="shared" si="26"/>
        <v>0.27651515151515149</v>
      </c>
      <c r="W126" s="311">
        <f t="shared" si="27"/>
        <v>0.34090909090909088</v>
      </c>
      <c r="X126" s="311">
        <f t="shared" si="28"/>
        <v>0.375</v>
      </c>
      <c r="Y126" s="311">
        <f t="shared" si="22"/>
        <v>0.40151515151515149</v>
      </c>
      <c r="Z126" s="311"/>
    </row>
    <row r="127" spans="2:26">
      <c r="B127" s="305">
        <v>302.5</v>
      </c>
      <c r="C127" s="307">
        <v>20</v>
      </c>
      <c r="D127" s="307">
        <v>60</v>
      </c>
      <c r="E127" s="307">
        <v>102.5</v>
      </c>
      <c r="F127" s="307">
        <v>142.5</v>
      </c>
      <c r="G127" s="307">
        <v>182.5</v>
      </c>
      <c r="H127" s="307">
        <v>225</v>
      </c>
      <c r="I127" s="307">
        <v>247.5</v>
      </c>
      <c r="J127" s="307">
        <v>272.5</v>
      </c>
      <c r="K127" s="307">
        <v>0</v>
      </c>
      <c r="M127">
        <f t="shared" si="20"/>
        <v>8</v>
      </c>
      <c r="Q127" s="305">
        <v>665</v>
      </c>
      <c r="R127" s="310">
        <f t="shared" si="21"/>
        <v>3.007518796992481E-2</v>
      </c>
      <c r="S127" s="311">
        <f t="shared" si="23"/>
        <v>9.0225563909774431E-2</v>
      </c>
      <c r="T127" s="311">
        <f t="shared" si="24"/>
        <v>0.15413533834586465</v>
      </c>
      <c r="U127" s="311">
        <f t="shared" si="25"/>
        <v>0.21428571428571427</v>
      </c>
      <c r="V127" s="311">
        <f t="shared" si="26"/>
        <v>0.27443609022556392</v>
      </c>
      <c r="W127" s="311">
        <f t="shared" si="27"/>
        <v>0.33834586466165412</v>
      </c>
      <c r="X127" s="311">
        <f t="shared" si="28"/>
        <v>0.37218045112781956</v>
      </c>
      <c r="Y127" s="311">
        <f t="shared" si="22"/>
        <v>0.40977443609022557</v>
      </c>
      <c r="Z127" s="311"/>
    </row>
    <row r="128" spans="2:26">
      <c r="B128" s="305">
        <v>305</v>
      </c>
      <c r="C128" s="307">
        <v>20</v>
      </c>
      <c r="D128" s="307">
        <v>60</v>
      </c>
      <c r="E128" s="307">
        <v>102.5</v>
      </c>
      <c r="F128" s="307">
        <v>142.5</v>
      </c>
      <c r="G128" s="307">
        <v>182.5</v>
      </c>
      <c r="H128" s="307">
        <v>225</v>
      </c>
      <c r="I128" s="307">
        <v>265</v>
      </c>
      <c r="J128" s="307">
        <v>287.5</v>
      </c>
      <c r="K128" s="307">
        <v>0</v>
      </c>
      <c r="M128">
        <f t="shared" si="20"/>
        <v>8</v>
      </c>
      <c r="Q128" s="305">
        <v>670</v>
      </c>
      <c r="R128" s="310">
        <f t="shared" si="21"/>
        <v>2.9850746268656716E-2</v>
      </c>
      <c r="S128" s="311">
        <f t="shared" si="23"/>
        <v>8.9552238805970144E-2</v>
      </c>
      <c r="T128" s="311">
        <f t="shared" si="24"/>
        <v>0.15298507462686567</v>
      </c>
      <c r="U128" s="311">
        <f t="shared" si="25"/>
        <v>0.21268656716417911</v>
      </c>
      <c r="V128" s="311">
        <f t="shared" si="26"/>
        <v>0.27238805970149255</v>
      </c>
      <c r="W128" s="311">
        <f t="shared" si="27"/>
        <v>0.33582089552238809</v>
      </c>
      <c r="X128" s="311">
        <f t="shared" si="28"/>
        <v>0.39552238805970147</v>
      </c>
      <c r="Y128" s="311">
        <f t="shared" si="22"/>
        <v>0.42910447761194032</v>
      </c>
      <c r="Z128" s="311"/>
    </row>
    <row r="129" spans="2:26">
      <c r="B129" s="305">
        <v>305</v>
      </c>
      <c r="C129" s="307">
        <v>20</v>
      </c>
      <c r="D129" s="307">
        <v>60</v>
      </c>
      <c r="E129" s="307">
        <v>102.5</v>
      </c>
      <c r="F129" s="307">
        <v>142.5</v>
      </c>
      <c r="G129" s="307">
        <v>182.5</v>
      </c>
      <c r="H129" s="307">
        <v>225</v>
      </c>
      <c r="I129" s="307">
        <v>265</v>
      </c>
      <c r="J129" s="307">
        <v>287.5</v>
      </c>
      <c r="K129" s="307">
        <v>0</v>
      </c>
      <c r="M129">
        <f t="shared" si="20"/>
        <v>8</v>
      </c>
      <c r="Q129" s="305">
        <v>675</v>
      </c>
      <c r="R129" s="310">
        <f t="shared" si="21"/>
        <v>2.9629629629629631E-2</v>
      </c>
      <c r="S129" s="311">
        <f t="shared" si="23"/>
        <v>8.8888888888888892E-2</v>
      </c>
      <c r="T129" s="311">
        <f t="shared" si="24"/>
        <v>0.15185185185185185</v>
      </c>
      <c r="U129" s="311">
        <f t="shared" si="25"/>
        <v>0.21111111111111111</v>
      </c>
      <c r="V129" s="311">
        <f t="shared" si="26"/>
        <v>0.27037037037037037</v>
      </c>
      <c r="W129" s="311">
        <f t="shared" si="27"/>
        <v>0.33333333333333331</v>
      </c>
      <c r="X129" s="311">
        <f t="shared" si="28"/>
        <v>0.3925925925925926</v>
      </c>
      <c r="Y129" s="311">
        <f t="shared" si="22"/>
        <v>0.42592592592592593</v>
      </c>
      <c r="Z129" s="311"/>
    </row>
    <row r="130" spans="2:26">
      <c r="B130" s="305">
        <v>307.5</v>
      </c>
      <c r="C130" s="307">
        <v>20</v>
      </c>
      <c r="D130" s="307">
        <v>60</v>
      </c>
      <c r="E130" s="307">
        <v>102.5</v>
      </c>
      <c r="F130" s="307">
        <v>142.5</v>
      </c>
      <c r="G130" s="307">
        <v>182.5</v>
      </c>
      <c r="H130" s="307">
        <v>225</v>
      </c>
      <c r="I130" s="307">
        <v>265</v>
      </c>
      <c r="J130" s="307">
        <v>287.5</v>
      </c>
      <c r="K130" s="307">
        <v>0</v>
      </c>
      <c r="M130">
        <f t="shared" si="20"/>
        <v>8</v>
      </c>
      <c r="Q130" s="305">
        <v>680</v>
      </c>
      <c r="R130" s="310">
        <f t="shared" si="21"/>
        <v>2.9411764705882353E-2</v>
      </c>
      <c r="S130" s="311">
        <f t="shared" si="23"/>
        <v>8.8235294117647065E-2</v>
      </c>
      <c r="T130" s="311">
        <f t="shared" si="24"/>
        <v>0.15073529411764705</v>
      </c>
      <c r="U130" s="311">
        <f t="shared" si="25"/>
        <v>0.20955882352941177</v>
      </c>
      <c r="V130" s="311">
        <f t="shared" si="26"/>
        <v>0.26838235294117646</v>
      </c>
      <c r="W130" s="311">
        <f t="shared" si="27"/>
        <v>0.33088235294117646</v>
      </c>
      <c r="X130" s="311">
        <f t="shared" si="28"/>
        <v>0.38970588235294118</v>
      </c>
      <c r="Y130" s="311">
        <f t="shared" si="22"/>
        <v>0.42279411764705882</v>
      </c>
      <c r="Z130" s="311"/>
    </row>
    <row r="131" spans="2:26">
      <c r="B131" s="305">
        <v>310</v>
      </c>
      <c r="C131" s="307">
        <v>20</v>
      </c>
      <c r="D131" s="307">
        <v>60</v>
      </c>
      <c r="E131" s="307">
        <v>102.5</v>
      </c>
      <c r="F131" s="307">
        <v>142.5</v>
      </c>
      <c r="G131" s="307">
        <v>182.5</v>
      </c>
      <c r="H131" s="307">
        <v>225</v>
      </c>
      <c r="I131" s="307">
        <v>265</v>
      </c>
      <c r="J131" s="307">
        <v>287.5</v>
      </c>
      <c r="K131" s="307">
        <v>0</v>
      </c>
      <c r="M131">
        <f t="shared" si="20"/>
        <v>8</v>
      </c>
      <c r="Q131" s="305">
        <v>685</v>
      </c>
      <c r="R131" s="310">
        <f t="shared" si="21"/>
        <v>2.9197080291970802E-2</v>
      </c>
      <c r="S131" s="311">
        <f t="shared" si="23"/>
        <v>8.7591240875912413E-2</v>
      </c>
      <c r="T131" s="311">
        <f t="shared" si="24"/>
        <v>0.14963503649635038</v>
      </c>
      <c r="U131" s="311">
        <f t="shared" si="25"/>
        <v>0.20802919708029197</v>
      </c>
      <c r="V131" s="311">
        <f t="shared" si="26"/>
        <v>0.26642335766423358</v>
      </c>
      <c r="W131" s="311">
        <f t="shared" si="27"/>
        <v>0.32846715328467152</v>
      </c>
      <c r="X131" s="311">
        <f t="shared" si="28"/>
        <v>0.38686131386861317</v>
      </c>
      <c r="Y131" s="311">
        <f t="shared" si="22"/>
        <v>0.41970802919708028</v>
      </c>
      <c r="Z131" s="311"/>
    </row>
    <row r="132" spans="2:26">
      <c r="B132" s="305">
        <v>312.5</v>
      </c>
      <c r="C132" s="307">
        <v>20</v>
      </c>
      <c r="D132" s="307">
        <v>60</v>
      </c>
      <c r="E132" s="307">
        <v>102.5</v>
      </c>
      <c r="F132" s="307">
        <v>142.5</v>
      </c>
      <c r="G132" s="307">
        <v>182.5</v>
      </c>
      <c r="H132" s="307">
        <v>225</v>
      </c>
      <c r="I132" s="307">
        <v>265</v>
      </c>
      <c r="J132" s="307">
        <v>287.5</v>
      </c>
      <c r="K132" s="307">
        <v>0</v>
      </c>
      <c r="M132">
        <f t="shared" ref="M132:M161" si="29">COUNTIF(C132:K132,"&gt;0")</f>
        <v>8</v>
      </c>
      <c r="Q132" s="305">
        <v>690</v>
      </c>
      <c r="R132" s="310">
        <f t="shared" si="21"/>
        <v>2.8985507246376812E-2</v>
      </c>
      <c r="S132" s="311">
        <f t="shared" si="23"/>
        <v>8.6956521739130432E-2</v>
      </c>
      <c r="T132" s="311">
        <f t="shared" si="24"/>
        <v>0.14855072463768115</v>
      </c>
      <c r="U132" s="311">
        <f t="shared" si="25"/>
        <v>0.20652173913043478</v>
      </c>
      <c r="V132" s="311">
        <f t="shared" si="26"/>
        <v>0.26449275362318841</v>
      </c>
      <c r="W132" s="311">
        <f t="shared" si="27"/>
        <v>0.32608695652173914</v>
      </c>
      <c r="X132" s="311">
        <f t="shared" si="28"/>
        <v>0.38405797101449274</v>
      </c>
      <c r="Y132" s="311">
        <f t="shared" si="22"/>
        <v>0.41666666666666669</v>
      </c>
      <c r="Z132" s="311"/>
    </row>
    <row r="133" spans="2:26">
      <c r="B133" s="305">
        <v>315</v>
      </c>
      <c r="C133" s="307">
        <v>20</v>
      </c>
      <c r="D133" s="307">
        <v>60</v>
      </c>
      <c r="E133" s="307">
        <v>102.5</v>
      </c>
      <c r="F133" s="307">
        <v>142.5</v>
      </c>
      <c r="G133" s="307">
        <v>182.5</v>
      </c>
      <c r="H133" s="307">
        <v>225</v>
      </c>
      <c r="I133" s="307">
        <v>265</v>
      </c>
      <c r="J133" s="307">
        <v>287.5</v>
      </c>
      <c r="K133" s="307">
        <v>0</v>
      </c>
      <c r="M133">
        <f t="shared" si="29"/>
        <v>8</v>
      </c>
      <c r="Q133" s="305">
        <v>695</v>
      </c>
      <c r="R133" s="310">
        <f t="shared" ref="R133:R161" si="30">C133/$Q133</f>
        <v>2.8776978417266189E-2</v>
      </c>
      <c r="S133" s="311">
        <f t="shared" si="23"/>
        <v>8.6330935251798566E-2</v>
      </c>
      <c r="T133" s="311">
        <f t="shared" si="24"/>
        <v>0.14748201438848921</v>
      </c>
      <c r="U133" s="311">
        <f t="shared" si="25"/>
        <v>0.20503597122302158</v>
      </c>
      <c r="V133" s="311">
        <f t="shared" si="26"/>
        <v>0.26258992805755393</v>
      </c>
      <c r="W133" s="311">
        <f t="shared" si="27"/>
        <v>0.32374100719424459</v>
      </c>
      <c r="X133" s="311">
        <f t="shared" si="28"/>
        <v>0.38129496402877699</v>
      </c>
      <c r="Y133" s="311">
        <f t="shared" si="22"/>
        <v>0.41366906474820142</v>
      </c>
      <c r="Z133" s="311"/>
    </row>
    <row r="134" spans="2:26">
      <c r="B134" s="305">
        <v>317.5</v>
      </c>
      <c r="C134" s="307">
        <v>20</v>
      </c>
      <c r="D134" s="307">
        <v>60</v>
      </c>
      <c r="E134" s="307">
        <v>102.5</v>
      </c>
      <c r="F134" s="307">
        <v>142.5</v>
      </c>
      <c r="G134" s="307">
        <v>182.5</v>
      </c>
      <c r="H134" s="307">
        <v>225</v>
      </c>
      <c r="I134" s="307">
        <v>265</v>
      </c>
      <c r="J134" s="307">
        <v>287.5</v>
      </c>
      <c r="K134" s="307">
        <v>0</v>
      </c>
      <c r="M134">
        <f t="shared" si="29"/>
        <v>8</v>
      </c>
      <c r="Q134" s="305">
        <v>700</v>
      </c>
      <c r="R134" s="310">
        <f t="shared" si="30"/>
        <v>2.8571428571428571E-2</v>
      </c>
      <c r="S134" s="311">
        <f t="shared" si="23"/>
        <v>8.5714285714285715E-2</v>
      </c>
      <c r="T134" s="311">
        <f t="shared" si="24"/>
        <v>0.14642857142857144</v>
      </c>
      <c r="U134" s="311">
        <f t="shared" si="25"/>
        <v>0.20357142857142857</v>
      </c>
      <c r="V134" s="311">
        <f t="shared" si="26"/>
        <v>0.26071428571428573</v>
      </c>
      <c r="W134" s="311">
        <f t="shared" si="27"/>
        <v>0.32142857142857145</v>
      </c>
      <c r="X134" s="311">
        <f t="shared" si="28"/>
        <v>0.37857142857142856</v>
      </c>
      <c r="Y134" s="311">
        <f t="shared" si="22"/>
        <v>0.4107142857142857</v>
      </c>
      <c r="Z134" s="311"/>
    </row>
    <row r="135" spans="2:26">
      <c r="B135" s="305">
        <v>320</v>
      </c>
      <c r="C135" s="307">
        <v>20</v>
      </c>
      <c r="D135" s="307">
        <v>60</v>
      </c>
      <c r="E135" s="307">
        <v>102.5</v>
      </c>
      <c r="F135" s="307">
        <v>142.5</v>
      </c>
      <c r="G135" s="307">
        <v>182.5</v>
      </c>
      <c r="H135" s="307">
        <v>225</v>
      </c>
      <c r="I135" s="307">
        <v>265</v>
      </c>
      <c r="J135" s="307">
        <v>287.5</v>
      </c>
      <c r="K135" s="307">
        <v>0</v>
      </c>
      <c r="M135">
        <f t="shared" si="29"/>
        <v>8</v>
      </c>
      <c r="Q135" s="305">
        <v>705</v>
      </c>
      <c r="R135" s="310">
        <f t="shared" si="30"/>
        <v>2.8368794326241134E-2</v>
      </c>
      <c r="S135" s="311">
        <f t="shared" si="23"/>
        <v>8.5106382978723402E-2</v>
      </c>
      <c r="T135" s="311">
        <f t="shared" si="24"/>
        <v>0.1453900709219858</v>
      </c>
      <c r="U135" s="311">
        <f t="shared" si="25"/>
        <v>0.20212765957446807</v>
      </c>
      <c r="V135" s="311">
        <f t="shared" si="26"/>
        <v>0.25886524822695034</v>
      </c>
      <c r="W135" s="311">
        <f t="shared" si="27"/>
        <v>0.31914893617021278</v>
      </c>
      <c r="X135" s="311">
        <f t="shared" si="28"/>
        <v>0.37588652482269502</v>
      </c>
      <c r="Y135" s="311">
        <f t="shared" si="22"/>
        <v>0.40780141843971629</v>
      </c>
      <c r="Z135" s="311"/>
    </row>
    <row r="136" spans="2:26">
      <c r="B136" s="305">
        <v>322.5</v>
      </c>
      <c r="C136" s="307">
        <v>20</v>
      </c>
      <c r="D136" s="307">
        <v>60</v>
      </c>
      <c r="E136" s="307">
        <v>102.5</v>
      </c>
      <c r="F136" s="307">
        <v>142.5</v>
      </c>
      <c r="G136" s="307">
        <v>182.5</v>
      </c>
      <c r="H136" s="307">
        <v>225</v>
      </c>
      <c r="I136" s="307">
        <v>265</v>
      </c>
      <c r="J136" s="307">
        <v>287.5</v>
      </c>
      <c r="K136" s="307">
        <v>0</v>
      </c>
      <c r="M136">
        <f t="shared" si="29"/>
        <v>8</v>
      </c>
      <c r="Q136" s="305">
        <v>710</v>
      </c>
      <c r="R136" s="310">
        <f t="shared" si="30"/>
        <v>2.8169014084507043E-2</v>
      </c>
      <c r="S136" s="311">
        <f t="shared" si="23"/>
        <v>8.4507042253521125E-2</v>
      </c>
      <c r="T136" s="311">
        <f t="shared" si="24"/>
        <v>0.14436619718309859</v>
      </c>
      <c r="U136" s="311">
        <f t="shared" si="25"/>
        <v>0.20070422535211269</v>
      </c>
      <c r="V136" s="311">
        <f t="shared" si="26"/>
        <v>0.25704225352112675</v>
      </c>
      <c r="W136" s="311">
        <f t="shared" si="27"/>
        <v>0.31690140845070425</v>
      </c>
      <c r="X136" s="311">
        <f t="shared" si="28"/>
        <v>0.37323943661971831</v>
      </c>
      <c r="Y136" s="311">
        <f t="shared" ref="Y136:Y161" si="31">J136/$Q136</f>
        <v>0.40492957746478875</v>
      </c>
      <c r="Z136" s="311"/>
    </row>
    <row r="137" spans="2:26">
      <c r="B137" s="305">
        <v>325</v>
      </c>
      <c r="C137" s="307">
        <v>20</v>
      </c>
      <c r="D137" s="307">
        <v>60</v>
      </c>
      <c r="E137" s="307">
        <v>102.5</v>
      </c>
      <c r="F137" s="307">
        <v>142.5</v>
      </c>
      <c r="G137" s="307">
        <v>182.5</v>
      </c>
      <c r="H137" s="307">
        <v>225</v>
      </c>
      <c r="I137" s="307">
        <v>265</v>
      </c>
      <c r="J137" s="307">
        <v>287.5</v>
      </c>
      <c r="K137" s="307">
        <v>0</v>
      </c>
      <c r="M137">
        <f t="shared" si="29"/>
        <v>8</v>
      </c>
      <c r="Q137" s="305">
        <v>715</v>
      </c>
      <c r="R137" s="310">
        <f t="shared" si="30"/>
        <v>2.7972027972027972E-2</v>
      </c>
      <c r="S137" s="311">
        <f t="shared" ref="S137:S161" si="32">D137/$Q137</f>
        <v>8.3916083916083919E-2</v>
      </c>
      <c r="T137" s="311">
        <f t="shared" ref="T137:T161" si="33">E137/$Q137</f>
        <v>0.14335664335664336</v>
      </c>
      <c r="U137" s="311">
        <f t="shared" si="25"/>
        <v>0.1993006993006993</v>
      </c>
      <c r="V137" s="311">
        <f t="shared" si="26"/>
        <v>0.25524475524475526</v>
      </c>
      <c r="W137" s="311">
        <f t="shared" si="27"/>
        <v>0.31468531468531469</v>
      </c>
      <c r="X137" s="311">
        <f t="shared" si="28"/>
        <v>0.37062937062937062</v>
      </c>
      <c r="Y137" s="311">
        <f t="shared" si="31"/>
        <v>0.40209790209790208</v>
      </c>
      <c r="Z137" s="311"/>
    </row>
    <row r="138" spans="2:26">
      <c r="B138" s="305">
        <v>327.5</v>
      </c>
      <c r="C138" s="307">
        <v>20</v>
      </c>
      <c r="D138" s="307">
        <v>60</v>
      </c>
      <c r="E138" s="307">
        <v>102.5</v>
      </c>
      <c r="F138" s="307">
        <v>142.5</v>
      </c>
      <c r="G138" s="307">
        <v>182.5</v>
      </c>
      <c r="H138" s="307">
        <v>225</v>
      </c>
      <c r="I138" s="307">
        <v>265</v>
      </c>
      <c r="J138" s="307">
        <v>287.5</v>
      </c>
      <c r="K138" s="307">
        <v>0</v>
      </c>
      <c r="M138">
        <f t="shared" si="29"/>
        <v>8</v>
      </c>
      <c r="Q138" s="305">
        <v>720</v>
      </c>
      <c r="R138" s="310">
        <f t="shared" si="30"/>
        <v>2.7777777777777776E-2</v>
      </c>
      <c r="S138" s="311">
        <f t="shared" si="32"/>
        <v>8.3333333333333329E-2</v>
      </c>
      <c r="T138" s="311">
        <f t="shared" si="33"/>
        <v>0.1423611111111111</v>
      </c>
      <c r="U138" s="311">
        <f t="shared" ref="U138:U161" si="34">F138/$Q138</f>
        <v>0.19791666666666666</v>
      </c>
      <c r="V138" s="311">
        <f t="shared" si="26"/>
        <v>0.25347222222222221</v>
      </c>
      <c r="W138" s="311">
        <f t="shared" si="27"/>
        <v>0.3125</v>
      </c>
      <c r="X138" s="311">
        <f t="shared" si="28"/>
        <v>0.36805555555555558</v>
      </c>
      <c r="Y138" s="311">
        <f t="shared" si="31"/>
        <v>0.39930555555555558</v>
      </c>
      <c r="Z138" s="311"/>
    </row>
    <row r="139" spans="2:26">
      <c r="B139" s="305">
        <v>330</v>
      </c>
      <c r="C139" s="307">
        <v>20</v>
      </c>
      <c r="D139" s="307">
        <v>60</v>
      </c>
      <c r="E139" s="307">
        <v>102.5</v>
      </c>
      <c r="F139" s="307">
        <v>142.5</v>
      </c>
      <c r="G139" s="307">
        <v>182.5</v>
      </c>
      <c r="H139" s="307">
        <v>225</v>
      </c>
      <c r="I139" s="307">
        <v>265</v>
      </c>
      <c r="J139" s="307">
        <v>295</v>
      </c>
      <c r="K139" s="307">
        <v>0</v>
      </c>
      <c r="M139">
        <f t="shared" si="29"/>
        <v>8</v>
      </c>
      <c r="Q139" s="305">
        <v>725</v>
      </c>
      <c r="R139" s="310">
        <f t="shared" si="30"/>
        <v>2.7586206896551724E-2</v>
      </c>
      <c r="S139" s="311">
        <f t="shared" si="32"/>
        <v>8.2758620689655171E-2</v>
      </c>
      <c r="T139" s="311">
        <f t="shared" si="33"/>
        <v>0.14137931034482759</v>
      </c>
      <c r="U139" s="311">
        <f t="shared" si="34"/>
        <v>0.19655172413793104</v>
      </c>
      <c r="V139" s="311">
        <f t="shared" si="26"/>
        <v>0.25172413793103449</v>
      </c>
      <c r="W139" s="311">
        <f t="shared" si="27"/>
        <v>0.31034482758620691</v>
      </c>
      <c r="X139" s="311">
        <f t="shared" si="28"/>
        <v>0.36551724137931035</v>
      </c>
      <c r="Y139" s="311">
        <f t="shared" si="31"/>
        <v>0.40689655172413791</v>
      </c>
      <c r="Z139" s="311"/>
    </row>
    <row r="140" spans="2:26">
      <c r="B140" s="305">
        <v>330</v>
      </c>
      <c r="C140" s="307">
        <v>20</v>
      </c>
      <c r="D140" s="307">
        <v>60</v>
      </c>
      <c r="E140" s="307">
        <v>102.5</v>
      </c>
      <c r="F140" s="307">
        <v>142.5</v>
      </c>
      <c r="G140" s="307">
        <v>182.5</v>
      </c>
      <c r="H140" s="307">
        <v>225</v>
      </c>
      <c r="I140" s="307">
        <v>265</v>
      </c>
      <c r="J140" s="307">
        <v>295</v>
      </c>
      <c r="K140" s="307">
        <v>0</v>
      </c>
      <c r="M140">
        <f t="shared" si="29"/>
        <v>8</v>
      </c>
      <c r="Q140" s="305">
        <v>730</v>
      </c>
      <c r="R140" s="310">
        <f t="shared" si="30"/>
        <v>2.7397260273972601E-2</v>
      </c>
      <c r="S140" s="311">
        <f t="shared" si="32"/>
        <v>8.2191780821917804E-2</v>
      </c>
      <c r="T140" s="311">
        <f t="shared" si="33"/>
        <v>0.1404109589041096</v>
      </c>
      <c r="U140" s="311">
        <f t="shared" si="34"/>
        <v>0.1952054794520548</v>
      </c>
      <c r="V140" s="311">
        <f t="shared" si="26"/>
        <v>0.25</v>
      </c>
      <c r="W140" s="311">
        <f t="shared" si="27"/>
        <v>0.30821917808219179</v>
      </c>
      <c r="X140" s="311">
        <f t="shared" si="28"/>
        <v>0.36301369863013699</v>
      </c>
      <c r="Y140" s="311">
        <f t="shared" si="31"/>
        <v>0.4041095890410959</v>
      </c>
      <c r="Z140" s="311"/>
    </row>
    <row r="141" spans="2:26">
      <c r="B141" s="305">
        <v>332.5</v>
      </c>
      <c r="C141" s="307">
        <v>20</v>
      </c>
      <c r="D141" s="307">
        <v>60</v>
      </c>
      <c r="E141" s="307">
        <v>102.5</v>
      </c>
      <c r="F141" s="307">
        <v>142.5</v>
      </c>
      <c r="G141" s="307">
        <v>182.5</v>
      </c>
      <c r="H141" s="307">
        <v>225</v>
      </c>
      <c r="I141" s="307">
        <v>265</v>
      </c>
      <c r="J141" s="307">
        <v>295</v>
      </c>
      <c r="K141" s="307">
        <v>0</v>
      </c>
      <c r="M141">
        <f t="shared" si="29"/>
        <v>8</v>
      </c>
      <c r="Q141" s="305">
        <v>735</v>
      </c>
      <c r="R141" s="310">
        <f t="shared" si="30"/>
        <v>2.7210884353741496E-2</v>
      </c>
      <c r="S141" s="311">
        <f t="shared" si="32"/>
        <v>8.1632653061224483E-2</v>
      </c>
      <c r="T141" s="311">
        <f t="shared" si="33"/>
        <v>0.13945578231292516</v>
      </c>
      <c r="U141" s="311">
        <f t="shared" si="34"/>
        <v>0.19387755102040816</v>
      </c>
      <c r="V141" s="311">
        <f t="shared" si="26"/>
        <v>0.24829931972789115</v>
      </c>
      <c r="W141" s="311">
        <f t="shared" si="27"/>
        <v>0.30612244897959184</v>
      </c>
      <c r="X141" s="311">
        <f t="shared" si="28"/>
        <v>0.36054421768707484</v>
      </c>
      <c r="Y141" s="311">
        <f t="shared" si="31"/>
        <v>0.40136054421768708</v>
      </c>
      <c r="Z141" s="311"/>
    </row>
    <row r="142" spans="2:26">
      <c r="B142" s="305">
        <v>335</v>
      </c>
      <c r="C142" s="307">
        <v>20</v>
      </c>
      <c r="D142" s="307">
        <v>60</v>
      </c>
      <c r="E142" s="307">
        <v>102.5</v>
      </c>
      <c r="F142" s="307">
        <v>142.5</v>
      </c>
      <c r="G142" s="307">
        <v>182.5</v>
      </c>
      <c r="H142" s="307">
        <v>225</v>
      </c>
      <c r="I142" s="307">
        <v>265</v>
      </c>
      <c r="J142" s="307">
        <v>295</v>
      </c>
      <c r="K142" s="307">
        <v>0</v>
      </c>
      <c r="M142">
        <f t="shared" si="29"/>
        <v>8</v>
      </c>
      <c r="Q142" s="305">
        <v>740</v>
      </c>
      <c r="R142" s="310">
        <f t="shared" si="30"/>
        <v>2.7027027027027029E-2</v>
      </c>
      <c r="S142" s="311">
        <f t="shared" si="32"/>
        <v>8.1081081081081086E-2</v>
      </c>
      <c r="T142" s="311">
        <f t="shared" si="33"/>
        <v>0.13851351351351351</v>
      </c>
      <c r="U142" s="311">
        <f t="shared" si="34"/>
        <v>0.19256756756756757</v>
      </c>
      <c r="V142" s="311">
        <f t="shared" si="26"/>
        <v>0.24662162162162163</v>
      </c>
      <c r="W142" s="311">
        <f t="shared" si="27"/>
        <v>0.30405405405405406</v>
      </c>
      <c r="X142" s="311">
        <f t="shared" si="28"/>
        <v>0.35810810810810811</v>
      </c>
      <c r="Y142" s="311">
        <f t="shared" si="31"/>
        <v>0.39864864864864863</v>
      </c>
      <c r="Z142" s="311"/>
    </row>
    <row r="143" spans="2:26">
      <c r="B143" s="305">
        <v>337.5</v>
      </c>
      <c r="C143" s="307">
        <v>20</v>
      </c>
      <c r="D143" s="307">
        <v>60</v>
      </c>
      <c r="E143" s="307">
        <v>102.5</v>
      </c>
      <c r="F143" s="307">
        <v>142.5</v>
      </c>
      <c r="G143" s="307">
        <v>182.5</v>
      </c>
      <c r="H143" s="307">
        <v>225</v>
      </c>
      <c r="I143" s="307">
        <v>265</v>
      </c>
      <c r="J143" s="307">
        <v>295</v>
      </c>
      <c r="K143" s="307">
        <v>0</v>
      </c>
      <c r="M143">
        <f t="shared" si="29"/>
        <v>8</v>
      </c>
      <c r="Q143" s="305">
        <v>745</v>
      </c>
      <c r="R143" s="310">
        <f t="shared" si="30"/>
        <v>2.6845637583892617E-2</v>
      </c>
      <c r="S143" s="311">
        <f t="shared" si="32"/>
        <v>8.0536912751677847E-2</v>
      </c>
      <c r="T143" s="311">
        <f t="shared" si="33"/>
        <v>0.13758389261744966</v>
      </c>
      <c r="U143" s="311">
        <f t="shared" si="34"/>
        <v>0.1912751677852349</v>
      </c>
      <c r="V143" s="311">
        <f t="shared" si="26"/>
        <v>0.24496644295302014</v>
      </c>
      <c r="W143" s="311">
        <f t="shared" si="27"/>
        <v>0.30201342281879195</v>
      </c>
      <c r="X143" s="311">
        <f t="shared" si="28"/>
        <v>0.35570469798657717</v>
      </c>
      <c r="Y143" s="311">
        <f t="shared" si="31"/>
        <v>0.39597315436241609</v>
      </c>
      <c r="Z143" s="311"/>
    </row>
    <row r="144" spans="2:26">
      <c r="B144" s="305">
        <v>340</v>
      </c>
      <c r="C144" s="307">
        <v>20</v>
      </c>
      <c r="D144" s="307">
        <v>60</v>
      </c>
      <c r="E144" s="307">
        <v>102.5</v>
      </c>
      <c r="F144" s="307">
        <v>142.5</v>
      </c>
      <c r="G144" s="307">
        <v>182.5</v>
      </c>
      <c r="H144" s="307">
        <v>225</v>
      </c>
      <c r="I144" s="307">
        <v>265</v>
      </c>
      <c r="J144" s="307">
        <v>295</v>
      </c>
      <c r="K144" s="307">
        <v>317.5</v>
      </c>
      <c r="M144">
        <f t="shared" si="29"/>
        <v>9</v>
      </c>
      <c r="Q144" s="305">
        <v>750</v>
      </c>
      <c r="R144" s="310">
        <f t="shared" si="30"/>
        <v>2.6666666666666668E-2</v>
      </c>
      <c r="S144" s="311">
        <f t="shared" si="32"/>
        <v>0.08</v>
      </c>
      <c r="T144" s="311">
        <f t="shared" si="33"/>
        <v>0.13666666666666666</v>
      </c>
      <c r="U144" s="311">
        <f t="shared" si="34"/>
        <v>0.19</v>
      </c>
      <c r="V144" s="311">
        <f t="shared" si="26"/>
        <v>0.24333333333333335</v>
      </c>
      <c r="W144" s="311">
        <f t="shared" si="27"/>
        <v>0.3</v>
      </c>
      <c r="X144" s="311">
        <f t="shared" si="28"/>
        <v>0.35333333333333333</v>
      </c>
      <c r="Y144" s="311">
        <f t="shared" si="31"/>
        <v>0.39333333333333331</v>
      </c>
      <c r="Z144" s="311">
        <f t="shared" ref="Z144:Z161" si="35">K144/$Q144</f>
        <v>0.42333333333333334</v>
      </c>
    </row>
    <row r="145" spans="2:26">
      <c r="B145" s="305">
        <v>342.5</v>
      </c>
      <c r="C145" s="307">
        <v>20</v>
      </c>
      <c r="D145" s="307">
        <v>60</v>
      </c>
      <c r="E145" s="307">
        <v>102.5</v>
      </c>
      <c r="F145" s="307">
        <v>142.5</v>
      </c>
      <c r="G145" s="307">
        <v>182.5</v>
      </c>
      <c r="H145" s="307">
        <v>225</v>
      </c>
      <c r="I145" s="307">
        <v>265</v>
      </c>
      <c r="J145" s="307">
        <v>295</v>
      </c>
      <c r="K145" s="307">
        <v>317.5</v>
      </c>
      <c r="M145">
        <f t="shared" si="29"/>
        <v>9</v>
      </c>
      <c r="Q145" s="305">
        <v>755</v>
      </c>
      <c r="R145" s="310">
        <f t="shared" si="30"/>
        <v>2.6490066225165563E-2</v>
      </c>
      <c r="S145" s="311">
        <f t="shared" si="32"/>
        <v>7.9470198675496692E-2</v>
      </c>
      <c r="T145" s="311">
        <f t="shared" si="33"/>
        <v>0.13576158940397351</v>
      </c>
      <c r="U145" s="311">
        <f t="shared" si="34"/>
        <v>0.18874172185430463</v>
      </c>
      <c r="V145" s="311">
        <f t="shared" ref="V145:V161" si="36">G145/$Q145</f>
        <v>0.24172185430463577</v>
      </c>
      <c r="W145" s="311">
        <f t="shared" si="27"/>
        <v>0.29801324503311261</v>
      </c>
      <c r="X145" s="311">
        <f t="shared" si="28"/>
        <v>0.35099337748344372</v>
      </c>
      <c r="Y145" s="311">
        <f t="shared" si="31"/>
        <v>0.39072847682119205</v>
      </c>
      <c r="Z145" s="311">
        <f t="shared" si="35"/>
        <v>0.42052980132450329</v>
      </c>
    </row>
    <row r="146" spans="2:26">
      <c r="B146" s="305">
        <v>345</v>
      </c>
      <c r="C146" s="307">
        <v>20</v>
      </c>
      <c r="D146" s="307">
        <v>60</v>
      </c>
      <c r="E146" s="307">
        <v>102.5</v>
      </c>
      <c r="F146" s="307">
        <v>142.5</v>
      </c>
      <c r="G146" s="307">
        <v>182.5</v>
      </c>
      <c r="H146" s="307">
        <v>225</v>
      </c>
      <c r="I146" s="307">
        <v>265</v>
      </c>
      <c r="J146" s="307">
        <v>305</v>
      </c>
      <c r="K146" s="307">
        <v>320</v>
      </c>
      <c r="M146">
        <f t="shared" si="29"/>
        <v>9</v>
      </c>
      <c r="Q146" s="305">
        <v>760</v>
      </c>
      <c r="R146" s="310">
        <f t="shared" si="30"/>
        <v>2.6315789473684209E-2</v>
      </c>
      <c r="S146" s="311">
        <f t="shared" si="32"/>
        <v>7.8947368421052627E-2</v>
      </c>
      <c r="T146" s="311">
        <f t="shared" si="33"/>
        <v>0.13486842105263158</v>
      </c>
      <c r="U146" s="311">
        <f t="shared" si="34"/>
        <v>0.1875</v>
      </c>
      <c r="V146" s="311">
        <f t="shared" si="36"/>
        <v>0.24013157894736842</v>
      </c>
      <c r="W146" s="311">
        <f t="shared" ref="W146:W161" si="37">H146/$Q146</f>
        <v>0.29605263157894735</v>
      </c>
      <c r="X146" s="311">
        <f t="shared" si="28"/>
        <v>0.34868421052631576</v>
      </c>
      <c r="Y146" s="311">
        <f t="shared" si="31"/>
        <v>0.40131578947368424</v>
      </c>
      <c r="Z146" s="311">
        <f t="shared" si="35"/>
        <v>0.42105263157894735</v>
      </c>
    </row>
    <row r="147" spans="2:26">
      <c r="B147" s="305">
        <v>347.5</v>
      </c>
      <c r="C147" s="307">
        <v>20</v>
      </c>
      <c r="D147" s="307">
        <v>60</v>
      </c>
      <c r="E147" s="307">
        <v>102.5</v>
      </c>
      <c r="F147" s="307">
        <v>142.5</v>
      </c>
      <c r="G147" s="307">
        <v>182.5</v>
      </c>
      <c r="H147" s="307">
        <v>225</v>
      </c>
      <c r="I147" s="307">
        <v>265</v>
      </c>
      <c r="J147" s="307">
        <v>305</v>
      </c>
      <c r="K147" s="307">
        <v>322.5</v>
      </c>
      <c r="M147">
        <f t="shared" si="29"/>
        <v>9</v>
      </c>
      <c r="Q147" s="305">
        <v>765</v>
      </c>
      <c r="R147" s="310">
        <f t="shared" si="30"/>
        <v>2.6143790849673203E-2</v>
      </c>
      <c r="S147" s="311">
        <f t="shared" si="32"/>
        <v>7.8431372549019607E-2</v>
      </c>
      <c r="T147" s="311">
        <f t="shared" si="33"/>
        <v>0.13398692810457516</v>
      </c>
      <c r="U147" s="311">
        <f t="shared" si="34"/>
        <v>0.18627450980392157</v>
      </c>
      <c r="V147" s="311">
        <f t="shared" si="36"/>
        <v>0.23856209150326799</v>
      </c>
      <c r="W147" s="311">
        <f t="shared" si="37"/>
        <v>0.29411764705882354</v>
      </c>
      <c r="X147" s="311">
        <f t="shared" si="28"/>
        <v>0.34640522875816993</v>
      </c>
      <c r="Y147" s="311">
        <f t="shared" si="31"/>
        <v>0.39869281045751637</v>
      </c>
      <c r="Z147" s="311">
        <f t="shared" si="35"/>
        <v>0.42156862745098039</v>
      </c>
    </row>
    <row r="148" spans="2:26">
      <c r="B148" s="305">
        <v>350</v>
      </c>
      <c r="C148" s="307">
        <v>20</v>
      </c>
      <c r="D148" s="307">
        <v>60</v>
      </c>
      <c r="E148" s="307">
        <v>102.5</v>
      </c>
      <c r="F148" s="307">
        <v>142.5</v>
      </c>
      <c r="G148" s="307">
        <v>182.5</v>
      </c>
      <c r="H148" s="307">
        <v>225</v>
      </c>
      <c r="I148" s="307">
        <v>265</v>
      </c>
      <c r="J148" s="307">
        <v>305</v>
      </c>
      <c r="K148" s="307">
        <v>327.5</v>
      </c>
      <c r="M148">
        <f t="shared" si="29"/>
        <v>9</v>
      </c>
      <c r="Q148" s="305">
        <v>770</v>
      </c>
      <c r="R148" s="310">
        <f t="shared" si="30"/>
        <v>2.5974025974025976E-2</v>
      </c>
      <c r="S148" s="311">
        <f t="shared" si="32"/>
        <v>7.792207792207792E-2</v>
      </c>
      <c r="T148" s="311">
        <f t="shared" si="33"/>
        <v>0.13311688311688311</v>
      </c>
      <c r="U148" s="311">
        <f t="shared" si="34"/>
        <v>0.18506493506493507</v>
      </c>
      <c r="V148" s="311">
        <f t="shared" si="36"/>
        <v>0.23701298701298701</v>
      </c>
      <c r="W148" s="311">
        <f t="shared" si="37"/>
        <v>0.29220779220779219</v>
      </c>
      <c r="X148" s="311">
        <f t="shared" si="28"/>
        <v>0.34415584415584416</v>
      </c>
      <c r="Y148" s="311">
        <f t="shared" si="31"/>
        <v>0.39610389610389612</v>
      </c>
      <c r="Z148" s="311">
        <f t="shared" si="35"/>
        <v>0.42532467532467533</v>
      </c>
    </row>
    <row r="149" spans="2:26">
      <c r="B149" s="305">
        <v>352.5</v>
      </c>
      <c r="C149" s="307">
        <v>20</v>
      </c>
      <c r="D149" s="307">
        <v>60</v>
      </c>
      <c r="E149" s="307">
        <v>102.5</v>
      </c>
      <c r="F149" s="307">
        <v>142.5</v>
      </c>
      <c r="G149" s="307">
        <v>182.5</v>
      </c>
      <c r="H149" s="307">
        <v>225</v>
      </c>
      <c r="I149" s="307">
        <v>265</v>
      </c>
      <c r="J149" s="307">
        <v>305</v>
      </c>
      <c r="K149" s="307">
        <v>330</v>
      </c>
      <c r="M149">
        <f t="shared" si="29"/>
        <v>9</v>
      </c>
      <c r="Q149" s="305">
        <v>775</v>
      </c>
      <c r="R149" s="310">
        <f t="shared" si="30"/>
        <v>2.5806451612903226E-2</v>
      </c>
      <c r="S149" s="311">
        <f t="shared" si="32"/>
        <v>7.7419354838709681E-2</v>
      </c>
      <c r="T149" s="311">
        <f t="shared" si="33"/>
        <v>0.13225806451612904</v>
      </c>
      <c r="U149" s="311">
        <f t="shared" si="34"/>
        <v>0.18387096774193548</v>
      </c>
      <c r="V149" s="311">
        <f t="shared" si="36"/>
        <v>0.23548387096774193</v>
      </c>
      <c r="W149" s="311">
        <f t="shared" si="37"/>
        <v>0.29032258064516131</v>
      </c>
      <c r="X149" s="311">
        <f t="shared" si="28"/>
        <v>0.34193548387096773</v>
      </c>
      <c r="Y149" s="311">
        <f t="shared" si="31"/>
        <v>0.3935483870967742</v>
      </c>
      <c r="Z149" s="311">
        <f t="shared" si="35"/>
        <v>0.4258064516129032</v>
      </c>
    </row>
    <row r="150" spans="2:26">
      <c r="B150" s="305">
        <v>355</v>
      </c>
      <c r="C150" s="307">
        <v>20</v>
      </c>
      <c r="D150" s="307">
        <v>60</v>
      </c>
      <c r="E150" s="307">
        <v>102.5</v>
      </c>
      <c r="F150" s="307">
        <v>142.5</v>
      </c>
      <c r="G150" s="307">
        <v>182.5</v>
      </c>
      <c r="H150" s="307">
        <v>225</v>
      </c>
      <c r="I150" s="307">
        <v>265</v>
      </c>
      <c r="J150" s="307">
        <v>305</v>
      </c>
      <c r="K150" s="307">
        <v>330</v>
      </c>
      <c r="M150">
        <f t="shared" si="29"/>
        <v>9</v>
      </c>
      <c r="Q150" s="305">
        <v>780</v>
      </c>
      <c r="R150" s="310">
        <f t="shared" si="30"/>
        <v>2.564102564102564E-2</v>
      </c>
      <c r="S150" s="311">
        <f t="shared" si="32"/>
        <v>7.6923076923076927E-2</v>
      </c>
      <c r="T150" s="311">
        <f t="shared" si="33"/>
        <v>0.13141025641025642</v>
      </c>
      <c r="U150" s="311">
        <f t="shared" si="34"/>
        <v>0.18269230769230768</v>
      </c>
      <c r="V150" s="311">
        <f t="shared" si="36"/>
        <v>0.23397435897435898</v>
      </c>
      <c r="W150" s="311">
        <f t="shared" si="37"/>
        <v>0.28846153846153844</v>
      </c>
      <c r="X150" s="311">
        <f t="shared" si="28"/>
        <v>0.33974358974358976</v>
      </c>
      <c r="Y150" s="311">
        <f t="shared" si="31"/>
        <v>0.39102564102564102</v>
      </c>
      <c r="Z150" s="311">
        <f t="shared" si="35"/>
        <v>0.42307692307692307</v>
      </c>
    </row>
    <row r="151" spans="2:26">
      <c r="B151" s="305">
        <v>355</v>
      </c>
      <c r="C151" s="307">
        <v>20</v>
      </c>
      <c r="D151" s="307">
        <v>60</v>
      </c>
      <c r="E151" s="307">
        <v>102.5</v>
      </c>
      <c r="F151" s="307">
        <v>142.5</v>
      </c>
      <c r="G151" s="307">
        <v>182.5</v>
      </c>
      <c r="H151" s="307">
        <v>225</v>
      </c>
      <c r="I151" s="307">
        <v>265</v>
      </c>
      <c r="J151" s="307">
        <v>305</v>
      </c>
      <c r="K151" s="307">
        <v>332.5</v>
      </c>
      <c r="M151">
        <f t="shared" si="29"/>
        <v>9</v>
      </c>
      <c r="Q151" s="305">
        <v>785</v>
      </c>
      <c r="R151" s="310">
        <f t="shared" si="30"/>
        <v>2.5477707006369428E-2</v>
      </c>
      <c r="S151" s="311">
        <f t="shared" si="32"/>
        <v>7.6433121019108277E-2</v>
      </c>
      <c r="T151" s="311">
        <f t="shared" si="33"/>
        <v>0.13057324840764331</v>
      </c>
      <c r="U151" s="311">
        <f t="shared" si="34"/>
        <v>0.18152866242038215</v>
      </c>
      <c r="V151" s="311">
        <f t="shared" si="36"/>
        <v>0.23248407643312102</v>
      </c>
      <c r="W151" s="311">
        <f t="shared" si="37"/>
        <v>0.28662420382165604</v>
      </c>
      <c r="X151" s="311">
        <f t="shared" ref="X151:X161" si="38">I151/$Q151</f>
        <v>0.33757961783439489</v>
      </c>
      <c r="Y151" s="311">
        <f t="shared" si="31"/>
        <v>0.38853503184713378</v>
      </c>
      <c r="Z151" s="311">
        <f t="shared" si="35"/>
        <v>0.42356687898089174</v>
      </c>
    </row>
    <row r="152" spans="2:26">
      <c r="B152" s="305">
        <v>357.5</v>
      </c>
      <c r="C152" s="307">
        <v>20</v>
      </c>
      <c r="D152" s="307">
        <v>60</v>
      </c>
      <c r="E152" s="307">
        <v>102.5</v>
      </c>
      <c r="F152" s="307">
        <v>142.5</v>
      </c>
      <c r="G152" s="307">
        <v>182.5</v>
      </c>
      <c r="H152" s="307">
        <v>225</v>
      </c>
      <c r="I152" s="307">
        <v>265</v>
      </c>
      <c r="J152" s="307">
        <v>305</v>
      </c>
      <c r="K152" s="307">
        <v>335</v>
      </c>
      <c r="M152">
        <f t="shared" si="29"/>
        <v>9</v>
      </c>
      <c r="Q152" s="305">
        <v>790</v>
      </c>
      <c r="R152" s="310">
        <f t="shared" si="30"/>
        <v>2.5316455696202531E-2</v>
      </c>
      <c r="S152" s="311">
        <f t="shared" si="32"/>
        <v>7.5949367088607597E-2</v>
      </c>
      <c r="T152" s="311">
        <f t="shared" si="33"/>
        <v>0.12974683544303797</v>
      </c>
      <c r="U152" s="311">
        <f t="shared" si="34"/>
        <v>0.18037974683544303</v>
      </c>
      <c r="V152" s="311">
        <f t="shared" si="36"/>
        <v>0.23101265822784811</v>
      </c>
      <c r="W152" s="311">
        <f t="shared" si="37"/>
        <v>0.2848101265822785</v>
      </c>
      <c r="X152" s="311">
        <f t="shared" si="38"/>
        <v>0.33544303797468356</v>
      </c>
      <c r="Y152" s="311">
        <f t="shared" si="31"/>
        <v>0.38607594936708861</v>
      </c>
      <c r="Z152" s="311">
        <f t="shared" si="35"/>
        <v>0.42405063291139239</v>
      </c>
    </row>
    <row r="153" spans="2:26">
      <c r="B153" s="305">
        <v>360</v>
      </c>
      <c r="C153" s="307">
        <v>20</v>
      </c>
      <c r="D153" s="307">
        <v>60</v>
      </c>
      <c r="E153" s="307">
        <v>102.5</v>
      </c>
      <c r="F153" s="307">
        <v>142.5</v>
      </c>
      <c r="G153" s="307">
        <v>182.5</v>
      </c>
      <c r="H153" s="307">
        <v>225</v>
      </c>
      <c r="I153" s="307">
        <v>265</v>
      </c>
      <c r="J153" s="307">
        <v>305</v>
      </c>
      <c r="K153" s="307">
        <v>337.5</v>
      </c>
      <c r="M153">
        <f t="shared" si="29"/>
        <v>9</v>
      </c>
      <c r="Q153" s="305">
        <v>795</v>
      </c>
      <c r="R153" s="310">
        <f t="shared" si="30"/>
        <v>2.5157232704402517E-2</v>
      </c>
      <c r="S153" s="311">
        <f t="shared" si="32"/>
        <v>7.5471698113207544E-2</v>
      </c>
      <c r="T153" s="311">
        <f t="shared" si="33"/>
        <v>0.12893081761006289</v>
      </c>
      <c r="U153" s="311">
        <f t="shared" si="34"/>
        <v>0.17924528301886791</v>
      </c>
      <c r="V153" s="311">
        <f t="shared" si="36"/>
        <v>0.22955974842767296</v>
      </c>
      <c r="W153" s="311">
        <f t="shared" si="37"/>
        <v>0.28301886792452829</v>
      </c>
      <c r="X153" s="311">
        <f t="shared" si="38"/>
        <v>0.33333333333333331</v>
      </c>
      <c r="Y153" s="311">
        <f t="shared" si="31"/>
        <v>0.38364779874213839</v>
      </c>
      <c r="Z153" s="311">
        <f t="shared" si="35"/>
        <v>0.42452830188679247</v>
      </c>
    </row>
    <row r="154" spans="2:26">
      <c r="B154" s="305">
        <v>362.5</v>
      </c>
      <c r="C154" s="307">
        <v>20</v>
      </c>
      <c r="D154" s="307">
        <v>60</v>
      </c>
      <c r="E154" s="307">
        <v>102.5</v>
      </c>
      <c r="F154" s="307">
        <v>142.5</v>
      </c>
      <c r="G154" s="307">
        <v>182.5</v>
      </c>
      <c r="H154" s="307">
        <v>225</v>
      </c>
      <c r="I154" s="307">
        <v>265</v>
      </c>
      <c r="J154" s="307">
        <v>305</v>
      </c>
      <c r="K154" s="307">
        <v>340</v>
      </c>
      <c r="M154">
        <f t="shared" si="29"/>
        <v>9</v>
      </c>
      <c r="Q154" s="305">
        <v>800</v>
      </c>
      <c r="R154" s="310">
        <f t="shared" si="30"/>
        <v>2.5000000000000001E-2</v>
      </c>
      <c r="S154" s="311">
        <f t="shared" si="32"/>
        <v>7.4999999999999997E-2</v>
      </c>
      <c r="T154" s="311">
        <f t="shared" si="33"/>
        <v>0.12812499999999999</v>
      </c>
      <c r="U154" s="311">
        <f t="shared" si="34"/>
        <v>0.17812500000000001</v>
      </c>
      <c r="V154" s="311">
        <f t="shared" si="36"/>
        <v>0.22812499999999999</v>
      </c>
      <c r="W154" s="311">
        <f t="shared" si="37"/>
        <v>0.28125</v>
      </c>
      <c r="X154" s="311">
        <f t="shared" si="38"/>
        <v>0.33124999999999999</v>
      </c>
      <c r="Y154" s="311">
        <f t="shared" si="31"/>
        <v>0.38124999999999998</v>
      </c>
      <c r="Z154" s="311">
        <f t="shared" si="35"/>
        <v>0.42499999999999999</v>
      </c>
    </row>
    <row r="155" spans="2:26">
      <c r="B155" s="305">
        <v>365</v>
      </c>
      <c r="C155" s="307">
        <v>20</v>
      </c>
      <c r="D155" s="307">
        <v>60</v>
      </c>
      <c r="E155" s="307">
        <v>102.5</v>
      </c>
      <c r="F155" s="307">
        <v>142.5</v>
      </c>
      <c r="G155" s="307">
        <v>182.5</v>
      </c>
      <c r="H155" s="307">
        <v>225</v>
      </c>
      <c r="I155" s="307">
        <v>265</v>
      </c>
      <c r="J155" s="307">
        <v>305</v>
      </c>
      <c r="K155" s="307">
        <v>340</v>
      </c>
      <c r="M155">
        <f t="shared" si="29"/>
        <v>9</v>
      </c>
      <c r="Q155" s="305">
        <v>805</v>
      </c>
      <c r="R155" s="310">
        <f t="shared" si="30"/>
        <v>2.4844720496894408E-2</v>
      </c>
      <c r="S155" s="311">
        <f t="shared" si="32"/>
        <v>7.4534161490683232E-2</v>
      </c>
      <c r="T155" s="311">
        <f t="shared" si="33"/>
        <v>0.12732919254658384</v>
      </c>
      <c r="U155" s="311">
        <f t="shared" si="34"/>
        <v>0.17701863354037267</v>
      </c>
      <c r="V155" s="311">
        <f t="shared" si="36"/>
        <v>0.2267080745341615</v>
      </c>
      <c r="W155" s="311">
        <f t="shared" si="37"/>
        <v>0.27950310559006208</v>
      </c>
      <c r="X155" s="311">
        <f t="shared" si="38"/>
        <v>0.32919254658385094</v>
      </c>
      <c r="Y155" s="311">
        <f t="shared" si="31"/>
        <v>0.37888198757763975</v>
      </c>
      <c r="Z155" s="311">
        <f t="shared" si="35"/>
        <v>0.42236024844720499</v>
      </c>
    </row>
    <row r="156" spans="2:26">
      <c r="B156" s="305">
        <v>367.5</v>
      </c>
      <c r="C156" s="307">
        <v>20</v>
      </c>
      <c r="D156" s="307">
        <v>60</v>
      </c>
      <c r="E156" s="307">
        <v>102.5</v>
      </c>
      <c r="F156" s="307">
        <v>142.5</v>
      </c>
      <c r="G156" s="307">
        <v>182.5</v>
      </c>
      <c r="H156" s="307">
        <v>225</v>
      </c>
      <c r="I156" s="307">
        <v>265</v>
      </c>
      <c r="J156" s="307">
        <v>305</v>
      </c>
      <c r="K156" s="307">
        <v>347.5</v>
      </c>
      <c r="M156">
        <f t="shared" si="29"/>
        <v>9</v>
      </c>
      <c r="Q156" s="305">
        <v>810</v>
      </c>
      <c r="R156" s="310">
        <f t="shared" si="30"/>
        <v>2.4691358024691357E-2</v>
      </c>
      <c r="S156" s="311">
        <f t="shared" si="32"/>
        <v>7.407407407407407E-2</v>
      </c>
      <c r="T156" s="311">
        <f t="shared" si="33"/>
        <v>0.12654320987654322</v>
      </c>
      <c r="U156" s="311">
        <f t="shared" si="34"/>
        <v>0.17592592592592593</v>
      </c>
      <c r="V156" s="311">
        <f t="shared" si="36"/>
        <v>0.22530864197530864</v>
      </c>
      <c r="W156" s="311">
        <f t="shared" si="37"/>
        <v>0.27777777777777779</v>
      </c>
      <c r="X156" s="311">
        <f t="shared" si="38"/>
        <v>0.3271604938271605</v>
      </c>
      <c r="Y156" s="311">
        <f t="shared" si="31"/>
        <v>0.37654320987654322</v>
      </c>
      <c r="Z156" s="311">
        <f t="shared" si="35"/>
        <v>0.42901234567901236</v>
      </c>
    </row>
    <row r="157" spans="2:26">
      <c r="B157" s="305">
        <v>370</v>
      </c>
      <c r="C157" s="307">
        <v>20</v>
      </c>
      <c r="D157" s="307">
        <v>60</v>
      </c>
      <c r="E157" s="307">
        <v>102.5</v>
      </c>
      <c r="F157" s="307">
        <v>142.5</v>
      </c>
      <c r="G157" s="307">
        <v>182.5</v>
      </c>
      <c r="H157" s="307">
        <v>225</v>
      </c>
      <c r="I157" s="307">
        <v>265</v>
      </c>
      <c r="J157" s="307">
        <v>305</v>
      </c>
      <c r="K157" s="307">
        <v>347.5</v>
      </c>
      <c r="M157">
        <f t="shared" si="29"/>
        <v>9</v>
      </c>
      <c r="Q157" s="305">
        <v>815</v>
      </c>
      <c r="R157" s="310">
        <f t="shared" si="30"/>
        <v>2.4539877300613498E-2</v>
      </c>
      <c r="S157" s="311">
        <f t="shared" si="32"/>
        <v>7.3619631901840496E-2</v>
      </c>
      <c r="T157" s="311">
        <f t="shared" si="33"/>
        <v>0.12576687116564417</v>
      </c>
      <c r="U157" s="311">
        <f t="shared" si="34"/>
        <v>0.17484662576687116</v>
      </c>
      <c r="V157" s="311">
        <f t="shared" si="36"/>
        <v>0.22392638036809817</v>
      </c>
      <c r="W157" s="311">
        <f t="shared" si="37"/>
        <v>0.27607361963190186</v>
      </c>
      <c r="X157" s="311">
        <f t="shared" si="38"/>
        <v>0.32515337423312884</v>
      </c>
      <c r="Y157" s="311">
        <f t="shared" si="31"/>
        <v>0.37423312883435583</v>
      </c>
      <c r="Z157" s="311">
        <f t="shared" si="35"/>
        <v>0.42638036809815949</v>
      </c>
    </row>
    <row r="158" spans="2:26">
      <c r="B158" s="305">
        <v>372.5</v>
      </c>
      <c r="C158" s="307">
        <v>20</v>
      </c>
      <c r="D158" s="307">
        <v>60</v>
      </c>
      <c r="E158" s="307">
        <v>102.5</v>
      </c>
      <c r="F158" s="307">
        <v>142.5</v>
      </c>
      <c r="G158" s="307">
        <v>182.5</v>
      </c>
      <c r="H158" s="307">
        <v>225</v>
      </c>
      <c r="I158" s="307">
        <v>265</v>
      </c>
      <c r="J158" s="307">
        <v>305</v>
      </c>
      <c r="K158" s="307">
        <v>347.5</v>
      </c>
      <c r="M158">
        <f t="shared" si="29"/>
        <v>9</v>
      </c>
      <c r="Q158" s="305">
        <v>820</v>
      </c>
      <c r="R158" s="310">
        <f t="shared" si="30"/>
        <v>2.4390243902439025E-2</v>
      </c>
      <c r="S158" s="311">
        <f t="shared" si="32"/>
        <v>7.3170731707317069E-2</v>
      </c>
      <c r="T158" s="311">
        <f t="shared" si="33"/>
        <v>0.125</v>
      </c>
      <c r="U158" s="311">
        <f t="shared" si="34"/>
        <v>0.17378048780487804</v>
      </c>
      <c r="V158" s="311">
        <f t="shared" si="36"/>
        <v>0.2225609756097561</v>
      </c>
      <c r="W158" s="311">
        <f t="shared" si="37"/>
        <v>0.27439024390243905</v>
      </c>
      <c r="X158" s="311">
        <f t="shared" si="38"/>
        <v>0.32317073170731708</v>
      </c>
      <c r="Y158" s="311">
        <f t="shared" si="31"/>
        <v>0.37195121951219512</v>
      </c>
      <c r="Z158" s="311">
        <f t="shared" si="35"/>
        <v>0.42378048780487804</v>
      </c>
    </row>
    <row r="159" spans="2:26">
      <c r="B159" s="305">
        <v>375</v>
      </c>
      <c r="C159" s="307">
        <v>20</v>
      </c>
      <c r="D159" s="307">
        <v>60</v>
      </c>
      <c r="E159" s="307">
        <v>102.5</v>
      </c>
      <c r="F159" s="307">
        <v>142.5</v>
      </c>
      <c r="G159" s="307">
        <v>182.5</v>
      </c>
      <c r="H159" s="307">
        <v>225</v>
      </c>
      <c r="I159" s="307">
        <v>265</v>
      </c>
      <c r="J159" s="307">
        <v>305</v>
      </c>
      <c r="K159" s="307">
        <v>347.5</v>
      </c>
      <c r="M159">
        <f t="shared" si="29"/>
        <v>9</v>
      </c>
      <c r="Q159" s="305">
        <v>825</v>
      </c>
      <c r="R159" s="310">
        <f t="shared" si="30"/>
        <v>2.4242424242424242E-2</v>
      </c>
      <c r="S159" s="311">
        <f t="shared" si="32"/>
        <v>7.2727272727272724E-2</v>
      </c>
      <c r="T159" s="311">
        <f t="shared" si="33"/>
        <v>0.12424242424242424</v>
      </c>
      <c r="U159" s="311">
        <f t="shared" si="34"/>
        <v>0.17272727272727273</v>
      </c>
      <c r="V159" s="311">
        <f t="shared" si="36"/>
        <v>0.22121212121212122</v>
      </c>
      <c r="W159" s="311">
        <f t="shared" si="37"/>
        <v>0.27272727272727271</v>
      </c>
      <c r="X159" s="311">
        <f t="shared" si="38"/>
        <v>0.32121212121212123</v>
      </c>
      <c r="Y159" s="311">
        <f t="shared" si="31"/>
        <v>0.36969696969696969</v>
      </c>
      <c r="Z159" s="311">
        <f t="shared" si="35"/>
        <v>0.4212121212121212</v>
      </c>
    </row>
    <row r="160" spans="2:26">
      <c r="B160" s="305">
        <v>377.5</v>
      </c>
      <c r="C160" s="307">
        <v>20</v>
      </c>
      <c r="D160" s="307">
        <v>60</v>
      </c>
      <c r="E160" s="307">
        <v>102.5</v>
      </c>
      <c r="F160" s="307">
        <v>142.5</v>
      </c>
      <c r="G160" s="307">
        <v>182.5</v>
      </c>
      <c r="H160" s="307">
        <v>225</v>
      </c>
      <c r="I160" s="307">
        <v>265</v>
      </c>
      <c r="J160" s="307">
        <v>305</v>
      </c>
      <c r="K160" s="307">
        <v>347.5</v>
      </c>
      <c r="M160">
        <f t="shared" si="29"/>
        <v>9</v>
      </c>
      <c r="Q160" s="305">
        <v>830</v>
      </c>
      <c r="R160" s="310">
        <f t="shared" si="30"/>
        <v>2.4096385542168676E-2</v>
      </c>
      <c r="S160" s="311">
        <f t="shared" si="32"/>
        <v>7.2289156626506021E-2</v>
      </c>
      <c r="T160" s="311">
        <f t="shared" si="33"/>
        <v>0.12349397590361445</v>
      </c>
      <c r="U160" s="311">
        <f t="shared" si="34"/>
        <v>0.1716867469879518</v>
      </c>
      <c r="V160" s="311">
        <f t="shared" si="36"/>
        <v>0.21987951807228914</v>
      </c>
      <c r="W160" s="311">
        <f t="shared" si="37"/>
        <v>0.27108433734939757</v>
      </c>
      <c r="X160" s="311">
        <f t="shared" si="38"/>
        <v>0.31927710843373491</v>
      </c>
      <c r="Y160" s="311">
        <f t="shared" si="31"/>
        <v>0.36746987951807231</v>
      </c>
      <c r="Z160" s="311">
        <f t="shared" si="35"/>
        <v>0.41867469879518071</v>
      </c>
    </row>
    <row r="161" spans="2:26">
      <c r="B161" s="305">
        <v>380</v>
      </c>
      <c r="C161" s="307">
        <v>20</v>
      </c>
      <c r="D161" s="307">
        <v>60</v>
      </c>
      <c r="E161" s="307">
        <v>102.5</v>
      </c>
      <c r="F161" s="307">
        <v>142.5</v>
      </c>
      <c r="G161" s="307">
        <v>182.5</v>
      </c>
      <c r="H161" s="307">
        <v>225</v>
      </c>
      <c r="I161" s="307">
        <v>265</v>
      </c>
      <c r="J161" s="307">
        <v>305</v>
      </c>
      <c r="K161" s="307">
        <v>347.5</v>
      </c>
      <c r="M161">
        <f t="shared" si="29"/>
        <v>9</v>
      </c>
      <c r="Q161" s="305">
        <v>835</v>
      </c>
      <c r="R161" s="310">
        <f t="shared" si="30"/>
        <v>2.3952095808383235E-2</v>
      </c>
      <c r="S161" s="311">
        <f t="shared" si="32"/>
        <v>7.1856287425149698E-2</v>
      </c>
      <c r="T161" s="311">
        <f t="shared" si="33"/>
        <v>0.12275449101796407</v>
      </c>
      <c r="U161" s="311">
        <f t="shared" si="34"/>
        <v>0.17065868263473055</v>
      </c>
      <c r="V161" s="311">
        <f t="shared" si="36"/>
        <v>0.21856287425149701</v>
      </c>
      <c r="W161" s="311">
        <f t="shared" si="37"/>
        <v>0.26946107784431139</v>
      </c>
      <c r="X161" s="311">
        <f t="shared" si="38"/>
        <v>0.31736526946107785</v>
      </c>
      <c r="Y161" s="311">
        <f t="shared" si="31"/>
        <v>0.3652694610778443</v>
      </c>
      <c r="Z161" s="311">
        <f t="shared" si="35"/>
        <v>0.41616766467065869</v>
      </c>
    </row>
    <row r="162" spans="2:26">
      <c r="B162" s="305"/>
      <c r="Q162" s="305"/>
      <c r="R162" s="310"/>
      <c r="S162" s="311"/>
      <c r="T162" s="311"/>
      <c r="U162" s="311"/>
      <c r="V162" s="311"/>
      <c r="W162" s="311"/>
      <c r="X162" s="311"/>
      <c r="Y162" s="311"/>
      <c r="Z162" s="311"/>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INSTRUCTIONS</vt:lpstr>
      <vt:lpstr>ATTEMPTS</vt:lpstr>
      <vt:lpstr>WARMUPS</vt:lpstr>
      <vt:lpstr>WARMUP LOADS</vt:lpstr>
      <vt:lpstr>BNOPEN</vt:lpstr>
      <vt:lpstr>DLOPEN</vt:lpstr>
      <vt:lpstr>SQOPEN</vt:lpstr>
    </vt:vector>
  </TitlesOfParts>
  <Company>San Francisco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Bryce Lewis</dc:creator>
  <cp:lastModifiedBy>Mark Blum</cp:lastModifiedBy>
  <dcterms:created xsi:type="dcterms:W3CDTF">2013-10-07T19:41:37Z</dcterms:created>
  <dcterms:modified xsi:type="dcterms:W3CDTF">2018-01-22T19:32:21Z</dcterms:modified>
</cp:coreProperties>
</file>