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charts/chart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Ex13.xml" ContentType="application/vnd.ms-office.chartex+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Ex14.xml" ContentType="application/vnd.ms-office.chartex+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Ex15.xml" ContentType="application/vnd.ms-office.chartex+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Ex16.xml" ContentType="application/vnd.ms-office.chartex+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Ex17.xml" ContentType="application/vnd.ms-office.chartex+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Ex18.xml" ContentType="application/vnd.ms-office.chartex+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omments3.xml" ContentType="application/vnd.openxmlformats-officedocument.spreadsheetml.comments+xml"/>
  <Override PartName="/xl/charts/chartEx19.xml" ContentType="application/vnd.ms-office.chartex+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comments4.xml" ContentType="application/vnd.openxmlformats-officedocument.spreadsheetml.comments+xml"/>
  <Override PartName="/xl/threadedComments/threadedComment3.xml" ContentType="application/vnd.ms-excel.threadedcomments+xml"/>
  <Override PartName="/xl/charts/chartEx20.xml" ContentType="application/vnd.ms-office.chartex+xml"/>
  <Override PartName="/xl/charts/style21.xml" ContentType="application/vnd.ms-office.chartstyle+xml"/>
  <Override PartName="/xl/charts/colors21.xml" ContentType="application/vnd.ms-office.chartcolorstyle+xml"/>
  <Override PartName="/xl/drawings/drawing10.xml" ContentType="application/vnd.openxmlformats-officedocument.drawing+xml"/>
  <Override PartName="/xl/charts/chartEx21.xml" ContentType="application/vnd.ms-office.chartex+xml"/>
  <Override PartName="/xl/charts/style22.xml" ContentType="application/vnd.ms-office.chartstyle+xml"/>
  <Override PartName="/xl/charts/colors22.xml" ContentType="application/vnd.ms-office.chartcolorstyle+xml"/>
  <Override PartName="/xl/drawings/drawing11.xml" ContentType="application/vnd.openxmlformats-officedocument.drawing+xml"/>
  <Override PartName="/xl/charts/chartEx22.xml" ContentType="application/vnd.ms-office.chartex+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Ex23.xml" ContentType="application/vnd.ms-office.chartex+xml"/>
  <Override PartName="/xl/charts/style24.xml" ContentType="application/vnd.ms-office.chartstyle+xml"/>
  <Override PartName="/xl/charts/colors24.xml" ContentType="application/vnd.ms-office.chartcolorstyle+xml"/>
  <Override PartName="/xl/drawings/drawing13.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charts/chartEx24.xml" ContentType="application/vnd.ms-office.chartex+xml"/>
  <Override PartName="/xl/charts/style25.xml" ContentType="application/vnd.ms-office.chartstyle+xml"/>
  <Override PartName="/xl/charts/colors2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feemit-my.sharepoint.com/personal/giacomo_falchetta_feem_it/Documents/Current papers/Prod_Uses_Agriculture/PrElGen_database/input_folder/"/>
    </mc:Choice>
  </mc:AlternateContent>
  <xr:revisionPtr revIDLastSave="0" documentId="13_ncr:1_{A02C4C59-F4CC-442D-B327-9A4456C82A18}" xr6:coauthVersionLast="44" xr6:coauthVersionMax="44" xr10:uidLastSave="{00000000-0000-0000-0000-000000000000}"/>
  <bookViews>
    <workbookView xWindow="-120" yWindow="-120" windowWidth="29040" windowHeight="15840" xr2:uid="{A751FEB3-C83F-48C1-A4D7-F9057904369A}"/>
  </bookViews>
  <sheets>
    <sheet name="Overview" sheetId="15" r:id="rId1"/>
    <sheet name="Wheat" sheetId="1" r:id="rId2"/>
    <sheet name="Rice" sheetId="2" r:id="rId3"/>
    <sheet name="Maize" sheetId="3" r:id="rId4"/>
    <sheet name="Millet" sheetId="4" r:id="rId5"/>
    <sheet name="Field Peas" sheetId="5" r:id="rId6"/>
    <sheet name="Sugar Beet" sheetId="6" r:id="rId7"/>
    <sheet name="Cassava" sheetId="7" r:id="rId8"/>
    <sheet name="Sunflower" sheetId="8" r:id="rId9"/>
    <sheet name="Soybean" sheetId="9" r:id="rId10"/>
    <sheet name="Groundnut" sheetId="10" r:id="rId11"/>
    <sheet name="Rapeseed" sheetId="11" r:id="rId12"/>
    <sheet name="Sugar Cane" sheetId="12" r:id="rId13"/>
    <sheet name="Reading the table" sheetId="16" r:id="rId14"/>
    <sheet name="World Bank 2017" sheetId="14" r:id="rId15"/>
  </sheets>
  <definedNames>
    <definedName name="_xlchart.v1.0" hidden="1">Rapeseed!$B$79:$B$81</definedName>
    <definedName name="_xlchart.v1.1" hidden="1">Rice!$B$173:$B$191</definedName>
    <definedName name="_xlchart.v1.10" hidden="1">'Sugar Cane'!$B$87:$B$90</definedName>
    <definedName name="_xlchart.v1.11" hidden="1">Wheat!$B$91:$B$93</definedName>
    <definedName name="_xlchart.v1.12" hidden="1">Wheat!$B$91:$B$93</definedName>
    <definedName name="_xlchart.v1.13" hidden="1">Rice!$B$173:$B$191</definedName>
    <definedName name="_xlchart.v1.14" hidden="1">Maize!$B$122:$B$127</definedName>
    <definedName name="_xlchart.v1.15" hidden="1">Millet!$B$162:$B$171</definedName>
    <definedName name="_xlchart.v1.16" hidden="1">'Field Peas'!$B$119:$B$128</definedName>
    <definedName name="_xlchart.v1.17" hidden="1">'Sugar Beet'!$B$74:$B$77</definedName>
    <definedName name="_xlchart.v1.18" hidden="1">Cassava!$B$114:$B$117</definedName>
    <definedName name="_xlchart.v1.19" hidden="1">Sunflower!$B$91:$B$93</definedName>
    <definedName name="_xlchart.v1.2" hidden="1">Maize!$B$122:$B$127</definedName>
    <definedName name="_xlchart.v1.20" hidden="1">'Field Peas'!$B$119:$B$128</definedName>
    <definedName name="_xlchart.v1.21" hidden="1">Groundnut!$B$111:$B$113</definedName>
    <definedName name="_xlchart.v1.22" hidden="1">Rapeseed!$B$79:$B$81</definedName>
    <definedName name="_xlchart.v1.23" hidden="1">'Sugar Cane'!$B$87:$B$90</definedName>
    <definedName name="_xlchart.v1.3" hidden="1">'Field Peas'!$B$119:$B$128</definedName>
    <definedName name="_xlchart.v1.4" hidden="1">Cassava!$B$114:$B$117</definedName>
    <definedName name="_xlchart.v1.5" hidden="1">'Field Peas'!$B$119:$B$128</definedName>
    <definedName name="_xlchart.v1.6" hidden="1">Sunflower!$B$91:$B$93</definedName>
    <definedName name="_xlchart.v1.7" hidden="1">'Sugar Beet'!$B$74:$B$77</definedName>
    <definedName name="_xlchart.v1.8" hidden="1">Groundnut!$B$111:$B$113</definedName>
    <definedName name="_xlchart.v1.9" hidden="1">Millet!$B$162:$B$171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9" l="1"/>
  <c r="B11" i="10"/>
  <c r="V148" i="2"/>
  <c r="U148" i="2"/>
  <c r="R148" i="2"/>
  <c r="B157" i="2"/>
  <c r="B137" i="2"/>
  <c r="N148" i="2"/>
  <c r="M148" i="2"/>
  <c r="J148" i="2"/>
  <c r="E148" i="2"/>
  <c r="F148" i="2" s="1"/>
  <c r="F5" i="15" l="1"/>
  <c r="F6" i="15"/>
  <c r="F7" i="15"/>
  <c r="F11" i="15"/>
  <c r="F12" i="15"/>
  <c r="F13" i="15"/>
  <c r="F15" i="15"/>
  <c r="F16" i="15"/>
  <c r="B113" i="10"/>
  <c r="B112" i="10"/>
  <c r="B111" i="10"/>
  <c r="D86" i="10"/>
  <c r="D50" i="10"/>
  <c r="B77" i="10"/>
  <c r="B59" i="10"/>
  <c r="B41" i="10"/>
  <c r="B21" i="10"/>
  <c r="D74" i="9"/>
  <c r="B81" i="9" s="1"/>
  <c r="B84" i="9" s="1"/>
  <c r="B80" i="9"/>
  <c r="D30" i="8"/>
  <c r="G32" i="8"/>
  <c r="B59" i="8"/>
  <c r="E68" i="8"/>
  <c r="D68" i="8"/>
  <c r="D71" i="11"/>
  <c r="D73" i="11" s="1"/>
  <c r="B81" i="11" s="1"/>
  <c r="B38" i="11"/>
  <c r="D50" i="11"/>
  <c r="D51" i="11"/>
  <c r="D49" i="11"/>
  <c r="D52" i="11" s="1"/>
  <c r="B11" i="11"/>
  <c r="B12" i="11"/>
  <c r="B13" i="11"/>
  <c r="F29" i="12"/>
  <c r="J66" i="12"/>
  <c r="J67" i="12" s="1"/>
  <c r="B66" i="12"/>
  <c r="B67" i="12" s="1"/>
  <c r="G30" i="8"/>
  <c r="D31" i="8"/>
  <c r="B11" i="8"/>
  <c r="B57" i="8"/>
  <c r="B97" i="7"/>
  <c r="B98" i="7" s="1"/>
  <c r="B54" i="7"/>
  <c r="B80" i="6"/>
  <c r="B79" i="6"/>
  <c r="B78" i="6"/>
  <c r="B77" i="6"/>
  <c r="B76" i="6"/>
  <c r="B75" i="6"/>
  <c r="B74" i="6"/>
  <c r="J68" i="6"/>
  <c r="J69" i="6" s="1"/>
  <c r="B68" i="6"/>
  <c r="D68" i="6" s="1"/>
  <c r="F68" i="6" s="1"/>
  <c r="F69" i="6" s="1"/>
  <c r="B10" i="6"/>
  <c r="B5" i="12"/>
  <c r="B132" i="5"/>
  <c r="B131" i="5"/>
  <c r="B130" i="5"/>
  <c r="B120" i="5"/>
  <c r="B119" i="5"/>
  <c r="F113" i="5"/>
  <c r="D113" i="5"/>
  <c r="B128" i="5"/>
  <c r="B127" i="5"/>
  <c r="B126" i="5"/>
  <c r="B125" i="5"/>
  <c r="B124" i="5"/>
  <c r="B123" i="5"/>
  <c r="B122" i="5"/>
  <c r="B121" i="5"/>
  <c r="S92" i="5"/>
  <c r="K92" i="5"/>
  <c r="Z72" i="5"/>
  <c r="AA72" i="5" s="1"/>
  <c r="S72" i="5"/>
  <c r="T72" i="5" s="1"/>
  <c r="K72" i="5"/>
  <c r="L72" i="5" s="1"/>
  <c r="B20" i="5"/>
  <c r="B19" i="5"/>
  <c r="L75" i="4"/>
  <c r="L74" i="4"/>
  <c r="T74" i="4"/>
  <c r="D74" i="4"/>
  <c r="D75" i="4"/>
  <c r="B88" i="4"/>
  <c r="B144" i="4"/>
  <c r="B146" i="4" s="1"/>
  <c r="B125" i="4"/>
  <c r="B127" i="4" s="1"/>
  <c r="D52" i="4"/>
  <c r="F52" i="4" s="1"/>
  <c r="B41" i="4"/>
  <c r="D32" i="4"/>
  <c r="F32" i="4" s="1"/>
  <c r="D30" i="4"/>
  <c r="F30" i="4" s="1"/>
  <c r="F33" i="4" s="1"/>
  <c r="G100" i="3"/>
  <c r="G101" i="3"/>
  <c r="G102" i="3"/>
  <c r="G103" i="3"/>
  <c r="G104" i="3"/>
  <c r="G105" i="3"/>
  <c r="G106" i="3"/>
  <c r="G107" i="3"/>
  <c r="G108" i="3"/>
  <c r="G99" i="3"/>
  <c r="D99" i="3"/>
  <c r="D78" i="3"/>
  <c r="B89" i="3"/>
  <c r="B67" i="3"/>
  <c r="B44" i="3"/>
  <c r="B45" i="3"/>
  <c r="B46" i="3"/>
  <c r="B19" i="3"/>
  <c r="B21" i="3" s="1"/>
  <c r="B22" i="3" s="1"/>
  <c r="B23" i="3" s="1"/>
  <c r="D34" i="3"/>
  <c r="B124" i="3"/>
  <c r="B123" i="3"/>
  <c r="B122" i="3"/>
  <c r="B88" i="3"/>
  <c r="J117" i="3"/>
  <c r="L116" i="3"/>
  <c r="L99" i="3"/>
  <c r="N100" i="3"/>
  <c r="N116" i="3"/>
  <c r="N108" i="3"/>
  <c r="N107" i="3"/>
  <c r="N106" i="3"/>
  <c r="N105" i="3"/>
  <c r="N104" i="3"/>
  <c r="N103" i="3"/>
  <c r="N102" i="3"/>
  <c r="N101" i="3"/>
  <c r="N99" i="3"/>
  <c r="F101" i="3"/>
  <c r="F102" i="3"/>
  <c r="F103" i="3"/>
  <c r="F104" i="3"/>
  <c r="F105" i="3"/>
  <c r="F106" i="3"/>
  <c r="F107" i="3"/>
  <c r="F108" i="3"/>
  <c r="F99" i="3"/>
  <c r="F78" i="3"/>
  <c r="D57" i="3"/>
  <c r="F57" i="3" s="1"/>
  <c r="L34" i="3"/>
  <c r="N34" i="3" s="1"/>
  <c r="N35" i="3" s="1"/>
  <c r="F34" i="3"/>
  <c r="F35" i="3" s="1"/>
  <c r="B9" i="3"/>
  <c r="B10" i="3"/>
  <c r="B82" i="12"/>
  <c r="D47" i="12"/>
  <c r="B47" i="12"/>
  <c r="D30" i="12"/>
  <c r="B30" i="12"/>
  <c r="B73" i="11"/>
  <c r="B52" i="11"/>
  <c r="B32" i="11"/>
  <c r="D106" i="10"/>
  <c r="B106" i="10"/>
  <c r="B88" i="10"/>
  <c r="B51" i="10"/>
  <c r="B31" i="10"/>
  <c r="B74" i="9"/>
  <c r="J31" i="9"/>
  <c r="H31" i="9"/>
  <c r="D31" i="9"/>
  <c r="B31" i="9"/>
  <c r="B86" i="8"/>
  <c r="B69" i="8"/>
  <c r="L49" i="8"/>
  <c r="J49" i="8"/>
  <c r="H49" i="8"/>
  <c r="B49" i="8"/>
  <c r="B31" i="8"/>
  <c r="D50" i="6"/>
  <c r="B50" i="6"/>
  <c r="D30" i="6"/>
  <c r="B30" i="6"/>
  <c r="Q94" i="5"/>
  <c r="I93" i="5"/>
  <c r="Q74" i="5"/>
  <c r="X73" i="5"/>
  <c r="I73" i="5"/>
  <c r="V54" i="5"/>
  <c r="T54" i="5"/>
  <c r="R54" i="5"/>
  <c r="N54" i="5"/>
  <c r="L54" i="5"/>
  <c r="J54" i="5"/>
  <c r="F54" i="5"/>
  <c r="D54" i="5"/>
  <c r="B54" i="5"/>
  <c r="B137" i="4"/>
  <c r="F118" i="4"/>
  <c r="B98" i="4"/>
  <c r="B53" i="4"/>
  <c r="J33" i="4"/>
  <c r="B33" i="4"/>
  <c r="B109" i="3"/>
  <c r="B79" i="3"/>
  <c r="J35" i="3"/>
  <c r="B35" i="3"/>
  <c r="I104" i="2"/>
  <c r="B104" i="2"/>
  <c r="N71" i="2"/>
  <c r="J71" i="2"/>
  <c r="F71" i="2"/>
  <c r="B71" i="2"/>
  <c r="J46" i="2"/>
  <c r="B42" i="2"/>
  <c r="B117" i="10" l="1"/>
  <c r="B85" i="9"/>
  <c r="B69" i="6"/>
  <c r="B115" i="10"/>
  <c r="B116" i="10"/>
  <c r="B83" i="9"/>
  <c r="D33" i="4"/>
  <c r="F79" i="3"/>
  <c r="B125" i="3" s="1"/>
  <c r="B111" i="2"/>
  <c r="M42" i="2"/>
  <c r="M43" i="2"/>
  <c r="N43" i="2" s="1"/>
  <c r="M44" i="2"/>
  <c r="M45" i="2"/>
  <c r="M41" i="2"/>
  <c r="M40" i="2"/>
  <c r="M39" i="2"/>
  <c r="M38" i="2"/>
  <c r="M37" i="2"/>
  <c r="N37" i="2" s="1"/>
  <c r="M36" i="2"/>
  <c r="M35" i="2"/>
  <c r="M34" i="2"/>
  <c r="N34" i="2" s="1"/>
  <c r="M33" i="2"/>
  <c r="M32" i="2"/>
  <c r="E33" i="2"/>
  <c r="E34" i="2"/>
  <c r="E35" i="2"/>
  <c r="F35" i="2" s="1"/>
  <c r="E36" i="2"/>
  <c r="E37" i="2"/>
  <c r="E38" i="2"/>
  <c r="E39" i="2"/>
  <c r="E40" i="2"/>
  <c r="E41" i="2"/>
  <c r="E32" i="2"/>
  <c r="B20" i="2"/>
  <c r="M70" i="2"/>
  <c r="E70" i="2"/>
  <c r="E101" i="2"/>
  <c r="E102" i="2"/>
  <c r="E103" i="2"/>
  <c r="B10" i="2"/>
  <c r="B57" i="2"/>
  <c r="N74" i="2" s="1"/>
  <c r="B184" i="2" s="1"/>
  <c r="B55" i="2"/>
  <c r="F74" i="2" s="1"/>
  <c r="B181" i="2" s="1"/>
  <c r="B51" i="1"/>
  <c r="B19" i="2"/>
  <c r="B21" i="2" s="1"/>
  <c r="B22" i="2" s="1"/>
  <c r="B48" i="1"/>
  <c r="B50" i="1"/>
  <c r="E105" i="2" l="1"/>
  <c r="B185" i="2" s="1"/>
  <c r="N72" i="2"/>
  <c r="B182" i="2" s="1"/>
  <c r="F73" i="2"/>
  <c r="B180" i="2" s="1"/>
  <c r="B56" i="2"/>
  <c r="N73" i="2"/>
  <c r="B183" i="2" s="1"/>
  <c r="B58" i="2"/>
  <c r="F72" i="2"/>
  <c r="B179" i="2" s="1"/>
  <c r="B23" i="1" l="1"/>
  <c r="B73" i="1"/>
  <c r="B75" i="1"/>
  <c r="B76" i="1" s="1"/>
  <c r="B13" i="1"/>
  <c r="B14" i="1" s="1"/>
  <c r="C6" i="14"/>
  <c r="C7" i="14"/>
  <c r="C8" i="14"/>
  <c r="C9" i="14"/>
  <c r="C10" i="14"/>
  <c r="C5" i="14"/>
  <c r="D81" i="12" l="1"/>
  <c r="D72" i="11"/>
  <c r="B80" i="11"/>
  <c r="D73" i="9"/>
  <c r="D72" i="9"/>
  <c r="D71" i="9"/>
  <c r="D70" i="9"/>
  <c r="D69" i="9"/>
  <c r="D68" i="9"/>
  <c r="D67" i="9"/>
  <c r="D31" i="11"/>
  <c r="D32" i="11" s="1"/>
  <c r="B79" i="11" s="1"/>
  <c r="F35" i="7"/>
  <c r="D87" i="10"/>
  <c r="B68" i="10"/>
  <c r="B69" i="10" s="1"/>
  <c r="D51" i="10"/>
  <c r="D30" i="10"/>
  <c r="D31" i="10" s="1"/>
  <c r="L66" i="12"/>
  <c r="D66" i="12"/>
  <c r="F66" i="12" s="1"/>
  <c r="F46" i="12"/>
  <c r="F47" i="12" s="1"/>
  <c r="B88" i="12" s="1"/>
  <c r="B10" i="10"/>
  <c r="B12" i="10" s="1"/>
  <c r="B101" i="5"/>
  <c r="B103" i="5" s="1"/>
  <c r="B113" i="5"/>
  <c r="B114" i="5" s="1"/>
  <c r="B156" i="2"/>
  <c r="B167" i="2"/>
  <c r="B168" i="2" s="1"/>
  <c r="B86" i="1"/>
  <c r="B87" i="1" s="1"/>
  <c r="B38" i="9"/>
  <c r="B39" i="9" s="1"/>
  <c r="B49" i="9"/>
  <c r="E108" i="7"/>
  <c r="F108" i="7" s="1"/>
  <c r="F109" i="7" s="1"/>
  <c r="B117" i="7" s="1"/>
  <c r="D85" i="8"/>
  <c r="D86" i="8" s="1"/>
  <c r="B93" i="8" s="1"/>
  <c r="B11" i="9"/>
  <c r="B12" i="9" s="1"/>
  <c r="D69" i="8"/>
  <c r="D48" i="8"/>
  <c r="D49" i="8" s="1"/>
  <c r="B91" i="8" s="1"/>
  <c r="B10" i="8"/>
  <c r="B12" i="8" s="1"/>
  <c r="D88" i="10" l="1"/>
  <c r="B83" i="11"/>
  <c r="B85" i="11"/>
  <c r="B84" i="11"/>
  <c r="L67" i="12"/>
  <c r="N66" i="12"/>
  <c r="N67" i="12" s="1"/>
  <c r="B90" i="12" s="1"/>
  <c r="D82" i="12"/>
  <c r="F81" i="12"/>
  <c r="F82" i="12" s="1"/>
  <c r="D67" i="12"/>
  <c r="F67" i="12"/>
  <c r="B89" i="12" s="1"/>
  <c r="D49" i="9"/>
  <c r="D50" i="9" s="1"/>
  <c r="B50" i="9"/>
  <c r="F68" i="8"/>
  <c r="F69" i="8" s="1"/>
  <c r="B92" i="8" s="1"/>
  <c r="D68" i="10"/>
  <c r="D69" i="10" s="1"/>
  <c r="D114" i="5"/>
  <c r="D167" i="2"/>
  <c r="D168" i="2" s="1"/>
  <c r="D86" i="1"/>
  <c r="D87" i="1" s="1"/>
  <c r="D69" i="6"/>
  <c r="L68" i="6"/>
  <c r="F49" i="6"/>
  <c r="F50" i="6" s="1"/>
  <c r="F29" i="6"/>
  <c r="F30" i="6" s="1"/>
  <c r="F30" i="12"/>
  <c r="B87" i="12" s="1"/>
  <c r="B10" i="12"/>
  <c r="B11" i="6"/>
  <c r="Q93" i="5"/>
  <c r="S93" i="5" s="1"/>
  <c r="S94" i="5" s="1"/>
  <c r="Q82" i="5"/>
  <c r="Q83" i="5" s="1"/>
  <c r="I82" i="5"/>
  <c r="I83" i="5" s="1"/>
  <c r="B92" i="5"/>
  <c r="B82" i="5"/>
  <c r="B83" i="5" s="1"/>
  <c r="Q73" i="5"/>
  <c r="S73" i="5" s="1"/>
  <c r="T73" i="5" s="1"/>
  <c r="T74" i="5" s="1"/>
  <c r="Z73" i="5"/>
  <c r="Y62" i="5"/>
  <c r="Y63" i="5" s="1"/>
  <c r="S74" i="5"/>
  <c r="Q62" i="5"/>
  <c r="Q63" i="5" s="1"/>
  <c r="I62" i="5"/>
  <c r="I63" i="5" s="1"/>
  <c r="B62" i="5"/>
  <c r="B63" i="5" s="1"/>
  <c r="K73" i="5"/>
  <c r="B72" i="5"/>
  <c r="D72" i="5" s="1"/>
  <c r="E72" i="5" s="1"/>
  <c r="J31" i="5"/>
  <c r="B31" i="5"/>
  <c r="B32" i="5" s="1"/>
  <c r="B10" i="5"/>
  <c r="B91" i="12" l="1"/>
  <c r="B93" i="12"/>
  <c r="B92" i="12"/>
  <c r="F49" i="9"/>
  <c r="F50" i="9" s="1"/>
  <c r="B96" i="8"/>
  <c r="B95" i="8"/>
  <c r="B97" i="8"/>
  <c r="L69" i="6"/>
  <c r="N68" i="6"/>
  <c r="N69" i="6" s="1"/>
  <c r="B12" i="12"/>
  <c r="B11" i="12"/>
  <c r="B93" i="5"/>
  <c r="D92" i="5"/>
  <c r="D93" i="5" s="1"/>
  <c r="B12" i="5"/>
  <c r="B11" i="5"/>
  <c r="L31" i="5"/>
  <c r="J32" i="5"/>
  <c r="D73" i="5"/>
  <c r="B73" i="5"/>
  <c r="L73" i="5"/>
  <c r="F114" i="5"/>
  <c r="F167" i="2"/>
  <c r="F86" i="1"/>
  <c r="F87" i="1" s="1"/>
  <c r="B93" i="1" s="1"/>
  <c r="T92" i="5"/>
  <c r="T93" i="5"/>
  <c r="K93" i="5"/>
  <c r="AA73" i="5"/>
  <c r="D31" i="5"/>
  <c r="R145" i="4"/>
  <c r="R142" i="4"/>
  <c r="R144" i="4" s="1"/>
  <c r="R146" i="4" s="1"/>
  <c r="J156" i="4"/>
  <c r="J157" i="4" s="1"/>
  <c r="R156" i="4"/>
  <c r="R157" i="4" s="1"/>
  <c r="J144" i="4"/>
  <c r="J146" i="4" s="1"/>
  <c r="B156" i="4"/>
  <c r="B157" i="4" s="1"/>
  <c r="E97" i="4"/>
  <c r="D97" i="4"/>
  <c r="E136" i="4"/>
  <c r="D136" i="4"/>
  <c r="D137" i="4" s="1"/>
  <c r="T94" i="5" l="1"/>
  <c r="L32" i="5"/>
  <c r="N31" i="5"/>
  <c r="N32" i="5" s="1"/>
  <c r="D32" i="5"/>
  <c r="F31" i="5"/>
  <c r="F32" i="5" s="1"/>
  <c r="E73" i="5"/>
  <c r="F168" i="2"/>
  <c r="B191" i="2" s="1"/>
  <c r="L156" i="4"/>
  <c r="N156" i="4" s="1"/>
  <c r="N157" i="4" s="1"/>
  <c r="B170" i="4" s="1"/>
  <c r="F136" i="4"/>
  <c r="F137" i="4" s="1"/>
  <c r="B168" i="4" s="1"/>
  <c r="F97" i="4"/>
  <c r="F98" i="4" s="1"/>
  <c r="B167" i="4" s="1"/>
  <c r="T156" i="4"/>
  <c r="D156" i="4"/>
  <c r="L92" i="5"/>
  <c r="L93" i="5" s="1"/>
  <c r="E92" i="5"/>
  <c r="E93" i="5" s="1"/>
  <c r="B117" i="4"/>
  <c r="B115" i="4"/>
  <c r="B116" i="4"/>
  <c r="R74" i="4"/>
  <c r="R77" i="4" s="1"/>
  <c r="B86" i="4"/>
  <c r="B42" i="4"/>
  <c r="J76" i="4"/>
  <c r="J77" i="4" s="1"/>
  <c r="L74" i="2"/>
  <c r="L73" i="2"/>
  <c r="L72" i="2"/>
  <c r="D73" i="2"/>
  <c r="D74" i="2"/>
  <c r="D72" i="2"/>
  <c r="D32" i="2"/>
  <c r="F32" i="2" s="1"/>
  <c r="D33" i="2"/>
  <c r="F33" i="2" s="1"/>
  <c r="D34" i="2"/>
  <c r="F34" i="2" s="1"/>
  <c r="D36" i="2"/>
  <c r="F36" i="2" s="1"/>
  <c r="D37" i="2"/>
  <c r="F37" i="2" s="1"/>
  <c r="D38" i="2"/>
  <c r="F38" i="2" s="1"/>
  <c r="D39" i="2"/>
  <c r="F39" i="2" s="1"/>
  <c r="D40" i="2"/>
  <c r="F40" i="2" s="1"/>
  <c r="D41" i="2"/>
  <c r="F41" i="2" s="1"/>
  <c r="L32" i="2"/>
  <c r="N32" i="2" s="1"/>
  <c r="L33" i="2"/>
  <c r="N33" i="2" s="1"/>
  <c r="L35" i="2"/>
  <c r="N35" i="2" s="1"/>
  <c r="L36" i="2"/>
  <c r="N36" i="2" s="1"/>
  <c r="L38" i="2"/>
  <c r="N38" i="2" s="1"/>
  <c r="L39" i="2"/>
  <c r="N39" i="2" s="1"/>
  <c r="L40" i="2"/>
  <c r="N40" i="2" s="1"/>
  <c r="L41" i="2"/>
  <c r="N41" i="2" s="1"/>
  <c r="L42" i="2"/>
  <c r="N42" i="2" s="1"/>
  <c r="L44" i="2"/>
  <c r="N44" i="2" s="1"/>
  <c r="L45" i="2"/>
  <c r="N45" i="2" s="1"/>
  <c r="L48" i="2"/>
  <c r="N48" i="2" s="1"/>
  <c r="B178" i="2" s="1"/>
  <c r="L47" i="2"/>
  <c r="N47" i="2" s="1"/>
  <c r="B177" i="2" s="1"/>
  <c r="D43" i="2"/>
  <c r="F43" i="2" s="1"/>
  <c r="B174" i="2" s="1"/>
  <c r="D44" i="2"/>
  <c r="F44" i="2" s="1"/>
  <c r="B175" i="2" s="1"/>
  <c r="B116" i="2"/>
  <c r="B112" i="2" s="1"/>
  <c r="B113" i="2" s="1"/>
  <c r="B136" i="2"/>
  <c r="M149" i="2"/>
  <c r="B135" i="2"/>
  <c r="D102" i="3"/>
  <c r="B61" i="4"/>
  <c r="D53" i="4"/>
  <c r="B76" i="4"/>
  <c r="M76" i="4" l="1"/>
  <c r="B63" i="4"/>
  <c r="N46" i="2"/>
  <c r="B176" i="2" s="1"/>
  <c r="F42" i="2"/>
  <c r="L157" i="4"/>
  <c r="B118" i="4"/>
  <c r="V156" i="4"/>
  <c r="V157" i="4" s="1"/>
  <c r="B171" i="4" s="1"/>
  <c r="T157" i="4"/>
  <c r="D157" i="4"/>
  <c r="F156" i="4"/>
  <c r="F157" i="4" s="1"/>
  <c r="B169" i="4" s="1"/>
  <c r="D76" i="4"/>
  <c r="D77" i="4" s="1"/>
  <c r="B77" i="4"/>
  <c r="E74" i="4"/>
  <c r="F74" i="4" s="1"/>
  <c r="U74" i="4"/>
  <c r="L76" i="4"/>
  <c r="N76" i="4" s="1"/>
  <c r="E75" i="4"/>
  <c r="F75" i="4" s="1"/>
  <c r="F53" i="4"/>
  <c r="B163" i="4" s="1"/>
  <c r="M75" i="4"/>
  <c r="N75" i="4" s="1"/>
  <c r="E76" i="4"/>
  <c r="M74" i="4"/>
  <c r="N74" i="4" s="1"/>
  <c r="L31" i="4"/>
  <c r="L32" i="4"/>
  <c r="L30" i="4"/>
  <c r="N30" i="4" s="1"/>
  <c r="D31" i="4"/>
  <c r="F31" i="4" s="1"/>
  <c r="B10" i="4"/>
  <c r="L109" i="3"/>
  <c r="L110" i="3"/>
  <c r="N110" i="3" s="1"/>
  <c r="L111" i="3"/>
  <c r="N111" i="3" s="1"/>
  <c r="L112" i="3"/>
  <c r="N112" i="3" s="1"/>
  <c r="L113" i="3"/>
  <c r="N113" i="3" s="1"/>
  <c r="L114" i="3"/>
  <c r="N114" i="3" s="1"/>
  <c r="L115" i="3"/>
  <c r="N115" i="3" s="1"/>
  <c r="L108" i="3"/>
  <c r="L107" i="3"/>
  <c r="L106" i="3"/>
  <c r="L105" i="3"/>
  <c r="L104" i="3"/>
  <c r="L103" i="3"/>
  <c r="L102" i="3"/>
  <c r="L101" i="3"/>
  <c r="L100" i="3"/>
  <c r="D100" i="3"/>
  <c r="D101" i="3"/>
  <c r="D103" i="3"/>
  <c r="D104" i="3"/>
  <c r="D105" i="3"/>
  <c r="D106" i="3"/>
  <c r="D107" i="3"/>
  <c r="D108" i="3"/>
  <c r="B57" i="3"/>
  <c r="B11" i="3"/>
  <c r="L77" i="4" l="1"/>
  <c r="N33" i="4"/>
  <c r="L33" i="4"/>
  <c r="B12" i="4"/>
  <c r="B11" i="4"/>
  <c r="N77" i="4"/>
  <c r="B165" i="4" s="1"/>
  <c r="F76" i="4"/>
  <c r="F77" i="4" s="1"/>
  <c r="B164" i="4" s="1"/>
  <c r="D109" i="3"/>
  <c r="F100" i="3"/>
  <c r="F109" i="3" s="1"/>
  <c r="B126" i="3" s="1"/>
  <c r="N109" i="3"/>
  <c r="N117" i="3" s="1"/>
  <c r="B127" i="3" s="1"/>
  <c r="L117" i="3"/>
  <c r="F58" i="3"/>
  <c r="B58" i="3"/>
  <c r="V74" i="4"/>
  <c r="V77" i="4" s="1"/>
  <c r="B166" i="4" s="1"/>
  <c r="N149" i="2"/>
  <c r="B189" i="2" s="1"/>
  <c r="U149" i="2"/>
  <c r="V149" i="2" s="1"/>
  <c r="B190" i="2" s="1"/>
  <c r="E149" i="2"/>
  <c r="F149" i="2" s="1"/>
  <c r="B188" i="2" s="1"/>
  <c r="E126" i="2"/>
  <c r="E125" i="2"/>
  <c r="B126" i="2"/>
  <c r="B125" i="2"/>
  <c r="B127" i="2" s="1"/>
  <c r="K98" i="2"/>
  <c r="K99" i="2"/>
  <c r="K100" i="2"/>
  <c r="K101" i="2"/>
  <c r="L101" i="2" s="1"/>
  <c r="K102" i="2"/>
  <c r="L102" i="2" s="1"/>
  <c r="K103" i="2"/>
  <c r="L103" i="2" s="1"/>
  <c r="K97" i="2"/>
  <c r="D98" i="2"/>
  <c r="D99" i="2"/>
  <c r="D100" i="2"/>
  <c r="D101" i="2"/>
  <c r="D102" i="2"/>
  <c r="D103" i="2"/>
  <c r="D97" i="2"/>
  <c r="L104" i="2"/>
  <c r="E104" i="2"/>
  <c r="L46" i="2"/>
  <c r="B172" i="4" l="1"/>
  <c r="L105" i="2"/>
  <c r="B186" i="2" s="1"/>
  <c r="B174" i="4"/>
  <c r="B173" i="4"/>
  <c r="B128" i="3"/>
  <c r="B130" i="3"/>
  <c r="B129" i="3"/>
  <c r="F125" i="2"/>
  <c r="D42" i="2"/>
  <c r="F126" i="2"/>
  <c r="B11" i="2"/>
  <c r="B11" i="7"/>
  <c r="E89" i="7"/>
  <c r="E88" i="7"/>
  <c r="B89" i="7"/>
  <c r="B88" i="7"/>
  <c r="E65" i="7"/>
  <c r="G65" i="7" s="1"/>
  <c r="E66" i="7"/>
  <c r="G66" i="7" s="1"/>
  <c r="E67" i="7"/>
  <c r="G67" i="7" s="1"/>
  <c r="E64" i="7"/>
  <c r="G64" i="7" s="1"/>
  <c r="B52" i="7"/>
  <c r="B77" i="7"/>
  <c r="B78" i="7" s="1"/>
  <c r="D65" i="7" l="1"/>
  <c r="B53" i="7"/>
  <c r="B13" i="7"/>
  <c r="B12" i="7"/>
  <c r="G68" i="7"/>
  <c r="B115" i="7" s="1"/>
  <c r="G88" i="7"/>
  <c r="F127" i="2"/>
  <c r="B187" i="2" s="1"/>
  <c r="D88" i="7"/>
  <c r="D89" i="7"/>
  <c r="G89" i="7"/>
  <c r="D64" i="7"/>
  <c r="G90" i="7" l="1"/>
  <c r="B116" i="7" s="1"/>
  <c r="Z36" i="7"/>
  <c r="Z35" i="7"/>
  <c r="P39" i="7"/>
  <c r="P35" i="7"/>
  <c r="P41" i="7" s="1"/>
  <c r="F40" i="7"/>
  <c r="F41" i="7" s="1"/>
  <c r="D67" i="7"/>
  <c r="D66" i="7"/>
  <c r="D61" i="1"/>
  <c r="E61" i="1" s="1"/>
  <c r="D62" i="1"/>
  <c r="E62" i="1" s="1"/>
  <c r="D63" i="1"/>
  <c r="E63" i="1" s="1"/>
  <c r="D64" i="1"/>
  <c r="E64" i="1" s="1"/>
  <c r="D65" i="1"/>
  <c r="E65" i="1" s="1"/>
  <c r="D66" i="1"/>
  <c r="E66" i="1" s="1"/>
  <c r="D60" i="1"/>
  <c r="E60" i="1" s="1"/>
  <c r="E67" i="1" s="1"/>
  <c r="B92" i="1" s="1"/>
  <c r="E35" i="1"/>
  <c r="E36" i="1"/>
  <c r="E37" i="1"/>
  <c r="E38" i="1"/>
  <c r="E39" i="1"/>
  <c r="E40" i="1"/>
  <c r="E41" i="1"/>
  <c r="Z41" i="7" l="1"/>
  <c r="B114" i="7" s="1"/>
  <c r="E42" i="1"/>
  <c r="B91" i="1" s="1"/>
  <c r="B173" i="2"/>
  <c r="B119" i="7" l="1"/>
  <c r="B120" i="7"/>
  <c r="B121" i="7"/>
  <c r="B96" i="1"/>
  <c r="B95" i="1"/>
  <c r="B97" i="1"/>
  <c r="B194" i="2"/>
  <c r="B193" i="2"/>
  <c r="B1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tc={7B4456B5-79D6-47C1-8BE6-B89731DDADF8}</author>
  </authors>
  <commentList>
    <comment ref="B66" authorId="0" shapeId="0" xr:uid="{7B4456B5-79D6-47C1-8BE6-B89731DDADF8}">
      <text>
        <t>[Threaded comment]
Your version of Excel allows you to read this threaded comment; however, any edits to it will get removed if the file is opened in a newer version of Excel. Learn more: https://go.microsoft.com/fwlink/?linkid=870924
Comment:
    numbers are suspicious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tc={CB907B6B-EFB3-4BBD-8C31-A804D105374F}</author>
  </authors>
  <commentList>
    <comment ref="B103" authorId="0" shapeId="0" xr:uid="{CB907B6B-EFB3-4BBD-8C31-A804D105374F}">
      <text>
        <t>[Threaded comment]
Your version of Excel allows you to read this threaded comment; however, any edits to it will get removed if the file is opened in a newer version of Excel. Learn more: https://go.microsoft.com/fwlink/?linkid=870924
Comment:
    exceptional that electricity has been used for cooking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Su-Min Choi</author>
  </authors>
  <commentList>
    <comment ref="B101" authorId="0" shapeId="0" xr:uid="{313EC1CD-9E8E-4905-B398-0578738F47FD}">
      <text>
        <r>
          <rPr>
            <b/>
            <sz val="9"/>
            <color indexed="81"/>
            <rFont val="Segoe UI"/>
            <family val="2"/>
          </rPr>
          <t>Su-Min Choi:</t>
        </r>
        <r>
          <rPr>
            <sz val="9"/>
            <color indexed="81"/>
            <rFont val="Segoe UI"/>
            <family val="2"/>
          </rPr>
          <t xml:space="preserve">
dont really know where that came from anymore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tc={657B172D-2B9D-4ED9-8833-01847B853A71}</author>
  </authors>
  <commentList>
    <comment ref="C30" authorId="0" shapeId="0" xr:uid="{657B172D-2B9D-4ED9-8833-01847B853A71}">
      <text>
        <t>[Threaded comment]
Your version of Excel allows you to read this threaded comment; however, any edits to it will get removed if the file is opened in a newer version of Excel. Learn more: https://go.microsoft.com/fwlink/?linkid=870924
Comment:
    unsure if that really is the unit or if it is given for the functional unit of 1 kg oil, but then it seems like too much
Reply:
    Actually what is gven are 2 t seeds "produced" and 0.66 t of oil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tc={D3572060-029F-4D6A-B43D-629BA9309E58}</author>
  </authors>
  <commentList>
    <comment ref="F29" authorId="0" shapeId="0" xr:uid="{D3572060-029F-4D6A-B43D-629BA9309E58}">
      <text>
        <t>[Threaded comment]
Your version of Excel allows you to read this threaded comment; however, any edits to it will get removed if the file is opened in a newer version of Excel. Learn more: https://go.microsoft.com/fwlink/?linkid=870924
Comment:
    looks like too much</t>
      </text>
    </comment>
  </commentList>
</comments>
</file>

<file path=xl/sharedStrings.xml><?xml version="1.0" encoding="utf-8"?>
<sst xmlns="http://schemas.openxmlformats.org/spreadsheetml/2006/main" count="2591" uniqueCount="686">
  <si>
    <t>Country</t>
  </si>
  <si>
    <t>Common products</t>
  </si>
  <si>
    <t>Flour</t>
  </si>
  <si>
    <t>Nigeria</t>
  </si>
  <si>
    <t>Audit</t>
  </si>
  <si>
    <t>Audit/ new technology</t>
  </si>
  <si>
    <t>Type of product</t>
  </si>
  <si>
    <t>Common processing operations</t>
  </si>
  <si>
    <t>Processing operation</t>
  </si>
  <si>
    <t>Truck unloading</t>
  </si>
  <si>
    <t>Intake/storage</t>
  </si>
  <si>
    <t>Cleaning</t>
  </si>
  <si>
    <t>Holding bin</t>
  </si>
  <si>
    <t>Milling</t>
  </si>
  <si>
    <t>Finished product storage</t>
  </si>
  <si>
    <t>Packaging</t>
  </si>
  <si>
    <t>-</t>
  </si>
  <si>
    <t>unit</t>
  </si>
  <si>
    <t>conversion factor</t>
  </si>
  <si>
    <t>assumptions</t>
  </si>
  <si>
    <t>Electric Energy</t>
  </si>
  <si>
    <t>MJ/kWh</t>
  </si>
  <si>
    <t>Source</t>
  </si>
  <si>
    <t>Olaoye et al. 2014</t>
  </si>
  <si>
    <t>tonne</t>
  </si>
  <si>
    <t>Greene et al., 2019</t>
  </si>
  <si>
    <t>tonne flour</t>
  </si>
  <si>
    <t>Common price of product (unit)</t>
  </si>
  <si>
    <t>Common price of crop (unit)</t>
  </si>
  <si>
    <t>Output p.a. (unit)</t>
  </si>
  <si>
    <t>Inpuit p.a. (unit)</t>
  </si>
  <si>
    <t>from Kenya data</t>
  </si>
  <si>
    <t xml:space="preserve"> (USD/kg)</t>
  </si>
  <si>
    <t>kg</t>
  </si>
  <si>
    <t>SOURCE</t>
  </si>
  <si>
    <t>UNIT</t>
  </si>
  <si>
    <t>Yearly max. turnover MSMEs</t>
  </si>
  <si>
    <t>USD</t>
  </si>
  <si>
    <t>CONSTANTS</t>
  </si>
  <si>
    <t>CROP CHARACTERISTICS GENRAL</t>
  </si>
  <si>
    <t>DATA 1</t>
  </si>
  <si>
    <t>E-Energy (MJ/kg input)</t>
  </si>
  <si>
    <t>Tempering</t>
  </si>
  <si>
    <t>MJ/day</t>
  </si>
  <si>
    <t>per Input (kg/year)</t>
  </si>
  <si>
    <t>Input (kg/day)</t>
  </si>
  <si>
    <t>Output per day</t>
  </si>
  <si>
    <t>Input per day</t>
  </si>
  <si>
    <t>Output per day (unit)</t>
  </si>
  <si>
    <t>Input per day (unit)</t>
  </si>
  <si>
    <t>Flour (100%)</t>
  </si>
  <si>
    <t>Truck unloading, Intake/storage, cleaning, tempering, holding bin, milling, finished product storage, packaging</t>
  </si>
  <si>
    <t>Olaoye et al. 2014; Greene et al., 2019</t>
  </si>
  <si>
    <t>Cassava starch</t>
  </si>
  <si>
    <t>Processing operation GARI</t>
  </si>
  <si>
    <t>Processing operation FLOUR</t>
  </si>
  <si>
    <t>Processing operation STARCH</t>
  </si>
  <si>
    <t>Jekayinfa and Olajide (2007)</t>
  </si>
  <si>
    <t>Peeling</t>
  </si>
  <si>
    <t>Washing</t>
  </si>
  <si>
    <t>Grating</t>
  </si>
  <si>
    <t>Dewatering</t>
  </si>
  <si>
    <t>Sieving</t>
  </si>
  <si>
    <t>Frying</t>
  </si>
  <si>
    <t>Re-sieving</t>
  </si>
  <si>
    <t>Post grinding</t>
  </si>
  <si>
    <t>Chipping</t>
  </si>
  <si>
    <t>Griding</t>
  </si>
  <si>
    <t>Mixing</t>
  </si>
  <si>
    <t>Filtering</t>
  </si>
  <si>
    <t>Starch washing</t>
  </si>
  <si>
    <t>MJ/1000kg input</t>
  </si>
  <si>
    <t>Cake breaking</t>
  </si>
  <si>
    <t>Drying</t>
  </si>
  <si>
    <t>Audit over several plants (6 per product)</t>
  </si>
  <si>
    <t>per Input 1000 kg</t>
  </si>
  <si>
    <t>Tran et al. 2015</t>
  </si>
  <si>
    <t>Strach</t>
  </si>
  <si>
    <t>Gari, Starch, Flour, Chips</t>
  </si>
  <si>
    <t>1-5</t>
  </si>
  <si>
    <t>0.75 - 3.65</t>
  </si>
  <si>
    <t>SMALL</t>
  </si>
  <si>
    <t>Outout day avg</t>
  </si>
  <si>
    <t>Extraction</t>
  </si>
  <si>
    <t>Rasping</t>
  </si>
  <si>
    <t>Water Pump</t>
  </si>
  <si>
    <t>MJ/t strach</t>
  </si>
  <si>
    <t>Thailand, Vietnam, Colombia</t>
  </si>
  <si>
    <t>audit</t>
  </si>
  <si>
    <t>t</t>
  </si>
  <si>
    <t>kWh/t output</t>
  </si>
  <si>
    <t>kg Input/t output</t>
  </si>
  <si>
    <t>t output/ kg input</t>
  </si>
  <si>
    <t>Colombia and Vietnam</t>
  </si>
  <si>
    <t>Da et al., 2013</t>
  </si>
  <si>
    <t>DATA 2</t>
  </si>
  <si>
    <t>DATA 3</t>
  </si>
  <si>
    <t>concerning crop price: consider that there is a price premium from processing and that weight will probbaly be reduced from processing</t>
  </si>
  <si>
    <t>http://www.fao.org/3/a-i4533e.pdf p.25: 40.000 KES/t and exchange rate of 380 USD/t or 0.38/kg</t>
  </si>
  <si>
    <t>Parboiled rice or white milled rice</t>
  </si>
  <si>
    <t>yearly max output</t>
  </si>
  <si>
    <t>daily max output</t>
  </si>
  <si>
    <t>Yearly max output</t>
  </si>
  <si>
    <t>Daily max output</t>
  </si>
  <si>
    <t>Processing operation 
MILLED RICE</t>
  </si>
  <si>
    <t>kWh/ t output</t>
  </si>
  <si>
    <t>t output/kg input</t>
  </si>
  <si>
    <t>Output per hour</t>
  </si>
  <si>
    <t>Goyal er al. 2010</t>
  </si>
  <si>
    <t>unclear</t>
  </si>
  <si>
    <t>India</t>
  </si>
  <si>
    <t>raw milled rice, parboiled rice</t>
  </si>
  <si>
    <t>Paddy clearner</t>
  </si>
  <si>
    <t>Destoner</t>
  </si>
  <si>
    <t>Rubber roll sheller</t>
  </si>
  <si>
    <t>Husk blower</t>
  </si>
  <si>
    <t>Paddy separator</t>
  </si>
  <si>
    <t>Polisher</t>
  </si>
  <si>
    <t>Aspirator</t>
  </si>
  <si>
    <t>Sieve with aspirator</t>
  </si>
  <si>
    <t>Grader</t>
  </si>
  <si>
    <t>Elevator (seven)</t>
  </si>
  <si>
    <t>Processing operation 
Parboiled Rice</t>
  </si>
  <si>
    <t>Bucket</t>
  </si>
  <si>
    <t>Hot air blower</t>
  </si>
  <si>
    <t>Paddy cleaner</t>
  </si>
  <si>
    <t>Rubber oil sheller</t>
  </si>
  <si>
    <t>Paddy seperator</t>
  </si>
  <si>
    <t>Polisher I</t>
  </si>
  <si>
    <t>Polisher II</t>
  </si>
  <si>
    <t>Polisher III</t>
  </si>
  <si>
    <t xml:space="preserve">Elevators </t>
  </si>
  <si>
    <t>Alternative value</t>
  </si>
  <si>
    <t>Goyal et a., 2008</t>
  </si>
  <si>
    <t xml:space="preserve">t </t>
  </si>
  <si>
    <t>Raw rice from mini rice mill and huller mill</t>
  </si>
  <si>
    <t>Processing operation 
MILLED RICE (MINI)</t>
  </si>
  <si>
    <t>Recovery of milled rice was 68% for mini and 59% for huller</t>
  </si>
  <si>
    <t>Input per day (unit) MINI</t>
  </si>
  <si>
    <t>Input per day (unit) HULLER</t>
  </si>
  <si>
    <t>MEDIUM</t>
  </si>
  <si>
    <t>Processing operation 
MILLED RICE (HULLER)</t>
  </si>
  <si>
    <t>Alternative value LOAD</t>
  </si>
  <si>
    <t>Alternative value NET</t>
  </si>
  <si>
    <t>Alternative value SPECIFIC</t>
  </si>
  <si>
    <t>Unclear, probably MEDIUM</t>
  </si>
  <si>
    <t>Roy et al. 2005</t>
  </si>
  <si>
    <t>PRE-STEAMING</t>
  </si>
  <si>
    <t>Soaking</t>
  </si>
  <si>
    <t>Steaming</t>
  </si>
  <si>
    <t>Dehusking</t>
  </si>
  <si>
    <t>Cooking</t>
  </si>
  <si>
    <t>Vessel (smaller than "small boiler", but consumption/t is the same for all scales)</t>
  </si>
  <si>
    <t>Parboiled and untreated</t>
  </si>
  <si>
    <t>Processing operation 
VESSEL PARBOILED</t>
  </si>
  <si>
    <t>Processing operation 
UNTREATED</t>
  </si>
  <si>
    <t>kWh/t head rice output</t>
  </si>
  <si>
    <t>DATA 4</t>
  </si>
  <si>
    <t>Ahiduzzaman and Islam (2009)</t>
  </si>
  <si>
    <t>Bangladesh</t>
  </si>
  <si>
    <t>2 and 4</t>
  </si>
  <si>
    <t>Parboiled using different technologies: sun+mechanical drying vs. mechanical drying and steel huller milling, modern milling; other operations dont require energy, here summarized to medium values</t>
  </si>
  <si>
    <t>MJe/t out</t>
  </si>
  <si>
    <t>DATA 5</t>
  </si>
  <si>
    <t>Roomi et al., 2007</t>
  </si>
  <si>
    <t>comparison of semi-modern, modern and raw rice mill</t>
  </si>
  <si>
    <t>Processing operation 
SEMI MODERN</t>
  </si>
  <si>
    <t>Processing operation 
PAROILED AND UNPROCESSED</t>
  </si>
  <si>
    <t>Processing operation 
RAW RICE MILL</t>
  </si>
  <si>
    <t>Processing operation 
MODERN</t>
  </si>
  <si>
    <t>kWh/t</t>
  </si>
  <si>
    <t>no recovery rate given, just assume same as in DATA 4, i.e. 70% for parboiled and 50% for raw</t>
  </si>
  <si>
    <t>Dry maize, green maize, maize meal</t>
  </si>
  <si>
    <t>as an average of dry maize (0.24 USD/kg and green maize 0.12)</t>
  </si>
  <si>
    <t>hourly max output (8hr day)</t>
  </si>
  <si>
    <t>Daily max output (365 d(year)</t>
  </si>
  <si>
    <t>ILO, 1984</t>
  </si>
  <si>
    <t>general review</t>
  </si>
  <si>
    <t>milled maize</t>
  </si>
  <si>
    <t xml:space="preserve">Processing operation </t>
  </si>
  <si>
    <t>FAO,2006</t>
  </si>
  <si>
    <t>maize flour</t>
  </si>
  <si>
    <t>Aliu et al, 2018</t>
  </si>
  <si>
    <t>soaking, dehulling, shelling and milling</t>
  </si>
  <si>
    <t>https://www.wvi.org/sites/default/files/Millers%20Pride%20DSM%20Tanzania.pdf:</t>
  </si>
  <si>
    <t>milling</t>
  </si>
  <si>
    <t>Output per year</t>
  </si>
  <si>
    <t>Africa</t>
  </si>
  <si>
    <t>not given</t>
  </si>
  <si>
    <t>Processing operation 
PLATE MILL</t>
  </si>
  <si>
    <t>Processing operation 
HAMMER MILL</t>
  </si>
  <si>
    <t>developing countries</t>
  </si>
  <si>
    <t>only energy for milling given even though Shelling is mentiones as well; also different kinds of grains are adressed</t>
  </si>
  <si>
    <t>1-8</t>
  </si>
  <si>
    <t>all</t>
  </si>
  <si>
    <t>Output per year(unit)</t>
  </si>
  <si>
    <t>kWh/year</t>
  </si>
  <si>
    <t>Tempering Bin</t>
  </si>
  <si>
    <t>Roller Mills</t>
  </si>
  <si>
    <t>Plansifter</t>
  </si>
  <si>
    <t>Minisifter</t>
  </si>
  <si>
    <t>Purifier</t>
  </si>
  <si>
    <t>Barn Finisher</t>
  </si>
  <si>
    <t>Detacher</t>
  </si>
  <si>
    <t>Sterilator</t>
  </si>
  <si>
    <t>Air Lock Cyclone</t>
  </si>
  <si>
    <t>High Pressure Fan</t>
  </si>
  <si>
    <t>Processing operation 
MILL A</t>
  </si>
  <si>
    <t>LARGE</t>
  </si>
  <si>
    <t>Maize flour</t>
  </si>
  <si>
    <t>1st Tempering Bin</t>
  </si>
  <si>
    <t>damper</t>
  </si>
  <si>
    <t>2nd Tempering Bin</t>
  </si>
  <si>
    <t>Elevator</t>
  </si>
  <si>
    <t>Plan Sifter</t>
  </si>
  <si>
    <t>Roller mills</t>
  </si>
  <si>
    <t>Bran Finisher</t>
  </si>
  <si>
    <t>After Cyclone Air Lock</t>
  </si>
  <si>
    <t>Filter Fan</t>
  </si>
  <si>
    <t>Blower</t>
  </si>
  <si>
    <t>Blower Standby</t>
  </si>
  <si>
    <t>Lower Pressure Fan</t>
  </si>
  <si>
    <t>Rinising Air Machine</t>
  </si>
  <si>
    <t>average of prices for finger millet (0.69 USD) and sorghum (0.29)</t>
  </si>
  <si>
    <t>Milling Machine</t>
  </si>
  <si>
    <t>Spiral Mixer</t>
  </si>
  <si>
    <t>Elecric Oven</t>
  </si>
  <si>
    <t>kWh/kg output</t>
  </si>
  <si>
    <t>Processing operation 
CAKE</t>
  </si>
  <si>
    <t>Processing operation 
BISCUITS</t>
  </si>
  <si>
    <t>Kargwal et al., 2019</t>
  </si>
  <si>
    <t>Ambrose etal., 2017</t>
  </si>
  <si>
    <t>Balasubramanian 2013</t>
  </si>
  <si>
    <t>Processing operation 
LITTLE MILLET</t>
  </si>
  <si>
    <t>Processing operation 
FOXTAIL MILLET</t>
  </si>
  <si>
    <t>new technology</t>
  </si>
  <si>
    <t>Mill</t>
  </si>
  <si>
    <t>Pulverizer</t>
  </si>
  <si>
    <t>Destoner 1hp, Mill single phase motor, polisher 2 hp, pulverizer 7.5 hp, flour sifter (I assume single phase to be 10kW)</t>
  </si>
  <si>
    <t>Dozier et al., 2005</t>
  </si>
  <si>
    <t>Processing operation 
Pearl Millet</t>
  </si>
  <si>
    <t>US</t>
  </si>
  <si>
    <t xml:space="preserve">Inpuit per hour </t>
  </si>
  <si>
    <t>kg output/kg input</t>
  </si>
  <si>
    <t>E-Energy (MJ) per output 1000 kg</t>
  </si>
  <si>
    <t>Sri Lanka</t>
  </si>
  <si>
    <t>Inpuit per hour</t>
  </si>
  <si>
    <t>Inpuit per hour PARBOILED</t>
  </si>
  <si>
    <t>Inpuit per hour RAW</t>
  </si>
  <si>
    <t>Inpuit per hour (unit)</t>
  </si>
  <si>
    <t>Inpuit per hour(unit)</t>
  </si>
  <si>
    <t>kWh/hr</t>
  </si>
  <si>
    <t>dehusking and milling</t>
  </si>
  <si>
    <t>E-Energy (MJ) per output kg</t>
  </si>
  <si>
    <t>100-110</t>
  </si>
  <si>
    <t>kWh/h (60 kg/h)</t>
  </si>
  <si>
    <t>kWh/h (for 75 kg/h)</t>
  </si>
  <si>
    <t>kWh/h (230  kg/h)</t>
  </si>
  <si>
    <t>kWh/h (90 kg/h)</t>
  </si>
  <si>
    <t>kWh/h (233 kg/h)</t>
  </si>
  <si>
    <t>kWh/h (92 kg/h)</t>
  </si>
  <si>
    <t>Mudzingwa and Mushiri 2019</t>
  </si>
  <si>
    <t>probably SMALL SCALE</t>
  </si>
  <si>
    <t>Zimbabwe</t>
  </si>
  <si>
    <t>screw conveyor</t>
  </si>
  <si>
    <t>roaster motor</t>
  </si>
  <si>
    <t>DATA 5 - incomlete</t>
  </si>
  <si>
    <t>DATA 6</t>
  </si>
  <si>
    <t>india</t>
  </si>
  <si>
    <t>new tech</t>
  </si>
  <si>
    <t>mill</t>
  </si>
  <si>
    <t>kwh/h</t>
  </si>
  <si>
    <t>E-Energy (MJ) per output  kg</t>
  </si>
  <si>
    <t>Chin et al., 2012</t>
  </si>
  <si>
    <t>Bassey and Schmidt, 1989</t>
  </si>
  <si>
    <t>southern Africa</t>
  </si>
  <si>
    <t>Processing operation 
NUHULL</t>
  </si>
  <si>
    <t>Processing operation 
MINI-PRL</t>
  </si>
  <si>
    <t>millet, different types of machienery for dehulling</t>
  </si>
  <si>
    <t>dehulling</t>
  </si>
  <si>
    <t>Processing operation 
MINI-ENDA</t>
  </si>
  <si>
    <t>200-500</t>
  </si>
  <si>
    <t>kWh/h</t>
  </si>
  <si>
    <t>Anjorin et al., 2018</t>
  </si>
  <si>
    <t>two siggested conservation approaches as traditional techniques do not require electrictiy</t>
  </si>
  <si>
    <t>E-Energy (MJ) per input kg</t>
  </si>
  <si>
    <t>condiment</t>
  </si>
  <si>
    <t>each about 3% of total energy consumption</t>
  </si>
  <si>
    <t>Processing operation 
1.59 mm SCREEN SIZE</t>
  </si>
  <si>
    <t>Processing operation 
3.18 mm HAMMER MILL SCREEN SZE</t>
  </si>
  <si>
    <t>Throughput per hour</t>
  </si>
  <si>
    <t>Opoku and Tabil, 2006</t>
  </si>
  <si>
    <t>kWh/t throughput</t>
  </si>
  <si>
    <t>grinding</t>
  </si>
  <si>
    <t>only grinding</t>
  </si>
  <si>
    <t>Canada</t>
  </si>
  <si>
    <t>audit and new suggestion</t>
  </si>
  <si>
    <t>E-Energy (MJ) per throughput kg</t>
  </si>
  <si>
    <t>Akinoso 2013</t>
  </si>
  <si>
    <t>MEDIUM or LARGE "commercial" food-processing</t>
  </si>
  <si>
    <t>Throughput per hour 1.59</t>
  </si>
  <si>
    <t>Throughput per hour 3.18</t>
  </si>
  <si>
    <t>kW/h</t>
  </si>
  <si>
    <t>Blowing</t>
  </si>
  <si>
    <t>Processing operation 
A</t>
  </si>
  <si>
    <t>given as 210 kg, 9 kg and 9kg but not per unit of time</t>
  </si>
  <si>
    <t>Processing operation 
C</t>
  </si>
  <si>
    <t>Processing operation 
B</t>
  </si>
  <si>
    <t>DATA 2 - information missing</t>
  </si>
  <si>
    <t>DATA 1 - incomplete info</t>
  </si>
  <si>
    <t xml:space="preserve">Compares different mills A, B, C for owpea  flour  for  instant  moi-moi  (steam cowpea paste) and akara (roasted cowpea paste) </t>
  </si>
  <si>
    <t xml:space="preserve">DATA 3 </t>
  </si>
  <si>
    <t>Lal and Verma 2007</t>
  </si>
  <si>
    <t>Processing operation 
CIAE</t>
  </si>
  <si>
    <t>Efficiency</t>
  </si>
  <si>
    <t>Input per hour</t>
  </si>
  <si>
    <t>Processing operation 
PKV</t>
  </si>
  <si>
    <t>Processing operation 
CFTI</t>
  </si>
  <si>
    <t>grading</t>
  </si>
  <si>
    <t>different technologies</t>
  </si>
  <si>
    <t>Processing operation 
IARI</t>
  </si>
  <si>
    <t>dehusk</t>
  </si>
  <si>
    <t xml:space="preserve">DATA 1 </t>
  </si>
  <si>
    <t xml:space="preserve">Processing operation 
</t>
  </si>
  <si>
    <t>Soppimath and Hudemani (2017)</t>
  </si>
  <si>
    <t>baggasse, juice, sugar, molasses</t>
  </si>
  <si>
    <t>kWh/day</t>
  </si>
  <si>
    <t>Pippo and Luengo (2013)</t>
  </si>
  <si>
    <t>&lt; 3000</t>
  </si>
  <si>
    <t>All operations</t>
  </si>
  <si>
    <t>Chouhan and Chndrakar 20114</t>
  </si>
  <si>
    <t>unnknown</t>
  </si>
  <si>
    <t>probably industrial/LARGE</t>
  </si>
  <si>
    <t>kWh/t beet</t>
  </si>
  <si>
    <t xml:space="preserve">DATA 2 </t>
  </si>
  <si>
    <t>Jensen and Morin, 20</t>
  </si>
  <si>
    <t>Sattari et al., 2007</t>
  </si>
  <si>
    <t>Iran and world average</t>
  </si>
  <si>
    <t>Processing operation 
IRAN</t>
  </si>
  <si>
    <t>Processing operation 
World average</t>
  </si>
  <si>
    <t>GJ/t</t>
  </si>
  <si>
    <t>beet, cane and raw</t>
  </si>
  <si>
    <t>Spinelli et al., 2012</t>
  </si>
  <si>
    <t>Oil</t>
  </si>
  <si>
    <t>(from Dalipagic and Elepu 2014</t>
  </si>
  <si>
    <t>0.29 - 0.35</t>
  </si>
  <si>
    <t>420 - 480</t>
  </si>
  <si>
    <t>Oil extraction</t>
  </si>
  <si>
    <t>E-Energy (MJ) per kg of output</t>
  </si>
  <si>
    <t>Italy</t>
  </si>
  <si>
    <t>data is taken from a report from 1989</t>
  </si>
  <si>
    <t>MJ/ha/year</t>
  </si>
  <si>
    <t>Input per ha/year</t>
  </si>
  <si>
    <t>Spinelli et al., 2013</t>
  </si>
  <si>
    <t>italy</t>
  </si>
  <si>
    <t>different numbers from different tables</t>
  </si>
  <si>
    <t>Processing operation 
TABLE 3</t>
  </si>
  <si>
    <t>Processing operation 
TABLE 6</t>
  </si>
  <si>
    <t>E-Energy (MJ) per kg of input</t>
  </si>
  <si>
    <t>MJ/2.11 t input (or per ha/year)</t>
  </si>
  <si>
    <t>kWh/2.11 t input of seeds ( (or per ha/year))</t>
  </si>
  <si>
    <t>Ion and Popescu, 2017</t>
  </si>
  <si>
    <t>Output per year (crude oil)</t>
  </si>
  <si>
    <t>not sure this is what is meant in table 1 with "product"</t>
  </si>
  <si>
    <t>Mostly meal (for animal feed), also a lot of oil, used a lot in Nigeria, extend other flours</t>
  </si>
  <si>
    <t>Kartika et al., 2010</t>
  </si>
  <si>
    <t>150-300</t>
  </si>
  <si>
    <t>20 - 40</t>
  </si>
  <si>
    <t>calculations given in Word Doc</t>
  </si>
  <si>
    <t>kWh/t input</t>
  </si>
  <si>
    <t>new technology: twin screw extruder</t>
  </si>
  <si>
    <t>Wheat</t>
  </si>
  <si>
    <t>Rice</t>
  </si>
  <si>
    <t>Maize</t>
  </si>
  <si>
    <t>Millet</t>
  </si>
  <si>
    <t>Field peas</t>
  </si>
  <si>
    <t>Sugar beet</t>
  </si>
  <si>
    <t>Cassava</t>
  </si>
  <si>
    <t>Sunflower</t>
  </si>
  <si>
    <t>Soybean</t>
  </si>
  <si>
    <t>Groundnut</t>
  </si>
  <si>
    <t>Rapeseed</t>
  </si>
  <si>
    <t>Sugar cane</t>
  </si>
  <si>
    <t>Yin et al., 2019</t>
  </si>
  <si>
    <t>200</t>
  </si>
  <si>
    <t>Africa and Asia</t>
  </si>
  <si>
    <t>MJ/output t</t>
  </si>
  <si>
    <t>Smith et al., 2007</t>
  </si>
  <si>
    <t>millet and soy bean, different types of machienery for dehulling</t>
  </si>
  <si>
    <t>wheat, different types of machienery for dehulling</t>
  </si>
  <si>
    <t>cowpea, different types of machienery for dehulling</t>
  </si>
  <si>
    <t>Nur 2017</t>
  </si>
  <si>
    <t>Stripping</t>
  </si>
  <si>
    <t>Ethiopia</t>
  </si>
  <si>
    <t>probably SMALL/MEDIUM</t>
  </si>
  <si>
    <t>Stripped groundnut</t>
  </si>
  <si>
    <t>Ugwuoke et al., 2014</t>
  </si>
  <si>
    <t>Shelling and separating</t>
  </si>
  <si>
    <t>Atiku et al., 2004</t>
  </si>
  <si>
    <t>Adekunle and Olusegun (2007)</t>
  </si>
  <si>
    <t>oil</t>
  </si>
  <si>
    <t>Expeller</t>
  </si>
  <si>
    <t>Filter</t>
  </si>
  <si>
    <t>Babatunde et al., 2015</t>
  </si>
  <si>
    <t>nsuggested conservation approach as compared to traditional approach that does not involve electricity</t>
  </si>
  <si>
    <t>Alternative values given  TRADITIONAL (Wang et al., 200))</t>
  </si>
  <si>
    <t>Alternative values given ENERGY SAVING (Wang et al., 200))</t>
  </si>
  <si>
    <t>Preparation/crushing</t>
  </si>
  <si>
    <t>Transportation/storage</t>
  </si>
  <si>
    <t>Meal processing</t>
  </si>
  <si>
    <t>Oil recivery</t>
  </si>
  <si>
    <t>Solvent recovery</t>
  </si>
  <si>
    <t>Oil degumming</t>
  </si>
  <si>
    <t xml:space="preserve">Other </t>
  </si>
  <si>
    <t>probbaly LARGE</t>
  </si>
  <si>
    <t>biodiesel. But processing is in two steps: first oil, then esterfication</t>
  </si>
  <si>
    <t>MJ/ t seed</t>
  </si>
  <si>
    <t>Total</t>
  </si>
  <si>
    <t>Fore et al., 2011</t>
  </si>
  <si>
    <t>Cylinder hole press</t>
  </si>
  <si>
    <t>Small auger</t>
  </si>
  <si>
    <t>Sieve style feedstock conditioner</t>
  </si>
  <si>
    <t>kWh/1000 kg throughput</t>
  </si>
  <si>
    <t>Chen and Chen, 2011</t>
  </si>
  <si>
    <t>China</t>
  </si>
  <si>
    <t>Oil pressing</t>
  </si>
  <si>
    <t>Crude oil puification</t>
  </si>
  <si>
    <t>MJ/1 kg rapeseed-based biodiesel</t>
  </si>
  <si>
    <t>oil conetent of rapeseed: 37%</t>
  </si>
  <si>
    <t>http://www.jasenterprise.com/sugarcane-juice-machine.html</t>
  </si>
  <si>
    <t>sugar cane juice</t>
  </si>
  <si>
    <t>Crop</t>
  </si>
  <si>
    <t>Sugar Cane</t>
  </si>
  <si>
    <t>MJ/kg</t>
  </si>
  <si>
    <t>Values from Banerjee et al., 2017 (estimate)</t>
  </si>
  <si>
    <t>Oilseeds (soybean)</t>
  </si>
  <si>
    <t>kWh/MT (metric tons)</t>
  </si>
  <si>
    <t>WB 2017</t>
  </si>
  <si>
    <t>USD/kg</t>
  </si>
  <si>
    <t>Common price of product</t>
  </si>
  <si>
    <t>Common price of crop</t>
  </si>
  <si>
    <t>Flour (75%), semolina (3%), bran 22%)</t>
  </si>
  <si>
    <t>Scale</t>
  </si>
  <si>
    <t>MEDIUM/LARGE</t>
  </si>
  <si>
    <t>MICRO/SMALL</t>
  </si>
  <si>
    <t>MICRO</t>
  </si>
  <si>
    <t>Limitations</t>
  </si>
  <si>
    <t>MJ/year</t>
  </si>
  <si>
    <t>Limitation</t>
  </si>
  <si>
    <t>Input per year</t>
  </si>
  <si>
    <t>Produciton efficiency</t>
  </si>
  <si>
    <t>Own assumptions</t>
  </si>
  <si>
    <t>Study assumptions</t>
  </si>
  <si>
    <t>250 tonnes for a shift of 11 hours/day/year (bit unclear)</t>
  </si>
  <si>
    <t>Olaoye et al. 2014; Greene et al., 2018</t>
  </si>
  <si>
    <t>SUM</t>
  </si>
  <si>
    <t>6hr workday, 300 days(year)</t>
  </si>
  <si>
    <t>Study assumption</t>
  </si>
  <si>
    <t>efficiency 90-95%, 5 hp, 7kg per load which take 2-5 minutes</t>
  </si>
  <si>
    <t>Southern Africa</t>
  </si>
  <si>
    <t>extrapolation of yearly output is based on my assumptions, data is 30 years old</t>
  </si>
  <si>
    <t>above the other data by about a factor of 4</t>
  </si>
  <si>
    <t>Production efficiency</t>
  </si>
  <si>
    <t>Too large, values seem off, efficiency seems too low</t>
  </si>
  <si>
    <t>Production Efficiency</t>
  </si>
  <si>
    <t>Production Efficiency HULLER</t>
  </si>
  <si>
    <t>Production Efficiency PARBOILED and MINI</t>
  </si>
  <si>
    <t>Input per hour MINI</t>
  </si>
  <si>
    <t>Input per year MINI</t>
  </si>
  <si>
    <t>Inpuit per hour HULLER</t>
  </si>
  <si>
    <t>Input per yearn HULLER</t>
  </si>
  <si>
    <t>6hr workday, 300 days/year</t>
  </si>
  <si>
    <t>Produciton Efficiency</t>
  </si>
  <si>
    <t>Produciton Efficiency UNTREATED</t>
  </si>
  <si>
    <t>Produciton Efficiency PARBOILED</t>
  </si>
  <si>
    <t>Prodction Efficiency RAW</t>
  </si>
  <si>
    <t>Prodction Efficiency PARBOILED</t>
  </si>
  <si>
    <t>60-80%</t>
  </si>
  <si>
    <t>since it says that 90% of rice is parboiled, the consumption/kg is weighted for 90% with the parboiled recovery rate and 10% the other one</t>
  </si>
  <si>
    <t>Scale too large, several values given, unclear which one to use cause no explanation (specific consumption, net consumption, etc.); unclear where the 38.95 % difference in energy consumption per t pf paddy come from (according to the paper)</t>
  </si>
  <si>
    <t>0.65% efficiency is taken from other studies, 6hr/day, 300 days/year</t>
  </si>
  <si>
    <t>Sdcale too large, several values given, unsure which one to use cause no explanation (specific consumption, net consumption, etc.; no idea where the 38.95 % difference in energy consumption per t pf paddy come from</t>
  </si>
  <si>
    <t>Prodction Efficiency AVERAGE</t>
  </si>
  <si>
    <t>too high by factors of 0.2-10</t>
  </si>
  <si>
    <t>different scales but mostly MEDIUM/LARGE; apparently small and medium rice mills only dry via sunshine</t>
  </si>
  <si>
    <t>Scale unknown, numbers seem off</t>
  </si>
  <si>
    <t>Scale too large</t>
  </si>
  <si>
    <t>OVERVIEW</t>
  </si>
  <si>
    <t>AVG</t>
  </si>
  <si>
    <t>Max</t>
  </si>
  <si>
    <t>Min</t>
  </si>
  <si>
    <t>Average value</t>
  </si>
  <si>
    <t>Max value</t>
  </si>
  <si>
    <t>Min value</t>
  </si>
  <si>
    <t>SUMMARY</t>
  </si>
  <si>
    <t>Data 1</t>
  </si>
  <si>
    <t>Data 2</t>
  </si>
  <si>
    <t>Data 3</t>
  </si>
  <si>
    <t>Electrical Energy consumption in MJ/kg</t>
  </si>
  <si>
    <t>Data 1.1</t>
  </si>
  <si>
    <t>Data 1.2</t>
  </si>
  <si>
    <t>Data 1.3</t>
  </si>
  <si>
    <t>Data 1.4</t>
  </si>
  <si>
    <t>Data 1.5</t>
  </si>
  <si>
    <t>Data 1.6</t>
  </si>
  <si>
    <t xml:space="preserve"> different types of machienery for dehulling</t>
  </si>
  <si>
    <t>Data 2.1</t>
  </si>
  <si>
    <t>Data 2.2</t>
  </si>
  <si>
    <t>Data 2.3</t>
  </si>
  <si>
    <t>Data 2.4</t>
  </si>
  <si>
    <t>Data 2.5</t>
  </si>
  <si>
    <t>Data 2.6</t>
  </si>
  <si>
    <t>Data 3.1</t>
  </si>
  <si>
    <t>Data 3.2</t>
  </si>
  <si>
    <t>Data 4</t>
  </si>
  <si>
    <t>Data 5.1</t>
  </si>
  <si>
    <t>Data 5.2</t>
  </si>
  <si>
    <t>Data 5.3</t>
  </si>
  <si>
    <t>Data 6</t>
  </si>
  <si>
    <t>SUM WITHOUT COOKING</t>
  </si>
  <si>
    <t>Abubakar and Umar 2006</t>
  </si>
  <si>
    <t>own assumptions and calculations</t>
  </si>
  <si>
    <t>milling fee earned per t of produce is 15 USD, Output data: AVG value for 15kW mill 6hrs/day, 250 days/year</t>
  </si>
  <si>
    <t xml:space="preserve">Efficiency according to the average value found in this study https://www.researchgate.net/publication/228676784_Effect_of_flour_production_methods_on_the_yield_physicochemical_properties_of_maize_flour_and_rheological_characteristics_of_a_maize-based_non-fermented_food </t>
  </si>
  <si>
    <t>Produciton efficeincy</t>
  </si>
  <si>
    <t>Processing operation 
MILL B</t>
  </si>
  <si>
    <t>Data 4.1</t>
  </si>
  <si>
    <t>Data 4.2</t>
  </si>
  <si>
    <t>Output per year (unit)</t>
  </si>
  <si>
    <t>mills only, different numbers for differnent types of shelling technologies, Efficiency was based on own assumptions</t>
  </si>
  <si>
    <t>Efficiency was based on own assumptions</t>
  </si>
  <si>
    <t>Output is mean over several years</t>
  </si>
  <si>
    <t>Studyassumptions</t>
  </si>
  <si>
    <t>Producion Efficiency</t>
  </si>
  <si>
    <t>Productive Efficiency</t>
  </si>
  <si>
    <t>DATA 7</t>
  </si>
  <si>
    <t>cake and biscuits, but only milling is taken into account</t>
  </si>
  <si>
    <t>taken from Ambrose et al.</t>
  </si>
  <si>
    <t>Scale unclear</t>
  </si>
  <si>
    <t>only milling given, test of different maller mill hole sizes, average is taken; Efifciency is taken from Ambrose et al., 2017</t>
  </si>
  <si>
    <t>focus on US, efficiency had to be taken from another source, scale is too large</t>
  </si>
  <si>
    <t>Input per year (unit)</t>
  </si>
  <si>
    <t>Input per year (approx)</t>
  </si>
  <si>
    <t>Data 3.3</t>
  </si>
  <si>
    <t>Data 5</t>
  </si>
  <si>
    <t>Data 7.1</t>
  </si>
  <si>
    <t>Data 7.2</t>
  </si>
  <si>
    <t>Data 7.3</t>
  </si>
  <si>
    <t>Milled Pearl Millet</t>
  </si>
  <si>
    <t>Flour from Little Millet, Foxtail Millet, Finger Millet</t>
  </si>
  <si>
    <t>3268, 3495, 3257</t>
  </si>
  <si>
    <t xml:space="preserve"> USD/kg</t>
  </si>
  <si>
    <t>from Kenya</t>
  </si>
  <si>
    <t>Dehulling, milling</t>
  </si>
  <si>
    <t>Scale unclear, numbers are off by far, area focus is off</t>
  </si>
  <si>
    <t>DATA 1 - data too far off</t>
  </si>
  <si>
    <t>SMALL/MEDIUM</t>
  </si>
  <si>
    <t>efficiency assumed to be in line with other literature about 95% (Chin et al., 2012); output calculation for MINI-ENDA was based on an assumed approximated 6 hr/day</t>
  </si>
  <si>
    <t>dehusking efficiency is 95%</t>
  </si>
  <si>
    <t>probably only dehulled grains, no flour</t>
  </si>
  <si>
    <t>Dehulled, milled grains and flour</t>
  </si>
  <si>
    <t>Efficiency: little millet is 65.8% and foxctail is 66.6% so just assumed ist the same; Output per hour: Thats the capacity of the bottleneck technology, which is the polisher, highest is 230 kg/h</t>
  </si>
  <si>
    <t>Focus on India</t>
  </si>
  <si>
    <t>Focus on India,some uncertainty about product</t>
  </si>
  <si>
    <t xml:space="preserve">Old data, </t>
  </si>
  <si>
    <t>average from values on page 15: http://www.fao.org/3/a-au994e.pdf</t>
  </si>
  <si>
    <t>Goyal et al. 2005</t>
  </si>
  <si>
    <t>Ground field peas
Compares different screen sizes and different drying methods. Here, only the drying method via microwave are used but the differnet drying technologies have quite small differences (smaller differences between each other then the different screen sizes)</t>
  </si>
  <si>
    <t>throughput equals both output and input, 6hrs/day, 300 days/year</t>
  </si>
  <si>
    <t>assumed that throughput translates to output and equals input if devided by efficiency; CFIT: (for mill, for grader ist 200-250 but since it cant grade more than the mill can mill, instead for the calculation, the power has been reduced to match serving only about half of the time)</t>
  </si>
  <si>
    <t>dried, split pulses, Different types of mills</t>
  </si>
  <si>
    <t>Limitatons</t>
  </si>
  <si>
    <t>Dried and split peas</t>
  </si>
  <si>
    <t>Scope</t>
  </si>
  <si>
    <t>6hrs/day, 300 days/year; efficiency not given, assumed to be 90%, 6hr/day 300days/week, CFTI: efficiency assumed to be 97% for both even if just given for dehusker and output is assumed to be 125 for both even if just given for grader</t>
  </si>
  <si>
    <t>Data 3.4</t>
  </si>
  <si>
    <t>Data 4.3</t>
  </si>
  <si>
    <t>Old data</t>
  </si>
  <si>
    <t>Own assumptions, throughput rates seem too small: mistake in the paper confusing kg and tons?</t>
  </si>
  <si>
    <t>Throughuit p.a. 1.59</t>
  </si>
  <si>
    <t>Throughput p.a. 3.18</t>
  </si>
  <si>
    <t>sugar</t>
  </si>
  <si>
    <t>Prices for South Africa: https://apps.fas.usda.gov/newgainapi/api/report/downloadreportbyfilename?filename=Sugar%20Annual_Pretoria_South%20Africa%20-%20Republic%20of_4-15-2019.pdf</t>
  </si>
  <si>
    <t xml:space="preserve">Throughput per hour </t>
  </si>
  <si>
    <t>Global price: http://www.agri-outlook.org/commodities/Agricultural-Outlook-2018-Sugar.pdf</t>
  </si>
  <si>
    <t>Sugar</t>
  </si>
  <si>
    <t>Focus on India, scale is unknown</t>
  </si>
  <si>
    <t>Chouhan and Chndrakar 2014</t>
  </si>
  <si>
    <t>extraction of juice, clarification, evaporation, concentration of juice, forming and separating crystals etc.</t>
  </si>
  <si>
    <t>28 kWh of overall energy has been used, not only electric, i.e. maybe high overestimation</t>
  </si>
  <si>
    <t>17 kWh el/t beet in 1989 Danish factory, 20 kWh el(t beet in France, 25 kWh/t in Germany and 30 kWh/t as high bound</t>
  </si>
  <si>
    <t>average consumption is taken of all four given values</t>
  </si>
  <si>
    <t>Scale unnknown but probably too large, focus rather on Europe</t>
  </si>
  <si>
    <t>Country scope off, scale unclear</t>
  </si>
  <si>
    <t>New technology</t>
  </si>
  <si>
    <t>Assumptions</t>
  </si>
  <si>
    <t>Energy intensities of 11 GJ/t and 19.27 GJ/t with 11% of that being electricity (at least in Iran)</t>
  </si>
  <si>
    <t>11% of share electricity in overall energy consumption also used for World average; source for 16% efficiency: https://de.wikipedia.org/wiki/Zuckerr%C3%BCbe#cite_note-11</t>
  </si>
  <si>
    <t>Milled millet</t>
  </si>
  <si>
    <t>production efficiency</t>
  </si>
  <si>
    <t>Output: defined a small scale by IFPRI (1998), micro would be less than a ton;</t>
  </si>
  <si>
    <t>6 hr/day 300 days/year</t>
  </si>
  <si>
    <t>country scope off, size too large</t>
  </si>
  <si>
    <t xml:space="preserve">1-5 </t>
  </si>
  <si>
    <t>Avg. Output per day</t>
  </si>
  <si>
    <t>Efficiency derived from 12/50 (Output/Input); Daily output: table says 12t/month so less than a ton/day</t>
  </si>
  <si>
    <t>According to paper it's small but according to output rather MEDIUM/LARGE</t>
  </si>
  <si>
    <t>Country scope off and too large</t>
  </si>
  <si>
    <t xml:space="preserve">tonne </t>
  </si>
  <si>
    <t>using factor 0.75 as compared to output</t>
  </si>
  <si>
    <t xml:space="preserve">Scale too large and </t>
  </si>
  <si>
    <t>Root Washing</t>
  </si>
  <si>
    <t>washing, grating, …</t>
  </si>
  <si>
    <t>pretty much in line with the data</t>
  </si>
  <si>
    <t xml:space="preserve">Total energy investment: </t>
  </si>
  <si>
    <t>MJ/g seeds</t>
  </si>
  <si>
    <t>MJ/kg seeds</t>
  </si>
  <si>
    <t>--&gt; electricity has to be below that</t>
  </si>
  <si>
    <t>DATA 4 - no context, just a machine and also juice, not sugar</t>
  </si>
  <si>
    <t>Inpuit per day</t>
  </si>
  <si>
    <t>Scale too large, country scope off</t>
  </si>
  <si>
    <t>half as large as my findings but within range</t>
  </si>
  <si>
    <t>global price though: https://www.indexmundi.com/commodities/?commodity=rapeseed-oil&amp;months=60</t>
  </si>
  <si>
    <t>Pressing</t>
  </si>
  <si>
    <t>probably LARGE</t>
  </si>
  <si>
    <t>country scope wrong, scale too large, oil processing steps taken but as preparation for biodiesel porduciton</t>
  </si>
  <si>
    <t>throughput per hour</t>
  </si>
  <si>
    <t>Throughput per year</t>
  </si>
  <si>
    <t>supposedly SMALL but seeems LARGE</t>
  </si>
  <si>
    <t>purification left out of the process as it seems that it is not ntecessary for edible oil</t>
  </si>
  <si>
    <t>country scope is off, scope is too large</t>
  </si>
  <si>
    <t>sunflower oil with CHP from biomass</t>
  </si>
  <si>
    <t>unclear country scope, scale too large, CHP bit confusing ut should nto be a problem overall</t>
  </si>
  <si>
    <t>scale too large, country scope off</t>
  </si>
  <si>
    <t>France</t>
  </si>
  <si>
    <t>Output</t>
  </si>
  <si>
    <t>scale unclear</t>
  </si>
  <si>
    <t>6 hr/day, 300 days/week</t>
  </si>
  <si>
    <t>country scope off, scale unclear but probbaly too large</t>
  </si>
  <si>
    <t>Processing operation 
APPROACH I</t>
  </si>
  <si>
    <t>Processing operation 
APPROACH II</t>
  </si>
  <si>
    <t>DATA 1 - left out because it is condument which seems to consume more</t>
  </si>
  <si>
    <t>DATA 5 - condiment</t>
  </si>
  <si>
    <t>187 kg/h on average (94 – 374 kg/h)</t>
  </si>
  <si>
    <t>shelled groundnut</t>
  </si>
  <si>
    <t>shelled Bambara groundnut</t>
  </si>
  <si>
    <t>DATA 4 - oil</t>
  </si>
  <si>
    <t>scale too large, country focus off, numbers are off</t>
  </si>
  <si>
    <t>DATA 1 - numbers are unclear and off</t>
  </si>
  <si>
    <t>According to the World Bank (2017)</t>
  </si>
  <si>
    <t>Double Dividend: 
Power and Agriculture Nexus in Sub-Saharan Africa</t>
  </si>
  <si>
    <t>final value for energy consumption</t>
  </si>
  <si>
    <t>To be adjusted for every table</t>
  </si>
  <si>
    <t>Divergence of mean from the World Bank (2017)</t>
  </si>
  <si>
    <t>Product Efficiency</t>
  </si>
  <si>
    <t>Product Efficiency PARBOILED</t>
  </si>
  <si>
    <t>Product EfficiencyRAW</t>
  </si>
  <si>
    <t>Input per year AVG</t>
  </si>
  <si>
    <t>country scope only South Africa</t>
  </si>
  <si>
    <t>Bakrai et al. (2010b)</t>
  </si>
  <si>
    <t>destoning, polishing, milling</t>
  </si>
  <si>
    <t>Ekpa et al. (2019)</t>
  </si>
  <si>
    <t>UNIDO, 2004</t>
  </si>
  <si>
    <t>UNIDO, 2005</t>
  </si>
  <si>
    <t xml:space="preserve">Akinoso et al. (2013) </t>
  </si>
  <si>
    <t>milling (grinding)</t>
  </si>
  <si>
    <t>Mandere Mandere et al., 2011</t>
  </si>
  <si>
    <t>Torimiro et al., 2013</t>
  </si>
  <si>
    <t>Torimiro et al., 2014</t>
  </si>
  <si>
    <t>oil extraction</t>
  </si>
  <si>
    <t>Anjorin et al., 2018, Khojely et al. (2018)</t>
  </si>
  <si>
    <t>dehulling, oil extraction(, purification)</t>
  </si>
  <si>
    <t>BFAP, 2020</t>
  </si>
  <si>
    <t>stripped nuts, oil</t>
  </si>
  <si>
    <t>stripiing</t>
  </si>
  <si>
    <t>Nur, 2017</t>
  </si>
  <si>
    <t>Nur, 2018</t>
  </si>
  <si>
    <t>Scale unclear, condiment does not seem very common</t>
  </si>
  <si>
    <t>Torimiro et al. 2013</t>
  </si>
  <si>
    <t>Torimiro et al. 2014</t>
  </si>
  <si>
    <t>Abubakar et al. (2010)</t>
  </si>
  <si>
    <t>washing, milling</t>
  </si>
  <si>
    <t>https://farmdocdaily.illinois.edu/2019/08/the-state-of-soybean-in-africa-soybean-prices.html</t>
  </si>
  <si>
    <t xml:space="preserve"> USD/bushel</t>
  </si>
  <si>
    <t>For kgper bushel: http://www.solluscapital.com.br/English/conversion_table.html</t>
  </si>
  <si>
    <t>roughly in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</si>
</sst>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
    <numFmt numFmtId="165" formatCode="#.##"/>
    <numFmt numFmtId="166" formatCode="0.0"/>
    <numFmt numFmtId="167" formatCode="#.##0"/>
  </numFmts>
  <fonts count="20" x14ac:knownFonts="1">
    <font>
      <sz val="11"/>
      <color theme="1"/>
      <name val="Calibri"/>
      <family val="2"/>
      <scheme val="minor"/>
    </font>
    <font>
      <sz val="11"/>
      <color rgb="FFFF0000"/>
      <name val="Calibri"/>
      <family val="2"/>
      <scheme val="minor"/>
    </font>
    <font>
      <b/>
      <sz val="11"/>
      <color theme="1"/>
      <name val="Calibri"/>
      <family val="2"/>
      <scheme val="minor"/>
    </font>
    <font>
      <b/>
      <sz val="12"/>
      <color rgb="FFFF0000"/>
      <name val="Calibri"/>
      <family val="2"/>
      <scheme val="minor"/>
    </font>
    <font>
      <b/>
      <sz val="16"/>
      <color theme="1"/>
      <name val="Calibri"/>
      <family val="2"/>
      <scheme val="minor"/>
    </font>
    <font>
      <sz val="11"/>
      <name val="Calibri"/>
      <family val="2"/>
      <scheme val="minor"/>
    </font>
    <font>
      <u/>
      <sz val="11"/>
      <color theme="10"/>
      <name val="Calibri"/>
      <family val="2"/>
      <scheme val="minor"/>
    </font>
    <font>
      <b/>
      <sz val="14"/>
      <color rgb="FFFF0000"/>
      <name val="Calibri"/>
      <family val="2"/>
      <scheme val="minor"/>
    </font>
    <font>
      <sz val="11"/>
      <color theme="1"/>
      <name val="Calibri"/>
      <family val="2"/>
      <scheme val="minor"/>
    </font>
    <font>
      <sz val="8"/>
      <name val="Calibri"/>
      <family val="2"/>
      <scheme val="minor"/>
    </font>
    <font>
      <sz val="9"/>
      <color indexed="81"/>
      <name val="Segoe UI"/>
      <family val="2"/>
    </font>
    <font>
      <b/>
      <sz val="11"/>
      <color theme="0"/>
      <name val="Calibri"/>
      <family val="2"/>
      <scheme val="minor"/>
    </font>
    <font>
      <sz val="11"/>
      <color theme="0"/>
      <name val="Calibri"/>
      <family val="2"/>
      <scheme val="minor"/>
    </font>
    <font>
      <sz val="14"/>
      <color theme="1"/>
      <name val="Calibri"/>
      <family val="2"/>
      <scheme val="minor"/>
    </font>
    <font>
      <b/>
      <sz val="11"/>
      <name val="Calibri"/>
      <family val="2"/>
      <scheme val="minor"/>
    </font>
    <font>
      <b/>
      <sz val="9"/>
      <color indexed="81"/>
      <name val="Segoe UI"/>
      <family val="2"/>
    </font>
    <font>
      <b/>
      <sz val="12"/>
      <name val="Calibri"/>
      <family val="2"/>
      <scheme val="minor"/>
    </font>
    <font>
      <b/>
      <sz val="16"/>
      <name val="Calibri"/>
      <family val="2"/>
      <scheme val="minor"/>
    </font>
    <font>
      <b/>
      <sz val="14"/>
      <name val="Calibri"/>
      <family val="2"/>
      <scheme val="minor"/>
    </font>
    <font>
      <u/>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indexed="64"/>
      </patternFill>
    </fill>
  </fills>
  <borders count="15">
    <border>
      <left/>
      <right/>
      <top/>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bottom style="thin">
        <color rgb="FFFF0000"/>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rgb="FFFF0000"/>
      </top>
      <bottom style="thin">
        <color rgb="FFFF0000"/>
      </bottom>
      <diagonal/>
    </border>
    <border>
      <left/>
      <right style="thin">
        <color rgb="FFFF0000"/>
      </right>
      <top/>
      <bottom style="thin">
        <color rgb="FFFF0000"/>
      </bottom>
      <diagonal/>
    </border>
    <border>
      <left style="thin">
        <color rgb="FFFF0000"/>
      </left>
      <right/>
      <top/>
      <bottom style="thin">
        <color rgb="FFFF0000"/>
      </bottom>
      <diagonal/>
    </border>
    <border>
      <left style="thin">
        <color rgb="FFFF0000"/>
      </left>
      <right style="thin">
        <color rgb="FFFF0000"/>
      </right>
      <top/>
      <bottom/>
      <diagonal/>
    </border>
    <border>
      <left style="thin">
        <color rgb="FFFF0000"/>
      </left>
      <right style="thin">
        <color rgb="FFFF0000"/>
      </right>
      <top style="thin">
        <color rgb="FFFF0000"/>
      </top>
      <bottom/>
      <diagonal/>
    </border>
    <border>
      <left/>
      <right/>
      <top/>
      <bottom style="thin">
        <color rgb="FFFF0000"/>
      </bottom>
      <diagonal/>
    </border>
    <border>
      <left/>
      <right/>
      <top style="thin">
        <color rgb="FFFF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43" fontId="8" fillId="0" borderId="0" applyFont="0" applyFill="0" applyBorder="0" applyAlignment="0" applyProtection="0"/>
  </cellStyleXfs>
  <cellXfs count="174">
    <xf numFmtId="0" fontId="0" fillId="0" borderId="0" xfId="0"/>
    <xf numFmtId="0" fontId="2" fillId="0" borderId="0" xfId="0" applyFont="1" applyAlignment="1">
      <alignment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4" borderId="0" xfId="0" applyFill="1"/>
    <xf numFmtId="0" fontId="3" fillId="0" borderId="0" xfId="0" applyFont="1" applyAlignment="1">
      <alignment horizontal="left" wrapText="1"/>
    </xf>
    <xf numFmtId="0" fontId="4" fillId="5" borderId="0" xfId="0" applyFont="1" applyFill="1" applyAlignment="1">
      <alignment horizontal="left"/>
    </xf>
    <xf numFmtId="0" fontId="4" fillId="5" borderId="0" xfId="0" applyFont="1" applyFill="1"/>
    <xf numFmtId="164" fontId="0" fillId="0" borderId="0" xfId="0" applyNumberFormat="1"/>
    <xf numFmtId="164" fontId="2" fillId="0" borderId="0" xfId="0" applyNumberFormat="1" applyFont="1"/>
    <xf numFmtId="0" fontId="0" fillId="0" borderId="1" xfId="0" quotePrefix="1" applyBorder="1"/>
    <xf numFmtId="0" fontId="3" fillId="0" borderId="0" xfId="0" applyFont="1" applyAlignment="1">
      <alignment horizontal="left" wrapText="1"/>
    </xf>
    <xf numFmtId="0" fontId="0" fillId="0" borderId="1" xfId="0" applyFill="1" applyBorder="1"/>
    <xf numFmtId="0" fontId="7" fillId="0" borderId="0" xfId="0" applyFont="1"/>
    <xf numFmtId="0" fontId="0" fillId="8" borderId="0" xfId="0" applyFill="1"/>
    <xf numFmtId="0" fontId="5" fillId="8" borderId="0" xfId="0" applyFont="1" applyFill="1"/>
    <xf numFmtId="0" fontId="0" fillId="0" borderId="3" xfId="0" applyBorder="1"/>
    <xf numFmtId="0" fontId="0" fillId="0" borderId="3" xfId="0" applyFill="1" applyBorder="1"/>
    <xf numFmtId="0" fontId="0" fillId="0" borderId="4" xfId="0" applyBorder="1"/>
    <xf numFmtId="43" fontId="0" fillId="0" borderId="0" xfId="2" applyFont="1"/>
    <xf numFmtId="0" fontId="0" fillId="0" borderId="0" xfId="0" applyFill="1"/>
    <xf numFmtId="0" fontId="5" fillId="0" borderId="0" xfId="0" applyFont="1"/>
    <xf numFmtId="0" fontId="5" fillId="0" borderId="0" xfId="0" applyFont="1" applyFill="1"/>
    <xf numFmtId="2" fontId="0" fillId="0" borderId="0" xfId="0" applyNumberFormat="1"/>
    <xf numFmtId="164" fontId="11" fillId="10" borderId="0" xfId="0" applyNumberFormat="1" applyFont="1" applyFill="1"/>
    <xf numFmtId="164" fontId="0" fillId="0" borderId="1" xfId="0" applyNumberFormat="1" applyBorder="1"/>
    <xf numFmtId="0" fontId="3" fillId="0" borderId="0" xfId="0" applyFont="1" applyAlignment="1">
      <alignment wrapText="1"/>
    </xf>
    <xf numFmtId="0" fontId="0" fillId="0" borderId="1" xfId="0" applyBorder="1" applyAlignment="1">
      <alignment wrapText="1"/>
    </xf>
    <xf numFmtId="0" fontId="5" fillId="0" borderId="1" xfId="0" applyFont="1" applyFill="1" applyBorder="1"/>
    <xf numFmtId="0" fontId="14" fillId="0" borderId="0" xfId="0" applyFont="1" applyAlignment="1">
      <alignment wrapText="1"/>
    </xf>
    <xf numFmtId="0" fontId="14" fillId="0" borderId="0" xfId="0" applyFont="1" applyFill="1" applyAlignment="1">
      <alignment wrapText="1"/>
    </xf>
    <xf numFmtId="0" fontId="0" fillId="4" borderId="1" xfId="0" applyFill="1" applyBorder="1"/>
    <xf numFmtId="0" fontId="5" fillId="2" borderId="1" xfId="0" applyFont="1" applyFill="1" applyBorder="1"/>
    <xf numFmtId="0" fontId="5" fillId="6" borderId="1" xfId="0" applyFont="1" applyFill="1" applyBorder="1"/>
    <xf numFmtId="0" fontId="5" fillId="0" borderId="1" xfId="0" applyFont="1" applyBorder="1"/>
    <xf numFmtId="0" fontId="0" fillId="3" borderId="7" xfId="0" applyFill="1" applyBorder="1"/>
    <xf numFmtId="0" fontId="0" fillId="9" borderId="1" xfId="0" applyFill="1" applyBorder="1"/>
    <xf numFmtId="0" fontId="0" fillId="3" borderId="1" xfId="0" applyFill="1" applyBorder="1"/>
    <xf numFmtId="166" fontId="0" fillId="0" borderId="1" xfId="0" applyNumberFormat="1" applyBorder="1"/>
    <xf numFmtId="0" fontId="5" fillId="0" borderId="1" xfId="0" applyFont="1" applyFill="1" applyBorder="1" applyAlignment="1">
      <alignment wrapText="1"/>
    </xf>
    <xf numFmtId="0" fontId="0" fillId="4" borderId="1" xfId="0" applyFill="1" applyBorder="1" applyAlignment="1">
      <alignment wrapText="1"/>
    </xf>
    <xf numFmtId="0" fontId="13" fillId="0" borderId="0" xfId="0" applyFont="1" applyAlignment="1">
      <alignment horizontal="center"/>
    </xf>
    <xf numFmtId="0" fontId="6" fillId="0" borderId="1" xfId="1" applyBorder="1"/>
    <xf numFmtId="0" fontId="0" fillId="0" borderId="0" xfId="0" applyBorder="1"/>
    <xf numFmtId="0" fontId="5" fillId="0" borderId="1" xfId="0" applyFont="1" applyBorder="1" applyAlignment="1">
      <alignment wrapText="1"/>
    </xf>
    <xf numFmtId="0" fontId="5" fillId="11" borderId="1" xfId="0" applyFont="1" applyFill="1" applyBorder="1"/>
    <xf numFmtId="0" fontId="0" fillId="11" borderId="1" xfId="0" applyFill="1" applyBorder="1"/>
    <xf numFmtId="0" fontId="0" fillId="12" borderId="1" xfId="0" applyFill="1" applyBorder="1"/>
    <xf numFmtId="0" fontId="5" fillId="12" borderId="1" xfId="0" applyFont="1" applyFill="1" applyBorder="1"/>
    <xf numFmtId="0" fontId="0" fillId="8" borderId="1" xfId="0" applyFill="1" applyBorder="1"/>
    <xf numFmtId="0" fontId="5" fillId="8" borderId="1" xfId="0" applyFont="1" applyFill="1" applyBorder="1"/>
    <xf numFmtId="164" fontId="5" fillId="12" borderId="1" xfId="0" applyNumberFormat="1" applyFont="1" applyFill="1" applyBorder="1"/>
    <xf numFmtId="2" fontId="5" fillId="12" borderId="1" xfId="0" applyNumberFormat="1" applyFont="1" applyFill="1" applyBorder="1"/>
    <xf numFmtId="166" fontId="5" fillId="12" borderId="1" xfId="0" applyNumberFormat="1" applyFont="1" applyFill="1" applyBorder="1"/>
    <xf numFmtId="166" fontId="0" fillId="12" borderId="1" xfId="0" applyNumberFormat="1" applyFill="1" applyBorder="1"/>
    <xf numFmtId="0" fontId="5" fillId="12" borderId="1" xfId="0" applyFont="1" applyFill="1" applyBorder="1" applyAlignment="1">
      <alignment wrapText="1"/>
    </xf>
    <xf numFmtId="164" fontId="0" fillId="0" borderId="1" xfId="0" applyNumberFormat="1" applyFont="1" applyBorder="1"/>
    <xf numFmtId="164" fontId="11" fillId="10" borderId="1" xfId="0" applyNumberFormat="1" applyFont="1" applyFill="1" applyBorder="1"/>
    <xf numFmtId="9" fontId="0" fillId="0" borderId="1" xfId="0" applyNumberFormat="1" applyFill="1" applyBorder="1"/>
    <xf numFmtId="0" fontId="0" fillId="12" borderId="1" xfId="0" applyFill="1" applyBorder="1" applyAlignment="1">
      <alignment wrapText="1"/>
    </xf>
    <xf numFmtId="0" fontId="0" fillId="0" borderId="0" xfId="0" applyFill="1" applyBorder="1"/>
    <xf numFmtId="164" fontId="11" fillId="10" borderId="0" xfId="0" applyNumberFormat="1" applyFont="1" applyFill="1" applyBorder="1"/>
    <xf numFmtId="0" fontId="11" fillId="10" borderId="0" xfId="0" applyFont="1" applyFill="1" applyBorder="1"/>
    <xf numFmtId="0" fontId="0" fillId="0" borderId="1" xfId="0" applyFill="1" applyBorder="1" applyAlignment="1">
      <alignment wrapText="1"/>
    </xf>
    <xf numFmtId="0" fontId="0" fillId="12" borderId="1" xfId="0" applyFont="1" applyFill="1" applyBorder="1"/>
    <xf numFmtId="0" fontId="0" fillId="0" borderId="0" xfId="0" applyBorder="1" applyAlignment="1">
      <alignment wrapText="1"/>
    </xf>
    <xf numFmtId="164" fontId="0" fillId="0" borderId="0" xfId="0" applyNumberFormat="1" applyFill="1" applyBorder="1"/>
    <xf numFmtId="0" fontId="5" fillId="9" borderId="1" xfId="0" applyFont="1" applyFill="1" applyBorder="1"/>
    <xf numFmtId="0" fontId="0" fillId="11" borderId="0" xfId="0" applyFill="1"/>
    <xf numFmtId="0" fontId="14" fillId="0" borderId="10" xfId="0" applyFont="1" applyBorder="1" applyAlignment="1">
      <alignment wrapText="1"/>
    </xf>
    <xf numFmtId="0" fontId="0" fillId="11" borderId="1" xfId="0" applyFill="1" applyBorder="1" applyAlignment="1">
      <alignment wrapText="1"/>
    </xf>
    <xf numFmtId="9" fontId="5" fillId="11" borderId="1" xfId="0" applyNumberFormat="1" applyFont="1" applyFill="1" applyBorder="1"/>
    <xf numFmtId="9" fontId="5" fillId="0" borderId="1" xfId="0" applyNumberFormat="1" applyFont="1" applyFill="1" applyBorder="1"/>
    <xf numFmtId="0" fontId="5" fillId="0" borderId="0" xfId="0" applyFont="1" applyAlignment="1">
      <alignment horizontal="left"/>
    </xf>
    <xf numFmtId="0" fontId="5" fillId="0" borderId="9" xfId="0" applyFont="1" applyBorder="1" applyAlignment="1">
      <alignment wrapText="1"/>
    </xf>
    <xf numFmtId="0" fontId="5" fillId="4" borderId="1" xfId="0" applyFont="1" applyFill="1" applyBorder="1"/>
    <xf numFmtId="49" fontId="5" fillId="0" borderId="1" xfId="0" applyNumberFormat="1" applyFont="1" applyFill="1" applyBorder="1"/>
    <xf numFmtId="0" fontId="5" fillId="11" borderId="1" xfId="0" applyFont="1" applyFill="1" applyBorder="1" applyAlignment="1">
      <alignment wrapText="1"/>
    </xf>
    <xf numFmtId="0" fontId="5" fillId="0" borderId="11" xfId="0" applyFont="1" applyBorder="1"/>
    <xf numFmtId="2" fontId="5" fillId="0" borderId="1" xfId="0" applyNumberFormat="1" applyFont="1" applyFill="1" applyBorder="1"/>
    <xf numFmtId="164" fontId="5" fillId="0" borderId="0" xfId="0" applyNumberFormat="1" applyFont="1" applyFill="1" applyBorder="1"/>
    <xf numFmtId="164" fontId="5" fillId="0" borderId="0" xfId="0" applyNumberFormat="1" applyFont="1"/>
    <xf numFmtId="2" fontId="5" fillId="11" borderId="1" xfId="0" applyNumberFormat="1" applyFont="1" applyFill="1" applyBorder="1"/>
    <xf numFmtId="0" fontId="5" fillId="3" borderId="1" xfId="0" applyFont="1" applyFill="1" applyBorder="1"/>
    <xf numFmtId="3" fontId="5" fillId="0" borderId="1" xfId="0" applyNumberFormat="1" applyFont="1" applyBorder="1"/>
    <xf numFmtId="165" fontId="5" fillId="0" borderId="1" xfId="0" applyNumberFormat="1" applyFont="1" applyBorder="1"/>
    <xf numFmtId="0" fontId="5" fillId="0" borderId="0" xfId="0" applyFont="1" applyAlignment="1">
      <alignment horizontal="center"/>
    </xf>
    <xf numFmtId="0" fontId="17" fillId="5" borderId="0" xfId="0" applyFont="1" applyFill="1" applyAlignment="1">
      <alignment horizontal="left"/>
    </xf>
    <xf numFmtId="0" fontId="16" fillId="0" borderId="0" xfId="0" applyFont="1" applyAlignment="1">
      <alignment horizontal="left" wrapText="1"/>
    </xf>
    <xf numFmtId="0" fontId="17" fillId="5" borderId="0" xfId="0" applyFont="1" applyFill="1"/>
    <xf numFmtId="0" fontId="18" fillId="0" borderId="0" xfId="0" applyFont="1"/>
    <xf numFmtId="164" fontId="14" fillId="0" borderId="0" xfId="0" applyNumberFormat="1" applyFont="1"/>
    <xf numFmtId="2" fontId="5" fillId="0" borderId="0" xfId="0" applyNumberFormat="1" applyFont="1"/>
    <xf numFmtId="164" fontId="5" fillId="8" borderId="0" xfId="0" applyNumberFormat="1" applyFont="1" applyFill="1"/>
    <xf numFmtId="3" fontId="5" fillId="8" borderId="1" xfId="0" applyNumberFormat="1" applyFont="1" applyFill="1" applyBorder="1"/>
    <xf numFmtId="0" fontId="5" fillId="0" borderId="0" xfId="0" applyFont="1" applyAlignment="1">
      <alignment wrapText="1"/>
    </xf>
    <xf numFmtId="0" fontId="14" fillId="8" borderId="0" xfId="0" applyFont="1" applyFill="1" applyAlignment="1">
      <alignment wrapText="1"/>
    </xf>
    <xf numFmtId="164" fontId="14" fillId="8" borderId="0" xfId="0" applyNumberFormat="1" applyFont="1" applyFill="1"/>
    <xf numFmtId="0" fontId="5" fillId="0" borderId="0" xfId="0" applyFont="1" applyBorder="1" applyAlignment="1">
      <alignment wrapText="1"/>
    </xf>
    <xf numFmtId="0" fontId="5" fillId="0" borderId="0" xfId="0" applyFont="1" applyBorder="1"/>
    <xf numFmtId="2" fontId="5" fillId="6" borderId="1" xfId="0" applyNumberFormat="1" applyFont="1" applyFill="1" applyBorder="1"/>
    <xf numFmtId="0" fontId="17" fillId="7" borderId="0" xfId="0" applyFont="1" applyFill="1"/>
    <xf numFmtId="2" fontId="5" fillId="0" borderId="1" xfId="0" applyNumberFormat="1" applyFont="1" applyBorder="1"/>
    <xf numFmtId="164" fontId="11" fillId="8" borderId="0" xfId="0" applyNumberFormat="1" applyFont="1" applyFill="1"/>
    <xf numFmtId="166" fontId="5" fillId="11" borderId="1" xfId="0" applyNumberFormat="1" applyFont="1" applyFill="1" applyBorder="1"/>
    <xf numFmtId="0" fontId="17" fillId="13" borderId="0" xfId="0" applyFont="1" applyFill="1"/>
    <xf numFmtId="0" fontId="5" fillId="0" borderId="0" xfId="0" applyFont="1" applyFill="1" applyBorder="1"/>
    <xf numFmtId="164" fontId="5" fillId="0" borderId="1" xfId="0" applyNumberFormat="1" applyFont="1" applyBorder="1"/>
    <xf numFmtId="0" fontId="5" fillId="0" borderId="0" xfId="0" applyFont="1" applyFill="1" applyAlignment="1">
      <alignment horizontal="left"/>
    </xf>
    <xf numFmtId="0" fontId="5" fillId="0" borderId="0" xfId="0" applyFont="1" applyFill="1" applyAlignment="1">
      <alignment horizontal="center"/>
    </xf>
    <xf numFmtId="0" fontId="16" fillId="0" borderId="0" xfId="0" applyFont="1" applyFill="1" applyAlignment="1">
      <alignment horizontal="left" wrapText="1"/>
    </xf>
    <xf numFmtId="0" fontId="17" fillId="0" borderId="0" xfId="0" applyFont="1" applyFill="1"/>
    <xf numFmtId="0" fontId="18" fillId="0" borderId="0" xfId="0" applyFont="1" applyFill="1"/>
    <xf numFmtId="164" fontId="5" fillId="0" borderId="0" xfId="0" applyNumberFormat="1" applyFont="1" applyFill="1"/>
    <xf numFmtId="164" fontId="14" fillId="0" borderId="0" xfId="0" applyNumberFormat="1" applyFont="1" applyFill="1"/>
    <xf numFmtId="0" fontId="11" fillId="10" borderId="0" xfId="0" applyFont="1" applyFill="1"/>
    <xf numFmtId="166" fontId="5" fillId="11" borderId="1" xfId="0" applyNumberFormat="1" applyFont="1" applyFill="1" applyBorder="1" applyAlignment="1">
      <alignment wrapText="1"/>
    </xf>
    <xf numFmtId="0" fontId="17" fillId="8" borderId="0" xfId="0" applyFont="1" applyFill="1"/>
    <xf numFmtId="166" fontId="5" fillId="0" borderId="1" xfId="0" applyNumberFormat="1" applyFont="1" applyFill="1" applyBorder="1"/>
    <xf numFmtId="166" fontId="5" fillId="0" borderId="0" xfId="0" applyNumberFormat="1" applyFont="1"/>
    <xf numFmtId="0" fontId="5" fillId="3" borderId="0" xfId="0" applyFont="1" applyFill="1"/>
    <xf numFmtId="167" fontId="5" fillId="0" borderId="1" xfId="0" applyNumberFormat="1" applyFont="1" applyBorder="1"/>
    <xf numFmtId="0" fontId="5" fillId="0" borderId="2" xfId="0" applyFont="1" applyFill="1" applyBorder="1"/>
    <xf numFmtId="0" fontId="5" fillId="0" borderId="8" xfId="0" applyFont="1" applyFill="1" applyBorder="1"/>
    <xf numFmtId="0" fontId="5" fillId="0" borderId="9" xfId="0" applyFont="1" applyBorder="1"/>
    <xf numFmtId="0" fontId="5" fillId="8" borderId="1" xfId="0" applyFont="1" applyFill="1" applyBorder="1" applyAlignment="1">
      <alignment wrapText="1"/>
    </xf>
    <xf numFmtId="0" fontId="5" fillId="0" borderId="1" xfId="0" quotePrefix="1" applyFont="1" applyBorder="1"/>
    <xf numFmtId="0" fontId="5" fillId="3" borderId="7" xfId="0" applyFont="1" applyFill="1" applyBorder="1"/>
    <xf numFmtId="0" fontId="5" fillId="0" borderId="3" xfId="0" applyFont="1" applyBorder="1"/>
    <xf numFmtId="0" fontId="14" fillId="3" borderId="0" xfId="0" applyFont="1" applyFill="1" applyAlignment="1">
      <alignment wrapText="1"/>
    </xf>
    <xf numFmtId="164" fontId="5" fillId="3" borderId="0" xfId="0" applyNumberFormat="1" applyFont="1" applyFill="1"/>
    <xf numFmtId="164" fontId="14" fillId="3" borderId="0" xfId="0" applyNumberFormat="1" applyFont="1" applyFill="1"/>
    <xf numFmtId="49" fontId="5" fillId="0" borderId="1" xfId="0" applyNumberFormat="1" applyFont="1" applyBorder="1"/>
    <xf numFmtId="49" fontId="5" fillId="11" borderId="1" xfId="0" applyNumberFormat="1" applyFont="1" applyFill="1" applyBorder="1"/>
    <xf numFmtId="0" fontId="5" fillId="0" borderId="1" xfId="0" applyNumberFormat="1" applyFont="1" applyFill="1" applyBorder="1"/>
    <xf numFmtId="0" fontId="12" fillId="10" borderId="0" xfId="0" applyFont="1" applyFill="1"/>
    <xf numFmtId="0" fontId="5" fillId="0" borderId="0" xfId="0" quotePrefix="1" applyFont="1"/>
    <xf numFmtId="0" fontId="14" fillId="0" borderId="0" xfId="0" applyFont="1"/>
    <xf numFmtId="0" fontId="5" fillId="0" borderId="5" xfId="0" applyFont="1" applyBorder="1" applyAlignment="1">
      <alignment wrapText="1"/>
    </xf>
    <xf numFmtId="0" fontId="5" fillId="0" borderId="4" xfId="0" applyFont="1" applyBorder="1"/>
    <xf numFmtId="0" fontId="5" fillId="0" borderId="6" xfId="0" applyFont="1" applyBorder="1" applyAlignment="1">
      <alignment wrapText="1"/>
    </xf>
    <xf numFmtId="0" fontId="5" fillId="4" borderId="2" xfId="0" applyFont="1" applyFill="1" applyBorder="1"/>
    <xf numFmtId="0" fontId="19" fillId="4" borderId="2" xfId="1" applyFont="1" applyFill="1" applyBorder="1"/>
    <xf numFmtId="0" fontId="5" fillId="0" borderId="10" xfId="0" applyFont="1" applyBorder="1"/>
    <xf numFmtId="0" fontId="14" fillId="9" borderId="0" xfId="0" applyFont="1" applyFill="1" applyAlignment="1">
      <alignment wrapText="1"/>
    </xf>
    <xf numFmtId="0" fontId="5" fillId="8" borderId="6" xfId="0" applyFont="1" applyFill="1" applyBorder="1" applyAlignment="1">
      <alignment wrapText="1"/>
    </xf>
    <xf numFmtId="0" fontId="5" fillId="8" borderId="4" xfId="0" applyFont="1" applyFill="1" applyBorder="1"/>
    <xf numFmtId="0" fontId="5" fillId="0" borderId="9" xfId="0" applyFont="1" applyFill="1" applyBorder="1"/>
    <xf numFmtId="0" fontId="5" fillId="0" borderId="1" xfId="0" applyFont="1" applyFill="1" applyBorder="1" applyAlignment="1">
      <alignment horizontal="left" wrapText="1" indent="1"/>
    </xf>
    <xf numFmtId="0" fontId="5" fillId="4" borderId="1" xfId="0" applyFont="1" applyFill="1" applyBorder="1" applyAlignment="1">
      <alignment vertical="center"/>
    </xf>
    <xf numFmtId="3" fontId="11" fillId="10" borderId="0" xfId="0" applyNumberFormat="1" applyFont="1" applyFill="1"/>
    <xf numFmtId="0" fontId="0" fillId="0" borderId="12" xfId="0" applyBorder="1"/>
    <xf numFmtId="0" fontId="11" fillId="10" borderId="10" xfId="0" applyFont="1" applyFill="1" applyBorder="1"/>
    <xf numFmtId="0" fontId="1" fillId="0" borderId="1" xfId="0" applyFont="1" applyFill="1" applyBorder="1"/>
    <xf numFmtId="164" fontId="5" fillId="0" borderId="1" xfId="0" applyNumberFormat="1" applyFont="1" applyFill="1" applyBorder="1"/>
    <xf numFmtId="2" fontId="0" fillId="12" borderId="1" xfId="0" applyNumberFormat="1" applyFill="1" applyBorder="1"/>
    <xf numFmtId="0" fontId="6" fillId="0" borderId="1" xfId="1" applyFill="1" applyBorder="1"/>
    <xf numFmtId="164" fontId="0" fillId="0" borderId="12" xfId="0" applyNumberFormat="1" applyBorder="1"/>
    <xf numFmtId="164" fontId="5" fillId="0" borderId="12" xfId="0" applyNumberFormat="1" applyFont="1" applyBorder="1"/>
    <xf numFmtId="0" fontId="0" fillId="6" borderId="12" xfId="0" applyFill="1" applyBorder="1"/>
    <xf numFmtId="0" fontId="0" fillId="0" borderId="12" xfId="0" applyBorder="1" applyAlignment="1">
      <alignment horizontal="center"/>
    </xf>
    <xf numFmtId="0" fontId="17" fillId="6" borderId="0" xfId="0" applyFont="1" applyFill="1"/>
    <xf numFmtId="0" fontId="5" fillId="6" borderId="7" xfId="0" applyFont="1" applyFill="1" applyBorder="1"/>
    <xf numFmtId="0" fontId="5" fillId="6" borderId="9" xfId="0" applyFont="1" applyFill="1" applyBorder="1"/>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3" fillId="0" borderId="0" xfId="0" applyFont="1" applyAlignment="1">
      <alignment horizontal="left" wrapText="1"/>
    </xf>
    <xf numFmtId="0" fontId="16" fillId="0" borderId="0" xfId="0" applyFont="1" applyAlignment="1">
      <alignment horizontal="left" wrapText="1"/>
    </xf>
    <xf numFmtId="0" fontId="16" fillId="0" borderId="0" xfId="0" applyFont="1" applyFill="1" applyAlignment="1">
      <alignment horizontal="left" wrapText="1"/>
    </xf>
  </cellXfs>
  <cellStyles count="3">
    <cellStyle name="Comma" xfId="2" builtinId="3"/>
    <cellStyle name="Hyperlink" xfId="1" builtinId="8"/>
    <cellStyle name="Normal"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 of energy consumption (MJ/kg)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Overview!$B$4</c:f>
              <c:strCache>
                <c:ptCount val="1"/>
                <c:pt idx="0">
                  <c:v>AVG</c:v>
                </c:pt>
              </c:strCache>
            </c:strRef>
          </c:tx>
          <c:spPr>
            <a:solidFill>
              <a:schemeClr val="accent1"/>
            </a:solidFill>
            <a:ln>
              <a:noFill/>
            </a:ln>
            <a:effectLst/>
          </c:spPr>
          <c:invertIfNegative val="0"/>
          <c:cat>
            <c:strRef>
              <c:f>Overview!$A$5:$A$16</c:f>
              <c:strCache>
                <c:ptCount val="12"/>
                <c:pt idx="0">
                  <c:v>Wheat</c:v>
                </c:pt>
                <c:pt idx="1">
                  <c:v>Rice</c:v>
                </c:pt>
                <c:pt idx="2">
                  <c:v>Maize</c:v>
                </c:pt>
                <c:pt idx="3">
                  <c:v>Millet</c:v>
                </c:pt>
                <c:pt idx="4">
                  <c:v>Field peas</c:v>
                </c:pt>
                <c:pt idx="5">
                  <c:v>Sugar beet</c:v>
                </c:pt>
                <c:pt idx="6">
                  <c:v>Cassava</c:v>
                </c:pt>
                <c:pt idx="7">
                  <c:v>Sunflower</c:v>
                </c:pt>
                <c:pt idx="8">
                  <c:v>Soybean</c:v>
                </c:pt>
                <c:pt idx="9">
                  <c:v>Groundnut</c:v>
                </c:pt>
                <c:pt idx="10">
                  <c:v>Rapeseed</c:v>
                </c:pt>
                <c:pt idx="11">
                  <c:v>Sugar cane</c:v>
                </c:pt>
              </c:strCache>
            </c:strRef>
          </c:cat>
          <c:val>
            <c:numRef>
              <c:f>Overview!$B$5:$B$16</c:f>
              <c:numCache>
                <c:formatCode>0.000</c:formatCode>
                <c:ptCount val="12"/>
                <c:pt idx="0">
                  <c:v>7.5931611746835451E-2</c:v>
                </c:pt>
                <c:pt idx="1">
                  <c:v>5.2214227368421053E-2</c:v>
                </c:pt>
                <c:pt idx="2">
                  <c:v>0.59798514453610763</c:v>
                </c:pt>
                <c:pt idx="3">
                  <c:v>0.1041597194578862</c:v>
                </c:pt>
                <c:pt idx="4">
                  <c:v>3.8648599326443774E-2</c:v>
                </c:pt>
                <c:pt idx="5">
                  <c:v>0.24948800000000002</c:v>
                </c:pt>
                <c:pt idx="6">
                  <c:v>6.3583699999999993E-2</c:v>
                </c:pt>
                <c:pt idx="7">
                  <c:v>0.12039635738905645</c:v>
                </c:pt>
                <c:pt idx="8">
                  <c:v>0.20985500000000001</c:v>
                </c:pt>
                <c:pt idx="9">
                  <c:v>3.2172651877824664E-2</c:v>
                </c:pt>
                <c:pt idx="10">
                  <c:v>0.17879999999999999</c:v>
                </c:pt>
                <c:pt idx="11">
                  <c:v>0.33444262711864409</c:v>
                </c:pt>
              </c:numCache>
            </c:numRef>
          </c:val>
          <c:extLst>
            <c:ext xmlns:c16="http://schemas.microsoft.com/office/drawing/2014/chart" uri="{C3380CC4-5D6E-409C-BE32-E72D297353CC}">
              <c16:uniqueId val="{00000000-35BA-4508-A786-D82D4037D9D1}"/>
            </c:ext>
          </c:extLst>
        </c:ser>
        <c:ser>
          <c:idx val="1"/>
          <c:order val="1"/>
          <c:tx>
            <c:strRef>
              <c:f>Overview!$C$4</c:f>
              <c:strCache>
                <c:ptCount val="1"/>
                <c:pt idx="0">
                  <c:v>Max</c:v>
                </c:pt>
              </c:strCache>
            </c:strRef>
          </c:tx>
          <c:spPr>
            <a:solidFill>
              <a:schemeClr val="accent2"/>
            </a:solidFill>
            <a:ln>
              <a:noFill/>
            </a:ln>
            <a:effectLst/>
          </c:spPr>
          <c:invertIfNegative val="0"/>
          <c:cat>
            <c:strRef>
              <c:f>Overview!$A$5:$A$16</c:f>
              <c:strCache>
                <c:ptCount val="12"/>
                <c:pt idx="0">
                  <c:v>Wheat</c:v>
                </c:pt>
                <c:pt idx="1">
                  <c:v>Rice</c:v>
                </c:pt>
                <c:pt idx="2">
                  <c:v>Maize</c:v>
                </c:pt>
                <c:pt idx="3">
                  <c:v>Millet</c:v>
                </c:pt>
                <c:pt idx="4">
                  <c:v>Field peas</c:v>
                </c:pt>
                <c:pt idx="5">
                  <c:v>Sugar beet</c:v>
                </c:pt>
                <c:pt idx="6">
                  <c:v>Cassava</c:v>
                </c:pt>
                <c:pt idx="7">
                  <c:v>Sunflower</c:v>
                </c:pt>
                <c:pt idx="8">
                  <c:v>Soybean</c:v>
                </c:pt>
                <c:pt idx="9">
                  <c:v>Groundnut</c:v>
                </c:pt>
                <c:pt idx="10">
                  <c:v>Rapeseed</c:v>
                </c:pt>
                <c:pt idx="11">
                  <c:v>Sugar cane</c:v>
                </c:pt>
              </c:strCache>
            </c:strRef>
          </c:cat>
          <c:val>
            <c:numRef>
              <c:f>Overview!$C$5:$C$16</c:f>
              <c:numCache>
                <c:formatCode>0.000</c:formatCode>
                <c:ptCount val="12"/>
                <c:pt idx="0">
                  <c:v>0.10350750000000002</c:v>
                </c:pt>
                <c:pt idx="1">
                  <c:v>0.12813839999999999</c:v>
                </c:pt>
                <c:pt idx="2">
                  <c:v>1.7693180198019802</c:v>
                </c:pt>
                <c:pt idx="3">
                  <c:v>0.23322074584411626</c:v>
                </c:pt>
                <c:pt idx="4">
                  <c:v>8.2806000000000005E-2</c:v>
                </c:pt>
                <c:pt idx="5">
                  <c:v>0.47520000000000007</c:v>
                </c:pt>
                <c:pt idx="6">
                  <c:v>0.16632</c:v>
                </c:pt>
                <c:pt idx="7">
                  <c:v>0.1927962085308057</c:v>
                </c:pt>
                <c:pt idx="8">
                  <c:v>0.31900000000000001</c:v>
                </c:pt>
                <c:pt idx="9">
                  <c:v>5.0265240641711229E-2</c:v>
                </c:pt>
                <c:pt idx="10">
                  <c:v>0.29599999999999999</c:v>
                </c:pt>
                <c:pt idx="11">
                  <c:v>0.59400000000000008</c:v>
                </c:pt>
              </c:numCache>
            </c:numRef>
          </c:val>
          <c:extLst>
            <c:ext xmlns:c16="http://schemas.microsoft.com/office/drawing/2014/chart" uri="{C3380CC4-5D6E-409C-BE32-E72D297353CC}">
              <c16:uniqueId val="{00000001-35BA-4508-A786-D82D4037D9D1}"/>
            </c:ext>
          </c:extLst>
        </c:ser>
        <c:ser>
          <c:idx val="2"/>
          <c:order val="2"/>
          <c:tx>
            <c:strRef>
              <c:f>Overview!$D$4</c:f>
              <c:strCache>
                <c:ptCount val="1"/>
                <c:pt idx="0">
                  <c:v>Min</c:v>
                </c:pt>
              </c:strCache>
            </c:strRef>
          </c:tx>
          <c:spPr>
            <a:solidFill>
              <a:schemeClr val="accent3"/>
            </a:solidFill>
            <a:ln>
              <a:noFill/>
            </a:ln>
            <a:effectLst/>
          </c:spPr>
          <c:invertIfNegative val="0"/>
          <c:cat>
            <c:strRef>
              <c:f>Overview!$A$5:$A$16</c:f>
              <c:strCache>
                <c:ptCount val="12"/>
                <c:pt idx="0">
                  <c:v>Wheat</c:v>
                </c:pt>
                <c:pt idx="1">
                  <c:v>Rice</c:v>
                </c:pt>
                <c:pt idx="2">
                  <c:v>Maize</c:v>
                </c:pt>
                <c:pt idx="3">
                  <c:v>Millet</c:v>
                </c:pt>
                <c:pt idx="4">
                  <c:v>Field peas</c:v>
                </c:pt>
                <c:pt idx="5">
                  <c:v>Sugar beet</c:v>
                </c:pt>
                <c:pt idx="6">
                  <c:v>Cassava</c:v>
                </c:pt>
                <c:pt idx="7">
                  <c:v>Sunflower</c:v>
                </c:pt>
                <c:pt idx="8">
                  <c:v>Soybean</c:v>
                </c:pt>
                <c:pt idx="9">
                  <c:v>Groundnut</c:v>
                </c:pt>
                <c:pt idx="10">
                  <c:v>Rapeseed</c:v>
                </c:pt>
                <c:pt idx="11">
                  <c:v>Sugar cane</c:v>
                </c:pt>
              </c:strCache>
            </c:strRef>
          </c:cat>
          <c:val>
            <c:numRef>
              <c:f>Overview!$D$5:$D$16</c:f>
              <c:numCache>
                <c:formatCode>0.000</c:formatCode>
                <c:ptCount val="12"/>
                <c:pt idx="0">
                  <c:v>2.3131139240506329E-2</c:v>
                </c:pt>
                <c:pt idx="1">
                  <c:v>1.14696E-2</c:v>
                </c:pt>
                <c:pt idx="2">
                  <c:v>2.9181599999999999E-2</c:v>
                </c:pt>
                <c:pt idx="3">
                  <c:v>1.2117599999999999E-2</c:v>
                </c:pt>
                <c:pt idx="4">
                  <c:v>1.8223714285714281E-2</c:v>
                </c:pt>
                <c:pt idx="5">
                  <c:v>8.2799999999999999E-2</c:v>
                </c:pt>
                <c:pt idx="6">
                  <c:v>1.1169999999999999E-2</c:v>
                </c:pt>
                <c:pt idx="7">
                  <c:v>6.039286363636364E-2</c:v>
                </c:pt>
                <c:pt idx="8">
                  <c:v>0.10071000000000001</c:v>
                </c:pt>
                <c:pt idx="9">
                  <c:v>6.7140000000000003E-3</c:v>
                </c:pt>
                <c:pt idx="10">
                  <c:v>2.3400000000000004E-2</c:v>
                </c:pt>
                <c:pt idx="11">
                  <c:v>0.09</c:v>
                </c:pt>
              </c:numCache>
            </c:numRef>
          </c:val>
          <c:extLst>
            <c:ext xmlns:c16="http://schemas.microsoft.com/office/drawing/2014/chart" uri="{C3380CC4-5D6E-409C-BE32-E72D297353CC}">
              <c16:uniqueId val="{00000002-35BA-4508-A786-D82D4037D9D1}"/>
            </c:ext>
          </c:extLst>
        </c:ser>
        <c:dLbls>
          <c:showLegendKey val="0"/>
          <c:showVal val="0"/>
          <c:showCatName val="0"/>
          <c:showSerName val="0"/>
          <c:showPercent val="0"/>
          <c:showBubbleSize val="0"/>
        </c:dLbls>
        <c:gapWidth val="182"/>
        <c:axId val="604296696"/>
        <c:axId val="604302272"/>
      </c:barChart>
      <c:catAx>
        <c:axId val="604296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02272"/>
        <c:crosses val="autoZero"/>
        <c:auto val="1"/>
        <c:lblAlgn val="ctr"/>
        <c:lblOffset val="100"/>
        <c:noMultiLvlLbl val="0"/>
      </c:catAx>
      <c:valAx>
        <c:axId val="60430227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6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Boxplot Wheat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Wheat Data</a:t>
          </a:r>
        </a:p>
      </cx:txPr>
    </cx:title>
    <cx:plotArea>
      <cx:plotAreaRegion>
        <cx:series layoutId="boxWhisker" uniqueId="{00760A41-62C7-4AB6-B86F-9875D9E465CE}">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Boxplot Groundnut Datal</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Groundnut Datal</a:t>
          </a:r>
        </a:p>
      </cx:txPr>
    </cx:title>
    <cx:plotArea>
      <cx:plotAreaRegion>
        <cx:series layoutId="boxWhisker" uniqueId="{D2FC6413-C1F0-4D80-94F1-A163FB5C3514}">
          <cx:dataId val="0"/>
          <cx:layoutPr>
            <cx:statistics quartileMethod="exclusive"/>
          </cx:layoutPr>
        </cx:series>
      </cx:plotAreaRegion>
      <cx:axis id="0">
        <cx:catScaling gapWidth="1"/>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Boxplor Rapeseed Processing</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Boxplor Rapeseed Processing</a:t>
          </a:r>
        </a:p>
      </cx:txPr>
    </cx:title>
    <cx:plotArea>
      <cx:plotAreaRegion>
        <cx:series layoutId="boxWhisker" uniqueId="{29DC67C7-E414-4E63-BF95-1D9A914A40C6}">
          <cx:dataId val="0"/>
          <cx:layoutPr>
            <cx:statistics quartileMethod="exclusive"/>
          </cx:layoutPr>
        </cx:series>
      </cx:plotAreaRegion>
      <cx:axis id="0">
        <cx:catScaling gapWidth="1"/>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Boxplot Sugar Cane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Sugar Cane  Data</a:t>
          </a:r>
        </a:p>
      </cx:txPr>
    </cx:title>
    <cx:plotArea>
      <cx:plotAreaRegion>
        <cx:series layoutId="boxWhisker" uniqueId="{A5CD5023-ADD7-4928-948E-C61146EC44C6}">
          <cx:dataId val="0"/>
          <cx:layoutPr>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Boxplot Wheat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Wheat Data</a:t>
          </a:r>
        </a:p>
      </cx:txPr>
    </cx:title>
    <cx:plotArea>
      <cx:plotAreaRegion>
        <cx:series layoutId="boxWhisker" uniqueId="{00760A41-62C7-4AB6-B86F-9875D9E465C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spcFirstLastPara="1" vertOverflow="ellipsis" horzOverflow="overflow" wrap="square" lIns="0" tIns="0" rIns="0" bIns="0" anchor="ctr" anchorCtr="1"/>
          <a:lstStyle/>
          <a:p>
            <a:pPr rtl="0"/>
            <a:r>
              <a:rPr lang="de-DE" sz="1400" b="0" i="0" baseline="0">
                <a:effectLst/>
              </a:rPr>
              <a:t>Boxplot Rice Data</a:t>
            </a:r>
            <a:endParaRPr lang="en-US" sz="1100">
              <a:effectLst/>
            </a:endParaRPr>
          </a:p>
        </cx:rich>
      </cx:tx>
    </cx:title>
    <cx:plotArea>
      <cx:plotAreaRegion>
        <cx:series layoutId="boxWhisker" uniqueId="{844EC516-8A28-4A6E-BE6C-B73CF04F441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txData>
          <cx:v>Boxplot Maize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Maize Data</a:t>
          </a:r>
        </a:p>
      </cx:txPr>
    </cx:title>
    <cx:plotArea>
      <cx:plotAreaRegion>
        <cx:series layoutId="boxWhisker" uniqueId="{F473712A-42AC-443D-A9AA-7E2A593BBEB3}">
          <cx:dataId val="0"/>
          <cx:layoutPr>
            <cx:statistics quartileMethod="exclusive"/>
          </cx:layoutPr>
        </cx:series>
      </cx:plotAreaRegion>
      <cx:axis id="0">
        <cx:catScaling gapWidth="1"/>
        <cx:tickLabels/>
      </cx:axis>
      <cx:axis id="1">
        <cx:valScaling/>
        <cx:majorGridlines/>
        <cx:tickLabels/>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plotArea>
      <cx:plotAreaRegion>
        <cx:series layoutId="boxWhisker" uniqueId="{7B79D395-EA84-4076-9AEE-24A24F9A9925}">
          <cx:dataId val="0"/>
          <cx:layoutPr>
            <cx:statistics quartileMethod="exclusive"/>
          </cx:layoutPr>
        </cx:series>
      </cx:plotAreaRegion>
      <cx:axis id="0">
        <cx:catScaling gapWidth="1"/>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tx>
        <cx:txData>
          <cx:v>Boxplot Field Pea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Field Pea Data</a:t>
          </a:r>
        </a:p>
      </cx:txPr>
    </cx:title>
    <cx:plotArea>
      <cx:plotAreaRegion>
        <cx:series layoutId="boxWhisker" uniqueId="{7B169855-BED5-4014-B0C3-64A51CC738F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Boxplot Sugar Beet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Sugar Beet Data</a:t>
          </a:r>
        </a:p>
      </cx:txPr>
    </cx:title>
    <cx:plotArea>
      <cx:plotAreaRegion>
        <cx:series layoutId="boxWhisker" uniqueId="{A1F631ED-F640-4E58-A916-A851BB773599}">
          <cx:dataId val="0"/>
          <cx:layoutPr>
            <cx:statistics quartileMethod="exclusive"/>
          </cx:layoutPr>
        </cx:series>
      </cx:plotAreaRegion>
      <cx:axis id="0">
        <cx:catScaling gapWidth="1"/>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_xlchart.v1.18</cx:f>
      </cx:numDim>
    </cx:data>
  </cx:chartData>
  <cx:chart>
    <cx:title pos="t" align="ctr" overlay="0">
      <cx:tx>
        <cx:txData>
          <cx:v>Boxplot Cassava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Cassava Data</a:t>
          </a:r>
        </a:p>
      </cx:txPr>
    </cx:title>
    <cx:plotArea>
      <cx:plotAreaRegion>
        <cx:series layoutId="boxWhisker" uniqueId="{D392CAF2-049C-460D-B13B-AD7CC56AF275}">
          <cx:dataId val="0"/>
          <cx:layoutPr>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rtl="0"/>
            <a:r>
              <a:rPr lang="de-DE" sz="1400" b="0" i="0" baseline="0">
                <a:effectLst/>
                <a:latin typeface="+mn-lt"/>
              </a:rPr>
              <a:t>Boxplot Rice Data</a:t>
            </a:r>
            <a:endParaRPr lang="en-US" sz="1100">
              <a:effectLst/>
              <a:latin typeface="+mn-lt"/>
            </a:endParaRPr>
          </a:p>
        </cx:rich>
      </cx:tx>
    </cx:title>
    <cx:plotArea>
      <cx:plotAreaRegion>
        <cx:series layoutId="boxWhisker" uniqueId="{844EC516-8A28-4A6E-BE6C-B73CF04F441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txData>
          <cx:v>Boxplot Sunflower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Sunflower Data</a:t>
          </a:r>
        </a:p>
      </cx:txPr>
    </cx:title>
    <cx:plotArea>
      <cx:plotAreaRegion>
        <cx:series layoutId="boxWhisker" uniqueId="{F0DACEEE-32CF-472E-AF0C-23553393F52D}">
          <cx:dataId val="0"/>
          <cx:layoutPr>
            <cx:statistics quartileMethod="exclusive"/>
          </cx:layoutPr>
        </cx:series>
      </cx:plotAreaRegion>
      <cx:axis id="0">
        <cx:catScaling gapWidth="1"/>
        <cx:tickLabels/>
      </cx:axis>
      <cx:axis id="1">
        <cx:valScaling/>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chartData>
  <cx:chart>
    <cx:title pos="t" align="ctr" overlay="0">
      <cx:tx>
        <cx:txData>
          <cx:v>Boxplot Soybean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Soybean Data</a:t>
          </a:r>
        </a:p>
      </cx:txPr>
    </cx:title>
    <cx:plotArea>
      <cx:plotAreaRegion>
        <cx:series layoutId="boxWhisker" uniqueId="{7B169855-BED5-4014-B0C3-64A51CC738F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Boxplot Groundnut Datal</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Groundnut Datal</a:t>
          </a:r>
        </a:p>
      </cx:txPr>
    </cx:title>
    <cx:plotArea>
      <cx:plotAreaRegion>
        <cx:series layoutId="boxWhisker" uniqueId="{D2FC6413-C1F0-4D80-94F1-A163FB5C3514}">
          <cx:dataId val="0"/>
          <cx:layoutPr>
            <cx:statistics quartileMethod="exclusive"/>
          </cx:layoutPr>
        </cx:series>
      </cx:plotAreaRegion>
      <cx:axis id="0">
        <cx:catScaling gapWidth="1"/>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chartData>
  <cx:chart>
    <cx:title pos="t" align="ctr" overlay="0">
      <cx:tx>
        <cx:txData>
          <cx:v>Boxplor Rapeseed Processing</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Boxplor Rapeseed Processing</a:t>
          </a:r>
        </a:p>
      </cx:txPr>
    </cx:title>
    <cx:plotArea>
      <cx:plotAreaRegion>
        <cx:series layoutId="boxWhisker" uniqueId="{29DC67C7-E414-4E63-BF95-1D9A914A40C6}">
          <cx:dataId val="0"/>
          <cx:layoutPr>
            <cx:statistics quartileMethod="exclusive"/>
          </cx:layoutPr>
        </cx:series>
      </cx:plotAreaRegion>
      <cx:axis id="0">
        <cx:catScaling gapWidth="1"/>
        <cx:tickLabels/>
      </cx:axis>
      <cx:axis id="1">
        <cx:valScaling/>
        <cx:majorGridlines/>
        <cx:tickLabels/>
      </cx:axis>
    </cx:plotArea>
  </cx:chart>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txData>
          <cx:v>Boxplot Sugar Cane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Sugar Cane  Data</a:t>
          </a:r>
        </a:p>
      </cx:txPr>
    </cx:title>
    <cx:plotArea>
      <cx:plotAreaRegion>
        <cx:series layoutId="boxWhisker" uniqueId="{A5CD5023-ADD7-4928-948E-C61146EC44C6}">
          <cx:dataId val="0"/>
          <cx:layoutPr>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Boxplot Maize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Maize Data</a:t>
          </a:r>
        </a:p>
      </cx:txPr>
    </cx:title>
    <cx:plotArea>
      <cx:plotAreaRegion>
        <cx:series layoutId="boxWhisker" uniqueId="{F473712A-42AC-443D-A9AA-7E2A593BBEB3}">
          <cx:dataId val="0"/>
          <cx:layoutPr>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Boxplot Millet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Millet Data</a:t>
          </a:r>
        </a:p>
      </cx:txPr>
    </cx:title>
    <cx:plotArea>
      <cx:plotAreaRegion>
        <cx:series layoutId="boxWhisker" uniqueId="{7B79D395-EA84-4076-9AEE-24A24F9A9925}">
          <cx:dataId val="0"/>
          <cx:layoutPr>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Boxplot Field Pea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Field Pea Data</a:t>
          </a:r>
        </a:p>
      </cx:txPr>
    </cx:title>
    <cx:plotArea>
      <cx:plotAreaRegion>
        <cx:series layoutId="boxWhisker" uniqueId="{7B169855-BED5-4014-B0C3-64A51CC738F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Boxplot Sugar Beet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Sugar Beet Data</a:t>
          </a:r>
        </a:p>
      </cx:txPr>
    </cx:title>
    <cx:plotArea>
      <cx:plotAreaRegion>
        <cx:series layoutId="boxWhisker" uniqueId="{A1F631ED-F640-4E58-A916-A851BB773599}">
          <cx:dataId val="0"/>
          <cx:layoutPr>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Boxplot Cassava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Cassava Data</a:t>
          </a:r>
        </a:p>
      </cx:txPr>
    </cx:title>
    <cx:plotArea>
      <cx:plotAreaRegion>
        <cx:series layoutId="boxWhisker" uniqueId="{D392CAF2-049C-460D-B13B-AD7CC56AF275}">
          <cx:dataId val="0"/>
          <cx:layoutPr>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Boxplot Sunflower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Sunflower Data</a:t>
          </a:r>
        </a:p>
      </cx:txPr>
    </cx:title>
    <cx:plotArea>
      <cx:plotAreaRegion>
        <cx:series layoutId="boxWhisker" uniqueId="{F0DACEEE-32CF-472E-AF0C-23553393F52D}">
          <cx:dataId val="0"/>
          <cx:layoutPr>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Boxplot Soybean Data</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 Soybean Data</a:t>
          </a:r>
        </a:p>
      </cx:txPr>
    </cx:title>
    <cx:plotArea>
      <cx:plotAreaRegion>
        <cx:series layoutId="boxWhisker" uniqueId="{7B169855-BED5-4014-B0C3-64A51CC738F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13" Type="http://schemas.openxmlformats.org/officeDocument/2006/relationships/chart" Target="../charts/chart1.xml"/><Relationship Id="rId3" Type="http://schemas.microsoft.com/office/2014/relationships/chartEx" Target="../charts/chartEx3.xml"/><Relationship Id="rId7" Type="http://schemas.microsoft.com/office/2014/relationships/chartEx" Target="../charts/chartEx7.xml"/><Relationship Id="rId12" Type="http://schemas.microsoft.com/office/2014/relationships/chartEx" Target="../charts/chartEx12.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_rels/drawing10.xml.rels><?xml version="1.0" encoding="UTF-8" standalone="yes"?>
<Relationships xmlns="http://schemas.openxmlformats.org/package/2006/relationships"><Relationship Id="rId1" Type="http://schemas.microsoft.com/office/2014/relationships/chartEx" Target="../charts/chartEx21.xml"/></Relationships>
</file>

<file path=xl/drawings/_rels/drawing11.xml.rels><?xml version="1.0" encoding="UTF-8" standalone="yes"?>
<Relationships xmlns="http://schemas.openxmlformats.org/package/2006/relationships"><Relationship Id="rId1" Type="http://schemas.microsoft.com/office/2014/relationships/chartEx" Target="../charts/chartEx22.xml"/></Relationships>
</file>

<file path=xl/drawings/_rels/drawing12.xml.rels><?xml version="1.0" encoding="UTF-8" standalone="yes"?>
<Relationships xmlns="http://schemas.openxmlformats.org/package/2006/relationships"><Relationship Id="rId1" Type="http://schemas.microsoft.com/office/2014/relationships/chartEx" Target="../charts/chartEx23.xml"/></Relationships>
</file>

<file path=xl/drawings/_rels/drawing13.xml.rels><?xml version="1.0" encoding="UTF-8" standalone="yes"?>
<Relationships xmlns="http://schemas.openxmlformats.org/package/2006/relationships"><Relationship Id="rId1" Type="http://schemas.microsoft.com/office/2014/relationships/chartEx" Target="../charts/chartEx24.xml"/></Relationships>
</file>

<file path=xl/drawings/_rels/drawing2.xml.rels><?xml version="1.0" encoding="UTF-8" standalone="yes"?>
<Relationships xmlns="http://schemas.openxmlformats.org/package/2006/relationships"><Relationship Id="rId1" Type="http://schemas.microsoft.com/office/2014/relationships/chartEx" Target="../charts/chartEx13.xml"/></Relationships>
</file>

<file path=xl/drawings/_rels/drawing3.xml.rels><?xml version="1.0" encoding="UTF-8" standalone="yes"?>
<Relationships xmlns="http://schemas.openxmlformats.org/package/2006/relationships"><Relationship Id="rId1" Type="http://schemas.microsoft.com/office/2014/relationships/chartEx" Target="../charts/chartEx14.xml"/></Relationships>
</file>

<file path=xl/drawings/_rels/drawing4.xml.rels><?xml version="1.0" encoding="UTF-8" standalone="yes"?>
<Relationships xmlns="http://schemas.openxmlformats.org/package/2006/relationships"><Relationship Id="rId1" Type="http://schemas.microsoft.com/office/2014/relationships/chartEx" Target="../charts/chartEx15.xml"/></Relationships>
</file>

<file path=xl/drawings/_rels/drawing5.xml.rels><?xml version="1.0" encoding="UTF-8" standalone="yes"?>
<Relationships xmlns="http://schemas.openxmlformats.org/package/2006/relationships"><Relationship Id="rId1" Type="http://schemas.microsoft.com/office/2014/relationships/chartEx" Target="../charts/chartEx16.xml"/></Relationships>
</file>

<file path=xl/drawings/_rels/drawing6.xml.rels><?xml version="1.0" encoding="UTF-8" standalone="yes"?>
<Relationships xmlns="http://schemas.openxmlformats.org/package/2006/relationships"><Relationship Id="rId1" Type="http://schemas.microsoft.com/office/2014/relationships/chartEx" Target="../charts/chartEx17.xml"/></Relationships>
</file>

<file path=xl/drawings/_rels/drawing7.xml.rels><?xml version="1.0" encoding="UTF-8" standalone="yes"?>
<Relationships xmlns="http://schemas.openxmlformats.org/package/2006/relationships"><Relationship Id="rId1" Type="http://schemas.microsoft.com/office/2014/relationships/chartEx" Target="../charts/chartEx18.xml"/></Relationships>
</file>

<file path=xl/drawings/_rels/drawing8.xml.rels><?xml version="1.0" encoding="UTF-8" standalone="yes"?>
<Relationships xmlns="http://schemas.openxmlformats.org/package/2006/relationships"><Relationship Id="rId1" Type="http://schemas.microsoft.com/office/2014/relationships/chartEx" Target="../charts/chartEx19.xml"/></Relationships>
</file>

<file path=xl/drawings/_rels/drawing9.xml.rels><?xml version="1.0" encoding="UTF-8" standalone="yes"?>
<Relationships xmlns="http://schemas.openxmlformats.org/package/2006/relationships"><Relationship Id="rId1" Type="http://schemas.microsoft.com/office/2014/relationships/chartEx" Target="../charts/chartEx20.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0</xdr:rowOff>
    </xdr:from>
    <xdr:to>
      <xdr:col>5</xdr:col>
      <xdr:colOff>108513</xdr:colOff>
      <xdr:row>33</xdr:row>
      <xdr:rowOff>42441</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A638646E-AD88-4889-A3F9-B26B776DCE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000500"/>
              <a:ext cx="4785288" cy="270944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19</xdr:row>
      <xdr:rowOff>1</xdr:rowOff>
    </xdr:from>
    <xdr:to>
      <xdr:col>11</xdr:col>
      <xdr:colOff>144683</xdr:colOff>
      <xdr:row>33</xdr:row>
      <xdr:rowOff>1</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22CD4BB9-5528-4913-8105-F9F6C7B7CF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76925" y="4000501"/>
              <a:ext cx="3954683" cy="2667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xdr:colOff>
      <xdr:row>35</xdr:row>
      <xdr:rowOff>0</xdr:rowOff>
    </xdr:from>
    <xdr:to>
      <xdr:col>5</xdr:col>
      <xdr:colOff>156742</xdr:colOff>
      <xdr:row>49</xdr:row>
      <xdr:rowOff>43581</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077B682-85F6-45E2-9E12-6DE5A06277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 y="7048500"/>
              <a:ext cx="4833516" cy="271058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35</xdr:row>
      <xdr:rowOff>0</xdr:rowOff>
    </xdr:from>
    <xdr:to>
      <xdr:col>11</xdr:col>
      <xdr:colOff>198650</xdr:colOff>
      <xdr:row>49</xdr:row>
      <xdr:rowOff>30866</xdr:rowOff>
    </xdr:to>
    <mc:AlternateContent xmlns:mc="http://schemas.openxmlformats.org/markup-compatibility/2006">
      <mc:Choice xmlns:cx1="http://schemas.microsoft.com/office/drawing/2015/9/8/chartex" Requires="cx1">
        <xdr:graphicFrame macro="">
          <xdr:nvGraphicFramePr>
            <xdr:cNvPr id="6" name="Diagramm 5">
              <a:extLst>
                <a:ext uri="{FF2B5EF4-FFF2-40B4-BE49-F238E27FC236}">
                  <a16:creationId xmlns:a16="http://schemas.microsoft.com/office/drawing/2014/main" id="{F265ED92-EDF3-4B23-BE23-EAB508CC06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876925" y="7048500"/>
              <a:ext cx="4008650" cy="269786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50</xdr:row>
      <xdr:rowOff>192910</xdr:rowOff>
    </xdr:from>
    <xdr:to>
      <xdr:col>5</xdr:col>
      <xdr:colOff>84399</xdr:colOff>
      <xdr:row>65</xdr:row>
      <xdr:rowOff>108512</xdr:rowOff>
    </xdr:to>
    <mc:AlternateContent xmlns:mc="http://schemas.openxmlformats.org/markup-compatibility/2006">
      <mc:Choice xmlns:cx1="http://schemas.microsoft.com/office/drawing/2015/9/8/chartex" Requires="cx1">
        <xdr:graphicFrame macro="">
          <xdr:nvGraphicFramePr>
            <xdr:cNvPr id="7" name="Diagramm 6">
              <a:extLst>
                <a:ext uri="{FF2B5EF4-FFF2-40B4-BE49-F238E27FC236}">
                  <a16:creationId xmlns:a16="http://schemas.microsoft.com/office/drawing/2014/main" id="{0AF2B07F-418E-4611-944E-9ADE11CF9A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10098910"/>
              <a:ext cx="4761174" cy="277310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51</xdr:row>
      <xdr:rowOff>0</xdr:rowOff>
    </xdr:from>
    <xdr:to>
      <xdr:col>11</xdr:col>
      <xdr:colOff>108512</xdr:colOff>
      <xdr:row>64</xdr:row>
      <xdr:rowOff>120570</xdr:rowOff>
    </xdr:to>
    <mc:AlternateContent xmlns:mc="http://schemas.openxmlformats.org/markup-compatibility/2006">
      <mc:Choice xmlns:cx1="http://schemas.microsoft.com/office/drawing/2015/9/8/chartex" Requires="cx1">
        <xdr:graphicFrame macro="">
          <xdr:nvGraphicFramePr>
            <xdr:cNvPr id="8" name="Diagramm 7">
              <a:extLst>
                <a:ext uri="{FF2B5EF4-FFF2-40B4-BE49-F238E27FC236}">
                  <a16:creationId xmlns:a16="http://schemas.microsoft.com/office/drawing/2014/main" id="{927961A2-4764-48CD-AA6C-7D2978B94C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876925" y="10096500"/>
              <a:ext cx="3918512" cy="259707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67</xdr:row>
      <xdr:rowOff>0</xdr:rowOff>
    </xdr:from>
    <xdr:to>
      <xdr:col>5</xdr:col>
      <xdr:colOff>12057</xdr:colOff>
      <xdr:row>79</xdr:row>
      <xdr:rowOff>60285</xdr:rowOff>
    </xdr:to>
    <mc:AlternateContent xmlns:mc="http://schemas.openxmlformats.org/markup-compatibility/2006">
      <mc:Choice xmlns:cx1="http://schemas.microsoft.com/office/drawing/2015/9/8/chartex" Requires="cx1">
        <xdr:graphicFrame macro="">
          <xdr:nvGraphicFramePr>
            <xdr:cNvPr id="9" name="Diagramm 8">
              <a:extLst>
                <a:ext uri="{FF2B5EF4-FFF2-40B4-BE49-F238E27FC236}">
                  <a16:creationId xmlns:a16="http://schemas.microsoft.com/office/drawing/2014/main" id="{5CC20FF4-B055-4BCB-845F-BE04EDC88C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13144500"/>
              <a:ext cx="4688832" cy="234628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67</xdr:row>
      <xdr:rowOff>0</xdr:rowOff>
    </xdr:from>
    <xdr:to>
      <xdr:col>11</xdr:col>
      <xdr:colOff>59154</xdr:colOff>
      <xdr:row>80</xdr:row>
      <xdr:rowOff>63189</xdr:rowOff>
    </xdr:to>
    <mc:AlternateContent xmlns:mc="http://schemas.openxmlformats.org/markup-compatibility/2006">
      <mc:Choice xmlns:cx1="http://schemas.microsoft.com/office/drawing/2015/9/8/chartex" Requires="cx1">
        <xdr:graphicFrame macro="">
          <xdr:nvGraphicFramePr>
            <xdr:cNvPr id="10" name="Diagramm 9">
              <a:extLst>
                <a:ext uri="{FF2B5EF4-FFF2-40B4-BE49-F238E27FC236}">
                  <a16:creationId xmlns:a16="http://schemas.microsoft.com/office/drawing/2014/main" id="{A7161587-64ED-40B1-BA3E-EF05E215BE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876925" y="13144500"/>
              <a:ext cx="3869154" cy="253968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82</xdr:row>
      <xdr:rowOff>0</xdr:rowOff>
    </xdr:from>
    <xdr:to>
      <xdr:col>5</xdr:col>
      <xdr:colOff>12057</xdr:colOff>
      <xdr:row>96</xdr:row>
      <xdr:rowOff>60285</xdr:rowOff>
    </xdr:to>
    <mc:AlternateContent xmlns:mc="http://schemas.openxmlformats.org/markup-compatibility/2006">
      <mc:Choice xmlns:cx1="http://schemas.microsoft.com/office/drawing/2015/9/8/chartex" Requires="cx1">
        <xdr:graphicFrame macro="">
          <xdr:nvGraphicFramePr>
            <xdr:cNvPr id="11" name="Diagramm 10">
              <a:extLst>
                <a:ext uri="{FF2B5EF4-FFF2-40B4-BE49-F238E27FC236}">
                  <a16:creationId xmlns:a16="http://schemas.microsoft.com/office/drawing/2014/main" id="{F28EE032-10C9-40DC-8AE3-F26467022F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0" y="16002000"/>
              <a:ext cx="4688832" cy="272728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82</xdr:row>
      <xdr:rowOff>0</xdr:rowOff>
    </xdr:from>
    <xdr:to>
      <xdr:col>11</xdr:col>
      <xdr:colOff>60284</xdr:colOff>
      <xdr:row>96</xdr:row>
      <xdr:rowOff>84399</xdr:rowOff>
    </xdr:to>
    <mc:AlternateContent xmlns:mc="http://schemas.openxmlformats.org/markup-compatibility/2006">
      <mc:Choice xmlns:cx1="http://schemas.microsoft.com/office/drawing/2015/9/8/chartex" Requires="cx1">
        <xdr:graphicFrame macro="">
          <xdr:nvGraphicFramePr>
            <xdr:cNvPr id="12" name="Diagramm 11">
              <a:extLst>
                <a:ext uri="{FF2B5EF4-FFF2-40B4-BE49-F238E27FC236}">
                  <a16:creationId xmlns:a16="http://schemas.microsoft.com/office/drawing/2014/main" id="{C591E265-6FDB-4FD6-BA34-D1DF46D57A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876925" y="16002000"/>
              <a:ext cx="3870284" cy="275139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98</xdr:row>
      <xdr:rowOff>180854</xdr:rowOff>
    </xdr:from>
    <xdr:to>
      <xdr:col>5</xdr:col>
      <xdr:colOff>24113</xdr:colOff>
      <xdr:row>111</xdr:row>
      <xdr:rowOff>132627</xdr:rowOff>
    </xdr:to>
    <mc:AlternateContent xmlns:mc="http://schemas.openxmlformats.org/markup-compatibility/2006">
      <mc:Choice xmlns:cx1="http://schemas.microsoft.com/office/drawing/2015/9/8/chartex" Requires="cx1">
        <xdr:graphicFrame macro="">
          <xdr:nvGraphicFramePr>
            <xdr:cNvPr id="13" name="Diagramm 12">
              <a:extLst>
                <a:ext uri="{FF2B5EF4-FFF2-40B4-BE49-F238E27FC236}">
                  <a16:creationId xmlns:a16="http://schemas.microsoft.com/office/drawing/2014/main" id="{23EBCD31-3250-46CE-BE83-092D98989C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0" y="19230854"/>
              <a:ext cx="4700888" cy="242827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99</xdr:row>
      <xdr:rowOff>0</xdr:rowOff>
    </xdr:from>
    <xdr:to>
      <xdr:col>11</xdr:col>
      <xdr:colOff>96455</xdr:colOff>
      <xdr:row>111</xdr:row>
      <xdr:rowOff>108513</xdr:rowOff>
    </xdr:to>
    <mc:AlternateContent xmlns:mc="http://schemas.openxmlformats.org/markup-compatibility/2006">
      <mc:Choice xmlns:cx1="http://schemas.microsoft.com/office/drawing/2015/9/8/chartex" Requires="cx1">
        <xdr:graphicFrame macro="">
          <xdr:nvGraphicFramePr>
            <xdr:cNvPr id="14" name="Diagramm 13">
              <a:extLst>
                <a:ext uri="{FF2B5EF4-FFF2-40B4-BE49-F238E27FC236}">
                  <a16:creationId xmlns:a16="http://schemas.microsoft.com/office/drawing/2014/main" id="{A85D30F0-3EAD-418E-A667-7ADE04E38C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876925" y="19240500"/>
              <a:ext cx="3906455" cy="239451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724229</xdr:colOff>
      <xdr:row>2</xdr:row>
      <xdr:rowOff>40727</xdr:rowOff>
    </xdr:from>
    <xdr:to>
      <xdr:col>12</xdr:col>
      <xdr:colOff>707806</xdr:colOff>
      <xdr:row>14</xdr:row>
      <xdr:rowOff>113644</xdr:rowOff>
    </xdr:to>
    <xdr:graphicFrame macro="">
      <xdr:nvGraphicFramePr>
        <xdr:cNvPr id="16" name="Chart 15">
          <a:extLst>
            <a:ext uri="{FF2B5EF4-FFF2-40B4-BE49-F238E27FC236}">
              <a16:creationId xmlns:a16="http://schemas.microsoft.com/office/drawing/2014/main" id="{9CAD1328-F750-46CA-A51C-248C340D0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33617</xdr:colOff>
      <xdr:row>78</xdr:row>
      <xdr:rowOff>146795</xdr:rowOff>
    </xdr:from>
    <xdr:to>
      <xdr:col>5</xdr:col>
      <xdr:colOff>285750</xdr:colOff>
      <xdr:row>89</xdr:row>
      <xdr:rowOff>176893</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87BAE341-7F5E-4BF9-B7C5-BF4869B110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91417" y="18396695"/>
              <a:ext cx="3757333" cy="212559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43295</xdr:colOff>
      <xdr:row>107</xdr:row>
      <xdr:rowOff>184006</xdr:rowOff>
    </xdr:from>
    <xdr:to>
      <xdr:col>7</xdr:col>
      <xdr:colOff>757517</xdr:colOff>
      <xdr:row>118</xdr:row>
      <xdr:rowOff>32496</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EDF89625-DCF8-45E7-B22A-55C477D107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05720" y="23196406"/>
              <a:ext cx="3762222" cy="202019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509789</xdr:colOff>
      <xdr:row>77</xdr:row>
      <xdr:rowOff>120738</xdr:rowOff>
    </xdr:from>
    <xdr:to>
      <xdr:col>8</xdr:col>
      <xdr:colOff>690440</xdr:colOff>
      <xdr:row>86</xdr:row>
      <xdr:rowOff>19080</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5064B9CE-EDC3-4121-A047-CFF41BFF2C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58039" y="18294438"/>
              <a:ext cx="4324026" cy="168904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260958</xdr:colOff>
      <xdr:row>85</xdr:row>
      <xdr:rowOff>65240</xdr:rowOff>
    </xdr:from>
    <xdr:to>
      <xdr:col>7</xdr:col>
      <xdr:colOff>626303</xdr:colOff>
      <xdr:row>94</xdr:row>
      <xdr:rowOff>169623</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FB857FB0-4A7B-44D2-9736-F5CBB8520F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13858" y="20991665"/>
              <a:ext cx="4318220" cy="189508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1077057</xdr:colOff>
      <xdr:row>90</xdr:row>
      <xdr:rowOff>5861</xdr:rowOff>
    </xdr:from>
    <xdr:to>
      <xdr:col>7</xdr:col>
      <xdr:colOff>417634</xdr:colOff>
      <xdr:row>104</xdr:row>
      <xdr:rowOff>82061</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7CB5018D-8DE1-45D4-A100-5D8454C6ED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15582" y="23084936"/>
              <a:ext cx="4560277"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284348</xdr:colOff>
      <xdr:row>172</xdr:row>
      <xdr:rowOff>183216</xdr:rowOff>
    </xdr:from>
    <xdr:to>
      <xdr:col>8</xdr:col>
      <xdr:colOff>626128</xdr:colOff>
      <xdr:row>186</xdr:row>
      <xdr:rowOff>180975</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282CA5A7-ED70-488F-AC3F-41005A0BCC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04173" y="42226566"/>
              <a:ext cx="4589930" cy="266475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1205618</xdr:colOff>
      <xdr:row>118</xdr:row>
      <xdr:rowOff>120757</xdr:rowOff>
    </xdr:from>
    <xdr:to>
      <xdr:col>5</xdr:col>
      <xdr:colOff>704201</xdr:colOff>
      <xdr:row>132</xdr:row>
      <xdr:rowOff>40442</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60357F52-30F7-4474-9EAB-22A2958DDB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39393" y="35906182"/>
              <a:ext cx="4175358" cy="266288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284349</xdr:colOff>
      <xdr:row>161</xdr:row>
      <xdr:rowOff>183216</xdr:rowOff>
    </xdr:from>
    <xdr:to>
      <xdr:col>8</xdr:col>
      <xdr:colOff>483154</xdr:colOff>
      <xdr:row>175</xdr:row>
      <xdr:rowOff>179456</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5D10525A-7879-4957-87B7-8DB49AAA0D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80499" y="38292741"/>
              <a:ext cx="3999280" cy="26632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33617</xdr:colOff>
      <xdr:row>118</xdr:row>
      <xdr:rowOff>146796</xdr:rowOff>
    </xdr:from>
    <xdr:to>
      <xdr:col>7</xdr:col>
      <xdr:colOff>1557617</xdr:colOff>
      <xdr:row>133</xdr:row>
      <xdr:rowOff>32496</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A875853C-2513-433C-9E88-02D1D5336B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62817" y="30674421"/>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33617</xdr:colOff>
      <xdr:row>73</xdr:row>
      <xdr:rowOff>146796</xdr:rowOff>
    </xdr:from>
    <xdr:to>
      <xdr:col>7</xdr:col>
      <xdr:colOff>395844</xdr:colOff>
      <xdr:row>84</xdr:row>
      <xdr:rowOff>24740</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0C93E348-0053-4280-A4EE-8FE73CE563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00842" y="19149171"/>
              <a:ext cx="3410227" cy="197344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33617</xdr:colOff>
      <xdr:row>111</xdr:row>
      <xdr:rowOff>146795</xdr:rowOff>
    </xdr:from>
    <xdr:to>
      <xdr:col>7</xdr:col>
      <xdr:colOff>355410</xdr:colOff>
      <xdr:row>123</xdr:row>
      <xdr:rowOff>127948</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2D2D92F0-B6BB-4FC7-8A9A-F1EA3145C5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15167" y="23740220"/>
              <a:ext cx="4541368" cy="234335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530574</xdr:colOff>
      <xdr:row>88</xdr:row>
      <xdr:rowOff>188209</xdr:rowOff>
    </xdr:from>
    <xdr:to>
      <xdr:col>7</xdr:col>
      <xdr:colOff>151848</xdr:colOff>
      <xdr:row>102</xdr:row>
      <xdr:rowOff>13805</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88535D41-6A61-4719-AD28-005C9F6627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88274" y="20352634"/>
              <a:ext cx="3850374" cy="256879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Su-Min Choi" id="{5F6A90F3-640E-4EAC-9603-B48978735908}" userId="9dea7e375ecb50d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6" dT="2020-03-18T15:57:05.56" personId="{5F6A90F3-640E-4EAC-9603-B48978735908}" id="{7B4456B5-79D6-47C1-8BE6-B89731DDADF8}">
    <text>numbers are suspicious</text>
  </threadedComment>
</ThreadedComments>
</file>

<file path=xl/threadedComments/threadedComment2.xml><?xml version="1.0" encoding="utf-8"?>
<ThreadedComments xmlns="http://schemas.microsoft.com/office/spreadsheetml/2018/threadedcomments" xmlns:x="http://schemas.openxmlformats.org/spreadsheetml/2006/main">
  <threadedComment ref="B103" dT="2020-04-15T13:17:43.21" personId="{5F6A90F3-640E-4EAC-9603-B48978735908}" id="{CB907B6B-EFB3-4BBD-8C31-A804D105374F}">
    <text>exceptional that electricity has been used for cooking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C30" dT="2020-04-06T14:35:43.91" personId="{5F6A90F3-640E-4EAC-9603-B48978735908}" id="{657B172D-2B9D-4ED9-8833-01847B853A71}">
    <text>unsure if that really is the unit or if it is given for the functional unit of 1 kg oil, but then it seems like too much</text>
  </threadedComment>
  <threadedComment ref="C30" dT="2020-04-17T17:07:39.68" personId="{5F6A90F3-640E-4EAC-9603-B48978735908}" id="{0AF8A3E6-167B-444D-A7E7-144B1B4A45DC}" parentId="{657B172D-2B9D-4ED9-8833-01847B853A71}">
    <text>Actually what is gven are 2 t seeds "produced" and 0.66 t of oil</text>
  </threadedComment>
</ThreadedComments>
</file>

<file path=xl/threadedComments/threadedComment4.xml><?xml version="1.0" encoding="utf-8"?>
<ThreadedComments xmlns="http://schemas.microsoft.com/office/spreadsheetml/2018/threadedcomments" xmlns:x="http://schemas.openxmlformats.org/spreadsheetml/2006/main">
  <threadedComment ref="F29" dT="2020-04-04T22:25:59.66" personId="{5F6A90F3-640E-4EAC-9603-B48978735908}" id="{D3572060-029F-4D6A-B43D-629BA9309E58}">
    <text>looks like too much</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farmdocdaily.illinois.edu/2019/08/the-state-of-soybean-in-africa-soybean-prices.html" TargetMode="External"/><Relationship Id="rId1" Type="http://schemas.openxmlformats.org/officeDocument/2006/relationships/hyperlink" Target="https://farmdocdaily.illinois.edu/2019/08/the-state-of-soybean-in-africa-soybean-price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hyperlink" Target="https://apps.fas.usda.gov/newgainapi/api/report/downloadreportbyfilename?filename=Sugar%20Annual_Pretoria_South%20Africa%20-%20Republic%20of_4-15-2019.pdf" TargetMode="External"/><Relationship Id="rId7" Type="http://schemas.microsoft.com/office/2017/10/relationships/threadedComment" Target="../threadedComments/threadedComment4.xml"/><Relationship Id="rId2" Type="http://schemas.openxmlformats.org/officeDocument/2006/relationships/hyperlink" Target="https://apps.fas.usda.gov/newgainapi/api/report/downloadreportbyfilename?filename=Sugar%20Annual_Pretoria_South%20Africa%20-%20Republic%20of_4-15-2019.pdf" TargetMode="External"/><Relationship Id="rId1" Type="http://schemas.openxmlformats.org/officeDocument/2006/relationships/hyperlink" Target="http://www.jasenterprise.com/sugarcane-juice-machine.html"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fao.org/3/a-i4533e.pdf%20p.25:%2040.000%20KES/t%20and%20exchange%20rate%20of%20380%20USD/t%20or%200.38/kg"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wvi.org/sites/default/files/Millers%20Pride%20DSM%20Tanzania.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9.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865A-B9A2-4464-8B09-47F11BEC3E6F}">
  <dimension ref="A1:H16"/>
  <sheetViews>
    <sheetView tabSelected="1" zoomScale="116" zoomScaleNormal="145" workbookViewId="0">
      <selection activeCell="L2" sqref="L2"/>
    </sheetView>
  </sheetViews>
  <sheetFormatPr defaultColWidth="11.42578125" defaultRowHeight="15" x14ac:dyDescent="0.25"/>
  <cols>
    <col min="2" max="4" width="13.5703125" customWidth="1"/>
    <col min="5" max="6" width="18" customWidth="1"/>
  </cols>
  <sheetData>
    <row r="1" spans="1:8" x14ac:dyDescent="0.25">
      <c r="A1" t="s">
        <v>487</v>
      </c>
    </row>
    <row r="3" spans="1:8" x14ac:dyDescent="0.25">
      <c r="A3" s="169"/>
      <c r="B3" s="166" t="s">
        <v>498</v>
      </c>
      <c r="C3" s="166"/>
      <c r="D3" s="166"/>
      <c r="E3" s="167" t="s">
        <v>649</v>
      </c>
      <c r="F3" s="167" t="s">
        <v>653</v>
      </c>
    </row>
    <row r="4" spans="1:8" ht="45" customHeight="1" x14ac:dyDescent="0.25">
      <c r="A4" s="170"/>
      <c r="B4" s="162" t="s">
        <v>488</v>
      </c>
      <c r="C4" s="162" t="s">
        <v>489</v>
      </c>
      <c r="D4" s="162" t="s">
        <v>490</v>
      </c>
      <c r="E4" s="168"/>
      <c r="F4" s="168"/>
    </row>
    <row r="5" spans="1:8" x14ac:dyDescent="0.25">
      <c r="A5" s="153" t="s">
        <v>371</v>
      </c>
      <c r="B5" s="159">
        <v>7.5931611746835451E-2</v>
      </c>
      <c r="C5" s="159">
        <v>0.10350750000000002</v>
      </c>
      <c r="D5" s="159">
        <v>2.3131139240506329E-2</v>
      </c>
      <c r="E5" s="153">
        <v>0.432</v>
      </c>
      <c r="F5" s="153">
        <f t="shared" ref="F5:F15" si="0">B5/E5</f>
        <v>0.17576761978434133</v>
      </c>
    </row>
    <row r="6" spans="1:8" x14ac:dyDescent="0.25">
      <c r="A6" s="153" t="s">
        <v>372</v>
      </c>
      <c r="B6" s="159">
        <v>5.2214227368421053E-2</v>
      </c>
      <c r="C6" s="159">
        <v>0.12813839999999999</v>
      </c>
      <c r="D6" s="159">
        <v>1.14696E-2</v>
      </c>
      <c r="E6" s="153">
        <v>0.18</v>
      </c>
      <c r="F6" s="153">
        <f t="shared" si="0"/>
        <v>0.29007904093567255</v>
      </c>
    </row>
    <row r="7" spans="1:8" x14ac:dyDescent="0.25">
      <c r="A7" s="153" t="s">
        <v>373</v>
      </c>
      <c r="B7" s="160">
        <v>0.59798514453610763</v>
      </c>
      <c r="C7" s="159">
        <v>1.7693180198019802</v>
      </c>
      <c r="D7" s="159">
        <v>2.9181599999999999E-2</v>
      </c>
      <c r="E7" s="153">
        <v>0.216</v>
      </c>
      <c r="F7" s="153">
        <f t="shared" si="0"/>
        <v>2.7684497432227206</v>
      </c>
      <c r="G7" s="83"/>
      <c r="H7" s="83"/>
    </row>
    <row r="8" spans="1:8" x14ac:dyDescent="0.25">
      <c r="A8" s="153" t="s">
        <v>374</v>
      </c>
      <c r="B8" s="160">
        <v>0.1041597194578862</v>
      </c>
      <c r="C8" s="159">
        <v>0.23322074584411626</v>
      </c>
      <c r="D8" s="159">
        <v>1.2117599999999999E-2</v>
      </c>
      <c r="E8" s="161"/>
      <c r="F8" s="161"/>
    </row>
    <row r="9" spans="1:8" x14ac:dyDescent="0.25">
      <c r="A9" s="153" t="s">
        <v>375</v>
      </c>
      <c r="B9" s="159">
        <v>3.8648599326443774E-2</v>
      </c>
      <c r="C9" s="159">
        <v>8.2806000000000005E-2</v>
      </c>
      <c r="D9" s="159">
        <v>1.8223714285714281E-2</v>
      </c>
      <c r="E9" s="161"/>
      <c r="F9" s="161"/>
    </row>
    <row r="10" spans="1:8" x14ac:dyDescent="0.25">
      <c r="A10" s="153" t="s">
        <v>376</v>
      </c>
      <c r="B10" s="159">
        <v>0.24948800000000002</v>
      </c>
      <c r="C10" s="159">
        <v>0.47520000000000007</v>
      </c>
      <c r="D10" s="159">
        <v>8.2799999999999999E-2</v>
      </c>
      <c r="E10" s="161"/>
      <c r="F10" s="161"/>
    </row>
    <row r="11" spans="1:8" x14ac:dyDescent="0.25">
      <c r="A11" s="153" t="s">
        <v>377</v>
      </c>
      <c r="B11" s="159">
        <v>6.3583699999999993E-2</v>
      </c>
      <c r="C11" s="160">
        <v>0.16632</v>
      </c>
      <c r="D11" s="159">
        <v>1.1169999999999999E-2</v>
      </c>
      <c r="E11" s="153">
        <v>5.3999999999999999E-2</v>
      </c>
      <c r="F11" s="153">
        <f t="shared" si="0"/>
        <v>1.1774759259259258</v>
      </c>
    </row>
    <row r="12" spans="1:8" x14ac:dyDescent="0.25">
      <c r="A12" s="153" t="s">
        <v>378</v>
      </c>
      <c r="B12" s="159">
        <v>0.12039635738905645</v>
      </c>
      <c r="C12" s="159">
        <v>0.1927962085308057</v>
      </c>
      <c r="D12" s="159">
        <v>6.039286363636364E-2</v>
      </c>
      <c r="E12" s="153">
        <v>0.14399999999999999</v>
      </c>
      <c r="F12" s="153">
        <f t="shared" si="0"/>
        <v>0.83608581520178094</v>
      </c>
    </row>
    <row r="13" spans="1:8" x14ac:dyDescent="0.25">
      <c r="A13" s="153" t="s">
        <v>379</v>
      </c>
      <c r="B13" s="159">
        <v>0.20985500000000001</v>
      </c>
      <c r="C13" s="159">
        <v>0.31900000000000001</v>
      </c>
      <c r="D13" s="159">
        <v>0.10071000000000001</v>
      </c>
      <c r="E13" s="153">
        <v>0.14399999999999999</v>
      </c>
      <c r="F13" s="153">
        <f t="shared" si="0"/>
        <v>1.457326388888889</v>
      </c>
    </row>
    <row r="14" spans="1:8" x14ac:dyDescent="0.25">
      <c r="A14" s="153" t="s">
        <v>380</v>
      </c>
      <c r="B14" s="159">
        <v>3.2172651877824664E-2</v>
      </c>
      <c r="C14" s="159">
        <v>5.0265240641711229E-2</v>
      </c>
      <c r="D14" s="159">
        <v>6.7140000000000003E-3</v>
      </c>
      <c r="E14" s="161"/>
      <c r="F14" s="161"/>
    </row>
    <row r="15" spans="1:8" x14ac:dyDescent="0.25">
      <c r="A15" s="153" t="s">
        <v>381</v>
      </c>
      <c r="B15" s="159">
        <v>0.17879999999999999</v>
      </c>
      <c r="C15" s="159">
        <v>0.29599999999999999</v>
      </c>
      <c r="D15" s="159">
        <v>2.3400000000000004E-2</v>
      </c>
      <c r="E15" s="153">
        <v>0.14399999999999999</v>
      </c>
      <c r="F15" s="153">
        <f t="shared" si="0"/>
        <v>1.2416666666666667</v>
      </c>
    </row>
    <row r="16" spans="1:8" x14ac:dyDescent="0.25">
      <c r="A16" s="153" t="s">
        <v>382</v>
      </c>
      <c r="B16" s="159">
        <v>0.33444262711864409</v>
      </c>
      <c r="C16" s="159">
        <v>0.59400000000000008</v>
      </c>
      <c r="D16" s="159">
        <v>0.09</v>
      </c>
      <c r="E16" s="153">
        <v>0.14399999999999999</v>
      </c>
      <c r="F16" s="153">
        <f>B16/E16</f>
        <v>2.3225182438794731</v>
      </c>
    </row>
  </sheetData>
  <mergeCells count="4">
    <mergeCell ref="B3:D3"/>
    <mergeCell ref="E3:E4"/>
    <mergeCell ref="F3:F4"/>
    <mergeCell ref="A3:A4"/>
  </mergeCells>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AAB84-DC0A-4A9E-A66D-206AF6A4A476}">
  <dimension ref="A1:J87"/>
  <sheetViews>
    <sheetView topLeftCell="A61" zoomScale="70" zoomScaleNormal="70" workbookViewId="0">
      <selection activeCell="D15" sqref="D15"/>
    </sheetView>
  </sheetViews>
  <sheetFormatPr defaultColWidth="26.28515625" defaultRowHeight="15" x14ac:dyDescent="0.25"/>
  <cols>
    <col min="1" max="16384" width="26.28515625" style="23"/>
  </cols>
  <sheetData>
    <row r="1" spans="1:6" x14ac:dyDescent="0.25">
      <c r="A1" s="75"/>
      <c r="B1" s="75"/>
      <c r="C1" s="88" t="s">
        <v>35</v>
      </c>
      <c r="D1" s="88" t="s">
        <v>34</v>
      </c>
      <c r="E1" s="75"/>
      <c r="F1" s="139"/>
    </row>
    <row r="2" spans="1:6" ht="21" x14ac:dyDescent="0.35">
      <c r="A2" s="89" t="s">
        <v>39</v>
      </c>
      <c r="B2" s="75"/>
      <c r="C2" s="88"/>
      <c r="D2" s="88"/>
      <c r="E2" s="75"/>
    </row>
    <row r="3" spans="1:6" ht="60" x14ac:dyDescent="0.25">
      <c r="A3" s="23" t="s">
        <v>1</v>
      </c>
      <c r="B3" s="46" t="s">
        <v>364</v>
      </c>
      <c r="D3" s="36" t="s">
        <v>670</v>
      </c>
    </row>
    <row r="4" spans="1:6" x14ac:dyDescent="0.25">
      <c r="A4" s="23" t="s">
        <v>7</v>
      </c>
      <c r="B4" s="36" t="s">
        <v>671</v>
      </c>
      <c r="D4" s="36" t="s">
        <v>670</v>
      </c>
    </row>
    <row r="5" spans="1:6" x14ac:dyDescent="0.25">
      <c r="A5" s="23" t="s">
        <v>27</v>
      </c>
      <c r="B5" s="164"/>
      <c r="C5" s="35"/>
      <c r="D5" s="35"/>
    </row>
    <row r="6" spans="1:6" x14ac:dyDescent="0.25">
      <c r="A6" s="23" t="s">
        <v>28</v>
      </c>
      <c r="B6" s="130">
        <v>0.17169999999999999</v>
      </c>
      <c r="C6" s="36" t="s">
        <v>683</v>
      </c>
      <c r="D6" s="44" t="s">
        <v>682</v>
      </c>
    </row>
    <row r="7" spans="1:6" x14ac:dyDescent="0.25">
      <c r="A7" s="23" t="s">
        <v>28</v>
      </c>
      <c r="B7" s="130">
        <f>0.1717*27</f>
        <v>4.6358999999999995</v>
      </c>
      <c r="C7" s="36" t="s">
        <v>32</v>
      </c>
      <c r="D7" s="44" t="s">
        <v>682</v>
      </c>
      <c r="E7" s="23" t="s">
        <v>684</v>
      </c>
    </row>
    <row r="9" spans="1:6" ht="21" x14ac:dyDescent="0.35">
      <c r="A9" s="91" t="s">
        <v>38</v>
      </c>
    </row>
    <row r="10" spans="1:6" x14ac:dyDescent="0.25">
      <c r="A10" s="23" t="s">
        <v>36</v>
      </c>
      <c r="B10" s="23">
        <v>100000</v>
      </c>
      <c r="C10" s="23" t="s">
        <v>37</v>
      </c>
    </row>
    <row r="11" spans="1:6" x14ac:dyDescent="0.25">
      <c r="A11" s="23" t="s">
        <v>102</v>
      </c>
      <c r="B11" s="94">
        <f>B10/B6</f>
        <v>582411.18229470006</v>
      </c>
      <c r="C11" s="23" t="s">
        <v>33</v>
      </c>
    </row>
    <row r="12" spans="1:6" x14ac:dyDescent="0.25">
      <c r="A12" s="23" t="s">
        <v>103</v>
      </c>
      <c r="B12" s="94">
        <f>B11/365</f>
        <v>1595.6470747800001</v>
      </c>
      <c r="C12" s="23" t="s">
        <v>33</v>
      </c>
    </row>
    <row r="14" spans="1:6" ht="21" x14ac:dyDescent="0.35">
      <c r="A14" s="9" t="s">
        <v>437</v>
      </c>
      <c r="B14" s="23">
        <v>0.14399999999999999</v>
      </c>
      <c r="C14" s="23" t="s">
        <v>433</v>
      </c>
      <c r="D14" s="23" t="s">
        <v>685</v>
      </c>
    </row>
    <row r="16" spans="1:6" ht="21" x14ac:dyDescent="0.35">
      <c r="A16" s="119" t="s">
        <v>641</v>
      </c>
      <c r="D16" s="92"/>
    </row>
    <row r="17" spans="1:10" x14ac:dyDescent="0.25">
      <c r="A17" s="23" t="s">
        <v>22</v>
      </c>
      <c r="B17" s="77" t="s">
        <v>283</v>
      </c>
    </row>
    <row r="18" spans="1:10" x14ac:dyDescent="0.25">
      <c r="A18" s="23" t="s">
        <v>107</v>
      </c>
      <c r="B18" s="35"/>
    </row>
    <row r="19" spans="1:10" x14ac:dyDescent="0.25">
      <c r="A19" s="23" t="s">
        <v>48</v>
      </c>
      <c r="B19" s="35"/>
    </row>
    <row r="20" spans="1:10" x14ac:dyDescent="0.25">
      <c r="A20" s="23" t="s">
        <v>30</v>
      </c>
      <c r="B20" s="35"/>
    </row>
    <row r="21" spans="1:10" x14ac:dyDescent="0.25">
      <c r="A21" s="23" t="s">
        <v>49</v>
      </c>
      <c r="B21" s="35"/>
    </row>
    <row r="22" spans="1:10" x14ac:dyDescent="0.25">
      <c r="A22" s="23" t="s">
        <v>442</v>
      </c>
      <c r="B22" s="35"/>
    </row>
    <row r="23" spans="1:10" ht="30" x14ac:dyDescent="0.25">
      <c r="A23" s="23" t="s">
        <v>19</v>
      </c>
      <c r="B23" s="150" t="s">
        <v>287</v>
      </c>
    </row>
    <row r="24" spans="1:10" x14ac:dyDescent="0.25">
      <c r="A24" s="23" t="s">
        <v>0</v>
      </c>
      <c r="B24" s="150" t="s">
        <v>3</v>
      </c>
    </row>
    <row r="25" spans="1:10" ht="60" x14ac:dyDescent="0.25">
      <c r="A25" s="23" t="s">
        <v>5</v>
      </c>
      <c r="B25" s="150" t="s">
        <v>284</v>
      </c>
    </row>
    <row r="26" spans="1:10" x14ac:dyDescent="0.25">
      <c r="A26" s="23" t="s">
        <v>6</v>
      </c>
      <c r="B26" s="150" t="s">
        <v>286</v>
      </c>
    </row>
    <row r="27" spans="1:10" x14ac:dyDescent="0.25">
      <c r="A27" s="23" t="s">
        <v>446</v>
      </c>
      <c r="B27" s="150" t="s">
        <v>636</v>
      </c>
    </row>
    <row r="29" spans="1:10" ht="30" x14ac:dyDescent="0.25">
      <c r="A29" s="98" t="s">
        <v>639</v>
      </c>
      <c r="B29" s="98" t="s">
        <v>20</v>
      </c>
      <c r="C29" s="98" t="s">
        <v>17</v>
      </c>
      <c r="D29" s="98" t="s">
        <v>285</v>
      </c>
      <c r="E29" s="98"/>
      <c r="F29" s="98"/>
      <c r="G29" s="98" t="s">
        <v>640</v>
      </c>
      <c r="H29" s="98" t="s">
        <v>20</v>
      </c>
      <c r="I29" s="98" t="s">
        <v>17</v>
      </c>
      <c r="J29" s="98" t="s">
        <v>285</v>
      </c>
    </row>
    <row r="30" spans="1:10" x14ac:dyDescent="0.25">
      <c r="A30" s="52" t="s">
        <v>194</v>
      </c>
      <c r="B30" s="52"/>
      <c r="C30" s="52"/>
      <c r="D30" s="52">
        <v>1.75</v>
      </c>
      <c r="E30" s="17"/>
      <c r="F30" s="95"/>
      <c r="G30" s="52" t="s">
        <v>194</v>
      </c>
      <c r="H30" s="52"/>
      <c r="I30" s="52"/>
      <c r="J30" s="52">
        <v>1.78</v>
      </c>
    </row>
    <row r="31" spans="1:10" x14ac:dyDescent="0.25">
      <c r="A31" s="23" t="s">
        <v>455</v>
      </c>
      <c r="B31" s="23">
        <f>SUM(B30:B30)</f>
        <v>0</v>
      </c>
      <c r="D31" s="117">
        <f>SUM(D30:D30)</f>
        <v>1.75</v>
      </c>
      <c r="G31" s="23" t="s">
        <v>455</v>
      </c>
      <c r="H31" s="23">
        <f>SUM(H30:H30)</f>
        <v>0</v>
      </c>
      <c r="J31" s="117">
        <f>SUM(J30:J30)</f>
        <v>1.78</v>
      </c>
    </row>
    <row r="34" spans="1:6" ht="21" x14ac:dyDescent="0.35">
      <c r="A34" s="91" t="s">
        <v>95</v>
      </c>
      <c r="B34" s="23" t="s">
        <v>81</v>
      </c>
      <c r="D34" s="92"/>
      <c r="E34" s="24"/>
    </row>
    <row r="35" spans="1:6" x14ac:dyDescent="0.25">
      <c r="A35" s="23" t="s">
        <v>22</v>
      </c>
      <c r="B35" s="77" t="s">
        <v>274</v>
      </c>
      <c r="E35" s="24"/>
    </row>
    <row r="36" spans="1:6" x14ac:dyDescent="0.25">
      <c r="A36" s="23" t="s">
        <v>107</v>
      </c>
      <c r="B36" s="30">
        <v>120</v>
      </c>
      <c r="C36" s="23" t="s">
        <v>33</v>
      </c>
      <c r="E36" s="24"/>
    </row>
    <row r="37" spans="1:6" x14ac:dyDescent="0.25">
      <c r="A37" s="23" t="s">
        <v>48</v>
      </c>
      <c r="B37" s="35"/>
      <c r="E37" s="24"/>
    </row>
    <row r="38" spans="1:6" x14ac:dyDescent="0.25">
      <c r="A38" s="23" t="s">
        <v>246</v>
      </c>
      <c r="B38" s="47">
        <f>B36/0.9</f>
        <v>133.33333333333334</v>
      </c>
      <c r="C38" s="23" t="s">
        <v>33</v>
      </c>
      <c r="E38" s="24"/>
    </row>
    <row r="39" spans="1:6" x14ac:dyDescent="0.25">
      <c r="A39" s="23" t="s">
        <v>449</v>
      </c>
      <c r="B39" s="47">
        <f>B38*6*300/1000</f>
        <v>240</v>
      </c>
      <c r="C39" s="23" t="s">
        <v>89</v>
      </c>
      <c r="E39" s="24"/>
    </row>
    <row r="40" spans="1:6" x14ac:dyDescent="0.25">
      <c r="A40" s="23" t="s">
        <v>472</v>
      </c>
      <c r="B40" s="30">
        <v>0.9</v>
      </c>
      <c r="E40" s="24"/>
    </row>
    <row r="41" spans="1:6" x14ac:dyDescent="0.25">
      <c r="A41" s="23" t="s">
        <v>442</v>
      </c>
      <c r="B41" s="30" t="s">
        <v>81</v>
      </c>
      <c r="E41" s="24"/>
    </row>
    <row r="42" spans="1:6" x14ac:dyDescent="0.25">
      <c r="A42" s="23" t="s">
        <v>451</v>
      </c>
      <c r="B42" s="47" t="s">
        <v>637</v>
      </c>
      <c r="E42" s="24"/>
    </row>
    <row r="43" spans="1:6" x14ac:dyDescent="0.25">
      <c r="A43" s="23" t="s">
        <v>0</v>
      </c>
      <c r="B43" s="30" t="s">
        <v>275</v>
      </c>
      <c r="E43" s="24"/>
    </row>
    <row r="44" spans="1:6" x14ac:dyDescent="0.25">
      <c r="A44" s="23" t="s">
        <v>5</v>
      </c>
      <c r="B44" s="30" t="s">
        <v>269</v>
      </c>
      <c r="E44" s="24"/>
    </row>
    <row r="45" spans="1:6" ht="45" x14ac:dyDescent="0.25">
      <c r="A45" s="23" t="s">
        <v>6</v>
      </c>
      <c r="B45" s="41" t="s">
        <v>388</v>
      </c>
      <c r="E45" s="24"/>
    </row>
    <row r="46" spans="1:6" x14ac:dyDescent="0.25">
      <c r="A46" s="23" t="s">
        <v>446</v>
      </c>
      <c r="B46" s="36"/>
      <c r="E46" s="24"/>
    </row>
    <row r="47" spans="1:6" x14ac:dyDescent="0.25">
      <c r="E47" s="24"/>
    </row>
    <row r="48" spans="1:6" ht="30" x14ac:dyDescent="0.25">
      <c r="A48" s="31" t="s">
        <v>277</v>
      </c>
      <c r="B48" s="31" t="s">
        <v>20</v>
      </c>
      <c r="C48" s="31" t="s">
        <v>17</v>
      </c>
      <c r="D48" s="31" t="s">
        <v>272</v>
      </c>
      <c r="E48" s="32" t="s">
        <v>106</v>
      </c>
      <c r="F48" s="31" t="s">
        <v>41</v>
      </c>
    </row>
    <row r="49" spans="1:6" x14ac:dyDescent="0.25">
      <c r="A49" s="36" t="s">
        <v>279</v>
      </c>
      <c r="B49" s="36">
        <f>0.746*5</f>
        <v>3.73</v>
      </c>
      <c r="C49" s="36" t="s">
        <v>282</v>
      </c>
      <c r="D49" s="36">
        <f>B49*3.6/120</f>
        <v>0.11190000000000001</v>
      </c>
      <c r="E49" s="30">
        <v>0.9</v>
      </c>
      <c r="F49" s="36">
        <f>E49*D49</f>
        <v>0.10071000000000001</v>
      </c>
    </row>
    <row r="50" spans="1:6" x14ac:dyDescent="0.25">
      <c r="A50" s="23" t="s">
        <v>455</v>
      </c>
      <c r="B50" s="23">
        <f>SUM(B49:B49)</f>
        <v>3.73</v>
      </c>
      <c r="D50" s="23">
        <f>SUM(D49:D49)</f>
        <v>0.11190000000000001</v>
      </c>
      <c r="E50" s="24"/>
      <c r="F50" s="26">
        <f>SUM(F49:F49)</f>
        <v>0.10071000000000001</v>
      </c>
    </row>
    <row r="53" spans="1:6" ht="21" x14ac:dyDescent="0.35">
      <c r="A53" s="91" t="s">
        <v>96</v>
      </c>
      <c r="D53" s="92"/>
    </row>
    <row r="54" spans="1:6" x14ac:dyDescent="0.25">
      <c r="A54" s="23" t="s">
        <v>22</v>
      </c>
      <c r="B54" s="77" t="s">
        <v>387</v>
      </c>
    </row>
    <row r="55" spans="1:6" x14ac:dyDescent="0.25">
      <c r="A55" s="23" t="s">
        <v>107</v>
      </c>
      <c r="B55" s="35"/>
    </row>
    <row r="56" spans="1:6" x14ac:dyDescent="0.25">
      <c r="A56" s="23" t="s">
        <v>48</v>
      </c>
      <c r="B56" s="35"/>
    </row>
    <row r="57" spans="1:6" x14ac:dyDescent="0.25">
      <c r="A57" s="23" t="s">
        <v>30</v>
      </c>
      <c r="B57" s="35"/>
    </row>
    <row r="58" spans="1:6" x14ac:dyDescent="0.25">
      <c r="A58" s="23" t="s">
        <v>49</v>
      </c>
      <c r="B58" s="35"/>
    </row>
    <row r="59" spans="1:6" x14ac:dyDescent="0.25">
      <c r="A59" s="23" t="s">
        <v>442</v>
      </c>
      <c r="B59" s="30" t="s">
        <v>624</v>
      </c>
    </row>
    <row r="60" spans="1:6" x14ac:dyDescent="0.25">
      <c r="A60" s="23" t="s">
        <v>19</v>
      </c>
      <c r="B60" s="30"/>
    </row>
    <row r="61" spans="1:6" x14ac:dyDescent="0.25">
      <c r="A61" s="23" t="s">
        <v>0</v>
      </c>
      <c r="B61" s="30" t="s">
        <v>295</v>
      </c>
    </row>
    <row r="62" spans="1:6" x14ac:dyDescent="0.25">
      <c r="A62" s="23" t="s">
        <v>5</v>
      </c>
      <c r="B62" s="30" t="s">
        <v>4</v>
      </c>
    </row>
    <row r="63" spans="1:6" ht="45" x14ac:dyDescent="0.25">
      <c r="A63" s="23" t="s">
        <v>6</v>
      </c>
      <c r="B63" s="41" t="s">
        <v>415</v>
      </c>
    </row>
    <row r="64" spans="1:6" ht="45" x14ac:dyDescent="0.25">
      <c r="A64" s="23" t="s">
        <v>446</v>
      </c>
      <c r="B64" s="41" t="s">
        <v>638</v>
      </c>
    </row>
    <row r="66" spans="1:8" x14ac:dyDescent="0.25">
      <c r="A66" s="31" t="s">
        <v>179</v>
      </c>
      <c r="B66" s="31" t="s">
        <v>20</v>
      </c>
      <c r="C66" s="31" t="s">
        <v>17</v>
      </c>
      <c r="D66" s="31" t="s">
        <v>285</v>
      </c>
    </row>
    <row r="67" spans="1:8" x14ac:dyDescent="0.25">
      <c r="A67" s="36" t="s">
        <v>408</v>
      </c>
      <c r="B67" s="36">
        <v>103</v>
      </c>
      <c r="C67" s="36" t="s">
        <v>416</v>
      </c>
      <c r="D67" s="36">
        <f>B67/1000</f>
        <v>0.10299999999999999</v>
      </c>
    </row>
    <row r="68" spans="1:8" x14ac:dyDescent="0.25">
      <c r="A68" s="36" t="s">
        <v>407</v>
      </c>
      <c r="B68" s="36">
        <v>104</v>
      </c>
      <c r="C68" s="36"/>
      <c r="D68" s="36">
        <f t="shared" ref="D68:D73" si="0">B68/1000</f>
        <v>0.104</v>
      </c>
    </row>
    <row r="69" spans="1:8" x14ac:dyDescent="0.25">
      <c r="A69" s="36" t="s">
        <v>409</v>
      </c>
      <c r="B69" s="36">
        <v>96</v>
      </c>
      <c r="C69" s="36"/>
      <c r="D69" s="36">
        <f t="shared" si="0"/>
        <v>9.6000000000000002E-2</v>
      </c>
    </row>
    <row r="70" spans="1:8" x14ac:dyDescent="0.25">
      <c r="A70" s="36" t="s">
        <v>410</v>
      </c>
      <c r="B70" s="36">
        <v>2</v>
      </c>
      <c r="C70" s="36"/>
      <c r="D70" s="36">
        <f t="shared" si="0"/>
        <v>2E-3</v>
      </c>
    </row>
    <row r="71" spans="1:8" x14ac:dyDescent="0.25">
      <c r="A71" s="36" t="s">
        <v>411</v>
      </c>
      <c r="B71" s="36">
        <v>3</v>
      </c>
      <c r="C71" s="36"/>
      <c r="D71" s="36">
        <f t="shared" si="0"/>
        <v>3.0000000000000001E-3</v>
      </c>
    </row>
    <row r="72" spans="1:8" x14ac:dyDescent="0.25">
      <c r="A72" s="30" t="s">
        <v>412</v>
      </c>
      <c r="B72" s="86">
        <v>8</v>
      </c>
      <c r="C72" s="36"/>
      <c r="D72" s="36">
        <f t="shared" si="0"/>
        <v>8.0000000000000002E-3</v>
      </c>
    </row>
    <row r="73" spans="1:8" x14ac:dyDescent="0.25">
      <c r="A73" s="30" t="s">
        <v>413</v>
      </c>
      <c r="B73" s="86">
        <v>3</v>
      </c>
      <c r="C73" s="36"/>
      <c r="D73" s="36">
        <f t="shared" si="0"/>
        <v>3.0000000000000001E-3</v>
      </c>
    </row>
    <row r="74" spans="1:8" x14ac:dyDescent="0.25">
      <c r="A74" s="23" t="s">
        <v>455</v>
      </c>
      <c r="B74" s="23">
        <f>SUM(B67:B73)</f>
        <v>319</v>
      </c>
      <c r="D74" s="117">
        <f>SUM(D67:D73)</f>
        <v>0.31900000000000001</v>
      </c>
    </row>
    <row r="78" spans="1:8" ht="21" x14ac:dyDescent="0.35">
      <c r="A78" s="91" t="s">
        <v>494</v>
      </c>
      <c r="C78" s="24"/>
      <c r="D78" s="24"/>
      <c r="E78" s="24"/>
      <c r="F78" s="24"/>
      <c r="G78" s="24"/>
      <c r="H78" s="24"/>
    </row>
    <row r="79" spans="1:8" x14ac:dyDescent="0.25">
      <c r="B79" s="82"/>
      <c r="C79" s="24"/>
      <c r="D79" s="24"/>
      <c r="E79" s="24"/>
      <c r="F79" s="24"/>
      <c r="G79" s="24"/>
      <c r="H79" s="24"/>
    </row>
    <row r="80" spans="1:8" x14ac:dyDescent="0.25">
      <c r="A80" s="23" t="s">
        <v>496</v>
      </c>
      <c r="B80" s="82">
        <f>F50</f>
        <v>0.10071000000000001</v>
      </c>
      <c r="C80" s="24"/>
      <c r="D80" s="24"/>
      <c r="E80" s="24"/>
      <c r="F80" s="24"/>
      <c r="G80" s="24"/>
      <c r="H80" s="24"/>
    </row>
    <row r="81" spans="1:8" x14ac:dyDescent="0.25">
      <c r="A81" s="23" t="s">
        <v>497</v>
      </c>
      <c r="B81" s="82">
        <f>D74</f>
        <v>0.31900000000000001</v>
      </c>
      <c r="C81" s="24"/>
      <c r="D81" s="24"/>
      <c r="E81" s="24"/>
      <c r="F81" s="24"/>
      <c r="G81" s="24"/>
      <c r="H81" s="24"/>
    </row>
    <row r="82" spans="1:8" x14ac:dyDescent="0.25">
      <c r="B82" s="83"/>
      <c r="C82" s="24"/>
      <c r="D82" s="24"/>
      <c r="E82" s="24"/>
      <c r="F82" s="24"/>
      <c r="G82" s="24"/>
      <c r="H82" s="24"/>
    </row>
    <row r="83" spans="1:8" x14ac:dyDescent="0.25">
      <c r="A83" s="23" t="s">
        <v>491</v>
      </c>
      <c r="B83" s="83">
        <f>AVERAGE(B79:B81)</f>
        <v>0.20985500000000001</v>
      </c>
      <c r="C83" s="24"/>
      <c r="D83" s="24"/>
      <c r="E83" s="24"/>
      <c r="F83" s="24"/>
      <c r="G83" s="24"/>
      <c r="H83" s="24"/>
    </row>
    <row r="84" spans="1:8" x14ac:dyDescent="0.25">
      <c r="A84" s="23" t="s">
        <v>492</v>
      </c>
      <c r="B84" s="83">
        <f>MAX(B79:B81)</f>
        <v>0.31900000000000001</v>
      </c>
      <c r="C84" s="24"/>
      <c r="D84" s="24"/>
      <c r="E84" s="24"/>
      <c r="F84" s="24"/>
      <c r="G84" s="24"/>
      <c r="H84" s="24"/>
    </row>
    <row r="85" spans="1:8" x14ac:dyDescent="0.25">
      <c r="A85" s="23" t="s">
        <v>493</v>
      </c>
      <c r="B85" s="83">
        <f>MIN(B79:B81)</f>
        <v>0.10071000000000001</v>
      </c>
      <c r="C85" s="24"/>
      <c r="D85" s="24"/>
      <c r="E85" s="24"/>
      <c r="F85" s="24"/>
      <c r="G85" s="24"/>
      <c r="H85" s="24"/>
    </row>
    <row r="86" spans="1:8" x14ac:dyDescent="0.25">
      <c r="C86" s="24"/>
      <c r="D86" s="24"/>
      <c r="E86" s="24"/>
      <c r="F86" s="24"/>
      <c r="G86" s="24"/>
      <c r="H86" s="24"/>
    </row>
    <row r="87" spans="1:8" x14ac:dyDescent="0.25">
      <c r="A87" s="24"/>
      <c r="B87" s="24"/>
      <c r="C87" s="24"/>
      <c r="D87" s="24"/>
      <c r="E87" s="24"/>
      <c r="F87" s="24"/>
      <c r="G87" s="24"/>
      <c r="H87" s="24"/>
    </row>
  </sheetData>
  <phoneticPr fontId="9" type="noConversion"/>
  <hyperlinks>
    <hyperlink ref="D6" r:id="rId1" xr:uid="{9D63A77E-DFB4-415B-A54F-A6DF059A378B}"/>
    <hyperlink ref="D7" r:id="rId2" xr:uid="{76A09D01-80FE-4BC5-8054-15E71A60A52D}"/>
  </hyperlinks>
  <pageMargins left="0.7" right="0.7" top="0.78740157499999996" bottom="0.78740157499999996"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F0C78-F65A-44DA-BAF8-E1A6F8B82D65}">
  <dimension ref="A1:H119"/>
  <sheetViews>
    <sheetView topLeftCell="A94" zoomScale="88" workbookViewId="0">
      <selection activeCell="B103" sqref="B103"/>
    </sheetView>
  </sheetViews>
  <sheetFormatPr defaultColWidth="11.42578125" defaultRowHeight="15" x14ac:dyDescent="0.25"/>
  <cols>
    <col min="1" max="1" width="29.28515625" style="23" customWidth="1"/>
    <col min="2" max="2" width="21.7109375" style="23" customWidth="1"/>
    <col min="3" max="16384" width="11.42578125" style="23"/>
  </cols>
  <sheetData>
    <row r="1" spans="1:5" x14ac:dyDescent="0.25">
      <c r="A1" s="75"/>
      <c r="B1" s="75"/>
      <c r="C1" s="88" t="s">
        <v>35</v>
      </c>
      <c r="D1" s="88" t="s">
        <v>34</v>
      </c>
      <c r="E1" s="75"/>
    </row>
    <row r="2" spans="1:5" ht="21" x14ac:dyDescent="0.35">
      <c r="A2" s="89" t="s">
        <v>39</v>
      </c>
      <c r="B2" s="75"/>
      <c r="C2" s="88"/>
      <c r="D2" s="88"/>
      <c r="E2" s="75"/>
    </row>
    <row r="3" spans="1:5" x14ac:dyDescent="0.25">
      <c r="A3" s="23" t="s">
        <v>1</v>
      </c>
      <c r="B3" s="36" t="s">
        <v>673</v>
      </c>
      <c r="D3" s="36" t="s">
        <v>675</v>
      </c>
    </row>
    <row r="4" spans="1:5" x14ac:dyDescent="0.25">
      <c r="A4" s="23" t="s">
        <v>7</v>
      </c>
      <c r="B4" s="36" t="s">
        <v>674</v>
      </c>
      <c r="D4" s="36" t="s">
        <v>676</v>
      </c>
    </row>
    <row r="5" spans="1:5" x14ac:dyDescent="0.25">
      <c r="A5" s="23" t="s">
        <v>27</v>
      </c>
      <c r="B5" s="129"/>
      <c r="C5" s="35"/>
      <c r="D5" s="35"/>
    </row>
    <row r="6" spans="1:5" x14ac:dyDescent="0.25">
      <c r="A6" s="23" t="s">
        <v>28</v>
      </c>
      <c r="B6" s="130">
        <v>1.3</v>
      </c>
      <c r="C6" s="36" t="s">
        <v>32</v>
      </c>
      <c r="D6" s="36" t="s">
        <v>672</v>
      </c>
    </row>
    <row r="8" spans="1:5" ht="21" x14ac:dyDescent="0.35">
      <c r="A8" s="91" t="s">
        <v>38</v>
      </c>
    </row>
    <row r="9" spans="1:5" x14ac:dyDescent="0.25">
      <c r="A9" s="23" t="s">
        <v>36</v>
      </c>
      <c r="B9" s="23">
        <v>100000</v>
      </c>
      <c r="C9" s="23" t="s">
        <v>37</v>
      </c>
    </row>
    <row r="10" spans="1:5" x14ac:dyDescent="0.25">
      <c r="A10" s="23" t="s">
        <v>102</v>
      </c>
      <c r="B10" s="94">
        <f>B9/B6</f>
        <v>76923.076923076922</v>
      </c>
      <c r="C10" s="23" t="s">
        <v>33</v>
      </c>
    </row>
    <row r="11" spans="1:5" x14ac:dyDescent="0.25">
      <c r="A11" s="23" t="s">
        <v>102</v>
      </c>
      <c r="B11" s="94">
        <f>B10/1000</f>
        <v>76.92307692307692</v>
      </c>
      <c r="C11" s="23" t="s">
        <v>89</v>
      </c>
    </row>
    <row r="12" spans="1:5" x14ac:dyDescent="0.25">
      <c r="A12" s="23" t="s">
        <v>103</v>
      </c>
      <c r="B12" s="94">
        <f>B10/365</f>
        <v>210.7481559536354</v>
      </c>
      <c r="C12" s="23" t="s">
        <v>33</v>
      </c>
    </row>
    <row r="13" spans="1:5" x14ac:dyDescent="0.25">
      <c r="B13" s="94"/>
    </row>
    <row r="15" spans="1:5" ht="21" x14ac:dyDescent="0.35">
      <c r="A15" s="91" t="s">
        <v>40</v>
      </c>
      <c r="D15" s="92"/>
    </row>
    <row r="16" spans="1:5" x14ac:dyDescent="0.25">
      <c r="A16" s="23" t="s">
        <v>22</v>
      </c>
      <c r="B16" s="77" t="s">
        <v>391</v>
      </c>
    </row>
    <row r="17" spans="1:5" x14ac:dyDescent="0.25">
      <c r="A17" s="23" t="s">
        <v>107</v>
      </c>
      <c r="B17" s="35"/>
    </row>
    <row r="18" spans="1:5" x14ac:dyDescent="0.25">
      <c r="A18" s="23" t="s">
        <v>48</v>
      </c>
      <c r="B18" s="165"/>
    </row>
    <row r="19" spans="1:5" x14ac:dyDescent="0.25">
      <c r="A19" s="23" t="s">
        <v>246</v>
      </c>
      <c r="B19" s="3">
        <v>364.2</v>
      </c>
      <c r="C19" s="23" t="s">
        <v>33</v>
      </c>
    </row>
    <row r="20" spans="1:5" x14ac:dyDescent="0.25">
      <c r="A20" s="23" t="s">
        <v>49</v>
      </c>
      <c r="B20" s="124">
        <v>2913.6</v>
      </c>
      <c r="C20" s="23" t="s">
        <v>33</v>
      </c>
    </row>
    <row r="21" spans="1:5" x14ac:dyDescent="0.25">
      <c r="A21" s="23" t="s">
        <v>449</v>
      </c>
      <c r="B21" s="47">
        <f>B20*300/1000</f>
        <v>874.08</v>
      </c>
      <c r="C21" s="23" t="s">
        <v>89</v>
      </c>
    </row>
    <row r="22" spans="1:5" ht="30" x14ac:dyDescent="0.25">
      <c r="A22" s="23" t="s">
        <v>442</v>
      </c>
      <c r="B22" s="41" t="s">
        <v>394</v>
      </c>
    </row>
    <row r="23" spans="1:5" x14ac:dyDescent="0.25">
      <c r="A23" s="23" t="s">
        <v>19</v>
      </c>
      <c r="B23" s="30"/>
    </row>
    <row r="24" spans="1:5" x14ac:dyDescent="0.25">
      <c r="A24" s="23" t="s">
        <v>0</v>
      </c>
      <c r="B24" s="36" t="s">
        <v>393</v>
      </c>
    </row>
    <row r="25" spans="1:5" x14ac:dyDescent="0.25">
      <c r="A25" s="23" t="s">
        <v>5</v>
      </c>
      <c r="B25" s="30" t="s">
        <v>269</v>
      </c>
    </row>
    <row r="26" spans="1:5" x14ac:dyDescent="0.25">
      <c r="A26" s="23" t="s">
        <v>6</v>
      </c>
      <c r="B26" s="30" t="s">
        <v>395</v>
      </c>
    </row>
    <row r="27" spans="1:5" x14ac:dyDescent="0.25">
      <c r="A27" s="23" t="s">
        <v>446</v>
      </c>
      <c r="B27" s="30"/>
    </row>
    <row r="29" spans="1:5" ht="45" x14ac:dyDescent="0.25">
      <c r="A29" s="31" t="s">
        <v>179</v>
      </c>
      <c r="B29" s="31" t="s">
        <v>20</v>
      </c>
      <c r="C29" s="31" t="s">
        <v>17</v>
      </c>
      <c r="D29" s="31" t="s">
        <v>285</v>
      </c>
      <c r="E29" s="31"/>
    </row>
    <row r="30" spans="1:5" x14ac:dyDescent="0.25">
      <c r="A30" s="36" t="s">
        <v>392</v>
      </c>
      <c r="B30" s="36">
        <v>4</v>
      </c>
      <c r="C30" s="36" t="s">
        <v>282</v>
      </c>
      <c r="D30" s="36">
        <f>B30*3.6/B19</f>
        <v>3.9538714991762772E-2</v>
      </c>
    </row>
    <row r="31" spans="1:5" x14ac:dyDescent="0.25">
      <c r="A31" s="23" t="s">
        <v>455</v>
      </c>
      <c r="B31" s="23">
        <f>SUM(B30:B30)</f>
        <v>4</v>
      </c>
      <c r="D31" s="117">
        <f>SUM(D30:D30)</f>
        <v>3.9538714991762772E-2</v>
      </c>
    </row>
    <row r="35" spans="1:4" ht="21" x14ac:dyDescent="0.35">
      <c r="A35" s="91" t="s">
        <v>95</v>
      </c>
      <c r="D35" s="92"/>
    </row>
    <row r="36" spans="1:4" x14ac:dyDescent="0.25">
      <c r="A36" s="23" t="s">
        <v>22</v>
      </c>
      <c r="B36" s="77" t="s">
        <v>396</v>
      </c>
    </row>
    <row r="37" spans="1:4" x14ac:dyDescent="0.25">
      <c r="A37" s="23" t="s">
        <v>107</v>
      </c>
      <c r="B37" s="35"/>
    </row>
    <row r="38" spans="1:4" x14ac:dyDescent="0.25">
      <c r="A38" s="23" t="s">
        <v>48</v>
      </c>
      <c r="B38" s="35"/>
    </row>
    <row r="39" spans="1:4" x14ac:dyDescent="0.25">
      <c r="A39" s="23" t="s">
        <v>246</v>
      </c>
      <c r="B39" s="30">
        <v>400</v>
      </c>
      <c r="C39" s="23" t="s">
        <v>33</v>
      </c>
    </row>
    <row r="40" spans="1:4" x14ac:dyDescent="0.25">
      <c r="A40" s="23" t="s">
        <v>49</v>
      </c>
      <c r="B40" s="35"/>
      <c r="C40" s="23" t="s">
        <v>33</v>
      </c>
    </row>
    <row r="41" spans="1:4" x14ac:dyDescent="0.25">
      <c r="A41" s="23" t="s">
        <v>449</v>
      </c>
      <c r="B41" s="47">
        <f>B39*6*300/1000</f>
        <v>720</v>
      </c>
      <c r="C41" s="23" t="s">
        <v>89</v>
      </c>
    </row>
    <row r="42" spans="1:4" x14ac:dyDescent="0.25">
      <c r="A42" s="23" t="s">
        <v>442</v>
      </c>
      <c r="B42" s="30" t="s">
        <v>81</v>
      </c>
    </row>
    <row r="43" spans="1:4" x14ac:dyDescent="0.25">
      <c r="A43" s="23" t="s">
        <v>19</v>
      </c>
      <c r="B43" s="30"/>
    </row>
    <row r="44" spans="1:4" x14ac:dyDescent="0.25">
      <c r="A44" s="23" t="s">
        <v>0</v>
      </c>
      <c r="B44" s="30" t="s">
        <v>3</v>
      </c>
    </row>
    <row r="45" spans="1:4" x14ac:dyDescent="0.25">
      <c r="A45" s="23" t="s">
        <v>5</v>
      </c>
      <c r="B45" s="30" t="s">
        <v>269</v>
      </c>
    </row>
    <row r="46" spans="1:4" x14ac:dyDescent="0.25">
      <c r="A46" s="23" t="s">
        <v>6</v>
      </c>
      <c r="B46" s="30" t="s">
        <v>644</v>
      </c>
    </row>
    <row r="47" spans="1:4" x14ac:dyDescent="0.25">
      <c r="A47" s="23" t="s">
        <v>446</v>
      </c>
      <c r="B47" s="30"/>
    </row>
    <row r="49" spans="1:4" ht="45" x14ac:dyDescent="0.25">
      <c r="A49" s="31" t="s">
        <v>179</v>
      </c>
      <c r="B49" s="31" t="s">
        <v>20</v>
      </c>
      <c r="C49" s="31" t="s">
        <v>17</v>
      </c>
      <c r="D49" s="31" t="s">
        <v>285</v>
      </c>
    </row>
    <row r="50" spans="1:4" x14ac:dyDescent="0.25">
      <c r="A50" s="36" t="s">
        <v>397</v>
      </c>
      <c r="B50" s="36">
        <v>0.746</v>
      </c>
      <c r="C50" s="36" t="s">
        <v>282</v>
      </c>
      <c r="D50" s="36">
        <f>B50*3.6/B39</f>
        <v>6.7140000000000003E-3</v>
      </c>
    </row>
    <row r="51" spans="1:4" x14ac:dyDescent="0.25">
      <c r="A51" s="23" t="s">
        <v>455</v>
      </c>
      <c r="B51" s="23">
        <f>SUM(B50:B50)</f>
        <v>0.746</v>
      </c>
      <c r="D51" s="117">
        <f>SUM(D50:D50)</f>
        <v>6.7140000000000003E-3</v>
      </c>
    </row>
    <row r="54" spans="1:4" ht="21" x14ac:dyDescent="0.35">
      <c r="A54" s="91" t="s">
        <v>96</v>
      </c>
      <c r="D54" s="92"/>
    </row>
    <row r="55" spans="1:4" x14ac:dyDescent="0.25">
      <c r="A55" s="23" t="s">
        <v>22</v>
      </c>
      <c r="B55" s="77" t="s">
        <v>398</v>
      </c>
    </row>
    <row r="56" spans="1:4" x14ac:dyDescent="0.25">
      <c r="A56" s="23" t="s">
        <v>107</v>
      </c>
      <c r="B56" s="35"/>
    </row>
    <row r="57" spans="1:4" x14ac:dyDescent="0.25">
      <c r="A57" s="23" t="s">
        <v>48</v>
      </c>
      <c r="B57" s="35"/>
    </row>
    <row r="58" spans="1:4" x14ac:dyDescent="0.25">
      <c r="A58" s="23" t="s">
        <v>246</v>
      </c>
      <c r="B58">
        <v>187</v>
      </c>
      <c r="C58" s="23" t="s">
        <v>33</v>
      </c>
    </row>
    <row r="59" spans="1:4" x14ac:dyDescent="0.25">
      <c r="A59" s="23" t="s">
        <v>449</v>
      </c>
      <c r="B59" s="47">
        <f>B58*6*300/1000</f>
        <v>336.6</v>
      </c>
      <c r="C59" s="23" t="s">
        <v>89</v>
      </c>
    </row>
    <row r="60" spans="1:4" x14ac:dyDescent="0.25">
      <c r="A60" s="23" t="s">
        <v>442</v>
      </c>
      <c r="B60" s="30" t="s">
        <v>81</v>
      </c>
    </row>
    <row r="61" spans="1:4" x14ac:dyDescent="0.25">
      <c r="A61" s="23" t="s">
        <v>19</v>
      </c>
      <c r="B61" s="30" t="s">
        <v>643</v>
      </c>
    </row>
    <row r="62" spans="1:4" x14ac:dyDescent="0.25">
      <c r="A62" s="23" t="s">
        <v>0</v>
      </c>
      <c r="B62" s="30" t="s">
        <v>3</v>
      </c>
    </row>
    <row r="63" spans="1:4" x14ac:dyDescent="0.25">
      <c r="A63" s="23" t="s">
        <v>5</v>
      </c>
      <c r="B63" s="30" t="s">
        <v>269</v>
      </c>
    </row>
    <row r="64" spans="1:4" x14ac:dyDescent="0.25">
      <c r="A64" s="23" t="s">
        <v>6</v>
      </c>
      <c r="B64" s="30" t="s">
        <v>645</v>
      </c>
    </row>
    <row r="65" spans="1:4" x14ac:dyDescent="0.25">
      <c r="A65" s="23" t="s">
        <v>446</v>
      </c>
      <c r="B65" s="30"/>
    </row>
    <row r="67" spans="1:4" ht="45" x14ac:dyDescent="0.25">
      <c r="A67" s="31" t="s">
        <v>179</v>
      </c>
      <c r="B67" s="31" t="s">
        <v>20</v>
      </c>
      <c r="C67" s="31" t="s">
        <v>17</v>
      </c>
      <c r="D67" s="31" t="s">
        <v>285</v>
      </c>
    </row>
    <row r="68" spans="1:4" x14ac:dyDescent="0.25">
      <c r="A68" s="36" t="s">
        <v>397</v>
      </c>
      <c r="B68" s="36">
        <f>3.5*0.746</f>
        <v>2.6109999999999998</v>
      </c>
      <c r="C68" s="36" t="s">
        <v>282</v>
      </c>
      <c r="D68" s="36">
        <f>B68*3.6/B58</f>
        <v>5.0265240641711229E-2</v>
      </c>
    </row>
    <row r="69" spans="1:4" x14ac:dyDescent="0.25">
      <c r="A69" s="23" t="s">
        <v>455</v>
      </c>
      <c r="B69" s="23">
        <f>SUM(B68:B68)</f>
        <v>2.6109999999999998</v>
      </c>
      <c r="D69" s="117">
        <f>SUM(D68:D68)</f>
        <v>5.0265240641711229E-2</v>
      </c>
    </row>
    <row r="72" spans="1:4" ht="21" x14ac:dyDescent="0.35">
      <c r="A72" s="119" t="s">
        <v>646</v>
      </c>
      <c r="D72" s="92"/>
    </row>
    <row r="73" spans="1:4" x14ac:dyDescent="0.25">
      <c r="A73" s="23" t="s">
        <v>22</v>
      </c>
      <c r="B73" s="151" t="s">
        <v>399</v>
      </c>
    </row>
    <row r="74" spans="1:4" x14ac:dyDescent="0.25">
      <c r="A74" s="23" t="s">
        <v>107</v>
      </c>
      <c r="B74" s="35"/>
    </row>
    <row r="75" spans="1:4" x14ac:dyDescent="0.25">
      <c r="A75" s="23" t="s">
        <v>48</v>
      </c>
      <c r="B75" s="35"/>
    </row>
    <row r="76" spans="1:4" x14ac:dyDescent="0.25">
      <c r="A76" s="23" t="s">
        <v>246</v>
      </c>
      <c r="B76" s="30">
        <v>25</v>
      </c>
      <c r="C76" s="23" t="s">
        <v>33</v>
      </c>
    </row>
    <row r="77" spans="1:4" x14ac:dyDescent="0.25">
      <c r="A77" s="23" t="s">
        <v>449</v>
      </c>
      <c r="B77" s="30">
        <f>B76*6*300/1000</f>
        <v>45</v>
      </c>
      <c r="C77" s="23" t="s">
        <v>89</v>
      </c>
    </row>
    <row r="78" spans="1:4" x14ac:dyDescent="0.25">
      <c r="A78" s="23" t="s">
        <v>442</v>
      </c>
      <c r="B78" s="30" t="s">
        <v>444</v>
      </c>
    </row>
    <row r="79" spans="1:4" x14ac:dyDescent="0.25">
      <c r="A79" s="23" t="s">
        <v>19</v>
      </c>
      <c r="B79" s="30"/>
    </row>
    <row r="80" spans="1:4" x14ac:dyDescent="0.25">
      <c r="A80" s="23" t="s">
        <v>0</v>
      </c>
      <c r="B80" s="30" t="s">
        <v>3</v>
      </c>
    </row>
    <row r="81" spans="1:4" x14ac:dyDescent="0.25">
      <c r="A81" s="23" t="s">
        <v>5</v>
      </c>
      <c r="B81" s="30" t="s">
        <v>88</v>
      </c>
    </row>
    <row r="82" spans="1:4" x14ac:dyDescent="0.25">
      <c r="A82" s="23" t="s">
        <v>6</v>
      </c>
      <c r="B82" s="30" t="s">
        <v>400</v>
      </c>
    </row>
    <row r="83" spans="1:4" x14ac:dyDescent="0.25">
      <c r="A83" s="23" t="s">
        <v>446</v>
      </c>
      <c r="B83" s="30"/>
    </row>
    <row r="85" spans="1:4" ht="45" x14ac:dyDescent="0.25">
      <c r="A85" s="98" t="s">
        <v>179</v>
      </c>
      <c r="B85" s="98" t="s">
        <v>20</v>
      </c>
      <c r="C85" s="98" t="s">
        <v>17</v>
      </c>
      <c r="D85" s="98" t="s">
        <v>285</v>
      </c>
    </row>
    <row r="86" spans="1:4" x14ac:dyDescent="0.25">
      <c r="A86" s="52" t="s">
        <v>401</v>
      </c>
      <c r="B86" s="52">
        <v>1.5</v>
      </c>
      <c r="C86" s="52" t="s">
        <v>282</v>
      </c>
      <c r="D86" s="52">
        <f>B86*3.6/B76</f>
        <v>0.21600000000000003</v>
      </c>
    </row>
    <row r="87" spans="1:4" x14ac:dyDescent="0.25">
      <c r="A87" s="52" t="s">
        <v>402</v>
      </c>
      <c r="B87" s="52">
        <v>2.2000000000000002</v>
      </c>
      <c r="C87" s="52" t="s">
        <v>282</v>
      </c>
      <c r="D87" s="52">
        <f>B87*3.6/B76</f>
        <v>0.31680000000000003</v>
      </c>
    </row>
    <row r="88" spans="1:4" x14ac:dyDescent="0.25">
      <c r="A88" s="23" t="s">
        <v>455</v>
      </c>
      <c r="B88" s="23">
        <f>SUM(B86:B87)</f>
        <v>3.7</v>
      </c>
      <c r="D88" s="117">
        <f>SUM(D86:D87)</f>
        <v>0.53280000000000005</v>
      </c>
    </row>
    <row r="91" spans="1:4" ht="21" x14ac:dyDescent="0.35">
      <c r="A91" s="119" t="s">
        <v>642</v>
      </c>
      <c r="D91" s="92"/>
    </row>
    <row r="92" spans="1:4" x14ac:dyDescent="0.25">
      <c r="A92" s="23" t="s">
        <v>22</v>
      </c>
      <c r="B92" s="151" t="s">
        <v>403</v>
      </c>
    </row>
    <row r="93" spans="1:4" x14ac:dyDescent="0.25">
      <c r="A93" s="23" t="s">
        <v>107</v>
      </c>
      <c r="B93" s="35"/>
    </row>
    <row r="94" spans="1:4" x14ac:dyDescent="0.25">
      <c r="A94" s="23" t="s">
        <v>48</v>
      </c>
      <c r="B94" s="35"/>
    </row>
    <row r="95" spans="1:4" x14ac:dyDescent="0.25">
      <c r="A95" s="23" t="s">
        <v>246</v>
      </c>
      <c r="B95" s="35"/>
    </row>
    <row r="96" spans="1:4" x14ac:dyDescent="0.25">
      <c r="A96" s="23" t="s">
        <v>49</v>
      </c>
      <c r="B96" s="35"/>
    </row>
    <row r="97" spans="1:8" x14ac:dyDescent="0.25">
      <c r="A97" s="23" t="s">
        <v>442</v>
      </c>
      <c r="B97" s="35"/>
    </row>
    <row r="98" spans="1:8" x14ac:dyDescent="0.25">
      <c r="A98" s="23" t="s">
        <v>19</v>
      </c>
      <c r="B98" s="30"/>
    </row>
    <row r="99" spans="1:8" x14ac:dyDescent="0.25">
      <c r="A99" s="23" t="s">
        <v>0</v>
      </c>
      <c r="B99" s="30" t="s">
        <v>3</v>
      </c>
    </row>
    <row r="100" spans="1:8" x14ac:dyDescent="0.25">
      <c r="A100" s="23" t="s">
        <v>5</v>
      </c>
      <c r="B100" s="30" t="s">
        <v>404</v>
      </c>
    </row>
    <row r="101" spans="1:8" x14ac:dyDescent="0.25">
      <c r="A101" s="23" t="s">
        <v>6</v>
      </c>
      <c r="B101" s="30" t="s">
        <v>286</v>
      </c>
    </row>
    <row r="102" spans="1:8" x14ac:dyDescent="0.25">
      <c r="A102" s="23" t="s">
        <v>446</v>
      </c>
      <c r="B102" s="30" t="s">
        <v>677</v>
      </c>
    </row>
    <row r="104" spans="1:8" ht="45" x14ac:dyDescent="0.25">
      <c r="A104" s="98" t="s">
        <v>179</v>
      </c>
      <c r="B104" s="98" t="s">
        <v>20</v>
      </c>
      <c r="C104" s="98" t="s">
        <v>17</v>
      </c>
      <c r="D104" s="98" t="s">
        <v>285</v>
      </c>
    </row>
    <row r="105" spans="1:8" x14ac:dyDescent="0.25">
      <c r="A105" s="52" t="s">
        <v>401</v>
      </c>
      <c r="B105" s="52"/>
      <c r="C105" s="52"/>
      <c r="D105" s="96">
        <v>1149</v>
      </c>
    </row>
    <row r="106" spans="1:8" x14ac:dyDescent="0.25">
      <c r="A106" s="23" t="s">
        <v>455</v>
      </c>
      <c r="B106" s="23">
        <f>SUM(B105:B105)</f>
        <v>0</v>
      </c>
      <c r="D106" s="152">
        <f>SUM(D105:D105)</f>
        <v>1149</v>
      </c>
    </row>
    <row r="110" spans="1:8" ht="21" x14ac:dyDescent="0.35">
      <c r="A110" s="91" t="s">
        <v>494</v>
      </c>
      <c r="C110" s="24"/>
      <c r="D110" s="24"/>
      <c r="E110" s="24"/>
      <c r="F110" s="24"/>
      <c r="G110" s="24"/>
      <c r="H110" s="24"/>
    </row>
    <row r="111" spans="1:8" x14ac:dyDescent="0.25">
      <c r="A111" s="23" t="s">
        <v>495</v>
      </c>
      <c r="B111" s="82">
        <f>D31</f>
        <v>3.9538714991762772E-2</v>
      </c>
      <c r="C111" s="24"/>
      <c r="D111" s="24"/>
      <c r="E111" s="24"/>
      <c r="F111" s="24"/>
      <c r="G111" s="24"/>
      <c r="H111" s="24"/>
    </row>
    <row r="112" spans="1:8" x14ac:dyDescent="0.25">
      <c r="A112" s="23" t="s">
        <v>496</v>
      </c>
      <c r="B112" s="82">
        <f>D51</f>
        <v>6.7140000000000003E-3</v>
      </c>
      <c r="C112" s="24"/>
      <c r="D112" s="24"/>
      <c r="E112" s="24"/>
      <c r="F112" s="24"/>
      <c r="G112" s="24"/>
      <c r="H112" s="24"/>
    </row>
    <row r="113" spans="1:8" x14ac:dyDescent="0.25">
      <c r="A113" s="23" t="s">
        <v>497</v>
      </c>
      <c r="B113" s="82">
        <f>D69</f>
        <v>5.0265240641711229E-2</v>
      </c>
      <c r="C113" s="24"/>
      <c r="D113" s="24"/>
      <c r="E113" s="24"/>
      <c r="F113" s="24"/>
      <c r="G113" s="24"/>
      <c r="H113" s="24"/>
    </row>
    <row r="114" spans="1:8" x14ac:dyDescent="0.25">
      <c r="B114" s="83"/>
      <c r="C114" s="24"/>
      <c r="D114" s="24"/>
      <c r="E114" s="24"/>
      <c r="F114" s="24"/>
      <c r="G114" s="24"/>
      <c r="H114" s="24"/>
    </row>
    <row r="115" spans="1:8" x14ac:dyDescent="0.25">
      <c r="A115" s="23" t="s">
        <v>491</v>
      </c>
      <c r="B115" s="83">
        <f>AVERAGE(B111:B113)</f>
        <v>3.2172651877824664E-2</v>
      </c>
      <c r="C115" s="24"/>
      <c r="D115" s="24"/>
      <c r="E115" s="24"/>
      <c r="F115" s="24"/>
      <c r="G115" s="24"/>
      <c r="H115" s="24"/>
    </row>
    <row r="116" spans="1:8" x14ac:dyDescent="0.25">
      <c r="A116" s="23" t="s">
        <v>492</v>
      </c>
      <c r="B116" s="83">
        <f>MAX(B111:B113)</f>
        <v>5.0265240641711229E-2</v>
      </c>
      <c r="C116" s="24"/>
      <c r="D116" s="24"/>
      <c r="E116" s="24"/>
      <c r="F116" s="24"/>
      <c r="G116" s="24"/>
      <c r="H116" s="24"/>
    </row>
    <row r="117" spans="1:8" x14ac:dyDescent="0.25">
      <c r="A117" s="23" t="s">
        <v>493</v>
      </c>
      <c r="B117" s="83">
        <f>MIN(B111:B113)</f>
        <v>6.7140000000000003E-3</v>
      </c>
      <c r="C117" s="24"/>
      <c r="D117" s="24"/>
      <c r="E117" s="24"/>
      <c r="F117" s="24"/>
      <c r="G117" s="24"/>
      <c r="H117" s="24"/>
    </row>
    <row r="118" spans="1:8" x14ac:dyDescent="0.25">
      <c r="C118" s="24"/>
      <c r="D118" s="24"/>
      <c r="E118" s="24"/>
      <c r="F118" s="24"/>
      <c r="G118" s="24"/>
      <c r="H118" s="24"/>
    </row>
    <row r="119" spans="1:8" x14ac:dyDescent="0.25">
      <c r="A119" s="24"/>
      <c r="B119" s="24"/>
      <c r="C119" s="24"/>
      <c r="D119" s="24"/>
      <c r="E119" s="24"/>
      <c r="F119" s="24"/>
      <c r="G119" s="24"/>
      <c r="H119" s="24"/>
    </row>
  </sheetData>
  <phoneticPr fontId="9" type="noConversion"/>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54634-E625-40CD-BCC5-D56C6B454F9C}">
  <dimension ref="A1:H87"/>
  <sheetViews>
    <sheetView topLeftCell="A57" zoomScale="71" workbookViewId="0">
      <selection activeCell="H92" sqref="H92"/>
    </sheetView>
  </sheetViews>
  <sheetFormatPr defaultColWidth="11.42578125" defaultRowHeight="15" x14ac:dyDescent="0.25"/>
  <cols>
    <col min="1" max="1" width="31" style="23" customWidth="1"/>
    <col min="2" max="2" width="28.85546875" style="23" customWidth="1"/>
    <col min="3" max="3" width="15.85546875" style="23" customWidth="1"/>
    <col min="4" max="4" width="16.42578125" style="23" customWidth="1"/>
    <col min="5" max="16384" width="11.42578125" style="23"/>
  </cols>
  <sheetData>
    <row r="1" spans="1:5" x14ac:dyDescent="0.25">
      <c r="A1" s="75"/>
      <c r="B1" s="75"/>
      <c r="C1" s="88" t="s">
        <v>35</v>
      </c>
      <c r="D1" s="88" t="s">
        <v>34</v>
      </c>
      <c r="E1" s="75"/>
    </row>
    <row r="2" spans="1:5" ht="21" x14ac:dyDescent="0.35">
      <c r="A2" s="89" t="s">
        <v>39</v>
      </c>
      <c r="B2" s="75"/>
      <c r="C2" s="88"/>
      <c r="D2" s="88"/>
      <c r="E2" s="75"/>
    </row>
    <row r="3" spans="1:5" x14ac:dyDescent="0.25">
      <c r="A3" s="23" t="s">
        <v>1</v>
      </c>
      <c r="B3" s="36" t="s">
        <v>343</v>
      </c>
      <c r="D3" s="36" t="s">
        <v>678</v>
      </c>
    </row>
    <row r="4" spans="1:5" x14ac:dyDescent="0.25">
      <c r="A4" s="23" t="s">
        <v>7</v>
      </c>
      <c r="B4" s="36" t="s">
        <v>623</v>
      </c>
      <c r="D4" s="36" t="s">
        <v>679</v>
      </c>
    </row>
    <row r="5" spans="1:5" x14ac:dyDescent="0.25">
      <c r="A5" s="23" t="s">
        <v>27</v>
      </c>
      <c r="B5" s="124">
        <v>0.9</v>
      </c>
      <c r="C5" s="36" t="s">
        <v>32</v>
      </c>
      <c r="D5" s="36" t="s">
        <v>622</v>
      </c>
    </row>
    <row r="6" spans="1:5" x14ac:dyDescent="0.25">
      <c r="A6" s="23" t="s">
        <v>28</v>
      </c>
      <c r="B6" s="35"/>
      <c r="C6" s="35" t="s">
        <v>32</v>
      </c>
      <c r="D6" s="35"/>
    </row>
    <row r="8" spans="1:5" ht="21" x14ac:dyDescent="0.35">
      <c r="A8" s="91" t="s">
        <v>38</v>
      </c>
    </row>
    <row r="9" spans="1:5" x14ac:dyDescent="0.25">
      <c r="A9" s="23" t="s">
        <v>21</v>
      </c>
      <c r="B9" s="23">
        <v>0.27777780000000002</v>
      </c>
    </row>
    <row r="10" spans="1:5" x14ac:dyDescent="0.25">
      <c r="A10" s="23" t="s">
        <v>36</v>
      </c>
      <c r="B10" s="23">
        <v>100000</v>
      </c>
      <c r="C10" s="23" t="s">
        <v>37</v>
      </c>
    </row>
    <row r="11" spans="1:5" x14ac:dyDescent="0.25">
      <c r="A11" s="23" t="s">
        <v>102</v>
      </c>
      <c r="B11" s="23">
        <f>B10/B5</f>
        <v>111111.11111111111</v>
      </c>
      <c r="C11" s="23" t="s">
        <v>33</v>
      </c>
    </row>
    <row r="12" spans="1:5" x14ac:dyDescent="0.25">
      <c r="A12" s="23" t="s">
        <v>102</v>
      </c>
      <c r="B12" s="23">
        <f>B11/1000</f>
        <v>111.11111111111111</v>
      </c>
      <c r="C12" s="23" t="s">
        <v>89</v>
      </c>
    </row>
    <row r="13" spans="1:5" x14ac:dyDescent="0.25">
      <c r="A13" s="23" t="s">
        <v>103</v>
      </c>
      <c r="B13" s="23">
        <f>B11/365</f>
        <v>304.41400304414003</v>
      </c>
      <c r="C13" s="23" t="s">
        <v>33</v>
      </c>
    </row>
    <row r="15" spans="1:5" ht="21" x14ac:dyDescent="0.35">
      <c r="A15" s="9" t="s">
        <v>437</v>
      </c>
      <c r="B15" s="23">
        <v>0.14399999999999999</v>
      </c>
      <c r="C15" s="23" t="s">
        <v>433</v>
      </c>
    </row>
    <row r="17" spans="1:5" ht="21" x14ac:dyDescent="0.35">
      <c r="A17" s="91" t="s">
        <v>40</v>
      </c>
      <c r="D17" s="92"/>
    </row>
    <row r="18" spans="1:5" x14ac:dyDescent="0.25">
      <c r="A18" s="23" t="s">
        <v>22</v>
      </c>
      <c r="B18" s="77" t="s">
        <v>387</v>
      </c>
    </row>
    <row r="19" spans="1:5" x14ac:dyDescent="0.25">
      <c r="A19" s="23" t="s">
        <v>107</v>
      </c>
      <c r="B19" s="35"/>
    </row>
    <row r="20" spans="1:5" x14ac:dyDescent="0.25">
      <c r="A20" s="23" t="s">
        <v>48</v>
      </c>
      <c r="B20" s="35"/>
    </row>
    <row r="21" spans="1:5" x14ac:dyDescent="0.25">
      <c r="A21" s="23" t="s">
        <v>30</v>
      </c>
      <c r="B21" s="35"/>
    </row>
    <row r="22" spans="1:5" x14ac:dyDescent="0.25">
      <c r="A22" s="23" t="s">
        <v>49</v>
      </c>
      <c r="B22" s="35"/>
    </row>
    <row r="23" spans="1:5" x14ac:dyDescent="0.25">
      <c r="A23" s="23" t="s">
        <v>442</v>
      </c>
      <c r="B23" s="35" t="s">
        <v>624</v>
      </c>
    </row>
    <row r="24" spans="1:5" x14ac:dyDescent="0.25">
      <c r="A24" s="23" t="s">
        <v>19</v>
      </c>
      <c r="B24" s="30"/>
    </row>
    <row r="25" spans="1:5" x14ac:dyDescent="0.25">
      <c r="A25" s="23" t="s">
        <v>0</v>
      </c>
      <c r="B25" s="36" t="s">
        <v>295</v>
      </c>
    </row>
    <row r="26" spans="1:5" x14ac:dyDescent="0.25">
      <c r="A26" s="23" t="s">
        <v>5</v>
      </c>
      <c r="B26" s="30" t="s">
        <v>4</v>
      </c>
    </row>
    <row r="27" spans="1:5" x14ac:dyDescent="0.25">
      <c r="A27" s="23" t="s">
        <v>6</v>
      </c>
      <c r="B27" s="30" t="s">
        <v>415</v>
      </c>
    </row>
    <row r="28" spans="1:5" ht="60" x14ac:dyDescent="0.25">
      <c r="A28" s="23" t="s">
        <v>446</v>
      </c>
      <c r="B28" s="41" t="s">
        <v>625</v>
      </c>
    </row>
    <row r="30" spans="1:5" ht="45" x14ac:dyDescent="0.25">
      <c r="A30" s="31" t="s">
        <v>179</v>
      </c>
      <c r="B30" s="31" t="s">
        <v>20</v>
      </c>
      <c r="C30" s="31" t="s">
        <v>17</v>
      </c>
      <c r="D30" s="31" t="s">
        <v>285</v>
      </c>
      <c r="E30" s="31"/>
    </row>
    <row r="31" spans="1:5" x14ac:dyDescent="0.25">
      <c r="A31" s="36" t="s">
        <v>417</v>
      </c>
      <c r="B31" s="36">
        <v>217</v>
      </c>
      <c r="C31" s="36" t="s">
        <v>416</v>
      </c>
      <c r="D31" s="36">
        <f>B31/1000</f>
        <v>0.217</v>
      </c>
    </row>
    <row r="32" spans="1:5" x14ac:dyDescent="0.25">
      <c r="A32" s="23" t="s">
        <v>455</v>
      </c>
      <c r="B32" s="23">
        <f>SUM(B31:B31)</f>
        <v>217</v>
      </c>
      <c r="D32" s="117">
        <f>SUM(D31:D31)</f>
        <v>0.217</v>
      </c>
    </row>
    <row r="35" spans="1:4" ht="21" x14ac:dyDescent="0.35">
      <c r="A35" s="91" t="s">
        <v>95</v>
      </c>
      <c r="D35" s="92"/>
    </row>
    <row r="36" spans="1:4" x14ac:dyDescent="0.25">
      <c r="A36" s="23" t="s">
        <v>22</v>
      </c>
      <c r="B36" s="77" t="s">
        <v>418</v>
      </c>
    </row>
    <row r="37" spans="1:4" x14ac:dyDescent="0.25">
      <c r="A37" s="23" t="s">
        <v>626</v>
      </c>
      <c r="B37" s="30">
        <v>1000</v>
      </c>
      <c r="C37" s="23" t="s">
        <v>33</v>
      </c>
    </row>
    <row r="38" spans="1:4" x14ac:dyDescent="0.25">
      <c r="A38" s="23" t="s">
        <v>627</v>
      </c>
      <c r="B38" s="50">
        <f>B37*6*300/1000</f>
        <v>1800</v>
      </c>
      <c r="C38" s="23" t="s">
        <v>89</v>
      </c>
    </row>
    <row r="39" spans="1:4" x14ac:dyDescent="0.25">
      <c r="A39" s="23" t="s">
        <v>30</v>
      </c>
      <c r="B39" s="35"/>
    </row>
    <row r="40" spans="1:4" x14ac:dyDescent="0.25">
      <c r="A40" s="23" t="s">
        <v>49</v>
      </c>
      <c r="B40" s="35"/>
    </row>
    <row r="41" spans="1:4" x14ac:dyDescent="0.25">
      <c r="A41" s="23" t="s">
        <v>442</v>
      </c>
      <c r="B41" s="30" t="s">
        <v>628</v>
      </c>
    </row>
    <row r="42" spans="1:4" x14ac:dyDescent="0.25">
      <c r="A42" s="23" t="s">
        <v>19</v>
      </c>
      <c r="B42" s="30"/>
    </row>
    <row r="43" spans="1:4" x14ac:dyDescent="0.25">
      <c r="A43" s="23" t="s">
        <v>0</v>
      </c>
      <c r="B43" s="36" t="s">
        <v>241</v>
      </c>
    </row>
    <row r="44" spans="1:4" x14ac:dyDescent="0.25">
      <c r="A44" s="23" t="s">
        <v>5</v>
      </c>
      <c r="B44" s="30" t="s">
        <v>4</v>
      </c>
    </row>
    <row r="45" spans="1:4" x14ac:dyDescent="0.25">
      <c r="A45" s="23" t="s">
        <v>6</v>
      </c>
      <c r="B45" s="30" t="s">
        <v>415</v>
      </c>
    </row>
    <row r="46" spans="1:4" ht="60" x14ac:dyDescent="0.25">
      <c r="A46" s="23" t="s">
        <v>446</v>
      </c>
      <c r="B46" s="41" t="s">
        <v>625</v>
      </c>
    </row>
    <row r="48" spans="1:4" ht="45" x14ac:dyDescent="0.25">
      <c r="A48" s="31" t="s">
        <v>179</v>
      </c>
      <c r="B48" s="31" t="s">
        <v>20</v>
      </c>
      <c r="C48" s="31" t="s">
        <v>17</v>
      </c>
      <c r="D48" s="31" t="s">
        <v>297</v>
      </c>
    </row>
    <row r="49" spans="1:4" x14ac:dyDescent="0.25">
      <c r="A49" s="46" t="s">
        <v>419</v>
      </c>
      <c r="B49" s="140">
        <v>3</v>
      </c>
      <c r="C49" s="36" t="s">
        <v>422</v>
      </c>
      <c r="D49" s="141">
        <f>B49/1000*3.6</f>
        <v>1.0800000000000001E-2</v>
      </c>
    </row>
    <row r="50" spans="1:4" x14ac:dyDescent="0.25">
      <c r="A50" s="142" t="s">
        <v>420</v>
      </c>
      <c r="B50" s="100">
        <v>2</v>
      </c>
      <c r="C50" s="36" t="s">
        <v>422</v>
      </c>
      <c r="D50" s="141">
        <f t="shared" ref="D50:D51" si="0">B50/1000*3.6</f>
        <v>7.2000000000000007E-3</v>
      </c>
    </row>
    <row r="51" spans="1:4" x14ac:dyDescent="0.25">
      <c r="A51" s="36" t="s">
        <v>421</v>
      </c>
      <c r="B51" s="130">
        <v>1.5</v>
      </c>
      <c r="C51" s="36" t="s">
        <v>422</v>
      </c>
      <c r="D51" s="141">
        <f t="shared" si="0"/>
        <v>5.4000000000000003E-3</v>
      </c>
    </row>
    <row r="52" spans="1:4" x14ac:dyDescent="0.25">
      <c r="A52" s="23" t="s">
        <v>455</v>
      </c>
      <c r="B52" s="23">
        <f>SUM(B51:B51)</f>
        <v>1.5</v>
      </c>
      <c r="D52" s="117">
        <f>SUM(D49:D51)</f>
        <v>2.3400000000000004E-2</v>
      </c>
    </row>
    <row r="56" spans="1:4" ht="21" x14ac:dyDescent="0.35">
      <c r="A56" s="91" t="s">
        <v>96</v>
      </c>
      <c r="D56" s="92"/>
    </row>
    <row r="57" spans="1:4" x14ac:dyDescent="0.25">
      <c r="A57" s="23" t="s">
        <v>22</v>
      </c>
      <c r="B57" s="77" t="s">
        <v>423</v>
      </c>
    </row>
    <row r="58" spans="1:4" x14ac:dyDescent="0.25">
      <c r="A58" s="23" t="s">
        <v>107</v>
      </c>
      <c r="B58" s="35"/>
    </row>
    <row r="59" spans="1:4" x14ac:dyDescent="0.25">
      <c r="A59" s="23" t="s">
        <v>48</v>
      </c>
      <c r="B59" s="35"/>
    </row>
    <row r="60" spans="1:4" x14ac:dyDescent="0.25">
      <c r="A60" s="23" t="s">
        <v>30</v>
      </c>
      <c r="B60" s="35"/>
    </row>
    <row r="61" spans="1:4" x14ac:dyDescent="0.25">
      <c r="A61" s="23" t="s">
        <v>49</v>
      </c>
      <c r="B61" s="35"/>
    </row>
    <row r="62" spans="1:4" x14ac:dyDescent="0.25">
      <c r="A62" s="23" t="s">
        <v>472</v>
      </c>
      <c r="B62" s="30" t="s">
        <v>428</v>
      </c>
    </row>
    <row r="63" spans="1:4" s="97" customFormat="1" x14ac:dyDescent="0.25">
      <c r="A63" s="97" t="s">
        <v>442</v>
      </c>
      <c r="B63" s="46" t="s">
        <v>414</v>
      </c>
    </row>
    <row r="64" spans="1:4" ht="45" x14ac:dyDescent="0.25">
      <c r="A64" s="23" t="s">
        <v>451</v>
      </c>
      <c r="B64" s="41" t="s">
        <v>629</v>
      </c>
    </row>
    <row r="65" spans="1:8" x14ac:dyDescent="0.25">
      <c r="A65" s="23" t="s">
        <v>0</v>
      </c>
      <c r="B65" s="36" t="s">
        <v>424</v>
      </c>
    </row>
    <row r="66" spans="1:8" x14ac:dyDescent="0.25">
      <c r="A66" s="23" t="s">
        <v>5</v>
      </c>
      <c r="B66" s="30" t="s">
        <v>4</v>
      </c>
    </row>
    <row r="67" spans="1:8" x14ac:dyDescent="0.25">
      <c r="A67" s="23" t="s">
        <v>6</v>
      </c>
      <c r="B67" s="35" t="s">
        <v>415</v>
      </c>
    </row>
    <row r="68" spans="1:8" ht="60" x14ac:dyDescent="0.25">
      <c r="A68" s="23" t="s">
        <v>446</v>
      </c>
      <c r="B68" s="41" t="s">
        <v>625</v>
      </c>
    </row>
    <row r="70" spans="1:8" ht="30" x14ac:dyDescent="0.25">
      <c r="A70" s="31" t="s">
        <v>179</v>
      </c>
      <c r="B70" s="31" t="s">
        <v>20</v>
      </c>
      <c r="C70" s="31" t="s">
        <v>17</v>
      </c>
      <c r="D70" s="31" t="s">
        <v>285</v>
      </c>
    </row>
    <row r="71" spans="1:8" x14ac:dyDescent="0.25">
      <c r="A71" s="46" t="s">
        <v>425</v>
      </c>
      <c r="B71" s="140">
        <v>0.8</v>
      </c>
      <c r="C71" s="36" t="s">
        <v>427</v>
      </c>
      <c r="D71" s="141">
        <f>B71*0.37</f>
        <v>0.29599999999999999</v>
      </c>
    </row>
    <row r="72" spans="1:8" x14ac:dyDescent="0.25">
      <c r="A72" s="147" t="s">
        <v>426</v>
      </c>
      <c r="B72" s="127">
        <v>4.2999999999999997E-2</v>
      </c>
      <c r="C72" s="52" t="s">
        <v>427</v>
      </c>
      <c r="D72" s="148">
        <f>B72*0.37</f>
        <v>1.5909999999999997E-2</v>
      </c>
    </row>
    <row r="73" spans="1:8" x14ac:dyDescent="0.25">
      <c r="A73" s="23" t="s">
        <v>455</v>
      </c>
      <c r="B73" s="23">
        <f>SUM(B71:B72)</f>
        <v>0.84300000000000008</v>
      </c>
      <c r="D73" s="117">
        <f>SUM(D71:D71)</f>
        <v>0.29599999999999999</v>
      </c>
    </row>
    <row r="78" spans="1:8" ht="21" x14ac:dyDescent="0.35">
      <c r="A78" s="91" t="s">
        <v>494</v>
      </c>
      <c r="C78" s="24"/>
      <c r="D78" s="24"/>
      <c r="E78" s="24"/>
      <c r="F78" s="24"/>
      <c r="G78" s="24"/>
      <c r="H78" s="24"/>
    </row>
    <row r="79" spans="1:8" x14ac:dyDescent="0.25">
      <c r="A79" s="23" t="s">
        <v>495</v>
      </c>
      <c r="B79" s="82">
        <f>D32</f>
        <v>0.217</v>
      </c>
      <c r="C79" s="24"/>
      <c r="D79" s="24"/>
      <c r="E79" s="24"/>
      <c r="F79" s="24"/>
      <c r="G79" s="24"/>
      <c r="H79" s="24"/>
    </row>
    <row r="80" spans="1:8" x14ac:dyDescent="0.25">
      <c r="A80" s="23" t="s">
        <v>496</v>
      </c>
      <c r="B80" s="82">
        <f>D52</f>
        <v>2.3400000000000004E-2</v>
      </c>
      <c r="C80" s="24"/>
      <c r="D80" s="24"/>
      <c r="E80" s="24"/>
      <c r="F80" s="24"/>
      <c r="G80" s="24"/>
      <c r="H80" s="24"/>
    </row>
    <row r="81" spans="1:8" x14ac:dyDescent="0.25">
      <c r="A81" s="23" t="s">
        <v>497</v>
      </c>
      <c r="B81" s="82">
        <f>D73</f>
        <v>0.29599999999999999</v>
      </c>
      <c r="C81" s="24"/>
      <c r="D81" s="24"/>
      <c r="E81" s="24"/>
      <c r="F81" s="24"/>
      <c r="G81" s="24"/>
      <c r="H81" s="24"/>
    </row>
    <row r="82" spans="1:8" x14ac:dyDescent="0.25">
      <c r="B82" s="83"/>
      <c r="C82" s="24"/>
      <c r="D82" s="24"/>
      <c r="E82" s="24"/>
      <c r="F82" s="24"/>
      <c r="G82" s="24"/>
      <c r="H82" s="24"/>
    </row>
    <row r="83" spans="1:8" x14ac:dyDescent="0.25">
      <c r="A83" s="23" t="s">
        <v>491</v>
      </c>
      <c r="B83" s="83">
        <f>AVERAGE(B79:B81)</f>
        <v>0.17879999999999999</v>
      </c>
      <c r="C83" s="24"/>
      <c r="D83" s="24"/>
      <c r="E83" s="24"/>
      <c r="F83" s="24"/>
      <c r="G83" s="24"/>
      <c r="H83" s="24"/>
    </row>
    <row r="84" spans="1:8" x14ac:dyDescent="0.25">
      <c r="A84" s="23" t="s">
        <v>492</v>
      </c>
      <c r="B84" s="83">
        <f>MAX(B79:B81)</f>
        <v>0.29599999999999999</v>
      </c>
      <c r="C84" s="24"/>
      <c r="D84" s="24"/>
      <c r="E84" s="24"/>
      <c r="F84" s="24"/>
      <c r="G84" s="24"/>
      <c r="H84" s="24"/>
    </row>
    <row r="85" spans="1:8" x14ac:dyDescent="0.25">
      <c r="A85" s="23" t="s">
        <v>493</v>
      </c>
      <c r="B85" s="83">
        <f>MIN(B79:B81)</f>
        <v>2.3400000000000004E-2</v>
      </c>
      <c r="C85" s="24"/>
      <c r="D85" s="24"/>
      <c r="E85" s="24"/>
      <c r="F85" s="24"/>
      <c r="G85" s="24"/>
      <c r="H85" s="24"/>
    </row>
    <row r="86" spans="1:8" x14ac:dyDescent="0.25">
      <c r="C86" s="24"/>
      <c r="D86" s="24"/>
      <c r="E86" s="24"/>
      <c r="F86" s="24"/>
      <c r="G86" s="24"/>
      <c r="H86" s="24"/>
    </row>
    <row r="87" spans="1:8" x14ac:dyDescent="0.25">
      <c r="A87" s="24"/>
      <c r="B87" s="24"/>
      <c r="C87" s="24"/>
      <c r="D87" s="24"/>
      <c r="E87" s="24"/>
      <c r="F87" s="24"/>
      <c r="G87" s="24"/>
      <c r="H87" s="24"/>
    </row>
  </sheetData>
  <phoneticPr fontId="9" type="noConversion"/>
  <pageMargins left="0.7" right="0.7" top="0.78740157499999996" bottom="0.78740157499999996"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538A-3438-49F9-9CE5-8F5C534B52B0}">
  <dimension ref="A1:N95"/>
  <sheetViews>
    <sheetView topLeftCell="A74" zoomScale="73" workbookViewId="0">
      <selection activeCell="D26" sqref="D26"/>
    </sheetView>
  </sheetViews>
  <sheetFormatPr defaultColWidth="11.42578125" defaultRowHeight="15" x14ac:dyDescent="0.25"/>
  <cols>
    <col min="1" max="1" width="28.5703125" style="23" customWidth="1"/>
    <col min="2" max="2" width="22.28515625" style="23" customWidth="1"/>
    <col min="3" max="3" width="11.42578125" style="23"/>
    <col min="4" max="4" width="22.28515625" style="23" customWidth="1"/>
    <col min="5" max="5" width="11.42578125" style="23"/>
    <col min="6" max="6" width="14.140625" style="23" customWidth="1"/>
    <col min="7" max="8" width="11.42578125" style="23"/>
    <col min="9" max="9" width="29.5703125" style="23" customWidth="1"/>
    <col min="10" max="16384" width="11.42578125" style="23"/>
  </cols>
  <sheetData>
    <row r="1" spans="1:12" ht="15.75" x14ac:dyDescent="0.25">
      <c r="A1" s="75"/>
      <c r="B1" s="75"/>
      <c r="C1" s="88" t="s">
        <v>35</v>
      </c>
      <c r="D1" s="88" t="s">
        <v>34</v>
      </c>
      <c r="E1" s="75"/>
      <c r="F1" s="172" t="s">
        <v>97</v>
      </c>
      <c r="G1" s="172"/>
      <c r="H1" s="172"/>
      <c r="I1" s="172"/>
      <c r="J1" s="172"/>
      <c r="K1" s="172"/>
      <c r="L1" s="172"/>
    </row>
    <row r="2" spans="1:12" ht="21" x14ac:dyDescent="0.35">
      <c r="A2" s="89" t="s">
        <v>39</v>
      </c>
      <c r="B2" s="75"/>
      <c r="C2" s="88"/>
      <c r="D2" s="88"/>
      <c r="E2" s="75"/>
      <c r="F2" s="90"/>
      <c r="G2" s="90"/>
      <c r="H2" s="90"/>
      <c r="I2" s="90"/>
      <c r="J2" s="90"/>
      <c r="K2" s="90"/>
      <c r="L2" s="90"/>
    </row>
    <row r="3" spans="1:12" x14ac:dyDescent="0.25">
      <c r="A3" s="23" t="s">
        <v>1</v>
      </c>
      <c r="B3" s="36" t="s">
        <v>585</v>
      </c>
      <c r="D3" s="36" t="s">
        <v>680</v>
      </c>
    </row>
    <row r="4" spans="1:12" x14ac:dyDescent="0.25">
      <c r="A4" s="23" t="s">
        <v>7</v>
      </c>
      <c r="B4" s="36" t="s">
        <v>681</v>
      </c>
      <c r="D4" s="36" t="s">
        <v>680</v>
      </c>
    </row>
    <row r="5" spans="1:12" x14ac:dyDescent="0.25">
      <c r="A5" s="23" t="s">
        <v>27</v>
      </c>
      <c r="B5" s="124">
        <f>(1.07+1.2)/2</f>
        <v>1.135</v>
      </c>
      <c r="C5" s="23" t="s">
        <v>551</v>
      </c>
      <c r="D5" s="44" t="s">
        <v>582</v>
      </c>
    </row>
    <row r="6" spans="1:12" x14ac:dyDescent="0.25">
      <c r="A6" s="23" t="s">
        <v>28</v>
      </c>
      <c r="B6" s="123">
        <v>0.18901999999999999</v>
      </c>
      <c r="C6" s="23" t="s">
        <v>551</v>
      </c>
      <c r="D6" s="44" t="s">
        <v>582</v>
      </c>
    </row>
    <row r="8" spans="1:12" ht="21" x14ac:dyDescent="0.35">
      <c r="A8" s="91" t="s">
        <v>38</v>
      </c>
    </row>
    <row r="9" spans="1:12" x14ac:dyDescent="0.25">
      <c r="A9" s="23" t="s">
        <v>36</v>
      </c>
      <c r="B9" s="23">
        <v>100000</v>
      </c>
      <c r="C9" s="23" t="s">
        <v>37</v>
      </c>
    </row>
    <row r="10" spans="1:12" x14ac:dyDescent="0.25">
      <c r="A10" s="23" t="s">
        <v>102</v>
      </c>
      <c r="B10" s="23">
        <f>B9/B6</f>
        <v>529044.54555073543</v>
      </c>
      <c r="C10" s="23" t="s">
        <v>33</v>
      </c>
    </row>
    <row r="11" spans="1:12" x14ac:dyDescent="0.25">
      <c r="A11" s="23" t="s">
        <v>102</v>
      </c>
      <c r="B11" s="94">
        <f>B10/1000</f>
        <v>529.04454555073539</v>
      </c>
      <c r="C11" s="23" t="s">
        <v>89</v>
      </c>
    </row>
    <row r="12" spans="1:12" x14ac:dyDescent="0.25">
      <c r="A12" s="23" t="s">
        <v>103</v>
      </c>
      <c r="B12" s="94">
        <f>B10/365</f>
        <v>1449.4371110979052</v>
      </c>
      <c r="C12" s="23" t="s">
        <v>33</v>
      </c>
    </row>
    <row r="14" spans="1:12" ht="21" x14ac:dyDescent="0.35">
      <c r="A14" s="9" t="s">
        <v>437</v>
      </c>
      <c r="B14">
        <v>0.14399999999999999</v>
      </c>
      <c r="C14" t="s">
        <v>433</v>
      </c>
      <c r="D14" s="23" t="s">
        <v>621</v>
      </c>
    </row>
    <row r="15" spans="1:12" x14ac:dyDescent="0.25">
      <c r="B15"/>
      <c r="C15"/>
    </row>
    <row r="16" spans="1:12" ht="21" x14ac:dyDescent="0.35">
      <c r="A16" s="91" t="s">
        <v>322</v>
      </c>
      <c r="D16" s="92"/>
    </row>
    <row r="17" spans="1:8" x14ac:dyDescent="0.25">
      <c r="A17" s="23" t="s">
        <v>22</v>
      </c>
      <c r="B17" s="77" t="s">
        <v>324</v>
      </c>
    </row>
    <row r="18" spans="1:8" x14ac:dyDescent="0.25">
      <c r="A18" s="23" t="s">
        <v>48</v>
      </c>
      <c r="B18" s="85"/>
    </row>
    <row r="19" spans="1:8" x14ac:dyDescent="0.25">
      <c r="A19" s="23" t="s">
        <v>619</v>
      </c>
      <c r="B19" s="30">
        <v>5310</v>
      </c>
      <c r="C19" s="23" t="s">
        <v>89</v>
      </c>
    </row>
    <row r="20" spans="1:8" x14ac:dyDescent="0.25">
      <c r="A20" s="23" t="s">
        <v>49</v>
      </c>
      <c r="B20" s="85"/>
    </row>
    <row r="21" spans="1:8" x14ac:dyDescent="0.25">
      <c r="A21" s="23" t="s">
        <v>573</v>
      </c>
      <c r="B21" s="85" t="s">
        <v>208</v>
      </c>
    </row>
    <row r="22" spans="1:8" x14ac:dyDescent="0.25">
      <c r="A22" s="23" t="s">
        <v>19</v>
      </c>
      <c r="B22" s="85"/>
    </row>
    <row r="23" spans="1:8" x14ac:dyDescent="0.25">
      <c r="A23" s="23" t="s">
        <v>0</v>
      </c>
      <c r="B23" s="30" t="s">
        <v>110</v>
      </c>
    </row>
    <row r="24" spans="1:8" x14ac:dyDescent="0.25">
      <c r="A24" s="23" t="s">
        <v>5</v>
      </c>
      <c r="B24" s="30"/>
    </row>
    <row r="25" spans="1:8" x14ac:dyDescent="0.25">
      <c r="A25" s="23" t="s">
        <v>6</v>
      </c>
      <c r="B25" s="36" t="s">
        <v>325</v>
      </c>
    </row>
    <row r="26" spans="1:8" x14ac:dyDescent="0.25">
      <c r="A26" s="23" t="s">
        <v>448</v>
      </c>
      <c r="B26" s="36" t="s">
        <v>620</v>
      </c>
    </row>
    <row r="28" spans="1:8" ht="60" x14ac:dyDescent="0.25">
      <c r="A28" s="31" t="s">
        <v>323</v>
      </c>
      <c r="B28" s="31" t="s">
        <v>20</v>
      </c>
      <c r="C28" s="31" t="s">
        <v>17</v>
      </c>
      <c r="D28" s="31" t="s">
        <v>297</v>
      </c>
      <c r="E28" s="31" t="s">
        <v>106</v>
      </c>
      <c r="F28" s="31" t="s">
        <v>41</v>
      </c>
      <c r="G28" s="31"/>
      <c r="H28" s="31"/>
    </row>
    <row r="29" spans="1:8" x14ac:dyDescent="0.25">
      <c r="A29" s="36"/>
      <c r="B29" s="36">
        <v>339000</v>
      </c>
      <c r="C29" s="36" t="s">
        <v>326</v>
      </c>
      <c r="D29" s="36"/>
      <c r="E29" s="30"/>
      <c r="F29" s="36">
        <f>B29/B19*3.6/1000</f>
        <v>0.22983050847457628</v>
      </c>
      <c r="H29" s="83"/>
    </row>
    <row r="30" spans="1:8" x14ac:dyDescent="0.25">
      <c r="A30" s="23" t="s">
        <v>455</v>
      </c>
      <c r="B30" s="23">
        <f>SUM(B29:B29)</f>
        <v>339000</v>
      </c>
      <c r="D30" s="23">
        <f>SUM(D29:D29)</f>
        <v>0</v>
      </c>
      <c r="F30" s="26">
        <f>SUM(F29:F29)</f>
        <v>0.22983050847457628</v>
      </c>
    </row>
    <row r="33" spans="1:6" ht="21" x14ac:dyDescent="0.35">
      <c r="A33" s="91" t="s">
        <v>95</v>
      </c>
      <c r="B33" s="145"/>
      <c r="D33" s="92"/>
    </row>
    <row r="34" spans="1:6" x14ac:dyDescent="0.25">
      <c r="A34" s="23" t="s">
        <v>22</v>
      </c>
      <c r="B34" s="143" t="s">
        <v>327</v>
      </c>
    </row>
    <row r="35" spans="1:6" x14ac:dyDescent="0.25">
      <c r="A35" s="23" t="s">
        <v>48</v>
      </c>
      <c r="B35" s="85"/>
    </row>
    <row r="36" spans="1:6" x14ac:dyDescent="0.25">
      <c r="A36" s="23" t="s">
        <v>30</v>
      </c>
      <c r="B36" s="85"/>
    </row>
    <row r="37" spans="1:6" x14ac:dyDescent="0.25">
      <c r="A37" s="23" t="s">
        <v>49</v>
      </c>
      <c r="B37" s="30" t="s">
        <v>328</v>
      </c>
      <c r="C37" s="23" t="s">
        <v>89</v>
      </c>
    </row>
    <row r="38" spans="1:6" x14ac:dyDescent="0.25">
      <c r="A38" s="23" t="s">
        <v>442</v>
      </c>
      <c r="B38" s="30" t="s">
        <v>208</v>
      </c>
    </row>
    <row r="39" spans="1:6" x14ac:dyDescent="0.25">
      <c r="A39" s="23" t="s">
        <v>19</v>
      </c>
      <c r="B39" s="30"/>
    </row>
    <row r="40" spans="1:6" x14ac:dyDescent="0.25">
      <c r="A40" s="23" t="s">
        <v>0</v>
      </c>
      <c r="B40" s="35"/>
    </row>
    <row r="41" spans="1:6" x14ac:dyDescent="0.25">
      <c r="A41" s="23" t="s">
        <v>5</v>
      </c>
      <c r="B41" s="30" t="s">
        <v>4</v>
      </c>
    </row>
    <row r="42" spans="1:6" x14ac:dyDescent="0.25">
      <c r="A42" s="23" t="s">
        <v>6</v>
      </c>
      <c r="B42" s="30" t="s">
        <v>581</v>
      </c>
    </row>
    <row r="43" spans="1:6" x14ac:dyDescent="0.25">
      <c r="A43" s="23" t="s">
        <v>448</v>
      </c>
      <c r="B43" s="36" t="s">
        <v>620</v>
      </c>
    </row>
    <row r="45" spans="1:6" ht="60" x14ac:dyDescent="0.25">
      <c r="A45" s="31" t="s">
        <v>323</v>
      </c>
      <c r="B45" s="31" t="s">
        <v>20</v>
      </c>
      <c r="C45" s="31" t="s">
        <v>17</v>
      </c>
      <c r="D45" s="31" t="s">
        <v>297</v>
      </c>
      <c r="E45" s="31" t="s">
        <v>106</v>
      </c>
      <c r="F45" s="31" t="s">
        <v>41</v>
      </c>
    </row>
    <row r="46" spans="1:6" x14ac:dyDescent="0.25">
      <c r="A46" s="36" t="s">
        <v>329</v>
      </c>
      <c r="B46" s="36"/>
      <c r="C46" s="36"/>
      <c r="D46" s="36"/>
      <c r="E46" s="30"/>
      <c r="F46" s="36">
        <f>3.6*25/1000</f>
        <v>0.09</v>
      </c>
    </row>
    <row r="47" spans="1:6" x14ac:dyDescent="0.25">
      <c r="A47" s="23" t="s">
        <v>455</v>
      </c>
      <c r="B47" s="23">
        <f>SUM(B46:B46)</f>
        <v>0</v>
      </c>
      <c r="D47" s="23">
        <f>SUM(D46:D46)</f>
        <v>0</v>
      </c>
      <c r="F47" s="26">
        <f>SUM(F46:F46)</f>
        <v>0.09</v>
      </c>
    </row>
    <row r="50" spans="1:4" ht="21" x14ac:dyDescent="0.35">
      <c r="A50" s="91" t="s">
        <v>96</v>
      </c>
      <c r="B50" s="145"/>
      <c r="D50" s="92"/>
    </row>
    <row r="51" spans="1:4" x14ac:dyDescent="0.25">
      <c r="A51" s="23" t="s">
        <v>22</v>
      </c>
      <c r="B51" s="77" t="s">
        <v>336</v>
      </c>
    </row>
    <row r="52" spans="1:4" x14ac:dyDescent="0.25">
      <c r="A52" s="23" t="s">
        <v>48</v>
      </c>
      <c r="B52" s="35"/>
    </row>
    <row r="53" spans="1:4" x14ac:dyDescent="0.25">
      <c r="A53" s="23" t="s">
        <v>30</v>
      </c>
      <c r="B53" s="35"/>
    </row>
    <row r="54" spans="1:4" x14ac:dyDescent="0.25">
      <c r="A54" s="23" t="s">
        <v>49</v>
      </c>
      <c r="B54" s="35"/>
    </row>
    <row r="55" spans="1:4" x14ac:dyDescent="0.25">
      <c r="A55" s="23" t="s">
        <v>442</v>
      </c>
      <c r="B55" s="35"/>
    </row>
    <row r="56" spans="1:4" x14ac:dyDescent="0.25">
      <c r="A56" s="23" t="s">
        <v>464</v>
      </c>
      <c r="B56" s="47">
        <v>0.16</v>
      </c>
    </row>
    <row r="57" spans="1:4" ht="75" x14ac:dyDescent="0.25">
      <c r="A57" s="23" t="s">
        <v>595</v>
      </c>
      <c r="B57" s="79" t="s">
        <v>596</v>
      </c>
    </row>
    <row r="58" spans="1:4" ht="135" x14ac:dyDescent="0.25">
      <c r="A58" s="23" t="s">
        <v>451</v>
      </c>
      <c r="B58" s="41" t="s">
        <v>597</v>
      </c>
    </row>
    <row r="59" spans="1:4" x14ac:dyDescent="0.25">
      <c r="A59" s="23" t="s">
        <v>0</v>
      </c>
      <c r="B59" s="41" t="s">
        <v>337</v>
      </c>
    </row>
    <row r="60" spans="1:4" x14ac:dyDescent="0.25">
      <c r="A60" s="23" t="s">
        <v>5</v>
      </c>
      <c r="B60" s="41" t="s">
        <v>594</v>
      </c>
    </row>
    <row r="61" spans="1:4" x14ac:dyDescent="0.25">
      <c r="A61" s="23" t="s">
        <v>6</v>
      </c>
      <c r="B61" s="46" t="s">
        <v>341</v>
      </c>
    </row>
    <row r="62" spans="1:4" ht="30" x14ac:dyDescent="0.25">
      <c r="A62" s="23" t="s">
        <v>446</v>
      </c>
      <c r="B62" s="46" t="s">
        <v>593</v>
      </c>
    </row>
    <row r="63" spans="1:4" x14ac:dyDescent="0.25">
      <c r="B63" s="101"/>
    </row>
    <row r="65" spans="1:14" s="24" customFormat="1" ht="45" x14ac:dyDescent="0.25">
      <c r="A65" s="32" t="s">
        <v>338</v>
      </c>
      <c r="B65" s="32" t="s">
        <v>20</v>
      </c>
      <c r="C65" s="32" t="s">
        <v>17</v>
      </c>
      <c r="D65" s="32" t="s">
        <v>253</v>
      </c>
      <c r="E65" s="32" t="s">
        <v>106</v>
      </c>
      <c r="F65" s="32" t="s">
        <v>41</v>
      </c>
      <c r="I65" s="32" t="s">
        <v>339</v>
      </c>
      <c r="J65" s="32" t="s">
        <v>20</v>
      </c>
      <c r="K65" s="32" t="s">
        <v>17</v>
      </c>
      <c r="L65" s="32" t="s">
        <v>253</v>
      </c>
      <c r="M65" s="32" t="s">
        <v>106</v>
      </c>
      <c r="N65" s="32" t="s">
        <v>41</v>
      </c>
    </row>
    <row r="66" spans="1:14" s="24" customFormat="1" x14ac:dyDescent="0.25">
      <c r="A66" s="30"/>
      <c r="B66" s="30">
        <f>0.11*27</f>
        <v>2.97</v>
      </c>
      <c r="C66" s="30" t="s">
        <v>340</v>
      </c>
      <c r="D66" s="30">
        <f>B66</f>
        <v>2.97</v>
      </c>
      <c r="E66" s="30">
        <v>0.2</v>
      </c>
      <c r="F66" s="30">
        <f>D66*E66</f>
        <v>0.59400000000000008</v>
      </c>
      <c r="I66" s="30"/>
      <c r="J66" s="30">
        <f>0.11*19.27</f>
        <v>2.1196999999999999</v>
      </c>
      <c r="K66" s="30" t="s">
        <v>340</v>
      </c>
      <c r="L66" s="30">
        <f>J66</f>
        <v>2.1196999999999999</v>
      </c>
      <c r="M66" s="30">
        <v>0.2</v>
      </c>
      <c r="N66" s="30">
        <f>L66*0.2</f>
        <v>0.42393999999999998</v>
      </c>
    </row>
    <row r="67" spans="1:14" s="24" customFormat="1" x14ac:dyDescent="0.25">
      <c r="A67" s="24" t="s">
        <v>455</v>
      </c>
      <c r="B67" s="24">
        <f>SUM(B66:B66)</f>
        <v>2.97</v>
      </c>
      <c r="D67" s="24">
        <f>SUM(D66:D66)</f>
        <v>2.97</v>
      </c>
      <c r="F67" s="26">
        <f>SUM(F66:F66)</f>
        <v>0.59400000000000008</v>
      </c>
      <c r="I67" s="24" t="s">
        <v>455</v>
      </c>
      <c r="J67" s="24">
        <f>SUM(J66:J66)</f>
        <v>2.1196999999999999</v>
      </c>
      <c r="L67" s="24">
        <f>SUM(L66:L66)</f>
        <v>2.1196999999999999</v>
      </c>
      <c r="N67" s="26">
        <f>SUM(N66:N66)</f>
        <v>0.42393999999999998</v>
      </c>
    </row>
    <row r="71" spans="1:14" ht="21" x14ac:dyDescent="0.35">
      <c r="A71" s="119" t="s">
        <v>618</v>
      </c>
      <c r="B71" s="145"/>
      <c r="D71" s="92"/>
    </row>
    <row r="72" spans="1:14" x14ac:dyDescent="0.25">
      <c r="A72" s="23" t="s">
        <v>22</v>
      </c>
      <c r="B72" s="144" t="s">
        <v>429</v>
      </c>
    </row>
    <row r="73" spans="1:14" x14ac:dyDescent="0.25">
      <c r="A73" s="23" t="s">
        <v>583</v>
      </c>
      <c r="B73" s="30">
        <v>40</v>
      </c>
      <c r="C73" s="23" t="s">
        <v>33</v>
      </c>
    </row>
    <row r="74" spans="1:14" x14ac:dyDescent="0.25">
      <c r="A74" s="23" t="s">
        <v>19</v>
      </c>
      <c r="B74" s="35"/>
    </row>
    <row r="75" spans="1:14" x14ac:dyDescent="0.25">
      <c r="A75" s="23" t="s">
        <v>442</v>
      </c>
      <c r="B75" s="85"/>
    </row>
    <row r="76" spans="1:14" x14ac:dyDescent="0.25">
      <c r="A76" s="23" t="s">
        <v>0</v>
      </c>
      <c r="B76" s="30"/>
    </row>
    <row r="77" spans="1:14" x14ac:dyDescent="0.25">
      <c r="A77" s="23" t="s">
        <v>5</v>
      </c>
      <c r="B77" s="30"/>
    </row>
    <row r="78" spans="1:14" x14ac:dyDescent="0.25">
      <c r="A78" s="23" t="s">
        <v>6</v>
      </c>
      <c r="B78" s="36" t="s">
        <v>430</v>
      </c>
    </row>
    <row r="80" spans="1:14" ht="30" x14ac:dyDescent="0.25">
      <c r="A80" s="146" t="s">
        <v>338</v>
      </c>
      <c r="B80" s="146" t="s">
        <v>20</v>
      </c>
      <c r="C80" s="146" t="s">
        <v>17</v>
      </c>
      <c r="D80" s="146" t="s">
        <v>297</v>
      </c>
      <c r="E80" s="146" t="s">
        <v>106</v>
      </c>
      <c r="F80" s="146" t="s">
        <v>41</v>
      </c>
    </row>
    <row r="81" spans="1:8" x14ac:dyDescent="0.25">
      <c r="A81" s="69"/>
      <c r="B81" s="69">
        <v>0.746</v>
      </c>
      <c r="C81" s="69" t="s">
        <v>282</v>
      </c>
      <c r="D81" s="69">
        <f>B81*3.6/40</f>
        <v>6.7140000000000005E-2</v>
      </c>
      <c r="E81" s="69"/>
      <c r="F81" s="69">
        <f>D81*E81</f>
        <v>0</v>
      </c>
    </row>
    <row r="82" spans="1:8" x14ac:dyDescent="0.25">
      <c r="A82" s="23" t="s">
        <v>455</v>
      </c>
      <c r="B82" s="23">
        <f>SUM(B81:B81)</f>
        <v>0.746</v>
      </c>
      <c r="D82" s="23">
        <f>SUM(D81:D81)</f>
        <v>6.7140000000000005E-2</v>
      </c>
      <c r="F82" s="93">
        <f>SUM(F81:F81)</f>
        <v>0</v>
      </c>
    </row>
    <row r="86" spans="1:8" ht="21" x14ac:dyDescent="0.35">
      <c r="A86" s="9" t="s">
        <v>494</v>
      </c>
      <c r="B86"/>
      <c r="C86" s="24"/>
      <c r="D86" s="24"/>
      <c r="E86" s="24"/>
      <c r="F86" s="24"/>
      <c r="G86" s="24"/>
      <c r="H86" s="24"/>
    </row>
    <row r="87" spans="1:8" x14ac:dyDescent="0.25">
      <c r="A87" t="s">
        <v>495</v>
      </c>
      <c r="B87" s="68">
        <f>F30</f>
        <v>0.22983050847457628</v>
      </c>
      <c r="C87" s="24"/>
      <c r="D87" s="24"/>
      <c r="E87" s="24"/>
      <c r="F87" s="24"/>
      <c r="G87" s="24"/>
      <c r="H87" s="24"/>
    </row>
    <row r="88" spans="1:8" x14ac:dyDescent="0.25">
      <c r="A88" t="s">
        <v>496</v>
      </c>
      <c r="B88" s="68">
        <f>F47</f>
        <v>0.09</v>
      </c>
      <c r="C88" s="24"/>
      <c r="D88" s="24"/>
      <c r="E88" s="24"/>
      <c r="F88" s="24"/>
      <c r="G88" s="24"/>
      <c r="H88" s="24"/>
    </row>
    <row r="89" spans="1:8" x14ac:dyDescent="0.25">
      <c r="A89" t="s">
        <v>512</v>
      </c>
      <c r="B89" s="68">
        <f>F67</f>
        <v>0.59400000000000008</v>
      </c>
      <c r="C89" s="24"/>
      <c r="D89" s="24"/>
      <c r="E89" s="24"/>
      <c r="F89" s="24"/>
      <c r="G89" s="24"/>
      <c r="H89" s="24"/>
    </row>
    <row r="90" spans="1:8" x14ac:dyDescent="0.25">
      <c r="A90" t="s">
        <v>513</v>
      </c>
      <c r="B90" s="10">
        <f>N67</f>
        <v>0.42393999999999998</v>
      </c>
      <c r="C90" s="24"/>
      <c r="D90" s="24"/>
      <c r="E90" s="24"/>
      <c r="F90" s="24"/>
      <c r="G90" s="24"/>
      <c r="H90" s="24"/>
    </row>
    <row r="91" spans="1:8" x14ac:dyDescent="0.25">
      <c r="A91" t="s">
        <v>491</v>
      </c>
      <c r="B91" s="10">
        <f>AVERAGE(B87:B90)</f>
        <v>0.33444262711864409</v>
      </c>
      <c r="C91" s="24"/>
      <c r="D91" s="24"/>
      <c r="E91" s="24"/>
      <c r="F91" s="24"/>
      <c r="G91" s="24"/>
      <c r="H91" s="24"/>
    </row>
    <row r="92" spans="1:8" x14ac:dyDescent="0.25">
      <c r="A92" t="s">
        <v>492</v>
      </c>
      <c r="B92" s="10">
        <f>MAX(B87:B90)</f>
        <v>0.59400000000000008</v>
      </c>
      <c r="C92" s="24"/>
      <c r="D92" s="24"/>
      <c r="E92" s="24"/>
      <c r="F92" s="24"/>
      <c r="G92" s="24"/>
      <c r="H92" s="24"/>
    </row>
    <row r="93" spans="1:8" x14ac:dyDescent="0.25">
      <c r="A93" t="s">
        <v>493</v>
      </c>
      <c r="B93" s="10">
        <f>MIN(B87:B90)</f>
        <v>0.09</v>
      </c>
      <c r="C93" s="24"/>
      <c r="D93" s="24"/>
      <c r="E93" s="24"/>
      <c r="F93" s="24"/>
      <c r="G93" s="24"/>
      <c r="H93" s="24"/>
    </row>
    <row r="94" spans="1:8" x14ac:dyDescent="0.25">
      <c r="C94" s="24"/>
      <c r="D94" s="24"/>
      <c r="E94" s="24"/>
      <c r="F94" s="24"/>
      <c r="G94" s="24"/>
      <c r="H94" s="24"/>
    </row>
    <row r="95" spans="1:8" x14ac:dyDescent="0.25">
      <c r="A95" s="24"/>
      <c r="B95" s="24"/>
      <c r="C95" s="24"/>
      <c r="D95" s="24"/>
      <c r="E95" s="24"/>
      <c r="F95" s="24"/>
      <c r="G95" s="24"/>
      <c r="H95" s="24"/>
    </row>
  </sheetData>
  <mergeCells count="1">
    <mergeCell ref="F1:L1"/>
  </mergeCells>
  <phoneticPr fontId="9" type="noConversion"/>
  <hyperlinks>
    <hyperlink ref="B72" r:id="rId1" xr:uid="{30A25681-32F2-43A2-9A3C-0A857637F682}"/>
    <hyperlink ref="D6" r:id="rId2" display="https://apps.fas.usda.gov/newgainapi/api/report/downloadreportbyfilename?filename=Sugar%20Annual_Pretoria_South%20Africa%20-%20Republic%20of_4-15-2019.pdf" xr:uid="{FB9032C9-8165-40E5-8726-A021217F4D82}"/>
    <hyperlink ref="D5" r:id="rId3" display="https://apps.fas.usda.gov/newgainapi/api/report/downloadreportbyfilename?filename=Sugar%20Annual_Pretoria_South%20Africa%20-%20Republic%20of_4-15-2019.pdf" xr:uid="{8D763C2D-2245-4CE5-9200-00CAF75DFB60}"/>
  </hyperlinks>
  <pageMargins left="0.7" right="0.7" top="0.78740157499999996" bottom="0.78740157499999996" header="0.3" footer="0.3"/>
  <drawing r:id="rId4"/>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2BE68-D812-4BC2-8275-8427194D4D1D}">
  <dimension ref="A1:A4"/>
  <sheetViews>
    <sheetView workbookViewId="0">
      <selection activeCell="A12" sqref="A12"/>
    </sheetView>
  </sheetViews>
  <sheetFormatPr defaultColWidth="11.42578125" defaultRowHeight="15" x14ac:dyDescent="0.25"/>
  <cols>
    <col min="1" max="1" width="45.5703125" customWidth="1"/>
  </cols>
  <sheetData>
    <row r="1" spans="1:1" x14ac:dyDescent="0.25">
      <c r="A1" s="70" t="s">
        <v>521</v>
      </c>
    </row>
    <row r="2" spans="1:1" x14ac:dyDescent="0.25">
      <c r="A2" s="16" t="s">
        <v>188</v>
      </c>
    </row>
    <row r="3" spans="1:1" x14ac:dyDescent="0.25">
      <c r="A3" s="154" t="s">
        <v>651</v>
      </c>
    </row>
    <row r="4" spans="1:1" x14ac:dyDescent="0.25">
      <c r="A4" s="3" t="s">
        <v>652</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F9570-5903-4516-BF21-A51B0241B98A}">
  <dimension ref="A1:D10"/>
  <sheetViews>
    <sheetView workbookViewId="0">
      <selection activeCell="H18" sqref="H18"/>
    </sheetView>
  </sheetViews>
  <sheetFormatPr defaultColWidth="11.42578125" defaultRowHeight="15" x14ac:dyDescent="0.25"/>
  <cols>
    <col min="1" max="1" width="24.7109375" customWidth="1"/>
  </cols>
  <sheetData>
    <row r="1" spans="1:4" x14ac:dyDescent="0.25">
      <c r="A1" t="s">
        <v>434</v>
      </c>
    </row>
    <row r="2" spans="1:4" ht="60" x14ac:dyDescent="0.25">
      <c r="A2" s="2" t="s">
        <v>650</v>
      </c>
    </row>
    <row r="4" spans="1:4" x14ac:dyDescent="0.25">
      <c r="A4" t="s">
        <v>431</v>
      </c>
      <c r="B4" t="s">
        <v>436</v>
      </c>
      <c r="C4" t="s">
        <v>433</v>
      </c>
    </row>
    <row r="5" spans="1:4" x14ac:dyDescent="0.25">
      <c r="A5" t="s">
        <v>373</v>
      </c>
      <c r="B5">
        <v>60</v>
      </c>
      <c r="C5">
        <f>B5*3.6/1000</f>
        <v>0.216</v>
      </c>
      <c r="D5" t="s">
        <v>433</v>
      </c>
    </row>
    <row r="6" spans="1:4" x14ac:dyDescent="0.25">
      <c r="A6" t="s">
        <v>372</v>
      </c>
      <c r="B6">
        <v>50</v>
      </c>
      <c r="C6">
        <f t="shared" ref="C6:C10" si="0">B6*3.6/1000</f>
        <v>0.18</v>
      </c>
      <c r="D6" t="s">
        <v>433</v>
      </c>
    </row>
    <row r="7" spans="1:4" x14ac:dyDescent="0.25">
      <c r="A7" t="s">
        <v>371</v>
      </c>
      <c r="B7">
        <v>120</v>
      </c>
      <c r="C7">
        <f t="shared" si="0"/>
        <v>0.432</v>
      </c>
      <c r="D7" t="s">
        <v>433</v>
      </c>
    </row>
    <row r="8" spans="1:4" x14ac:dyDescent="0.25">
      <c r="A8" t="s">
        <v>377</v>
      </c>
      <c r="B8">
        <v>15</v>
      </c>
      <c r="C8">
        <f t="shared" si="0"/>
        <v>5.3999999999999999E-2</v>
      </c>
      <c r="D8" t="s">
        <v>433</v>
      </c>
    </row>
    <row r="9" spans="1:4" x14ac:dyDescent="0.25">
      <c r="A9" t="s">
        <v>435</v>
      </c>
      <c r="B9">
        <v>40</v>
      </c>
      <c r="C9">
        <f t="shared" si="0"/>
        <v>0.14399999999999999</v>
      </c>
      <c r="D9" t="s">
        <v>433</v>
      </c>
    </row>
    <row r="10" spans="1:4" x14ac:dyDescent="0.25">
      <c r="A10" t="s">
        <v>432</v>
      </c>
      <c r="B10">
        <v>40</v>
      </c>
      <c r="C10">
        <f t="shared" si="0"/>
        <v>0.14399999999999999</v>
      </c>
      <c r="D10" t="s">
        <v>433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D8275-1DDB-4B06-A320-F7668C8DAA20}">
  <dimension ref="A1:L97"/>
  <sheetViews>
    <sheetView topLeftCell="A81" zoomScale="93" zoomScaleNormal="70" workbookViewId="0">
      <selection activeCell="D29" sqref="D29"/>
    </sheetView>
  </sheetViews>
  <sheetFormatPr defaultColWidth="11.42578125" defaultRowHeight="15" x14ac:dyDescent="0.25"/>
  <cols>
    <col min="1" max="1" width="31.5703125" customWidth="1"/>
    <col min="2" max="2" width="20" customWidth="1"/>
    <col min="3" max="3" width="24.28515625" customWidth="1"/>
    <col min="4" max="5" width="14.28515625" customWidth="1"/>
    <col min="6" max="8" width="12.7109375" customWidth="1"/>
  </cols>
  <sheetData>
    <row r="1" spans="1:12" s="5" customFormat="1" ht="18.75" x14ac:dyDescent="0.3">
      <c r="C1" s="43" t="s">
        <v>35</v>
      </c>
      <c r="D1" s="43" t="s">
        <v>34</v>
      </c>
      <c r="F1" s="28"/>
      <c r="G1" s="28"/>
      <c r="H1" s="28"/>
      <c r="I1" s="28"/>
      <c r="J1" s="28"/>
      <c r="K1" s="28"/>
      <c r="L1" s="28"/>
    </row>
    <row r="2" spans="1:12" s="5" customFormat="1" ht="21" x14ac:dyDescent="0.35">
      <c r="A2" s="8" t="s">
        <v>39</v>
      </c>
      <c r="C2" s="4"/>
      <c r="D2" s="4"/>
      <c r="F2" s="7"/>
      <c r="G2" s="7"/>
      <c r="H2" s="7"/>
      <c r="I2" s="7"/>
      <c r="J2" s="7"/>
      <c r="K2" s="7"/>
      <c r="L2" s="7"/>
    </row>
    <row r="3" spans="1:12" ht="45" x14ac:dyDescent="0.25">
      <c r="A3" t="s">
        <v>1</v>
      </c>
      <c r="B3" s="3" t="s">
        <v>2</v>
      </c>
      <c r="C3" t="s">
        <v>16</v>
      </c>
      <c r="D3" s="29" t="s">
        <v>454</v>
      </c>
    </row>
    <row r="4" spans="1:12" ht="90" x14ac:dyDescent="0.25">
      <c r="A4" t="s">
        <v>7</v>
      </c>
      <c r="B4" s="29" t="s">
        <v>51</v>
      </c>
      <c r="C4" t="s">
        <v>16</v>
      </c>
      <c r="D4" s="29" t="s">
        <v>52</v>
      </c>
    </row>
    <row r="5" spans="1:12" x14ac:dyDescent="0.25">
      <c r="A5" t="s">
        <v>439</v>
      </c>
      <c r="B5" s="37"/>
      <c r="C5" s="38"/>
      <c r="D5" s="38"/>
    </row>
    <row r="6" spans="1:12" ht="30" x14ac:dyDescent="0.25">
      <c r="A6" t="s">
        <v>440</v>
      </c>
      <c r="B6" s="18">
        <v>0.34</v>
      </c>
      <c r="C6" s="3" t="s">
        <v>438</v>
      </c>
      <c r="D6" s="29" t="s">
        <v>31</v>
      </c>
    </row>
    <row r="11" spans="1:12" ht="21" x14ac:dyDescent="0.35">
      <c r="A11" s="9" t="s">
        <v>38</v>
      </c>
    </row>
    <row r="12" spans="1:12" x14ac:dyDescent="0.25">
      <c r="A12" t="s">
        <v>36</v>
      </c>
      <c r="B12" s="45">
        <v>100000</v>
      </c>
      <c r="C12" s="45" t="s">
        <v>37</v>
      </c>
    </row>
    <row r="13" spans="1:12" x14ac:dyDescent="0.25">
      <c r="A13" t="s">
        <v>102</v>
      </c>
      <c r="B13" s="40">
        <f>B12/B6/1000</f>
        <v>294.11764705882348</v>
      </c>
      <c r="C13" s="3" t="s">
        <v>89</v>
      </c>
    </row>
    <row r="14" spans="1:12" x14ac:dyDescent="0.25">
      <c r="A14" t="s">
        <v>103</v>
      </c>
      <c r="B14" s="40">
        <f>B13/365</f>
        <v>0.80580177276389997</v>
      </c>
      <c r="C14" s="3" t="s">
        <v>89</v>
      </c>
    </row>
    <row r="16" spans="1:12" ht="21" x14ac:dyDescent="0.35">
      <c r="A16" s="9" t="s">
        <v>437</v>
      </c>
      <c r="B16">
        <v>0.432</v>
      </c>
      <c r="C16" t="s">
        <v>433</v>
      </c>
      <c r="D16" t="s">
        <v>461</v>
      </c>
    </row>
    <row r="19" spans="1:3" ht="21" x14ac:dyDescent="0.35">
      <c r="A19" s="9" t="s">
        <v>40</v>
      </c>
    </row>
    <row r="20" spans="1:3" x14ac:dyDescent="0.25">
      <c r="A20" t="s">
        <v>22</v>
      </c>
      <c r="B20" s="33" t="s">
        <v>23</v>
      </c>
    </row>
    <row r="21" spans="1:3" x14ac:dyDescent="0.25">
      <c r="A21" t="s">
        <v>29</v>
      </c>
      <c r="B21" s="30">
        <v>187.5</v>
      </c>
      <c r="C21" t="s">
        <v>26</v>
      </c>
    </row>
    <row r="22" spans="1:3" x14ac:dyDescent="0.25">
      <c r="A22" t="s">
        <v>48</v>
      </c>
      <c r="B22" s="35"/>
    </row>
    <row r="23" spans="1:3" x14ac:dyDescent="0.25">
      <c r="A23" t="s">
        <v>314</v>
      </c>
      <c r="B23" s="47">
        <f>B21/B24</f>
        <v>0.75</v>
      </c>
    </row>
    <row r="24" spans="1:3" x14ac:dyDescent="0.25">
      <c r="A24" t="s">
        <v>30</v>
      </c>
      <c r="B24" s="30">
        <v>250</v>
      </c>
      <c r="C24" t="s">
        <v>24</v>
      </c>
    </row>
    <row r="25" spans="1:3" x14ac:dyDescent="0.25">
      <c r="A25" t="s">
        <v>49</v>
      </c>
      <c r="B25" s="35"/>
    </row>
    <row r="26" spans="1:3" x14ac:dyDescent="0.25">
      <c r="A26" t="s">
        <v>442</v>
      </c>
      <c r="B26" s="30" t="s">
        <v>445</v>
      </c>
    </row>
    <row r="27" spans="1:3" x14ac:dyDescent="0.25">
      <c r="A27" t="s">
        <v>0</v>
      </c>
      <c r="B27" s="36" t="s">
        <v>3</v>
      </c>
    </row>
    <row r="28" spans="1:3" x14ac:dyDescent="0.25">
      <c r="A28" t="s">
        <v>5</v>
      </c>
      <c r="B28" s="3" t="s">
        <v>4</v>
      </c>
    </row>
    <row r="29" spans="1:3" ht="31.5" customHeight="1" x14ac:dyDescent="0.25">
      <c r="A29" t="s">
        <v>6</v>
      </c>
      <c r="B29" s="29" t="s">
        <v>441</v>
      </c>
    </row>
    <row r="30" spans="1:3" ht="45" x14ac:dyDescent="0.25">
      <c r="A30" t="s">
        <v>452</v>
      </c>
      <c r="B30" s="41" t="s">
        <v>453</v>
      </c>
    </row>
    <row r="31" spans="1:3" x14ac:dyDescent="0.25">
      <c r="A31" t="s">
        <v>446</v>
      </c>
      <c r="B31" s="3" t="s">
        <v>16</v>
      </c>
    </row>
    <row r="33" spans="1:11" s="2" customFormat="1" ht="30" x14ac:dyDescent="0.25">
      <c r="A33" s="1" t="s">
        <v>8</v>
      </c>
      <c r="B33" s="1" t="s">
        <v>20</v>
      </c>
      <c r="C33" s="31" t="s">
        <v>17</v>
      </c>
      <c r="D33" s="31" t="s">
        <v>44</v>
      </c>
      <c r="E33" s="31" t="s">
        <v>41</v>
      </c>
      <c r="F33" s="1"/>
      <c r="G33" s="1"/>
      <c r="H33" s="1"/>
      <c r="I33" s="1"/>
      <c r="J33" s="1"/>
      <c r="K33" s="1"/>
    </row>
    <row r="34" spans="1:11" x14ac:dyDescent="0.25">
      <c r="A34" s="3" t="s">
        <v>9</v>
      </c>
      <c r="B34" s="3" t="s">
        <v>16</v>
      </c>
      <c r="C34" s="3"/>
      <c r="D34" s="3">
        <v>250000</v>
      </c>
      <c r="E34" s="3"/>
    </row>
    <row r="35" spans="1:11" x14ac:dyDescent="0.25">
      <c r="A35" s="3" t="s">
        <v>10</v>
      </c>
      <c r="B35" s="3">
        <v>1006.56</v>
      </c>
      <c r="C35" s="3" t="s">
        <v>447</v>
      </c>
      <c r="D35" s="3">
        <v>250000</v>
      </c>
      <c r="E35" s="27">
        <f t="shared" ref="E35:E41" si="0">B35/D35</f>
        <v>4.0262399999999995E-3</v>
      </c>
    </row>
    <row r="36" spans="1:11" x14ac:dyDescent="0.25">
      <c r="A36" s="3" t="s">
        <v>11</v>
      </c>
      <c r="B36" s="3">
        <v>870.62400000000002</v>
      </c>
      <c r="C36" s="3" t="s">
        <v>447</v>
      </c>
      <c r="D36" s="3">
        <v>250000</v>
      </c>
      <c r="E36" s="27">
        <f t="shared" si="0"/>
        <v>3.4824960000000003E-3</v>
      </c>
    </row>
    <row r="37" spans="1:11" x14ac:dyDescent="0.25">
      <c r="A37" s="3" t="s">
        <v>42</v>
      </c>
      <c r="B37" s="3">
        <v>617.47199999999998</v>
      </c>
      <c r="C37" s="3" t="s">
        <v>447</v>
      </c>
      <c r="D37" s="3">
        <v>250000</v>
      </c>
      <c r="E37" s="27">
        <f t="shared" si="0"/>
        <v>2.4698879999999999E-3</v>
      </c>
    </row>
    <row r="38" spans="1:11" x14ac:dyDescent="0.25">
      <c r="A38" s="3" t="s">
        <v>12</v>
      </c>
      <c r="B38" s="3">
        <v>268.96300000000002</v>
      </c>
      <c r="C38" s="3" t="s">
        <v>447</v>
      </c>
      <c r="D38" s="3">
        <v>250000</v>
      </c>
      <c r="E38" s="27">
        <f t="shared" si="0"/>
        <v>1.0758520000000002E-3</v>
      </c>
    </row>
    <row r="39" spans="1:11" x14ac:dyDescent="0.25">
      <c r="A39" s="3" t="s">
        <v>13</v>
      </c>
      <c r="B39" s="3">
        <v>18295.718000000001</v>
      </c>
      <c r="C39" s="3" t="s">
        <v>447</v>
      </c>
      <c r="D39" s="3">
        <v>250000</v>
      </c>
      <c r="E39" s="27">
        <f t="shared" si="0"/>
        <v>7.318287200000001E-2</v>
      </c>
    </row>
    <row r="40" spans="1:11" x14ac:dyDescent="0.25">
      <c r="A40" s="3" t="s">
        <v>14</v>
      </c>
      <c r="B40" s="3">
        <v>613.00800000000004</v>
      </c>
      <c r="C40" s="3" t="s">
        <v>447</v>
      </c>
      <c r="D40" s="3">
        <v>250000</v>
      </c>
      <c r="E40" s="27">
        <f t="shared" si="0"/>
        <v>2.4520320000000003E-3</v>
      </c>
    </row>
    <row r="41" spans="1:11" x14ac:dyDescent="0.25">
      <c r="A41" s="3" t="s">
        <v>15</v>
      </c>
      <c r="B41" s="3">
        <v>3616.7040000000002</v>
      </c>
      <c r="C41" s="3" t="s">
        <v>447</v>
      </c>
      <c r="D41" s="3">
        <v>250000</v>
      </c>
      <c r="E41" s="27">
        <f t="shared" si="0"/>
        <v>1.4466816E-2</v>
      </c>
    </row>
    <row r="42" spans="1:11" x14ac:dyDescent="0.25">
      <c r="A42" t="s">
        <v>455</v>
      </c>
      <c r="E42" s="26">
        <f>SUM(E34:E41)</f>
        <v>0.10115619600000003</v>
      </c>
    </row>
    <row r="45" spans="1:11" ht="21" x14ac:dyDescent="0.35">
      <c r="A45" s="9" t="s">
        <v>95</v>
      </c>
    </row>
    <row r="46" spans="1:11" x14ac:dyDescent="0.25">
      <c r="A46" t="s">
        <v>22</v>
      </c>
      <c r="B46" s="33" t="s">
        <v>25</v>
      </c>
    </row>
    <row r="47" spans="1:11" x14ac:dyDescent="0.25">
      <c r="A47" t="s">
        <v>46</v>
      </c>
      <c r="B47" s="14">
        <v>800</v>
      </c>
      <c r="C47" t="s">
        <v>24</v>
      </c>
    </row>
    <row r="48" spans="1:11" x14ac:dyDescent="0.25">
      <c r="A48" t="s">
        <v>186</v>
      </c>
      <c r="B48" s="48">
        <f>B47*6*300</f>
        <v>1440000</v>
      </c>
      <c r="C48" t="s">
        <v>24</v>
      </c>
    </row>
    <row r="49" spans="1:5" x14ac:dyDescent="0.25">
      <c r="A49" t="s">
        <v>47</v>
      </c>
      <c r="B49" s="14">
        <v>1580</v>
      </c>
      <c r="C49" t="s">
        <v>24</v>
      </c>
    </row>
    <row r="50" spans="1:5" x14ac:dyDescent="0.25">
      <c r="A50" t="s">
        <v>449</v>
      </c>
      <c r="B50" s="48">
        <f>B49*6*300</f>
        <v>2844000</v>
      </c>
      <c r="C50" t="s">
        <v>24</v>
      </c>
    </row>
    <row r="51" spans="1:5" x14ac:dyDescent="0.25">
      <c r="A51" t="s">
        <v>450</v>
      </c>
      <c r="B51" s="48">
        <f>B47/B49</f>
        <v>0.50632911392405067</v>
      </c>
    </row>
    <row r="52" spans="1:5" x14ac:dyDescent="0.25">
      <c r="A52" t="s">
        <v>442</v>
      </c>
      <c r="B52" s="14" t="s">
        <v>443</v>
      </c>
    </row>
    <row r="53" spans="1:5" x14ac:dyDescent="0.25">
      <c r="A53" t="s">
        <v>0</v>
      </c>
      <c r="B53" s="3" t="s">
        <v>3</v>
      </c>
    </row>
    <row r="54" spans="1:5" x14ac:dyDescent="0.25">
      <c r="A54" t="s">
        <v>5</v>
      </c>
      <c r="B54" s="3" t="s">
        <v>4</v>
      </c>
    </row>
    <row r="55" spans="1:5" x14ac:dyDescent="0.25">
      <c r="A55" t="s">
        <v>6</v>
      </c>
      <c r="B55" s="3" t="s">
        <v>50</v>
      </c>
    </row>
    <row r="56" spans="1:5" ht="45" x14ac:dyDescent="0.25">
      <c r="A56" t="s">
        <v>446</v>
      </c>
      <c r="B56" s="29" t="s">
        <v>463</v>
      </c>
    </row>
    <row r="58" spans="1:5" ht="30" x14ac:dyDescent="0.25">
      <c r="A58" s="1" t="s">
        <v>8</v>
      </c>
      <c r="B58" s="1" t="s">
        <v>20</v>
      </c>
      <c r="C58" s="1" t="s">
        <v>17</v>
      </c>
      <c r="D58" s="1" t="s">
        <v>45</v>
      </c>
      <c r="E58" s="1" t="s">
        <v>41</v>
      </c>
    </row>
    <row r="59" spans="1:5" x14ac:dyDescent="0.25">
      <c r="A59" s="3" t="s">
        <v>9</v>
      </c>
      <c r="B59" s="12" t="s">
        <v>16</v>
      </c>
      <c r="C59" s="3"/>
      <c r="D59" s="3"/>
      <c r="E59" s="3"/>
    </row>
    <row r="60" spans="1:5" x14ac:dyDescent="0.25">
      <c r="A60" s="3" t="s">
        <v>10</v>
      </c>
      <c r="B60" s="3">
        <v>6480</v>
      </c>
      <c r="C60" s="3" t="s">
        <v>43</v>
      </c>
      <c r="D60" s="3">
        <f>$B$49*1000</f>
        <v>1580000</v>
      </c>
      <c r="E60" s="27">
        <f>B60/D60*B6</f>
        <v>1.3944303797468356E-3</v>
      </c>
    </row>
    <row r="61" spans="1:5" x14ac:dyDescent="0.25">
      <c r="A61" s="3" t="s">
        <v>11</v>
      </c>
      <c r="B61" s="3">
        <v>4320</v>
      </c>
      <c r="C61" s="3" t="s">
        <v>43</v>
      </c>
      <c r="D61" s="3">
        <f t="shared" ref="D61:D66" si="1">$B$49*1000</f>
        <v>1580000</v>
      </c>
      <c r="E61" s="27">
        <f t="shared" ref="E61:E66" si="2">B61/D61</f>
        <v>2.7341772151898733E-3</v>
      </c>
    </row>
    <row r="62" spans="1:5" x14ac:dyDescent="0.25">
      <c r="A62" s="3" t="s">
        <v>42</v>
      </c>
      <c r="B62" s="3">
        <v>8640</v>
      </c>
      <c r="C62" s="3" t="s">
        <v>43</v>
      </c>
      <c r="D62" s="3">
        <f t="shared" si="1"/>
        <v>1580000</v>
      </c>
      <c r="E62" s="27">
        <f t="shared" si="2"/>
        <v>5.4683544303797465E-3</v>
      </c>
    </row>
    <row r="63" spans="1:5" x14ac:dyDescent="0.25">
      <c r="A63" s="3" t="s">
        <v>12</v>
      </c>
      <c r="B63" s="3">
        <v>3240</v>
      </c>
      <c r="C63" s="3" t="s">
        <v>43</v>
      </c>
      <c r="D63" s="3">
        <f t="shared" si="1"/>
        <v>1580000</v>
      </c>
      <c r="E63" s="27">
        <f t="shared" si="2"/>
        <v>2.0506329113924053E-3</v>
      </c>
    </row>
    <row r="64" spans="1:5" x14ac:dyDescent="0.25">
      <c r="A64" s="3" t="s">
        <v>13</v>
      </c>
      <c r="B64" s="3">
        <v>8640</v>
      </c>
      <c r="C64" s="3" t="s">
        <v>43</v>
      </c>
      <c r="D64" s="3">
        <f t="shared" si="1"/>
        <v>1580000</v>
      </c>
      <c r="E64" s="27">
        <f t="shared" si="2"/>
        <v>5.4683544303797465E-3</v>
      </c>
    </row>
    <row r="65" spans="1:5" x14ac:dyDescent="0.25">
      <c r="A65" s="3" t="s">
        <v>14</v>
      </c>
      <c r="B65" s="3">
        <v>864</v>
      </c>
      <c r="C65" s="3" t="s">
        <v>43</v>
      </c>
      <c r="D65" s="3">
        <f t="shared" si="1"/>
        <v>1580000</v>
      </c>
      <c r="E65" s="27">
        <f t="shared" si="2"/>
        <v>5.4683544303797465E-4</v>
      </c>
    </row>
    <row r="66" spans="1:5" x14ac:dyDescent="0.25">
      <c r="A66" s="3" t="s">
        <v>15</v>
      </c>
      <c r="B66" s="3">
        <v>8640</v>
      </c>
      <c r="C66" s="3" t="s">
        <v>43</v>
      </c>
      <c r="D66" s="3">
        <f t="shared" si="1"/>
        <v>1580000</v>
      </c>
      <c r="E66" s="27">
        <f t="shared" si="2"/>
        <v>5.4683544303797465E-3</v>
      </c>
    </row>
    <row r="67" spans="1:5" x14ac:dyDescent="0.25">
      <c r="A67" t="s">
        <v>455</v>
      </c>
      <c r="E67" s="26">
        <f>SUM(E59:E66)</f>
        <v>2.3131139240506329E-2</v>
      </c>
    </row>
    <row r="70" spans="1:5" ht="21" x14ac:dyDescent="0.35">
      <c r="A70" s="9" t="s">
        <v>96</v>
      </c>
      <c r="D70" s="15"/>
      <c r="E70" s="22"/>
    </row>
    <row r="71" spans="1:5" ht="30" x14ac:dyDescent="0.25">
      <c r="A71" t="s">
        <v>22</v>
      </c>
      <c r="B71" s="42" t="s">
        <v>274</v>
      </c>
      <c r="E71" s="22"/>
    </row>
    <row r="72" spans="1:5" x14ac:dyDescent="0.25">
      <c r="A72" t="s">
        <v>107</v>
      </c>
      <c r="B72" s="41">
        <v>120</v>
      </c>
      <c r="C72" s="23" t="s">
        <v>33</v>
      </c>
      <c r="D72" s="23"/>
      <c r="E72" s="22"/>
    </row>
    <row r="73" spans="1:5" x14ac:dyDescent="0.25">
      <c r="A73" t="s">
        <v>186</v>
      </c>
      <c r="B73" s="79">
        <f>B72*6*300/1000</f>
        <v>216</v>
      </c>
      <c r="C73" t="s">
        <v>89</v>
      </c>
      <c r="E73" s="22"/>
    </row>
    <row r="74" spans="1:5" x14ac:dyDescent="0.25">
      <c r="A74" t="s">
        <v>450</v>
      </c>
      <c r="B74" s="79">
        <v>0.92500000000000004</v>
      </c>
      <c r="E74" s="22"/>
    </row>
    <row r="75" spans="1:5" x14ac:dyDescent="0.25">
      <c r="A75" t="s">
        <v>246</v>
      </c>
      <c r="B75" s="118">
        <f>B72/B74</f>
        <v>129.72972972972971</v>
      </c>
      <c r="C75" t="s">
        <v>33</v>
      </c>
      <c r="E75" s="22"/>
    </row>
    <row r="76" spans="1:5" x14ac:dyDescent="0.25">
      <c r="A76" t="s">
        <v>449</v>
      </c>
      <c r="B76" s="118">
        <f>B75*6*300/1000</f>
        <v>233.51351351351349</v>
      </c>
      <c r="C76" t="s">
        <v>89</v>
      </c>
      <c r="E76" s="22"/>
    </row>
    <row r="77" spans="1:5" x14ac:dyDescent="0.25">
      <c r="A77" t="s">
        <v>442</v>
      </c>
      <c r="B77" s="41" t="s">
        <v>81</v>
      </c>
      <c r="E77" s="22"/>
    </row>
    <row r="78" spans="1:5" x14ac:dyDescent="0.25">
      <c r="A78" t="s">
        <v>0</v>
      </c>
      <c r="B78" s="29" t="s">
        <v>459</v>
      </c>
      <c r="E78" s="22"/>
    </row>
    <row r="79" spans="1:5" x14ac:dyDescent="0.25">
      <c r="A79" t="s">
        <v>5</v>
      </c>
      <c r="B79" s="41" t="s">
        <v>269</v>
      </c>
      <c r="E79" s="22"/>
    </row>
    <row r="80" spans="1:5" ht="45" x14ac:dyDescent="0.25">
      <c r="A80" t="s">
        <v>6</v>
      </c>
      <c r="B80" s="29" t="s">
        <v>389</v>
      </c>
      <c r="E80" s="22"/>
    </row>
    <row r="81" spans="1:6" ht="30" x14ac:dyDescent="0.25">
      <c r="A81" t="s">
        <v>451</v>
      </c>
      <c r="B81" s="72" t="s">
        <v>456</v>
      </c>
      <c r="E81" s="22"/>
    </row>
    <row r="82" spans="1:6" ht="60" x14ac:dyDescent="0.25">
      <c r="A82" t="s">
        <v>457</v>
      </c>
      <c r="B82" s="29" t="s">
        <v>458</v>
      </c>
      <c r="E82" s="22"/>
    </row>
    <row r="83" spans="1:6" ht="75" x14ac:dyDescent="0.25">
      <c r="A83" t="s">
        <v>448</v>
      </c>
      <c r="B83" s="29" t="s">
        <v>460</v>
      </c>
      <c r="E83" s="22"/>
    </row>
    <row r="84" spans="1:6" x14ac:dyDescent="0.25">
      <c r="E84" s="22"/>
    </row>
    <row r="85" spans="1:6" ht="45" x14ac:dyDescent="0.25">
      <c r="A85" s="1" t="s">
        <v>277</v>
      </c>
      <c r="B85" s="1" t="s">
        <v>20</v>
      </c>
      <c r="C85" s="31" t="s">
        <v>17</v>
      </c>
      <c r="D85" s="31" t="s">
        <v>272</v>
      </c>
      <c r="E85" s="32" t="s">
        <v>106</v>
      </c>
      <c r="F85" s="31" t="s">
        <v>41</v>
      </c>
    </row>
    <row r="86" spans="1:6" x14ac:dyDescent="0.25">
      <c r="A86" s="3" t="s">
        <v>279</v>
      </c>
      <c r="B86" s="3">
        <f>0.746*5</f>
        <v>3.73</v>
      </c>
      <c r="C86" s="3" t="s">
        <v>282</v>
      </c>
      <c r="D86" s="3">
        <f>B86*3.6/120</f>
        <v>0.11190000000000001</v>
      </c>
      <c r="E86" s="30">
        <v>0.92500000000000004</v>
      </c>
      <c r="F86" s="3">
        <f>E86*D86</f>
        <v>0.10350750000000002</v>
      </c>
    </row>
    <row r="87" spans="1:6" x14ac:dyDescent="0.25">
      <c r="A87" t="s">
        <v>455</v>
      </c>
      <c r="B87">
        <f>SUM(B86:B86)</f>
        <v>3.73</v>
      </c>
      <c r="D87">
        <f>SUM(D86:D86)</f>
        <v>0.11190000000000001</v>
      </c>
      <c r="E87" s="22"/>
      <c r="F87" s="26">
        <f>SUM(F86:F86)</f>
        <v>0.10350750000000002</v>
      </c>
    </row>
    <row r="90" spans="1:6" ht="21" x14ac:dyDescent="0.35">
      <c r="A90" s="9" t="s">
        <v>494</v>
      </c>
    </row>
    <row r="91" spans="1:6" x14ac:dyDescent="0.25">
      <c r="A91" t="s">
        <v>495</v>
      </c>
      <c r="B91" s="68">
        <f>E42</f>
        <v>0.10115619600000003</v>
      </c>
      <c r="C91" s="62"/>
      <c r="D91" s="62"/>
    </row>
    <row r="92" spans="1:6" x14ac:dyDescent="0.25">
      <c r="A92" t="s">
        <v>496</v>
      </c>
      <c r="B92" s="68">
        <f>E67</f>
        <v>2.3131139240506329E-2</v>
      </c>
      <c r="C92" s="62"/>
      <c r="D92" s="62"/>
    </row>
    <row r="93" spans="1:6" x14ac:dyDescent="0.25">
      <c r="A93" t="s">
        <v>497</v>
      </c>
      <c r="B93" s="68">
        <f>F87</f>
        <v>0.10350750000000002</v>
      </c>
      <c r="C93" s="62"/>
      <c r="D93" s="62"/>
    </row>
    <row r="95" spans="1:6" x14ac:dyDescent="0.25">
      <c r="A95" t="s">
        <v>491</v>
      </c>
      <c r="B95" s="10">
        <f>AVERAGE($B$91:$B$93)</f>
        <v>7.5931611746835451E-2</v>
      </c>
    </row>
    <row r="96" spans="1:6" x14ac:dyDescent="0.25">
      <c r="A96" t="s">
        <v>492</v>
      </c>
      <c r="B96" s="10">
        <f>MAX($B$91:$B$93)</f>
        <v>0.10350750000000002</v>
      </c>
    </row>
    <row r="97" spans="1:2" x14ac:dyDescent="0.25">
      <c r="A97" t="s">
        <v>493</v>
      </c>
      <c r="B97" s="10">
        <f>MIN($B$91:$B$93)</f>
        <v>2.3131139240506329E-2</v>
      </c>
    </row>
  </sheetData>
  <phoneticPr fontId="9" type="noConversion"/>
  <pageMargins left="0.7" right="0.7" top="0.78740157499999996" bottom="0.78740157499999996"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7DE57-C909-43D5-9C55-D3AC5F118565}">
  <dimension ref="A1:V194"/>
  <sheetViews>
    <sheetView topLeftCell="A170" zoomScale="68" workbookViewId="0">
      <selection activeCell="D20" sqref="D20"/>
    </sheetView>
  </sheetViews>
  <sheetFormatPr defaultColWidth="11.42578125" defaultRowHeight="15" x14ac:dyDescent="0.25"/>
  <cols>
    <col min="1" max="1" width="38.85546875" customWidth="1"/>
    <col min="2" max="2" width="28.28515625" customWidth="1"/>
    <col min="3" max="3" width="14.7109375" customWidth="1"/>
    <col min="6" max="6" width="16.85546875" customWidth="1"/>
    <col min="8" max="8" width="24" customWidth="1"/>
    <col min="9" max="9" width="29.7109375" customWidth="1"/>
    <col min="17" max="17" width="31.85546875" customWidth="1"/>
  </cols>
  <sheetData>
    <row r="1" spans="1:12" ht="15.75" x14ac:dyDescent="0.25">
      <c r="A1" s="5"/>
      <c r="B1" s="5"/>
      <c r="C1" s="4" t="s">
        <v>35</v>
      </c>
      <c r="D1" s="4" t="s">
        <v>34</v>
      </c>
      <c r="E1" s="5"/>
      <c r="F1" s="28"/>
      <c r="G1" s="28"/>
      <c r="H1" s="28"/>
      <c r="I1" s="28"/>
      <c r="J1" s="28"/>
      <c r="K1" s="28"/>
      <c r="L1" s="28"/>
    </row>
    <row r="2" spans="1:12" ht="21" x14ac:dyDescent="0.35">
      <c r="A2" s="8" t="s">
        <v>39</v>
      </c>
      <c r="B2" s="5"/>
      <c r="C2" s="4"/>
      <c r="D2" s="4"/>
      <c r="E2" s="5"/>
      <c r="F2" s="7"/>
      <c r="G2" s="7"/>
      <c r="H2" s="7"/>
      <c r="I2" s="7"/>
      <c r="J2" s="7"/>
      <c r="K2" s="7"/>
      <c r="L2" s="7"/>
    </row>
    <row r="3" spans="1:12" x14ac:dyDescent="0.25">
      <c r="A3" t="s">
        <v>1</v>
      </c>
      <c r="B3" s="3" t="s">
        <v>99</v>
      </c>
      <c r="D3" s="3" t="s">
        <v>659</v>
      </c>
    </row>
    <row r="4" spans="1:12" x14ac:dyDescent="0.25">
      <c r="A4" t="s">
        <v>7</v>
      </c>
      <c r="B4" s="14" t="s">
        <v>660</v>
      </c>
      <c r="C4" s="22"/>
      <c r="D4" s="14" t="s">
        <v>659</v>
      </c>
    </row>
    <row r="5" spans="1:12" x14ac:dyDescent="0.25">
      <c r="A5" t="s">
        <v>27</v>
      </c>
      <c r="B5" s="39"/>
      <c r="C5" s="38"/>
      <c r="D5" s="38"/>
    </row>
    <row r="6" spans="1:12" x14ac:dyDescent="0.25">
      <c r="A6" t="s">
        <v>28</v>
      </c>
      <c r="B6" s="3">
        <v>0.38</v>
      </c>
      <c r="C6" s="3" t="s">
        <v>32</v>
      </c>
      <c r="D6" s="44" t="s">
        <v>98</v>
      </c>
    </row>
    <row r="8" spans="1:12" ht="21" x14ac:dyDescent="0.35">
      <c r="A8" s="9" t="s">
        <v>38</v>
      </c>
    </row>
    <row r="9" spans="1:12" x14ac:dyDescent="0.25">
      <c r="A9" t="s">
        <v>36</v>
      </c>
      <c r="B9">
        <v>100000</v>
      </c>
      <c r="C9" t="s">
        <v>37</v>
      </c>
    </row>
    <row r="10" spans="1:12" x14ac:dyDescent="0.25">
      <c r="A10" t="s">
        <v>102</v>
      </c>
      <c r="B10" s="40">
        <f>B9/B6/1000</f>
        <v>263.15789473684208</v>
      </c>
      <c r="C10" s="3" t="s">
        <v>89</v>
      </c>
    </row>
    <row r="11" spans="1:12" x14ac:dyDescent="0.25">
      <c r="A11" t="s">
        <v>103</v>
      </c>
      <c r="B11" s="40">
        <f>B10/365</f>
        <v>0.72098053352559477</v>
      </c>
      <c r="C11" s="3" t="s">
        <v>33</v>
      </c>
    </row>
    <row r="13" spans="1:12" ht="21" x14ac:dyDescent="0.35">
      <c r="A13" s="9" t="s">
        <v>437</v>
      </c>
      <c r="B13">
        <v>0.18</v>
      </c>
      <c r="C13" t="s">
        <v>433</v>
      </c>
      <c r="E13" t="s">
        <v>483</v>
      </c>
    </row>
    <row r="16" spans="1:12" ht="21" x14ac:dyDescent="0.35">
      <c r="A16" s="9" t="s">
        <v>40</v>
      </c>
    </row>
    <row r="17" spans="1:14" x14ac:dyDescent="0.25">
      <c r="A17" t="s">
        <v>22</v>
      </c>
      <c r="B17" s="33" t="s">
        <v>108</v>
      </c>
    </row>
    <row r="18" spans="1:14" x14ac:dyDescent="0.25">
      <c r="A18" t="s">
        <v>107</v>
      </c>
      <c r="B18" s="3">
        <v>2</v>
      </c>
      <c r="C18" t="s">
        <v>24</v>
      </c>
    </row>
    <row r="19" spans="1:14" x14ac:dyDescent="0.25">
      <c r="A19" t="s">
        <v>48</v>
      </c>
      <c r="B19" s="49">
        <f>2*6</f>
        <v>12</v>
      </c>
      <c r="C19" t="s">
        <v>24</v>
      </c>
    </row>
    <row r="20" spans="1:14" x14ac:dyDescent="0.25">
      <c r="A20" t="s">
        <v>30</v>
      </c>
      <c r="B20" s="55">
        <f>B18/B23</f>
        <v>3.0769230769230766</v>
      </c>
      <c r="C20" t="s">
        <v>24</v>
      </c>
    </row>
    <row r="21" spans="1:14" x14ac:dyDescent="0.25">
      <c r="A21" t="s">
        <v>49</v>
      </c>
      <c r="B21" s="55">
        <f>B19/B23</f>
        <v>18.46153846153846</v>
      </c>
      <c r="C21" t="s">
        <v>24</v>
      </c>
    </row>
    <row r="22" spans="1:14" x14ac:dyDescent="0.25">
      <c r="A22" t="s">
        <v>449</v>
      </c>
      <c r="B22" s="55">
        <f>B21*6*300</f>
        <v>33230.769230769227</v>
      </c>
      <c r="C22" t="s">
        <v>24</v>
      </c>
    </row>
    <row r="23" spans="1:14" x14ac:dyDescent="0.25">
      <c r="A23" t="s">
        <v>462</v>
      </c>
      <c r="B23" s="50">
        <v>0.65</v>
      </c>
    </row>
    <row r="24" spans="1:14" x14ac:dyDescent="0.25">
      <c r="A24" t="s">
        <v>442</v>
      </c>
      <c r="B24" s="30" t="s">
        <v>443</v>
      </c>
    </row>
    <row r="25" spans="1:14" x14ac:dyDescent="0.25">
      <c r="A25" t="s">
        <v>0</v>
      </c>
      <c r="B25" s="3" t="s">
        <v>110</v>
      </c>
    </row>
    <row r="26" spans="1:14" x14ac:dyDescent="0.25">
      <c r="A26" t="s">
        <v>5</v>
      </c>
      <c r="B26" s="3" t="s">
        <v>88</v>
      </c>
    </row>
    <row r="27" spans="1:14" ht="30" x14ac:dyDescent="0.25">
      <c r="A27" t="s">
        <v>6</v>
      </c>
      <c r="B27" s="46" t="s">
        <v>111</v>
      </c>
    </row>
    <row r="28" spans="1:14" ht="45" x14ac:dyDescent="0.25">
      <c r="A28" t="s">
        <v>451</v>
      </c>
      <c r="B28" s="57" t="s">
        <v>480</v>
      </c>
    </row>
    <row r="29" spans="1:14" ht="58.5" customHeight="1" x14ac:dyDescent="0.25">
      <c r="A29" t="s">
        <v>446</v>
      </c>
      <c r="B29" s="46" t="s">
        <v>479</v>
      </c>
    </row>
    <row r="31" spans="1:14" ht="60" x14ac:dyDescent="0.25">
      <c r="A31" s="1" t="s">
        <v>104</v>
      </c>
      <c r="B31" s="1" t="s">
        <v>20</v>
      </c>
      <c r="C31" s="31" t="s">
        <v>17</v>
      </c>
      <c r="D31" s="31" t="s">
        <v>244</v>
      </c>
      <c r="E31" s="31" t="s">
        <v>106</v>
      </c>
      <c r="F31" s="31" t="s">
        <v>41</v>
      </c>
      <c r="G31" s="31"/>
      <c r="H31" s="31"/>
      <c r="I31" s="31" t="s">
        <v>122</v>
      </c>
      <c r="J31" s="31" t="s">
        <v>20</v>
      </c>
      <c r="K31" s="31" t="s">
        <v>17</v>
      </c>
      <c r="L31" s="31" t="s">
        <v>244</v>
      </c>
      <c r="M31" s="31" t="s">
        <v>106</v>
      </c>
      <c r="N31" s="31" t="s">
        <v>41</v>
      </c>
    </row>
    <row r="32" spans="1:14" x14ac:dyDescent="0.25">
      <c r="A32" s="3" t="s">
        <v>112</v>
      </c>
      <c r="B32" s="3">
        <v>1.63</v>
      </c>
      <c r="C32" s="3" t="s">
        <v>105</v>
      </c>
      <c r="D32" s="3">
        <f t="shared" ref="D32:D41" si="0">B32*3.6</f>
        <v>5.8679999999999994</v>
      </c>
      <c r="E32" s="3">
        <f>$B$23/1000</f>
        <v>6.4999999999999997E-4</v>
      </c>
      <c r="F32" s="3">
        <f>D32*E32</f>
        <v>3.8141999999999994E-3</v>
      </c>
      <c r="H32" s="10"/>
      <c r="I32" s="3" t="s">
        <v>123</v>
      </c>
      <c r="J32" s="3">
        <v>0.28999999999999998</v>
      </c>
      <c r="K32" s="3" t="s">
        <v>105</v>
      </c>
      <c r="L32" s="3">
        <f t="shared" ref="L32:L45" si="1">J32*3.6</f>
        <v>1.044</v>
      </c>
      <c r="M32" s="3">
        <f>$B$23/1000</f>
        <v>6.4999999999999997E-4</v>
      </c>
      <c r="N32" s="3">
        <f>L32*M32</f>
        <v>6.7860000000000001E-4</v>
      </c>
    </row>
    <row r="33" spans="1:14" x14ac:dyDescent="0.25">
      <c r="A33" s="14" t="s">
        <v>113</v>
      </c>
      <c r="B33" s="3">
        <v>0.68</v>
      </c>
      <c r="C33" s="3" t="s">
        <v>105</v>
      </c>
      <c r="D33" s="3">
        <f t="shared" si="0"/>
        <v>2.4480000000000004</v>
      </c>
      <c r="E33" s="3">
        <f t="shared" ref="E33:E41" si="2">$B$23/1000</f>
        <v>6.4999999999999997E-4</v>
      </c>
      <c r="F33" s="3">
        <f t="shared" ref="F33:F41" si="3">D33*E33</f>
        <v>1.5912000000000001E-3</v>
      </c>
      <c r="H33" s="10"/>
      <c r="I33" s="14" t="s">
        <v>112</v>
      </c>
      <c r="J33" s="3">
        <v>0.97</v>
      </c>
      <c r="K33" s="3" t="s">
        <v>105</v>
      </c>
      <c r="L33" s="3">
        <f t="shared" si="1"/>
        <v>3.492</v>
      </c>
      <c r="M33" s="3">
        <f t="shared" ref="M33:M45" si="4">$B$23/1000</f>
        <v>6.4999999999999997E-4</v>
      </c>
      <c r="N33" s="3">
        <f t="shared" ref="N33:N45" si="5">L33*M33</f>
        <v>2.2697999999999998E-3</v>
      </c>
    </row>
    <row r="34" spans="1:14" x14ac:dyDescent="0.25">
      <c r="A34" s="14" t="s">
        <v>114</v>
      </c>
      <c r="B34" s="3">
        <v>1.92</v>
      </c>
      <c r="C34" s="3" t="s">
        <v>105</v>
      </c>
      <c r="D34" s="3">
        <f t="shared" si="0"/>
        <v>6.9119999999999999</v>
      </c>
      <c r="E34" s="3">
        <f t="shared" si="2"/>
        <v>6.4999999999999997E-4</v>
      </c>
      <c r="F34" s="3">
        <f t="shared" si="3"/>
        <v>4.4927999999999999E-3</v>
      </c>
      <c r="H34" s="10"/>
      <c r="I34" s="14" t="s">
        <v>124</v>
      </c>
      <c r="J34" s="3" t="s">
        <v>16</v>
      </c>
      <c r="K34" s="3" t="s">
        <v>105</v>
      </c>
      <c r="L34" s="3"/>
      <c r="M34" s="3">
        <f t="shared" si="4"/>
        <v>6.4999999999999997E-4</v>
      </c>
      <c r="N34" s="3">
        <f t="shared" si="5"/>
        <v>0</v>
      </c>
    </row>
    <row r="35" spans="1:14" x14ac:dyDescent="0.25">
      <c r="A35" s="14" t="s">
        <v>115</v>
      </c>
      <c r="B35" s="3" t="s">
        <v>16</v>
      </c>
      <c r="C35" s="3" t="s">
        <v>105</v>
      </c>
      <c r="D35" s="3"/>
      <c r="E35" s="3">
        <f t="shared" si="2"/>
        <v>6.4999999999999997E-4</v>
      </c>
      <c r="F35" s="3">
        <f t="shared" si="3"/>
        <v>0</v>
      </c>
      <c r="H35" s="10"/>
      <c r="I35" s="14" t="s">
        <v>125</v>
      </c>
      <c r="J35" s="3">
        <v>0.96</v>
      </c>
      <c r="K35" s="3" t="s">
        <v>105</v>
      </c>
      <c r="L35" s="3">
        <f t="shared" si="1"/>
        <v>3.456</v>
      </c>
      <c r="M35" s="3">
        <f t="shared" si="4"/>
        <v>6.4999999999999997E-4</v>
      </c>
      <c r="N35" s="3">
        <f t="shared" si="5"/>
        <v>2.2464E-3</v>
      </c>
    </row>
    <row r="36" spans="1:14" x14ac:dyDescent="0.25">
      <c r="A36" s="14" t="s">
        <v>116</v>
      </c>
      <c r="B36" s="14">
        <v>0.39</v>
      </c>
      <c r="C36" s="3" t="s">
        <v>105</v>
      </c>
      <c r="D36" s="3">
        <f t="shared" si="0"/>
        <v>1.4040000000000001</v>
      </c>
      <c r="E36" s="3">
        <f t="shared" si="2"/>
        <v>6.4999999999999997E-4</v>
      </c>
      <c r="F36" s="3">
        <f t="shared" si="3"/>
        <v>9.1260000000000006E-4</v>
      </c>
      <c r="H36" s="10"/>
      <c r="I36" s="14" t="s">
        <v>126</v>
      </c>
      <c r="J36" s="14">
        <v>1.96</v>
      </c>
      <c r="K36" s="3" t="s">
        <v>105</v>
      </c>
      <c r="L36" s="3">
        <f t="shared" si="1"/>
        <v>7.056</v>
      </c>
      <c r="M36" s="3">
        <f t="shared" si="4"/>
        <v>6.4999999999999997E-4</v>
      </c>
      <c r="N36" s="3">
        <f t="shared" si="5"/>
        <v>4.5864E-3</v>
      </c>
    </row>
    <row r="37" spans="1:14" x14ac:dyDescent="0.25">
      <c r="A37" s="14" t="s">
        <v>117</v>
      </c>
      <c r="B37" s="14">
        <v>5.07</v>
      </c>
      <c r="C37" s="3" t="s">
        <v>105</v>
      </c>
      <c r="D37" s="3">
        <f t="shared" si="0"/>
        <v>18.252000000000002</v>
      </c>
      <c r="E37" s="3">
        <f t="shared" si="2"/>
        <v>6.4999999999999997E-4</v>
      </c>
      <c r="F37" s="3">
        <f t="shared" si="3"/>
        <v>1.1863800000000001E-2</v>
      </c>
      <c r="H37" s="10"/>
      <c r="I37" s="14" t="s">
        <v>115</v>
      </c>
      <c r="J37" s="14" t="s">
        <v>16</v>
      </c>
      <c r="K37" s="3" t="s">
        <v>105</v>
      </c>
      <c r="L37" s="3"/>
      <c r="M37" s="3">
        <f t="shared" si="4"/>
        <v>6.4999999999999997E-4</v>
      </c>
      <c r="N37" s="3">
        <f t="shared" si="5"/>
        <v>0</v>
      </c>
    </row>
    <row r="38" spans="1:14" x14ac:dyDescent="0.25">
      <c r="A38" s="14" t="s">
        <v>118</v>
      </c>
      <c r="B38" s="14">
        <v>0.69</v>
      </c>
      <c r="C38" s="3" t="s">
        <v>105</v>
      </c>
      <c r="D38" s="3">
        <f t="shared" si="0"/>
        <v>2.484</v>
      </c>
      <c r="E38" s="3">
        <f t="shared" si="2"/>
        <v>6.4999999999999997E-4</v>
      </c>
      <c r="F38" s="3">
        <f t="shared" si="3"/>
        <v>1.6145999999999999E-3</v>
      </c>
      <c r="H38" s="10"/>
      <c r="I38" s="14" t="s">
        <v>127</v>
      </c>
      <c r="J38" s="14">
        <v>1.22</v>
      </c>
      <c r="K38" s="3" t="s">
        <v>105</v>
      </c>
      <c r="L38" s="3">
        <f t="shared" si="1"/>
        <v>4.3920000000000003</v>
      </c>
      <c r="M38" s="3">
        <f t="shared" si="4"/>
        <v>6.4999999999999997E-4</v>
      </c>
      <c r="N38" s="3">
        <f t="shared" si="5"/>
        <v>2.8548000000000002E-3</v>
      </c>
    </row>
    <row r="39" spans="1:14" x14ac:dyDescent="0.25">
      <c r="A39" s="14" t="s">
        <v>119</v>
      </c>
      <c r="B39" s="14">
        <v>1.07</v>
      </c>
      <c r="C39" s="3" t="s">
        <v>105</v>
      </c>
      <c r="D39" s="3">
        <f t="shared" si="0"/>
        <v>3.8520000000000003</v>
      </c>
      <c r="E39" s="3">
        <f t="shared" si="2"/>
        <v>6.4999999999999997E-4</v>
      </c>
      <c r="F39" s="3">
        <f t="shared" si="3"/>
        <v>2.5038E-3</v>
      </c>
      <c r="H39" s="10"/>
      <c r="I39" s="14" t="s">
        <v>128</v>
      </c>
      <c r="J39" s="14">
        <v>3.37</v>
      </c>
      <c r="K39" s="3" t="s">
        <v>105</v>
      </c>
      <c r="L39" s="3">
        <f t="shared" si="1"/>
        <v>12.132000000000001</v>
      </c>
      <c r="M39" s="3">
        <f t="shared" si="4"/>
        <v>6.4999999999999997E-4</v>
      </c>
      <c r="N39" s="3">
        <f t="shared" si="5"/>
        <v>7.8858000000000001E-3</v>
      </c>
    </row>
    <row r="40" spans="1:14" x14ac:dyDescent="0.25">
      <c r="A40" s="14" t="s">
        <v>120</v>
      </c>
      <c r="B40" s="14">
        <v>0.36</v>
      </c>
      <c r="C40" s="3" t="s">
        <v>105</v>
      </c>
      <c r="D40" s="3">
        <f t="shared" si="0"/>
        <v>1.296</v>
      </c>
      <c r="E40" s="3">
        <f t="shared" si="2"/>
        <v>6.4999999999999997E-4</v>
      </c>
      <c r="F40" s="3">
        <f t="shared" si="3"/>
        <v>8.4239999999999998E-4</v>
      </c>
      <c r="H40" s="10"/>
      <c r="I40" s="14" t="s">
        <v>129</v>
      </c>
      <c r="J40" s="14">
        <v>3.62</v>
      </c>
      <c r="K40" s="3" t="s">
        <v>105</v>
      </c>
      <c r="L40" s="3">
        <f t="shared" si="1"/>
        <v>13.032</v>
      </c>
      <c r="M40" s="3">
        <f t="shared" si="4"/>
        <v>6.4999999999999997E-4</v>
      </c>
      <c r="N40" s="3">
        <f t="shared" si="5"/>
        <v>8.4707999999999988E-3</v>
      </c>
    </row>
    <row r="41" spans="1:14" x14ac:dyDescent="0.25">
      <c r="A41" s="14" t="s">
        <v>121</v>
      </c>
      <c r="B41" s="14">
        <v>0.22</v>
      </c>
      <c r="C41" s="3" t="s">
        <v>105</v>
      </c>
      <c r="D41" s="3">
        <f t="shared" si="0"/>
        <v>0.79200000000000004</v>
      </c>
      <c r="E41" s="3">
        <f t="shared" si="2"/>
        <v>6.4999999999999997E-4</v>
      </c>
      <c r="F41" s="3">
        <f t="shared" si="3"/>
        <v>5.1480000000000004E-4</v>
      </c>
      <c r="H41" s="10"/>
      <c r="I41" s="14" t="s">
        <v>130</v>
      </c>
      <c r="J41" s="14">
        <v>3.67</v>
      </c>
      <c r="K41" s="3" t="s">
        <v>105</v>
      </c>
      <c r="L41" s="3">
        <f t="shared" si="1"/>
        <v>13.212</v>
      </c>
      <c r="M41" s="3">
        <f t="shared" si="4"/>
        <v>6.4999999999999997E-4</v>
      </c>
      <c r="N41" s="3">
        <f t="shared" si="5"/>
        <v>8.5877999999999996E-3</v>
      </c>
    </row>
    <row r="42" spans="1:14" x14ac:dyDescent="0.25">
      <c r="A42" t="s">
        <v>455</v>
      </c>
      <c r="B42">
        <f>SUM(B32:B41)</f>
        <v>12.030000000000001</v>
      </c>
      <c r="D42">
        <f>B42*3.6</f>
        <v>43.308000000000007</v>
      </c>
      <c r="F42" s="63">
        <f>SUM(F32:F41)</f>
        <v>2.81502E-2</v>
      </c>
      <c r="I42" s="14" t="s">
        <v>118</v>
      </c>
      <c r="J42" s="14">
        <v>1.5</v>
      </c>
      <c r="K42" s="3" t="s">
        <v>105</v>
      </c>
      <c r="L42" s="3">
        <f t="shared" si="1"/>
        <v>5.4</v>
      </c>
      <c r="M42" s="3">
        <f>$B$23/1000</f>
        <v>6.4999999999999997E-4</v>
      </c>
      <c r="N42" s="3">
        <f t="shared" si="5"/>
        <v>3.5100000000000001E-3</v>
      </c>
    </row>
    <row r="43" spans="1:14" x14ac:dyDescent="0.25">
      <c r="A43" t="s">
        <v>132</v>
      </c>
      <c r="B43">
        <v>25.83</v>
      </c>
      <c r="D43">
        <f>B43*3.6</f>
        <v>92.988</v>
      </c>
      <c r="F43" s="64">
        <f>D43*0.00065</f>
        <v>6.0442199999999995E-2</v>
      </c>
      <c r="I43" s="14" t="s">
        <v>120</v>
      </c>
      <c r="J43" s="14" t="s">
        <v>16</v>
      </c>
      <c r="K43" s="3" t="s">
        <v>105</v>
      </c>
      <c r="L43" s="3"/>
      <c r="M43" s="3">
        <f t="shared" si="4"/>
        <v>6.4999999999999997E-4</v>
      </c>
      <c r="N43" s="3">
        <f t="shared" si="5"/>
        <v>0</v>
      </c>
    </row>
    <row r="44" spans="1:14" x14ac:dyDescent="0.25">
      <c r="A44" t="s">
        <v>132</v>
      </c>
      <c r="B44">
        <v>14.13</v>
      </c>
      <c r="D44">
        <f>B44*3.6</f>
        <v>50.868000000000002</v>
      </c>
      <c r="F44" s="64">
        <f>D44*0.00065</f>
        <v>3.3064200000000002E-2</v>
      </c>
      <c r="I44" s="14" t="s">
        <v>120</v>
      </c>
      <c r="J44" s="14">
        <v>0.27</v>
      </c>
      <c r="K44" s="3" t="s">
        <v>105</v>
      </c>
      <c r="L44" s="3">
        <f t="shared" si="1"/>
        <v>0.97200000000000009</v>
      </c>
      <c r="M44" s="3">
        <f t="shared" si="4"/>
        <v>6.4999999999999997E-4</v>
      </c>
      <c r="N44" s="3">
        <f t="shared" si="5"/>
        <v>6.3180000000000007E-4</v>
      </c>
    </row>
    <row r="45" spans="1:14" x14ac:dyDescent="0.25">
      <c r="F45" s="45"/>
      <c r="I45" s="14" t="s">
        <v>131</v>
      </c>
      <c r="J45" s="14">
        <v>0.28000000000000003</v>
      </c>
      <c r="K45" s="3" t="s">
        <v>105</v>
      </c>
      <c r="L45" s="3">
        <f t="shared" si="1"/>
        <v>1.0080000000000002</v>
      </c>
      <c r="M45" s="3">
        <f t="shared" si="4"/>
        <v>6.4999999999999997E-4</v>
      </c>
      <c r="N45" s="3">
        <f t="shared" si="5"/>
        <v>6.552000000000001E-4</v>
      </c>
    </row>
    <row r="46" spans="1:14" x14ac:dyDescent="0.25">
      <c r="F46" s="45"/>
      <c r="I46" t="s">
        <v>455</v>
      </c>
      <c r="J46">
        <f>SUM(J32:J45)</f>
        <v>18.110000000000003</v>
      </c>
      <c r="L46">
        <f>J46*3.6</f>
        <v>65.196000000000012</v>
      </c>
      <c r="N46" s="26">
        <f>SUM(N32:N45)</f>
        <v>4.2377400000000003E-2</v>
      </c>
    </row>
    <row r="47" spans="1:14" x14ac:dyDescent="0.25">
      <c r="F47" s="45"/>
      <c r="I47" t="s">
        <v>132</v>
      </c>
      <c r="J47">
        <v>54.76</v>
      </c>
      <c r="L47">
        <f>J47*3.6</f>
        <v>197.136</v>
      </c>
      <c r="N47" s="64">
        <f>L47*0.00065</f>
        <v>0.12813839999999999</v>
      </c>
    </row>
    <row r="48" spans="1:14" x14ac:dyDescent="0.25">
      <c r="I48" t="s">
        <v>132</v>
      </c>
      <c r="J48">
        <v>21.98</v>
      </c>
      <c r="L48">
        <f>J48*3.6</f>
        <v>79.128</v>
      </c>
      <c r="N48" s="64">
        <f>L48*0.00065</f>
        <v>5.1433199999999998E-2</v>
      </c>
    </row>
    <row r="52" spans="1:4" ht="21" x14ac:dyDescent="0.35">
      <c r="A52" s="9" t="s">
        <v>95</v>
      </c>
      <c r="D52" s="15"/>
    </row>
    <row r="53" spans="1:4" x14ac:dyDescent="0.25">
      <c r="A53" t="s">
        <v>22</v>
      </c>
      <c r="B53" s="33" t="s">
        <v>133</v>
      </c>
    </row>
    <row r="54" spans="1:4" x14ac:dyDescent="0.25">
      <c r="A54" t="s">
        <v>107</v>
      </c>
      <c r="B54" s="14">
        <v>0.5</v>
      </c>
      <c r="C54" t="s">
        <v>134</v>
      </c>
    </row>
    <row r="55" spans="1:4" x14ac:dyDescent="0.25">
      <c r="A55" t="s">
        <v>467</v>
      </c>
      <c r="B55" s="54">
        <f>B54/B59</f>
        <v>0.73529411764705876</v>
      </c>
    </row>
    <row r="56" spans="1:4" x14ac:dyDescent="0.25">
      <c r="A56" t="s">
        <v>468</v>
      </c>
      <c r="B56" s="56">
        <f>B55*6*300</f>
        <v>1323.5294117647056</v>
      </c>
      <c r="C56" t="s">
        <v>134</v>
      </c>
    </row>
    <row r="57" spans="1:4" x14ac:dyDescent="0.25">
      <c r="A57" t="s">
        <v>469</v>
      </c>
      <c r="B57" s="54">
        <f>B54/B60</f>
        <v>0.84745762711864414</v>
      </c>
    </row>
    <row r="58" spans="1:4" x14ac:dyDescent="0.25">
      <c r="A58" t="s">
        <v>470</v>
      </c>
      <c r="B58" s="56">
        <f>B57*6*300</f>
        <v>1525.4237288135596</v>
      </c>
      <c r="C58" t="s">
        <v>134</v>
      </c>
    </row>
    <row r="59" spans="1:4" x14ac:dyDescent="0.25">
      <c r="A59" s="22" t="s">
        <v>466</v>
      </c>
      <c r="B59" s="14">
        <v>0.68</v>
      </c>
    </row>
    <row r="60" spans="1:4" x14ac:dyDescent="0.25">
      <c r="A60" s="22" t="s">
        <v>465</v>
      </c>
      <c r="B60" s="14">
        <v>0.59</v>
      </c>
    </row>
    <row r="61" spans="1:4" x14ac:dyDescent="0.25">
      <c r="A61" s="22" t="s">
        <v>442</v>
      </c>
      <c r="B61" s="14" t="s">
        <v>443</v>
      </c>
    </row>
    <row r="62" spans="1:4" x14ac:dyDescent="0.25">
      <c r="A62" t="s">
        <v>451</v>
      </c>
      <c r="B62" s="57" t="s">
        <v>471</v>
      </c>
    </row>
    <row r="63" spans="1:4" ht="45" x14ac:dyDescent="0.25">
      <c r="A63" t="s">
        <v>452</v>
      </c>
      <c r="B63" s="41" t="s">
        <v>137</v>
      </c>
    </row>
    <row r="64" spans="1:4" x14ac:dyDescent="0.25">
      <c r="A64" t="s">
        <v>0</v>
      </c>
      <c r="B64" s="3" t="s">
        <v>110</v>
      </c>
    </row>
    <row r="65" spans="1:14" x14ac:dyDescent="0.25">
      <c r="A65" t="s">
        <v>5</v>
      </c>
      <c r="B65" s="3" t="s">
        <v>88</v>
      </c>
    </row>
    <row r="66" spans="1:14" ht="30" x14ac:dyDescent="0.25">
      <c r="A66" t="s">
        <v>6</v>
      </c>
      <c r="B66" s="29" t="s">
        <v>135</v>
      </c>
    </row>
    <row r="67" spans="1:14" ht="57" customHeight="1" x14ac:dyDescent="0.25">
      <c r="A67" t="s">
        <v>448</v>
      </c>
      <c r="B67" s="65" t="s">
        <v>481</v>
      </c>
    </row>
    <row r="69" spans="1:14" ht="60" x14ac:dyDescent="0.25">
      <c r="A69" s="1" t="s">
        <v>136</v>
      </c>
      <c r="B69" s="1" t="s">
        <v>20</v>
      </c>
      <c r="C69" s="31" t="s">
        <v>17</v>
      </c>
      <c r="D69" s="31" t="s">
        <v>244</v>
      </c>
      <c r="E69" s="31" t="s">
        <v>106</v>
      </c>
      <c r="F69" s="31" t="s">
        <v>41</v>
      </c>
      <c r="I69" s="1" t="s">
        <v>141</v>
      </c>
      <c r="J69" s="1" t="s">
        <v>20</v>
      </c>
      <c r="K69" s="31" t="s">
        <v>17</v>
      </c>
      <c r="L69" s="31" t="s">
        <v>244</v>
      </c>
      <c r="M69" s="31" t="s">
        <v>106</v>
      </c>
      <c r="N69" s="31" t="s">
        <v>41</v>
      </c>
    </row>
    <row r="70" spans="1:14" x14ac:dyDescent="0.25">
      <c r="A70" s="14" t="s">
        <v>16</v>
      </c>
      <c r="B70" s="14"/>
      <c r="C70" s="3"/>
      <c r="D70" s="3"/>
      <c r="E70" s="3">
        <f>B59/1000</f>
        <v>6.8000000000000005E-4</v>
      </c>
      <c r="F70" s="3"/>
      <c r="I70" s="14" t="s">
        <v>16</v>
      </c>
      <c r="J70" s="14"/>
      <c r="K70" s="3"/>
      <c r="L70" s="3"/>
      <c r="M70" s="3">
        <f>B60/1000</f>
        <v>5.8999999999999992E-4</v>
      </c>
      <c r="N70" s="3"/>
    </row>
    <row r="71" spans="1:14" x14ac:dyDescent="0.25">
      <c r="A71" t="s">
        <v>455</v>
      </c>
      <c r="B71">
        <f>SUM(B70:B70)</f>
        <v>0</v>
      </c>
      <c r="F71" s="11" t="e">
        <f>SUM(#REF!)</f>
        <v>#REF!</v>
      </c>
      <c r="I71" t="s">
        <v>455</v>
      </c>
      <c r="J71">
        <f>SUM(J70:J70)</f>
        <v>0</v>
      </c>
      <c r="N71" s="11" t="e">
        <f>SUM(#REF!)</f>
        <v>#REF!</v>
      </c>
    </row>
    <row r="72" spans="1:14" x14ac:dyDescent="0.25">
      <c r="A72" s="3" t="s">
        <v>142</v>
      </c>
      <c r="B72" s="3">
        <v>13.46</v>
      </c>
      <c r="C72" s="3" t="s">
        <v>90</v>
      </c>
      <c r="D72" s="3">
        <f>B72*3.6</f>
        <v>48.456000000000003</v>
      </c>
      <c r="E72" s="3"/>
      <c r="F72" s="59">
        <f>B72*$B$54/$B$55*3.6/1000</f>
        <v>3.2950080000000007E-2</v>
      </c>
      <c r="I72" s="3" t="s">
        <v>142</v>
      </c>
      <c r="J72" s="3">
        <v>13.6</v>
      </c>
      <c r="K72" s="3" t="s">
        <v>90</v>
      </c>
      <c r="L72" s="3">
        <f>J72*3.6</f>
        <v>48.96</v>
      </c>
      <c r="M72" s="3"/>
      <c r="N72" s="59">
        <f>J72*$B$54/$B$57*3.6/1000</f>
        <v>2.88864E-2</v>
      </c>
    </row>
    <row r="73" spans="1:14" x14ac:dyDescent="0.25">
      <c r="A73" s="3" t="s">
        <v>143</v>
      </c>
      <c r="B73" s="3">
        <v>5.98</v>
      </c>
      <c r="C73" s="3" t="s">
        <v>90</v>
      </c>
      <c r="D73" s="3">
        <f>B73*3.6</f>
        <v>21.528000000000002</v>
      </c>
      <c r="E73" s="3"/>
      <c r="F73" s="59">
        <f t="shared" ref="F73:F74" si="6">B73*$B$54/$B$55*3.6/1000</f>
        <v>1.4639040000000002E-2</v>
      </c>
      <c r="I73" s="3" t="s">
        <v>143</v>
      </c>
      <c r="J73" s="3">
        <v>5.4</v>
      </c>
      <c r="K73" s="3" t="s">
        <v>90</v>
      </c>
      <c r="L73" s="3">
        <f>J73*3.6</f>
        <v>19.440000000000001</v>
      </c>
      <c r="M73" s="3"/>
      <c r="N73" s="59">
        <f t="shared" ref="N73:N74" si="7">J73*$B$54/$B$57*3.6/1000</f>
        <v>1.14696E-2</v>
      </c>
    </row>
    <row r="74" spans="1:14" x14ac:dyDescent="0.25">
      <c r="A74" s="3" t="s">
        <v>144</v>
      </c>
      <c r="B74" s="3">
        <v>5</v>
      </c>
      <c r="C74" s="3" t="s">
        <v>90</v>
      </c>
      <c r="D74" s="3">
        <f>B74*3.6</f>
        <v>18</v>
      </c>
      <c r="E74" s="3"/>
      <c r="F74" s="59">
        <f t="shared" si="6"/>
        <v>1.2240000000000003E-2</v>
      </c>
      <c r="I74" s="3" t="s">
        <v>144</v>
      </c>
      <c r="J74" s="3">
        <v>5.4</v>
      </c>
      <c r="K74" s="3" t="s">
        <v>90</v>
      </c>
      <c r="L74" s="3">
        <f>J74*3.6</f>
        <v>19.440000000000001</v>
      </c>
      <c r="M74" s="3"/>
      <c r="N74" s="59">
        <f t="shared" si="7"/>
        <v>1.14696E-2</v>
      </c>
    </row>
    <row r="79" spans="1:14" ht="21" x14ac:dyDescent="0.35">
      <c r="A79" s="9" t="s">
        <v>96</v>
      </c>
      <c r="D79" s="15"/>
    </row>
    <row r="80" spans="1:14" x14ac:dyDescent="0.25">
      <c r="A80" t="s">
        <v>22</v>
      </c>
      <c r="B80" s="6" t="s">
        <v>146</v>
      </c>
    </row>
    <row r="81" spans="1:12" x14ac:dyDescent="0.25">
      <c r="A81" t="s">
        <v>107</v>
      </c>
      <c r="B81" s="51"/>
    </row>
    <row r="82" spans="1:12" x14ac:dyDescent="0.25">
      <c r="A82" t="s">
        <v>48</v>
      </c>
      <c r="B82" s="51"/>
    </row>
    <row r="83" spans="1:12" x14ac:dyDescent="0.25">
      <c r="A83" t="s">
        <v>30</v>
      </c>
      <c r="B83" s="52"/>
    </row>
    <row r="84" spans="1:12" x14ac:dyDescent="0.25">
      <c r="A84" t="s">
        <v>138</v>
      </c>
      <c r="B84" s="51"/>
    </row>
    <row r="85" spans="1:12" x14ac:dyDescent="0.25">
      <c r="A85" t="s">
        <v>30</v>
      </c>
      <c r="B85" s="52"/>
    </row>
    <row r="86" spans="1:12" x14ac:dyDescent="0.25">
      <c r="A86" t="s">
        <v>139</v>
      </c>
      <c r="B86" s="51"/>
      <c r="G86" s="3"/>
    </row>
    <row r="87" spans="1:12" x14ac:dyDescent="0.25">
      <c r="A87" s="22" t="s">
        <v>473</v>
      </c>
      <c r="B87" s="14">
        <v>0.6</v>
      </c>
      <c r="G87" s="45"/>
    </row>
    <row r="88" spans="1:12" x14ac:dyDescent="0.25">
      <c r="A88" s="22" t="s">
        <v>474</v>
      </c>
      <c r="B88" s="14">
        <v>0.67</v>
      </c>
      <c r="G88" s="45"/>
    </row>
    <row r="89" spans="1:12" x14ac:dyDescent="0.25">
      <c r="A89" s="22" t="s">
        <v>442</v>
      </c>
      <c r="B89" s="3" t="s">
        <v>145</v>
      </c>
      <c r="G89" s="45"/>
    </row>
    <row r="90" spans="1:12" ht="45" x14ac:dyDescent="0.25">
      <c r="A90" t="s">
        <v>452</v>
      </c>
      <c r="B90" s="41" t="s">
        <v>152</v>
      </c>
    </row>
    <row r="91" spans="1:12" x14ac:dyDescent="0.25">
      <c r="A91" t="s">
        <v>0</v>
      </c>
      <c r="B91" s="3" t="s">
        <v>110</v>
      </c>
    </row>
    <row r="92" spans="1:12" x14ac:dyDescent="0.25">
      <c r="A92" t="s">
        <v>5</v>
      </c>
      <c r="B92" s="3" t="s">
        <v>88</v>
      </c>
    </row>
    <row r="93" spans="1:12" x14ac:dyDescent="0.25">
      <c r="A93" t="s">
        <v>6</v>
      </c>
      <c r="B93" s="3" t="s">
        <v>153</v>
      </c>
    </row>
    <row r="94" spans="1:12" ht="30" x14ac:dyDescent="0.25">
      <c r="A94" t="s">
        <v>446</v>
      </c>
      <c r="B94" s="65" t="s">
        <v>485</v>
      </c>
    </row>
    <row r="96" spans="1:12" ht="60" x14ac:dyDescent="0.25">
      <c r="A96" s="1" t="s">
        <v>154</v>
      </c>
      <c r="B96" s="1" t="s">
        <v>20</v>
      </c>
      <c r="C96" s="31" t="s">
        <v>17</v>
      </c>
      <c r="D96" s="31" t="s">
        <v>106</v>
      </c>
      <c r="E96" s="31" t="s">
        <v>41</v>
      </c>
      <c r="F96" s="23"/>
      <c r="G96" s="23"/>
      <c r="H96" s="31" t="s">
        <v>155</v>
      </c>
      <c r="I96" s="31" t="s">
        <v>20</v>
      </c>
      <c r="J96" s="31" t="s">
        <v>17</v>
      </c>
      <c r="K96" s="31" t="s">
        <v>106</v>
      </c>
      <c r="L96" s="31" t="s">
        <v>41</v>
      </c>
    </row>
    <row r="97" spans="1:12" x14ac:dyDescent="0.25">
      <c r="A97" s="3" t="s">
        <v>147</v>
      </c>
      <c r="B97" s="3" t="s">
        <v>16</v>
      </c>
      <c r="C97" s="3" t="s">
        <v>156</v>
      </c>
      <c r="D97" s="3">
        <f>0.67/1000</f>
        <v>6.7000000000000002E-4</v>
      </c>
      <c r="E97" s="3" t="s">
        <v>16</v>
      </c>
      <c r="H97" s="3" t="s">
        <v>147</v>
      </c>
      <c r="I97" s="3" t="s">
        <v>16</v>
      </c>
      <c r="J97" s="3" t="s">
        <v>156</v>
      </c>
      <c r="K97" s="3">
        <f>0.6/1000</f>
        <v>5.9999999999999995E-4</v>
      </c>
      <c r="L97" s="3" t="s">
        <v>16</v>
      </c>
    </row>
    <row r="98" spans="1:12" x14ac:dyDescent="0.25">
      <c r="A98" s="14" t="s">
        <v>148</v>
      </c>
      <c r="B98" s="3" t="s">
        <v>16</v>
      </c>
      <c r="C98" s="3" t="s">
        <v>156</v>
      </c>
      <c r="D98" s="3">
        <f t="shared" ref="D98:D103" si="8">0.67/1000</f>
        <v>6.7000000000000002E-4</v>
      </c>
      <c r="E98" s="3" t="s">
        <v>16</v>
      </c>
      <c r="H98" s="14" t="s">
        <v>148</v>
      </c>
      <c r="I98" s="3" t="s">
        <v>16</v>
      </c>
      <c r="J98" s="3" t="s">
        <v>156</v>
      </c>
      <c r="K98" s="3">
        <f t="shared" ref="K98:K103" si="9">0.6/1000</f>
        <v>5.9999999999999995E-4</v>
      </c>
      <c r="L98" s="3" t="s">
        <v>16</v>
      </c>
    </row>
    <row r="99" spans="1:12" x14ac:dyDescent="0.25">
      <c r="A99" s="14" t="s">
        <v>149</v>
      </c>
      <c r="B99" s="3" t="s">
        <v>16</v>
      </c>
      <c r="C99" s="3" t="s">
        <v>156</v>
      </c>
      <c r="D99" s="3">
        <f t="shared" si="8"/>
        <v>6.7000000000000002E-4</v>
      </c>
      <c r="E99" s="3" t="s">
        <v>16</v>
      </c>
      <c r="H99" s="14" t="s">
        <v>149</v>
      </c>
      <c r="I99" s="3" t="s">
        <v>16</v>
      </c>
      <c r="J99" s="3" t="s">
        <v>156</v>
      </c>
      <c r="K99" s="3">
        <f t="shared" si="9"/>
        <v>5.9999999999999995E-4</v>
      </c>
      <c r="L99" s="3" t="s">
        <v>16</v>
      </c>
    </row>
    <row r="100" spans="1:12" x14ac:dyDescent="0.25">
      <c r="A100" s="14" t="s">
        <v>73</v>
      </c>
      <c r="B100" s="3" t="s">
        <v>16</v>
      </c>
      <c r="C100" s="3" t="s">
        <v>156</v>
      </c>
      <c r="D100" s="3">
        <f t="shared" si="8"/>
        <v>6.7000000000000002E-4</v>
      </c>
      <c r="E100" s="3" t="s">
        <v>16</v>
      </c>
      <c r="H100" s="14" t="s">
        <v>73</v>
      </c>
      <c r="I100" s="3" t="s">
        <v>16</v>
      </c>
      <c r="J100" s="3" t="s">
        <v>156</v>
      </c>
      <c r="K100" s="3">
        <f t="shared" si="9"/>
        <v>5.9999999999999995E-4</v>
      </c>
      <c r="L100" s="3" t="s">
        <v>16</v>
      </c>
    </row>
    <row r="101" spans="1:12" x14ac:dyDescent="0.25">
      <c r="A101" s="14" t="s">
        <v>150</v>
      </c>
      <c r="B101" s="14">
        <v>25.1</v>
      </c>
      <c r="C101" s="3" t="s">
        <v>156</v>
      </c>
      <c r="D101" s="3">
        <f t="shared" si="8"/>
        <v>6.7000000000000002E-4</v>
      </c>
      <c r="E101" s="58">
        <f>B101*3.6/1000*0.67</f>
        <v>6.054120000000001E-2</v>
      </c>
      <c r="H101" s="14" t="s">
        <v>150</v>
      </c>
      <c r="I101" s="14">
        <v>33.299999999999997</v>
      </c>
      <c r="J101" s="3" t="s">
        <v>156</v>
      </c>
      <c r="K101" s="3">
        <f t="shared" si="9"/>
        <v>5.9999999999999995E-4</v>
      </c>
      <c r="L101" s="3">
        <f>I101*K101</f>
        <v>1.9979999999999998E-2</v>
      </c>
    </row>
    <row r="102" spans="1:12" x14ac:dyDescent="0.25">
      <c r="A102" s="14" t="s">
        <v>13</v>
      </c>
      <c r="B102" s="14">
        <v>26.3</v>
      </c>
      <c r="C102" s="3" t="s">
        <v>156</v>
      </c>
      <c r="D102" s="3">
        <f t="shared" si="8"/>
        <v>6.7000000000000002E-4</v>
      </c>
      <c r="E102" s="58">
        <f>B102*3.6/1000*0.67</f>
        <v>6.3435600000000009E-2</v>
      </c>
      <c r="H102" s="14" t="s">
        <v>13</v>
      </c>
      <c r="I102" s="14">
        <v>13.3</v>
      </c>
      <c r="J102" s="3" t="s">
        <v>156</v>
      </c>
      <c r="K102" s="3">
        <f t="shared" si="9"/>
        <v>5.9999999999999995E-4</v>
      </c>
      <c r="L102" s="3">
        <f>I102*K102</f>
        <v>7.9799999999999992E-3</v>
      </c>
    </row>
    <row r="103" spans="1:12" x14ac:dyDescent="0.25">
      <c r="A103" s="14" t="s">
        <v>151</v>
      </c>
      <c r="B103" s="14">
        <v>1111</v>
      </c>
      <c r="C103" s="3" t="s">
        <v>156</v>
      </c>
      <c r="D103" s="3">
        <f t="shared" si="8"/>
        <v>6.7000000000000002E-4</v>
      </c>
      <c r="E103" s="58">
        <f>B103*3.6/1000*0.67</f>
        <v>2.679732</v>
      </c>
      <c r="H103" s="14" t="s">
        <v>151</v>
      </c>
      <c r="I103" s="14">
        <v>1000</v>
      </c>
      <c r="J103" s="3" t="s">
        <v>156</v>
      </c>
      <c r="K103" s="3">
        <f t="shared" si="9"/>
        <v>5.9999999999999995E-4</v>
      </c>
      <c r="L103" s="3">
        <f>I103*K103</f>
        <v>0.6</v>
      </c>
    </row>
    <row r="104" spans="1:12" x14ac:dyDescent="0.25">
      <c r="A104" t="s">
        <v>455</v>
      </c>
      <c r="B104">
        <f>SUM(B97:B103)</f>
        <v>1162.4000000000001</v>
      </c>
      <c r="C104" t="s">
        <v>156</v>
      </c>
      <c r="E104" s="26">
        <f>B104*3.6/1000*0.67</f>
        <v>2.8037087999999999</v>
      </c>
      <c r="H104" t="s">
        <v>455</v>
      </c>
      <c r="I104">
        <f>SUM(I97:I103)</f>
        <v>1046.5999999999999</v>
      </c>
      <c r="J104" t="s">
        <v>156</v>
      </c>
      <c r="L104" s="26">
        <f>I104*3.6/1000*0.6</f>
        <v>2.2606559999999996</v>
      </c>
    </row>
    <row r="105" spans="1:12" x14ac:dyDescent="0.25">
      <c r="A105" t="s">
        <v>519</v>
      </c>
      <c r="E105" s="26">
        <f>SUM(E101:E102)</f>
        <v>0.12397680000000003</v>
      </c>
      <c r="H105" t="s">
        <v>519</v>
      </c>
      <c r="L105" s="26">
        <f>SUM(L101:L102)</f>
        <v>2.7959999999999999E-2</v>
      </c>
    </row>
    <row r="108" spans="1:12" ht="21" x14ac:dyDescent="0.35">
      <c r="A108" s="9" t="s">
        <v>157</v>
      </c>
      <c r="D108" s="15"/>
    </row>
    <row r="109" spans="1:12" x14ac:dyDescent="0.25">
      <c r="A109" t="s">
        <v>22</v>
      </c>
      <c r="B109" s="33" t="s">
        <v>158</v>
      </c>
      <c r="C109" t="s">
        <v>134</v>
      </c>
    </row>
    <row r="110" spans="1:12" x14ac:dyDescent="0.25">
      <c r="A110" t="s">
        <v>107</v>
      </c>
      <c r="B110" s="51" t="s">
        <v>160</v>
      </c>
    </row>
    <row r="111" spans="1:12" x14ac:dyDescent="0.25">
      <c r="A111" t="s">
        <v>48</v>
      </c>
      <c r="B111" s="66">
        <f>3*6*300</f>
        <v>5400</v>
      </c>
      <c r="C111" t="s">
        <v>134</v>
      </c>
    </row>
    <row r="112" spans="1:12" x14ac:dyDescent="0.25">
      <c r="A112" t="s">
        <v>249</v>
      </c>
      <c r="B112" s="40">
        <f>3/B116</f>
        <v>4.4117647058823524</v>
      </c>
      <c r="C112" t="s">
        <v>134</v>
      </c>
    </row>
    <row r="113" spans="1:6" x14ac:dyDescent="0.25">
      <c r="A113" t="s">
        <v>138</v>
      </c>
      <c r="B113" s="56">
        <f>B112*6*300</f>
        <v>7941.1764705882351</v>
      </c>
      <c r="C113" t="s">
        <v>134</v>
      </c>
    </row>
    <row r="114" spans="1:6" x14ac:dyDescent="0.25">
      <c r="A114" t="s">
        <v>475</v>
      </c>
      <c r="B114" s="60">
        <v>0.51</v>
      </c>
    </row>
    <row r="115" spans="1:6" x14ac:dyDescent="0.25">
      <c r="A115" t="s">
        <v>476</v>
      </c>
      <c r="B115" s="60" t="s">
        <v>477</v>
      </c>
    </row>
    <row r="116" spans="1:6" x14ac:dyDescent="0.25">
      <c r="A116" t="s">
        <v>482</v>
      </c>
      <c r="B116" s="50">
        <f>(90%*0.7)+(0.1*0.5)</f>
        <v>0.68</v>
      </c>
    </row>
    <row r="117" spans="1:6" ht="60" x14ac:dyDescent="0.25">
      <c r="A117" t="s">
        <v>442</v>
      </c>
      <c r="B117" s="29" t="s">
        <v>484</v>
      </c>
    </row>
    <row r="118" spans="1:6" ht="44.25" customHeight="1" x14ac:dyDescent="0.25">
      <c r="A118" t="s">
        <v>451</v>
      </c>
      <c r="B118" s="61" t="s">
        <v>478</v>
      </c>
    </row>
    <row r="119" spans="1:6" x14ac:dyDescent="0.25">
      <c r="A119" t="s">
        <v>0</v>
      </c>
      <c r="B119" s="3" t="s">
        <v>159</v>
      </c>
    </row>
    <row r="120" spans="1:6" x14ac:dyDescent="0.25">
      <c r="A120" t="s">
        <v>5</v>
      </c>
      <c r="B120" s="3" t="s">
        <v>88</v>
      </c>
    </row>
    <row r="121" spans="1:6" ht="45" customHeight="1" x14ac:dyDescent="0.25">
      <c r="A121" t="s">
        <v>6</v>
      </c>
      <c r="B121" s="29" t="s">
        <v>161</v>
      </c>
    </row>
    <row r="122" spans="1:6" ht="45" customHeight="1" x14ac:dyDescent="0.25">
      <c r="A122" t="s">
        <v>446</v>
      </c>
      <c r="B122" s="67" t="s">
        <v>486</v>
      </c>
    </row>
    <row r="124" spans="1:6" s="23" customFormat="1" ht="30" x14ac:dyDescent="0.25">
      <c r="A124" s="31" t="s">
        <v>167</v>
      </c>
      <c r="B124" s="31" t="s">
        <v>20</v>
      </c>
      <c r="C124" s="31" t="s">
        <v>17</v>
      </c>
      <c r="D124" s="31" t="s">
        <v>75</v>
      </c>
      <c r="E124" s="31" t="s">
        <v>106</v>
      </c>
      <c r="F124" s="31" t="s">
        <v>41</v>
      </c>
    </row>
    <row r="125" spans="1:6" x14ac:dyDescent="0.25">
      <c r="A125" s="3" t="s">
        <v>73</v>
      </c>
      <c r="B125" s="18">
        <f>(8.7+17.4)/2</f>
        <v>13.049999999999999</v>
      </c>
      <c r="C125" s="3" t="s">
        <v>162</v>
      </c>
      <c r="D125" s="20"/>
      <c r="E125" s="3">
        <f>((90%*0.7)+(0.1*0.5))/1000</f>
        <v>6.8000000000000005E-4</v>
      </c>
      <c r="F125" s="3">
        <f>E125*B125</f>
        <v>8.8739999999999999E-3</v>
      </c>
    </row>
    <row r="126" spans="1:6" x14ac:dyDescent="0.25">
      <c r="A126" s="14" t="s">
        <v>13</v>
      </c>
      <c r="B126" s="18">
        <f>(19+29.26)/2</f>
        <v>24.130000000000003</v>
      </c>
      <c r="C126" s="3" t="s">
        <v>162</v>
      </c>
      <c r="D126" s="20"/>
      <c r="E126" s="3">
        <f>((90%*0.7)+(0.1*0.5))/1000</f>
        <v>6.8000000000000005E-4</v>
      </c>
      <c r="F126" s="3">
        <f>E126*B126</f>
        <v>1.6408400000000004E-2</v>
      </c>
    </row>
    <row r="127" spans="1:6" x14ac:dyDescent="0.25">
      <c r="A127" t="s">
        <v>455</v>
      </c>
      <c r="B127">
        <f>SUM(B125:B126)</f>
        <v>37.18</v>
      </c>
      <c r="C127" s="3" t="s">
        <v>162</v>
      </c>
      <c r="F127" s="26">
        <f>SUM(F125:F126)</f>
        <v>2.5282400000000003E-2</v>
      </c>
    </row>
    <row r="131" spans="1:4" ht="21" x14ac:dyDescent="0.35">
      <c r="A131" s="9" t="s">
        <v>163</v>
      </c>
      <c r="D131" s="15"/>
    </row>
    <row r="132" spans="1:4" x14ac:dyDescent="0.25">
      <c r="A132" t="s">
        <v>22</v>
      </c>
      <c r="B132" s="33" t="s">
        <v>164</v>
      </c>
    </row>
    <row r="133" spans="1:4" x14ac:dyDescent="0.25">
      <c r="A133" t="s">
        <v>107</v>
      </c>
      <c r="B133" s="14">
        <v>1</v>
      </c>
      <c r="C133" t="s">
        <v>89</v>
      </c>
    </row>
    <row r="134" spans="1:4" x14ac:dyDescent="0.25">
      <c r="A134" t="s">
        <v>48</v>
      </c>
      <c r="B134" s="51"/>
    </row>
    <row r="135" spans="1:4" x14ac:dyDescent="0.25">
      <c r="A135" t="s">
        <v>247</v>
      </c>
      <c r="B135" s="50">
        <f>B133/0.7</f>
        <v>1.4285714285714286</v>
      </c>
      <c r="C135" t="s">
        <v>89</v>
      </c>
    </row>
    <row r="136" spans="1:4" x14ac:dyDescent="0.25">
      <c r="A136" t="s">
        <v>248</v>
      </c>
      <c r="B136" s="50">
        <f>B133/0.5</f>
        <v>2</v>
      </c>
      <c r="C136" t="s">
        <v>89</v>
      </c>
    </row>
    <row r="137" spans="1:4" x14ac:dyDescent="0.25">
      <c r="A137" t="s">
        <v>657</v>
      </c>
      <c r="B137" s="157">
        <f>(B136+B135)/2*6*300</f>
        <v>3085.7142857142858</v>
      </c>
    </row>
    <row r="138" spans="1:4" x14ac:dyDescent="0.25">
      <c r="A138" t="s">
        <v>655</v>
      </c>
      <c r="B138" s="14">
        <v>0.7</v>
      </c>
    </row>
    <row r="139" spans="1:4" x14ac:dyDescent="0.25">
      <c r="A139" t="s">
        <v>656</v>
      </c>
      <c r="B139" s="14">
        <v>0.5</v>
      </c>
    </row>
    <row r="140" spans="1:4" x14ac:dyDescent="0.25">
      <c r="A140" t="s">
        <v>442</v>
      </c>
      <c r="B140" s="14" t="s">
        <v>140</v>
      </c>
    </row>
    <row r="141" spans="1:4" ht="60" x14ac:dyDescent="0.25">
      <c r="A141" t="s">
        <v>451</v>
      </c>
      <c r="B141" s="41" t="s">
        <v>171</v>
      </c>
    </row>
    <row r="142" spans="1:4" x14ac:dyDescent="0.25">
      <c r="A142" t="s">
        <v>0</v>
      </c>
      <c r="B142" s="3" t="s">
        <v>245</v>
      </c>
    </row>
    <row r="143" spans="1:4" x14ac:dyDescent="0.25">
      <c r="A143" t="s">
        <v>5</v>
      </c>
      <c r="B143" s="3" t="s">
        <v>88</v>
      </c>
    </row>
    <row r="144" spans="1:4" ht="30" x14ac:dyDescent="0.25">
      <c r="A144" t="s">
        <v>6</v>
      </c>
      <c r="B144" s="29" t="s">
        <v>165</v>
      </c>
    </row>
    <row r="145" spans="1:22" ht="30" x14ac:dyDescent="0.25">
      <c r="A145" t="s">
        <v>446</v>
      </c>
      <c r="B145" s="29" t="s">
        <v>633</v>
      </c>
    </row>
    <row r="147" spans="1:22" s="23" customFormat="1" ht="45" x14ac:dyDescent="0.25">
      <c r="A147" s="31" t="s">
        <v>166</v>
      </c>
      <c r="B147" s="31" t="s">
        <v>20</v>
      </c>
      <c r="C147" s="31" t="s">
        <v>17</v>
      </c>
      <c r="D147" s="31" t="s">
        <v>75</v>
      </c>
      <c r="E147" s="31" t="s">
        <v>106</v>
      </c>
      <c r="F147" s="31" t="s">
        <v>41</v>
      </c>
      <c r="I147" s="31" t="s">
        <v>169</v>
      </c>
      <c r="J147" s="31" t="s">
        <v>20</v>
      </c>
      <c r="K147" s="31" t="s">
        <v>17</v>
      </c>
      <c r="L147" s="31" t="s">
        <v>75</v>
      </c>
      <c r="M147" s="31" t="s">
        <v>106</v>
      </c>
      <c r="N147" s="31" t="s">
        <v>41</v>
      </c>
      <c r="Q147" s="31" t="s">
        <v>168</v>
      </c>
      <c r="R147" s="31" t="s">
        <v>20</v>
      </c>
      <c r="S147" s="31" t="s">
        <v>17</v>
      </c>
      <c r="T147" s="31" t="s">
        <v>75</v>
      </c>
      <c r="U147" s="31" t="s">
        <v>106</v>
      </c>
      <c r="V147" s="31" t="s">
        <v>41</v>
      </c>
    </row>
    <row r="148" spans="1:22" x14ac:dyDescent="0.25">
      <c r="A148" s="14" t="s">
        <v>185</v>
      </c>
      <c r="B148" s="3">
        <v>41.1</v>
      </c>
      <c r="C148" s="3"/>
      <c r="D148" s="20"/>
      <c r="E148" s="30">
        <f>0.7/1000</f>
        <v>6.9999999999999999E-4</v>
      </c>
      <c r="F148" s="156">
        <f>B148*3.6*E148</f>
        <v>0.10357200000000001</v>
      </c>
      <c r="I148" s="14" t="s">
        <v>185</v>
      </c>
      <c r="J148" s="19">
        <f>J149</f>
        <v>42.84</v>
      </c>
      <c r="K148" s="3"/>
      <c r="L148" s="20"/>
      <c r="M148" s="3">
        <f>M149</f>
        <v>6.9999999999999999E-4</v>
      </c>
      <c r="N148" s="27">
        <f>N149</f>
        <v>0.10795680000000001</v>
      </c>
      <c r="Q148" s="14" t="s">
        <v>185</v>
      </c>
      <c r="R148" s="19">
        <f>R149</f>
        <v>27.55</v>
      </c>
      <c r="S148" s="3"/>
      <c r="T148" s="20"/>
      <c r="U148" s="3">
        <f>U149</f>
        <v>5.0000000000000001E-4</v>
      </c>
      <c r="V148" s="27">
        <f>V149</f>
        <v>4.9590000000000002E-2</v>
      </c>
    </row>
    <row r="149" spans="1:22" x14ac:dyDescent="0.25">
      <c r="A149" t="s">
        <v>455</v>
      </c>
      <c r="B149">
        <v>41.1</v>
      </c>
      <c r="C149" s="3" t="s">
        <v>170</v>
      </c>
      <c r="E149">
        <f>0.7/1000</f>
        <v>6.9999999999999999E-4</v>
      </c>
      <c r="F149" s="26">
        <f>B149*3.6*E149</f>
        <v>0.10357200000000001</v>
      </c>
      <c r="I149" t="s">
        <v>455</v>
      </c>
      <c r="J149">
        <v>42.84</v>
      </c>
      <c r="K149" s="3" t="s">
        <v>170</v>
      </c>
      <c r="M149">
        <f>0.7/1000</f>
        <v>6.9999999999999999E-4</v>
      </c>
      <c r="N149" s="26">
        <f>J149*3.6*M149</f>
        <v>0.10795680000000001</v>
      </c>
      <c r="Q149" t="s">
        <v>455</v>
      </c>
      <c r="R149">
        <v>27.55</v>
      </c>
      <c r="S149" s="3" t="s">
        <v>170</v>
      </c>
      <c r="U149">
        <f>0.5/1000</f>
        <v>5.0000000000000001E-4</v>
      </c>
      <c r="V149" s="26">
        <f>R149*3.6*U149</f>
        <v>4.9590000000000002E-2</v>
      </c>
    </row>
    <row r="152" spans="1:22" ht="21" x14ac:dyDescent="0.35">
      <c r="A152" s="9" t="s">
        <v>267</v>
      </c>
      <c r="D152" s="15"/>
      <c r="E152" s="22"/>
    </row>
    <row r="153" spans="1:22" x14ac:dyDescent="0.25">
      <c r="A153" t="s">
        <v>22</v>
      </c>
      <c r="B153" s="33" t="s">
        <v>274</v>
      </c>
      <c r="E153" s="22"/>
    </row>
    <row r="154" spans="1:22" x14ac:dyDescent="0.25">
      <c r="A154" t="s">
        <v>107</v>
      </c>
      <c r="B154" s="30">
        <v>120</v>
      </c>
      <c r="C154" s="23" t="s">
        <v>33</v>
      </c>
      <c r="D154" s="23"/>
      <c r="E154" s="22"/>
    </row>
    <row r="155" spans="1:22" x14ac:dyDescent="0.25">
      <c r="A155" t="s">
        <v>48</v>
      </c>
      <c r="B155" s="35"/>
      <c r="E155" s="22"/>
    </row>
    <row r="156" spans="1:22" x14ac:dyDescent="0.25">
      <c r="A156" t="s">
        <v>246</v>
      </c>
      <c r="B156" s="54">
        <f>B154/0.88</f>
        <v>136.36363636363637</v>
      </c>
      <c r="C156" t="s">
        <v>33</v>
      </c>
      <c r="E156" s="22"/>
    </row>
    <row r="157" spans="1:22" x14ac:dyDescent="0.25">
      <c r="A157" t="s">
        <v>449</v>
      </c>
      <c r="B157" s="54">
        <f>B156*6*300/1000</f>
        <v>245.45454545454547</v>
      </c>
      <c r="C157" t="s">
        <v>89</v>
      </c>
      <c r="E157" s="22"/>
    </row>
    <row r="158" spans="1:22" x14ac:dyDescent="0.25">
      <c r="A158" t="s">
        <v>654</v>
      </c>
      <c r="B158" s="14">
        <v>0.88</v>
      </c>
      <c r="E158" s="22"/>
    </row>
    <row r="159" spans="1:22" x14ac:dyDescent="0.25">
      <c r="A159" t="s">
        <v>442</v>
      </c>
      <c r="B159" s="14" t="s">
        <v>444</v>
      </c>
      <c r="E159" s="22"/>
    </row>
    <row r="160" spans="1:22" x14ac:dyDescent="0.25">
      <c r="A160" t="s">
        <v>19</v>
      </c>
      <c r="B160" s="155"/>
      <c r="E160" s="22"/>
    </row>
    <row r="161" spans="1:6" x14ac:dyDescent="0.25">
      <c r="A161" t="s">
        <v>0</v>
      </c>
      <c r="B161" s="3" t="s">
        <v>275</v>
      </c>
      <c r="E161" s="22"/>
    </row>
    <row r="162" spans="1:6" x14ac:dyDescent="0.25">
      <c r="A162" t="s">
        <v>5</v>
      </c>
      <c r="B162" s="30" t="s">
        <v>269</v>
      </c>
      <c r="E162" s="22"/>
    </row>
    <row r="163" spans="1:6" ht="30" x14ac:dyDescent="0.25">
      <c r="A163" t="s">
        <v>6</v>
      </c>
      <c r="B163" s="29" t="s">
        <v>505</v>
      </c>
      <c r="E163" s="22"/>
    </row>
    <row r="164" spans="1:6" ht="30" x14ac:dyDescent="0.25">
      <c r="A164" t="s">
        <v>446</v>
      </c>
      <c r="B164" s="29" t="s">
        <v>658</v>
      </c>
      <c r="E164" s="22"/>
    </row>
    <row r="165" spans="1:6" x14ac:dyDescent="0.25">
      <c r="E165" s="22"/>
    </row>
    <row r="166" spans="1:6" s="23" customFormat="1" ht="45" x14ac:dyDescent="0.25">
      <c r="A166" s="31" t="s">
        <v>277</v>
      </c>
      <c r="B166" s="31" t="s">
        <v>20</v>
      </c>
      <c r="C166" s="31" t="s">
        <v>17</v>
      </c>
      <c r="D166" s="31" t="s">
        <v>272</v>
      </c>
      <c r="E166" s="32" t="s">
        <v>106</v>
      </c>
      <c r="F166" s="31" t="s">
        <v>41</v>
      </c>
    </row>
    <row r="167" spans="1:6" x14ac:dyDescent="0.25">
      <c r="A167" s="3" t="s">
        <v>279</v>
      </c>
      <c r="B167" s="3">
        <f>0.746*5</f>
        <v>3.73</v>
      </c>
      <c r="C167" s="3" t="s">
        <v>282</v>
      </c>
      <c r="D167" s="3">
        <f>B167*3.6/120</f>
        <v>0.11190000000000001</v>
      </c>
      <c r="E167" s="14">
        <v>0.88</v>
      </c>
      <c r="F167" s="3">
        <f>E167*D167</f>
        <v>9.8472000000000018E-2</v>
      </c>
    </row>
    <row r="168" spans="1:6" x14ac:dyDescent="0.25">
      <c r="A168" t="s">
        <v>455</v>
      </c>
      <c r="B168">
        <f>SUM(B167:B167)</f>
        <v>3.73</v>
      </c>
      <c r="D168">
        <f>SUM(D167:D167)</f>
        <v>0.11190000000000001</v>
      </c>
      <c r="E168" s="22"/>
      <c r="F168" s="26">
        <f>SUM(F167:F167)</f>
        <v>9.8472000000000018E-2</v>
      </c>
    </row>
    <row r="172" spans="1:6" ht="21" x14ac:dyDescent="0.35">
      <c r="A172" s="9" t="s">
        <v>494</v>
      </c>
    </row>
    <row r="173" spans="1:6" x14ac:dyDescent="0.25">
      <c r="A173" t="s">
        <v>499</v>
      </c>
      <c r="B173" s="68">
        <f>F42</f>
        <v>2.81502E-2</v>
      </c>
    </row>
    <row r="174" spans="1:6" x14ac:dyDescent="0.25">
      <c r="A174" t="s">
        <v>500</v>
      </c>
      <c r="B174" s="68">
        <f>F43</f>
        <v>6.0442199999999995E-2</v>
      </c>
    </row>
    <row r="175" spans="1:6" x14ac:dyDescent="0.25">
      <c r="A175" t="s">
        <v>501</v>
      </c>
      <c r="B175" s="68">
        <f>F44</f>
        <v>3.3064200000000002E-2</v>
      </c>
    </row>
    <row r="176" spans="1:6" x14ac:dyDescent="0.25">
      <c r="A176" t="s">
        <v>502</v>
      </c>
      <c r="B176" s="10">
        <f>N46</f>
        <v>4.2377400000000003E-2</v>
      </c>
    </row>
    <row r="177" spans="1:2" x14ac:dyDescent="0.25">
      <c r="A177" t="s">
        <v>503</v>
      </c>
      <c r="B177" s="10">
        <f>N47</f>
        <v>0.12813839999999999</v>
      </c>
    </row>
    <row r="178" spans="1:2" x14ac:dyDescent="0.25">
      <c r="A178" t="s">
        <v>504</v>
      </c>
      <c r="B178" s="10">
        <f>N48</f>
        <v>5.1433199999999998E-2</v>
      </c>
    </row>
    <row r="179" spans="1:2" x14ac:dyDescent="0.25">
      <c r="A179" t="s">
        <v>506</v>
      </c>
      <c r="B179" s="68">
        <f>F72</f>
        <v>3.2950080000000007E-2</v>
      </c>
    </row>
    <row r="180" spans="1:2" x14ac:dyDescent="0.25">
      <c r="A180" t="s">
        <v>507</v>
      </c>
      <c r="B180" s="68">
        <f t="shared" ref="B180:B181" si="10">F73</f>
        <v>1.4639040000000002E-2</v>
      </c>
    </row>
    <row r="181" spans="1:2" x14ac:dyDescent="0.25">
      <c r="A181" t="s">
        <v>508</v>
      </c>
      <c r="B181" s="68">
        <f t="shared" si="10"/>
        <v>1.2240000000000003E-2</v>
      </c>
    </row>
    <row r="182" spans="1:2" x14ac:dyDescent="0.25">
      <c r="A182" t="s">
        <v>509</v>
      </c>
      <c r="B182" s="10">
        <f>N72</f>
        <v>2.88864E-2</v>
      </c>
    </row>
    <row r="183" spans="1:2" x14ac:dyDescent="0.25">
      <c r="A183" t="s">
        <v>510</v>
      </c>
      <c r="B183" s="10">
        <f t="shared" ref="B183:B184" si="11">N73</f>
        <v>1.14696E-2</v>
      </c>
    </row>
    <row r="184" spans="1:2" x14ac:dyDescent="0.25">
      <c r="A184" t="s">
        <v>511</v>
      </c>
      <c r="B184" s="10">
        <f t="shared" si="11"/>
        <v>1.14696E-2</v>
      </c>
    </row>
    <row r="185" spans="1:2" x14ac:dyDescent="0.25">
      <c r="A185" t="s">
        <v>512</v>
      </c>
      <c r="B185" s="68">
        <f>E105</f>
        <v>0.12397680000000003</v>
      </c>
    </row>
    <row r="186" spans="1:2" x14ac:dyDescent="0.25">
      <c r="A186" t="s">
        <v>513</v>
      </c>
      <c r="B186" s="10">
        <f>L105</f>
        <v>2.7959999999999999E-2</v>
      </c>
    </row>
    <row r="187" spans="1:2" x14ac:dyDescent="0.25">
      <c r="A187" t="s">
        <v>514</v>
      </c>
      <c r="B187" s="10">
        <f>F127</f>
        <v>2.5282400000000003E-2</v>
      </c>
    </row>
    <row r="188" spans="1:2" x14ac:dyDescent="0.25">
      <c r="A188" t="s">
        <v>515</v>
      </c>
      <c r="B188" s="10">
        <f>F149</f>
        <v>0.10357200000000001</v>
      </c>
    </row>
    <row r="189" spans="1:2" x14ac:dyDescent="0.25">
      <c r="A189" t="s">
        <v>516</v>
      </c>
      <c r="B189" s="10">
        <f>N149</f>
        <v>0.10795680000000001</v>
      </c>
    </row>
    <row r="190" spans="1:2" x14ac:dyDescent="0.25">
      <c r="A190" t="s">
        <v>517</v>
      </c>
      <c r="B190" s="10">
        <f>V149</f>
        <v>4.9590000000000002E-2</v>
      </c>
    </row>
    <row r="191" spans="1:2" x14ac:dyDescent="0.25">
      <c r="A191" t="s">
        <v>518</v>
      </c>
      <c r="B191" s="10">
        <f>F168</f>
        <v>9.8472000000000018E-2</v>
      </c>
    </row>
    <row r="192" spans="1:2" x14ac:dyDescent="0.25">
      <c r="A192" t="s">
        <v>491</v>
      </c>
      <c r="B192" s="10">
        <f>AVERAGE($B$173:$B$191)</f>
        <v>5.2214227368421053E-2</v>
      </c>
    </row>
    <row r="193" spans="1:2" x14ac:dyDescent="0.25">
      <c r="A193" t="s">
        <v>492</v>
      </c>
      <c r="B193" s="10">
        <f>MAX($B$173:$B$191)</f>
        <v>0.12813839999999999</v>
      </c>
    </row>
    <row r="194" spans="1:2" x14ac:dyDescent="0.25">
      <c r="A194" t="s">
        <v>493</v>
      </c>
      <c r="B194" s="10">
        <f>MIN($B$173:$B$191)</f>
        <v>1.14696E-2</v>
      </c>
    </row>
  </sheetData>
  <phoneticPr fontId="9" type="noConversion"/>
  <hyperlinks>
    <hyperlink ref="D6" r:id="rId1" xr:uid="{3AD951D8-A95C-41AC-9155-31491A756872}"/>
  </hyperlinks>
  <pageMargins left="0.7" right="0.7" top="0.78740157499999996" bottom="0.78740157499999996" header="0.3" footer="0.3"/>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0F205-1988-4267-B255-4E84F38A79E8}">
  <dimension ref="A1:N140"/>
  <sheetViews>
    <sheetView topLeftCell="A102" zoomScale="81" zoomScaleNormal="65" workbookViewId="0">
      <selection activeCell="C16" sqref="C16"/>
    </sheetView>
  </sheetViews>
  <sheetFormatPr defaultColWidth="11.42578125" defaultRowHeight="15" x14ac:dyDescent="0.25"/>
  <cols>
    <col min="1" max="1" width="30.85546875" customWidth="1"/>
    <col min="2" max="2" width="22.140625" style="23" customWidth="1"/>
    <col min="3" max="4" width="25.85546875" customWidth="1"/>
    <col min="5" max="5" width="18.42578125" customWidth="1"/>
    <col min="6" max="6" width="16" bestFit="1" customWidth="1"/>
    <col min="7" max="7" width="13.140625" bestFit="1" customWidth="1"/>
    <col min="9" max="9" width="17.5703125" customWidth="1"/>
    <col min="11" max="11" width="16.42578125" customWidth="1"/>
  </cols>
  <sheetData>
    <row r="1" spans="1:12" ht="15.75" x14ac:dyDescent="0.25">
      <c r="A1" s="5"/>
      <c r="B1" s="75"/>
      <c r="C1" s="4" t="s">
        <v>35</v>
      </c>
      <c r="D1" s="4" t="s">
        <v>34</v>
      </c>
      <c r="E1" s="5"/>
      <c r="F1" s="171"/>
      <c r="G1" s="171"/>
      <c r="H1" s="171"/>
      <c r="I1" s="171"/>
      <c r="J1" s="171"/>
      <c r="K1" s="171"/>
      <c r="L1" s="171"/>
    </row>
    <row r="2" spans="1:12" ht="21" x14ac:dyDescent="0.35">
      <c r="A2" s="8" t="s">
        <v>39</v>
      </c>
      <c r="B2" s="75"/>
      <c r="C2" s="4"/>
      <c r="D2" s="4"/>
      <c r="E2" s="5"/>
      <c r="F2" s="13"/>
      <c r="G2" s="13"/>
      <c r="H2" s="13"/>
      <c r="I2" s="13"/>
      <c r="J2" s="13"/>
      <c r="K2" s="13"/>
      <c r="L2" s="13"/>
    </row>
    <row r="3" spans="1:12" ht="30" x14ac:dyDescent="0.25">
      <c r="A3" t="s">
        <v>1</v>
      </c>
      <c r="B3" s="46" t="s">
        <v>172</v>
      </c>
      <c r="D3" s="14" t="s">
        <v>661</v>
      </c>
    </row>
    <row r="4" spans="1:12" ht="30" x14ac:dyDescent="0.25">
      <c r="A4" t="s">
        <v>7</v>
      </c>
      <c r="B4" s="76" t="s">
        <v>183</v>
      </c>
      <c r="D4" s="158" t="s">
        <v>184</v>
      </c>
    </row>
    <row r="5" spans="1:12" ht="60" x14ac:dyDescent="0.25">
      <c r="A5" t="s">
        <v>27</v>
      </c>
      <c r="B5" s="30">
        <v>0.18</v>
      </c>
      <c r="C5" s="3" t="s">
        <v>37</v>
      </c>
      <c r="D5" s="3" t="s">
        <v>31</v>
      </c>
      <c r="E5" s="29" t="s">
        <v>173</v>
      </c>
    </row>
    <row r="7" spans="1:12" ht="21" x14ac:dyDescent="0.35">
      <c r="A7" s="9" t="s">
        <v>38</v>
      </c>
    </row>
    <row r="8" spans="1:12" x14ac:dyDescent="0.25">
      <c r="A8" t="s">
        <v>36</v>
      </c>
      <c r="B8" s="36">
        <v>100000</v>
      </c>
      <c r="C8" t="s">
        <v>37</v>
      </c>
    </row>
    <row r="9" spans="1:12" x14ac:dyDescent="0.25">
      <c r="A9" t="s">
        <v>102</v>
      </c>
      <c r="B9" s="36">
        <f>B8/B5/1000</f>
        <v>555.55555555555566</v>
      </c>
      <c r="C9" t="s">
        <v>89</v>
      </c>
    </row>
    <row r="10" spans="1:12" x14ac:dyDescent="0.25">
      <c r="A10" t="s">
        <v>175</v>
      </c>
      <c r="B10" s="36">
        <f>B8/B5/365</f>
        <v>1522.0700152207003</v>
      </c>
      <c r="C10" t="s">
        <v>33</v>
      </c>
    </row>
    <row r="11" spans="1:12" x14ac:dyDescent="0.25">
      <c r="A11" t="s">
        <v>174</v>
      </c>
      <c r="B11" s="36">
        <f>B10/8</f>
        <v>190.25875190258753</v>
      </c>
      <c r="C11" t="s">
        <v>33</v>
      </c>
    </row>
    <row r="13" spans="1:12" ht="21" x14ac:dyDescent="0.35">
      <c r="A13" s="9" t="s">
        <v>437</v>
      </c>
      <c r="B13" s="23">
        <v>0.216</v>
      </c>
      <c r="C13" t="s">
        <v>433</v>
      </c>
    </row>
    <row r="17" spans="1:4" ht="21" x14ac:dyDescent="0.35">
      <c r="A17" s="9" t="s">
        <v>40</v>
      </c>
      <c r="D17" s="15"/>
    </row>
    <row r="18" spans="1:4" x14ac:dyDescent="0.25">
      <c r="A18" t="s">
        <v>22</v>
      </c>
      <c r="B18" s="77" t="s">
        <v>176</v>
      </c>
    </row>
    <row r="19" spans="1:4" x14ac:dyDescent="0.25">
      <c r="A19" t="s">
        <v>107</v>
      </c>
      <c r="B19" s="47">
        <f>1/6</f>
        <v>0.16666666666666666</v>
      </c>
      <c r="C19" t="s">
        <v>33</v>
      </c>
    </row>
    <row r="20" spans="1:4" x14ac:dyDescent="0.25">
      <c r="A20" t="s">
        <v>48</v>
      </c>
      <c r="B20" s="78" t="s">
        <v>193</v>
      </c>
      <c r="C20" t="s">
        <v>89</v>
      </c>
    </row>
    <row r="21" spans="1:4" x14ac:dyDescent="0.25">
      <c r="A21" t="s">
        <v>246</v>
      </c>
      <c r="B21" s="47">
        <f>B19/B24</f>
        <v>0.27777777777777779</v>
      </c>
      <c r="C21" t="s">
        <v>33</v>
      </c>
    </row>
    <row r="22" spans="1:4" x14ac:dyDescent="0.25">
      <c r="A22" t="s">
        <v>49</v>
      </c>
      <c r="B22" s="47">
        <f>B21*6</f>
        <v>1.6666666666666667</v>
      </c>
      <c r="C22" t="s">
        <v>33</v>
      </c>
    </row>
    <row r="23" spans="1:4" x14ac:dyDescent="0.25">
      <c r="A23" t="s">
        <v>449</v>
      </c>
      <c r="B23" s="47">
        <f>B22*300</f>
        <v>500</v>
      </c>
      <c r="C23" t="s">
        <v>33</v>
      </c>
    </row>
    <row r="24" spans="1:4" x14ac:dyDescent="0.25">
      <c r="A24" t="s">
        <v>524</v>
      </c>
      <c r="B24" s="73">
        <v>0.6</v>
      </c>
    </row>
    <row r="25" spans="1:4" x14ac:dyDescent="0.25">
      <c r="A25" t="s">
        <v>442</v>
      </c>
      <c r="B25" s="30" t="s">
        <v>444</v>
      </c>
    </row>
    <row r="26" spans="1:4" ht="90" x14ac:dyDescent="0.25">
      <c r="A26" t="s">
        <v>452</v>
      </c>
      <c r="B26" s="41" t="s">
        <v>192</v>
      </c>
    </row>
    <row r="27" spans="1:4" ht="210" x14ac:dyDescent="0.25">
      <c r="A27" t="s">
        <v>451</v>
      </c>
      <c r="B27" s="79" t="s">
        <v>523</v>
      </c>
    </row>
    <row r="28" spans="1:4" x14ac:dyDescent="0.25">
      <c r="A28" t="s">
        <v>0</v>
      </c>
      <c r="B28" s="36" t="s">
        <v>191</v>
      </c>
    </row>
    <row r="29" spans="1:4" x14ac:dyDescent="0.25">
      <c r="A29" t="s">
        <v>5</v>
      </c>
      <c r="B29" s="36" t="s">
        <v>177</v>
      </c>
    </row>
    <row r="30" spans="1:4" x14ac:dyDescent="0.25">
      <c r="A30" t="s">
        <v>6</v>
      </c>
      <c r="B30" s="36" t="s">
        <v>178</v>
      </c>
    </row>
    <row r="31" spans="1:4" ht="90" x14ac:dyDescent="0.25">
      <c r="A31" t="s">
        <v>448</v>
      </c>
      <c r="B31" s="46" t="s">
        <v>529</v>
      </c>
    </row>
    <row r="33" spans="1:14" s="23" customFormat="1" ht="60" x14ac:dyDescent="0.25">
      <c r="A33" s="31" t="s">
        <v>189</v>
      </c>
      <c r="B33" s="31" t="s">
        <v>20</v>
      </c>
      <c r="C33" s="31" t="s">
        <v>17</v>
      </c>
      <c r="D33" s="31" t="s">
        <v>244</v>
      </c>
      <c r="E33" s="31" t="s">
        <v>106</v>
      </c>
      <c r="F33" s="31" t="s">
        <v>41</v>
      </c>
      <c r="G33" s="31"/>
      <c r="H33" s="31"/>
      <c r="I33" s="31" t="s">
        <v>190</v>
      </c>
      <c r="J33" s="31" t="s">
        <v>20</v>
      </c>
      <c r="K33" s="31" t="s">
        <v>17</v>
      </c>
      <c r="L33" s="31" t="s">
        <v>244</v>
      </c>
      <c r="M33" s="31" t="s">
        <v>106</v>
      </c>
      <c r="N33" s="31" t="s">
        <v>41</v>
      </c>
    </row>
    <row r="34" spans="1:14" x14ac:dyDescent="0.25">
      <c r="A34" s="3"/>
      <c r="B34" s="36">
        <v>14.93</v>
      </c>
      <c r="C34" s="3" t="s">
        <v>90</v>
      </c>
      <c r="D34" s="3">
        <f>B34*3.6</f>
        <v>53.747999999999998</v>
      </c>
      <c r="E34" s="3">
        <v>0.6</v>
      </c>
      <c r="F34" s="3">
        <f>D34*E34/1000</f>
        <v>3.2248799999999994E-2</v>
      </c>
      <c r="H34" s="10"/>
      <c r="I34" s="3"/>
      <c r="J34" s="3">
        <v>13.51</v>
      </c>
      <c r="K34" s="3" t="s">
        <v>90</v>
      </c>
      <c r="L34" s="3">
        <f>J34*3.6</f>
        <v>48.636000000000003</v>
      </c>
      <c r="M34" s="3">
        <v>0.6</v>
      </c>
      <c r="N34" s="3">
        <f>L34*M34/1000</f>
        <v>2.9181599999999999E-2</v>
      </c>
    </row>
    <row r="35" spans="1:14" x14ac:dyDescent="0.25">
      <c r="A35" t="s">
        <v>455</v>
      </c>
      <c r="B35" s="23">
        <f>SUM(B34:B34)</f>
        <v>14.93</v>
      </c>
      <c r="F35" s="26">
        <f>SUM(F34:F34)</f>
        <v>3.2248799999999994E-2</v>
      </c>
      <c r="I35" t="s">
        <v>455</v>
      </c>
      <c r="J35">
        <f>SUM(J34:J34)</f>
        <v>13.51</v>
      </c>
      <c r="N35" s="26">
        <f>SUM(N34:N34)</f>
        <v>2.9181599999999999E-2</v>
      </c>
    </row>
    <row r="39" spans="1:14" ht="21" x14ac:dyDescent="0.35">
      <c r="A39" s="9" t="s">
        <v>95</v>
      </c>
      <c r="D39" s="15"/>
    </row>
    <row r="40" spans="1:14" x14ac:dyDescent="0.25">
      <c r="A40" t="s">
        <v>22</v>
      </c>
      <c r="B40" s="77" t="s">
        <v>180</v>
      </c>
    </row>
    <row r="41" spans="1:14" x14ac:dyDescent="0.25">
      <c r="A41" t="s">
        <v>107</v>
      </c>
      <c r="B41" s="30">
        <v>400</v>
      </c>
      <c r="C41" t="s">
        <v>33</v>
      </c>
    </row>
    <row r="42" spans="1:14" x14ac:dyDescent="0.25">
      <c r="A42" t="s">
        <v>48</v>
      </c>
      <c r="B42" s="30">
        <v>2400</v>
      </c>
      <c r="C42" t="s">
        <v>33</v>
      </c>
    </row>
    <row r="43" spans="1:14" x14ac:dyDescent="0.25">
      <c r="A43" t="s">
        <v>186</v>
      </c>
      <c r="B43" s="30">
        <v>600</v>
      </c>
      <c r="C43" t="s">
        <v>89</v>
      </c>
    </row>
    <row r="44" spans="1:14" x14ac:dyDescent="0.25">
      <c r="A44" t="s">
        <v>246</v>
      </c>
      <c r="B44" s="47">
        <f t="shared" ref="B44:B45" si="0">B41/0.6</f>
        <v>666.66666666666674</v>
      </c>
      <c r="C44" t="s">
        <v>33</v>
      </c>
    </row>
    <row r="45" spans="1:14" x14ac:dyDescent="0.25">
      <c r="A45" t="s">
        <v>49</v>
      </c>
      <c r="B45" s="47">
        <f t="shared" si="0"/>
        <v>4000</v>
      </c>
      <c r="C45" t="s">
        <v>33</v>
      </c>
    </row>
    <row r="46" spans="1:14" x14ac:dyDescent="0.25">
      <c r="A46" t="s">
        <v>449</v>
      </c>
      <c r="B46" s="47">
        <f>B43/0.6</f>
        <v>1000</v>
      </c>
      <c r="C46" t="s">
        <v>89</v>
      </c>
    </row>
    <row r="47" spans="1:14" x14ac:dyDescent="0.25">
      <c r="A47" t="s">
        <v>450</v>
      </c>
      <c r="B47" s="73">
        <v>0.6</v>
      </c>
    </row>
    <row r="48" spans="1:14" x14ac:dyDescent="0.25">
      <c r="A48" t="s">
        <v>442</v>
      </c>
      <c r="B48" s="74" t="s">
        <v>445</v>
      </c>
    </row>
    <row r="49" spans="1:6" ht="75" x14ac:dyDescent="0.25">
      <c r="A49" t="s">
        <v>452</v>
      </c>
      <c r="B49" s="41" t="s">
        <v>522</v>
      </c>
    </row>
    <row r="50" spans="1:6" ht="210" x14ac:dyDescent="0.25">
      <c r="A50" t="s">
        <v>451</v>
      </c>
      <c r="B50" s="79" t="s">
        <v>523</v>
      </c>
    </row>
    <row r="51" spans="1:6" x14ac:dyDescent="0.25">
      <c r="A51" t="s">
        <v>0</v>
      </c>
      <c r="B51" s="36" t="s">
        <v>187</v>
      </c>
    </row>
    <row r="52" spans="1:6" x14ac:dyDescent="0.25">
      <c r="A52" t="s">
        <v>5</v>
      </c>
      <c r="B52" s="36" t="s">
        <v>177</v>
      </c>
    </row>
    <row r="53" spans="1:6" x14ac:dyDescent="0.25">
      <c r="A53" t="s">
        <v>6</v>
      </c>
      <c r="B53" s="36" t="s">
        <v>181</v>
      </c>
    </row>
    <row r="54" spans="1:6" ht="30" x14ac:dyDescent="0.25">
      <c r="A54" t="s">
        <v>446</v>
      </c>
      <c r="B54" s="46" t="s">
        <v>530</v>
      </c>
    </row>
    <row r="55" spans="1:6" x14ac:dyDescent="0.25">
      <c r="A55" s="45"/>
      <c r="B55" s="80"/>
      <c r="C55" s="45"/>
    </row>
    <row r="56" spans="1:6" s="23" customFormat="1" ht="30" x14ac:dyDescent="0.25">
      <c r="A56" s="31" t="s">
        <v>179</v>
      </c>
      <c r="B56" s="71" t="s">
        <v>20</v>
      </c>
      <c r="C56" s="31" t="s">
        <v>17</v>
      </c>
      <c r="D56" s="31" t="s">
        <v>244</v>
      </c>
      <c r="E56" s="31" t="s">
        <v>106</v>
      </c>
      <c r="F56" s="31" t="s">
        <v>41</v>
      </c>
    </row>
    <row r="57" spans="1:6" x14ac:dyDescent="0.25">
      <c r="A57" s="3" t="s">
        <v>185</v>
      </c>
      <c r="B57" s="36">
        <f>(33.33+40)/2</f>
        <v>36.664999999999999</v>
      </c>
      <c r="C57" s="3" t="s">
        <v>90</v>
      </c>
      <c r="D57" s="3">
        <f>B57*3.6</f>
        <v>131.994</v>
      </c>
      <c r="E57" s="3">
        <v>0.6</v>
      </c>
      <c r="F57" s="3">
        <f>D57*E57/1000</f>
        <v>7.91964E-2</v>
      </c>
    </row>
    <row r="58" spans="1:6" x14ac:dyDescent="0.25">
      <c r="A58" t="s">
        <v>455</v>
      </c>
      <c r="B58" s="23">
        <f>SUM(B57:B57)</f>
        <v>36.664999999999999</v>
      </c>
      <c r="F58" s="26">
        <f>SUM(F57:F57)</f>
        <v>7.91964E-2</v>
      </c>
    </row>
    <row r="62" spans="1:6" ht="21" x14ac:dyDescent="0.35">
      <c r="A62" s="9" t="s">
        <v>96</v>
      </c>
      <c r="D62" s="15"/>
    </row>
    <row r="63" spans="1:6" x14ac:dyDescent="0.25">
      <c r="A63" t="s">
        <v>22</v>
      </c>
      <c r="B63" s="77" t="s">
        <v>520</v>
      </c>
    </row>
    <row r="64" spans="1:6" x14ac:dyDescent="0.25">
      <c r="A64" t="s">
        <v>107</v>
      </c>
      <c r="B64" s="69"/>
    </row>
    <row r="65" spans="1:6" x14ac:dyDescent="0.25">
      <c r="A65" t="s">
        <v>48</v>
      </c>
      <c r="B65" s="69"/>
    </row>
    <row r="66" spans="1:6" x14ac:dyDescent="0.25">
      <c r="A66" t="s">
        <v>195</v>
      </c>
      <c r="B66" s="81">
        <v>25250</v>
      </c>
      <c r="C66" t="s">
        <v>33</v>
      </c>
    </row>
    <row r="67" spans="1:6" x14ac:dyDescent="0.25">
      <c r="A67" t="s">
        <v>30</v>
      </c>
      <c r="B67" s="84">
        <f>B66/B69</f>
        <v>42083.333333333336</v>
      </c>
      <c r="C67" t="s">
        <v>33</v>
      </c>
    </row>
    <row r="68" spans="1:6" x14ac:dyDescent="0.25">
      <c r="A68" t="s">
        <v>49</v>
      </c>
      <c r="B68" s="69"/>
    </row>
    <row r="69" spans="1:6" x14ac:dyDescent="0.25">
      <c r="A69" t="s">
        <v>450</v>
      </c>
      <c r="B69" s="73">
        <v>0.6</v>
      </c>
    </row>
    <row r="70" spans="1:6" x14ac:dyDescent="0.25">
      <c r="A70" t="s">
        <v>442</v>
      </c>
      <c r="B70" s="47" t="s">
        <v>445</v>
      </c>
    </row>
    <row r="71" spans="1:6" x14ac:dyDescent="0.25">
      <c r="A71" t="s">
        <v>452</v>
      </c>
      <c r="B71" s="30" t="s">
        <v>531</v>
      </c>
    </row>
    <row r="72" spans="1:6" ht="210" x14ac:dyDescent="0.25">
      <c r="A72" t="s">
        <v>451</v>
      </c>
      <c r="B72" s="79" t="s">
        <v>523</v>
      </c>
    </row>
    <row r="73" spans="1:6" x14ac:dyDescent="0.25">
      <c r="A73" t="s">
        <v>0</v>
      </c>
      <c r="B73" s="36" t="s">
        <v>3</v>
      </c>
    </row>
    <row r="74" spans="1:6" x14ac:dyDescent="0.25">
      <c r="A74" t="s">
        <v>5</v>
      </c>
      <c r="B74" s="36" t="s">
        <v>4</v>
      </c>
    </row>
    <row r="75" spans="1:6" x14ac:dyDescent="0.25">
      <c r="A75" t="s">
        <v>6</v>
      </c>
      <c r="B75" s="36" t="s">
        <v>181</v>
      </c>
    </row>
    <row r="77" spans="1:6" s="23" customFormat="1" ht="30" x14ac:dyDescent="0.25">
      <c r="A77" s="31" t="s">
        <v>179</v>
      </c>
      <c r="B77" s="31" t="s">
        <v>20</v>
      </c>
      <c r="C77" s="31" t="s">
        <v>17</v>
      </c>
      <c r="D77" s="31" t="s">
        <v>253</v>
      </c>
      <c r="E77" s="31" t="s">
        <v>106</v>
      </c>
      <c r="F77" s="31" t="s">
        <v>41</v>
      </c>
    </row>
    <row r="78" spans="1:6" x14ac:dyDescent="0.25">
      <c r="A78" s="3" t="s">
        <v>194</v>
      </c>
      <c r="B78" s="36">
        <v>20683</v>
      </c>
      <c r="C78" s="3" t="s">
        <v>447</v>
      </c>
      <c r="D78" s="3">
        <f>B78/B66</f>
        <v>0.81912871287128708</v>
      </c>
      <c r="E78" s="3">
        <v>0.6</v>
      </c>
      <c r="F78" s="3">
        <f>D78*E78</f>
        <v>0.49147722772277225</v>
      </c>
    </row>
    <row r="79" spans="1:6" x14ac:dyDescent="0.25">
      <c r="A79" t="s">
        <v>455</v>
      </c>
      <c r="B79" s="23">
        <f>SUM(B78:B78)</f>
        <v>20683</v>
      </c>
      <c r="F79" s="26">
        <f>SUM(F78:F78)</f>
        <v>0.49147722772277225</v>
      </c>
    </row>
    <row r="80" spans="1:6" x14ac:dyDescent="0.25">
      <c r="F80" s="11"/>
    </row>
    <row r="81" spans="1:6" x14ac:dyDescent="0.25">
      <c r="F81" s="11"/>
    </row>
    <row r="83" spans="1:6" ht="21" x14ac:dyDescent="0.35">
      <c r="A83" s="9" t="s">
        <v>157</v>
      </c>
      <c r="D83" s="15"/>
    </row>
    <row r="84" spans="1:6" x14ac:dyDescent="0.25">
      <c r="A84" t="s">
        <v>22</v>
      </c>
      <c r="B84" s="77" t="s">
        <v>182</v>
      </c>
    </row>
    <row r="85" spans="1:6" x14ac:dyDescent="0.25">
      <c r="A85" t="s">
        <v>107</v>
      </c>
      <c r="B85" s="69"/>
    </row>
    <row r="86" spans="1:6" x14ac:dyDescent="0.25">
      <c r="A86" t="s">
        <v>48</v>
      </c>
      <c r="B86" s="69"/>
    </row>
    <row r="87" spans="1:6" x14ac:dyDescent="0.25">
      <c r="A87" t="s">
        <v>528</v>
      </c>
      <c r="B87" s="30">
        <v>64258600</v>
      </c>
      <c r="C87" t="s">
        <v>33</v>
      </c>
      <c r="E87" s="21"/>
    </row>
    <row r="88" spans="1:6" x14ac:dyDescent="0.25">
      <c r="A88" t="s">
        <v>528</v>
      </c>
      <c r="B88" s="30">
        <f>64258600/1000</f>
        <v>64258.6</v>
      </c>
      <c r="C88" t="s">
        <v>89</v>
      </c>
      <c r="E88" s="21"/>
    </row>
    <row r="89" spans="1:6" x14ac:dyDescent="0.25">
      <c r="A89" t="s">
        <v>30</v>
      </c>
      <c r="B89" s="47">
        <f>B88/B91</f>
        <v>107097.66666666667</v>
      </c>
      <c r="C89" t="s">
        <v>89</v>
      </c>
    </row>
    <row r="90" spans="1:6" x14ac:dyDescent="0.25">
      <c r="A90" t="s">
        <v>49</v>
      </c>
      <c r="B90" s="69"/>
    </row>
    <row r="91" spans="1:6" x14ac:dyDescent="0.25">
      <c r="A91" t="s">
        <v>533</v>
      </c>
      <c r="B91" s="47">
        <v>0.6</v>
      </c>
    </row>
    <row r="92" spans="1:6" x14ac:dyDescent="0.25">
      <c r="A92" t="s">
        <v>442</v>
      </c>
      <c r="B92" s="30" t="s">
        <v>208</v>
      </c>
    </row>
    <row r="93" spans="1:6" x14ac:dyDescent="0.25">
      <c r="A93" t="s">
        <v>532</v>
      </c>
      <c r="B93" s="30" t="s">
        <v>215</v>
      </c>
    </row>
    <row r="94" spans="1:6" x14ac:dyDescent="0.25">
      <c r="A94" t="s">
        <v>0</v>
      </c>
      <c r="B94" s="36" t="s">
        <v>3</v>
      </c>
    </row>
    <row r="95" spans="1:6" x14ac:dyDescent="0.25">
      <c r="A95" t="s">
        <v>5</v>
      </c>
      <c r="B95" s="36" t="s">
        <v>4</v>
      </c>
    </row>
    <row r="96" spans="1:6" x14ac:dyDescent="0.25">
      <c r="A96" t="s">
        <v>6</v>
      </c>
      <c r="B96" s="36" t="s">
        <v>209</v>
      </c>
    </row>
    <row r="98" spans="1:14" s="23" customFormat="1" ht="60" x14ac:dyDescent="0.25">
      <c r="A98" s="31" t="s">
        <v>207</v>
      </c>
      <c r="B98" s="31" t="s">
        <v>20</v>
      </c>
      <c r="C98" s="31" t="s">
        <v>17</v>
      </c>
      <c r="D98" s="31" t="s">
        <v>253</v>
      </c>
      <c r="E98" s="31" t="s">
        <v>106</v>
      </c>
      <c r="F98" s="31" t="s">
        <v>41</v>
      </c>
      <c r="I98" s="31" t="s">
        <v>525</v>
      </c>
      <c r="J98" s="31" t="s">
        <v>20</v>
      </c>
      <c r="K98" s="31" t="s">
        <v>17</v>
      </c>
      <c r="L98" s="31" t="s">
        <v>244</v>
      </c>
      <c r="M98" s="31" t="s">
        <v>106</v>
      </c>
      <c r="N98" s="31" t="s">
        <v>41</v>
      </c>
    </row>
    <row r="99" spans="1:14" x14ac:dyDescent="0.25">
      <c r="A99" s="3" t="s">
        <v>197</v>
      </c>
      <c r="B99" s="36">
        <v>73632.28</v>
      </c>
      <c r="C99" s="3" t="s">
        <v>196</v>
      </c>
      <c r="D99" s="3">
        <f>B99/$B$87*3.6</f>
        <v>4.125147575577433E-3</v>
      </c>
      <c r="E99" s="3">
        <v>0.6</v>
      </c>
      <c r="F99" s="3">
        <f>D99*E99</f>
        <v>2.4750885453464597E-3</v>
      </c>
      <c r="G99" s="25">
        <f>B99*3.6</f>
        <v>265076.20799999998</v>
      </c>
      <c r="I99" s="3" t="s">
        <v>210</v>
      </c>
      <c r="J99" s="3">
        <v>29380.31</v>
      </c>
      <c r="K99" s="3" t="s">
        <v>196</v>
      </c>
      <c r="L99" s="3">
        <f>J99/$B$87*3.6</f>
        <v>1.6459916026804195E-3</v>
      </c>
      <c r="M99" s="3">
        <v>0.6</v>
      </c>
      <c r="N99" s="3">
        <f>L99*M99</f>
        <v>9.8759496160825164E-4</v>
      </c>
    </row>
    <row r="100" spans="1:14" x14ac:dyDescent="0.25">
      <c r="A100" s="14" t="s">
        <v>198</v>
      </c>
      <c r="B100" s="36">
        <v>3978405.8</v>
      </c>
      <c r="C100" s="3" t="s">
        <v>196</v>
      </c>
      <c r="D100" s="3">
        <f t="shared" ref="D100:D108" si="1">B100/$B$87*3.6</f>
        <v>0.22288473262722808</v>
      </c>
      <c r="E100" s="3">
        <v>0.6</v>
      </c>
      <c r="F100" s="3">
        <f t="shared" ref="F100:F108" si="2">D100*E100</f>
        <v>0.13373083957633683</v>
      </c>
      <c r="G100" s="25">
        <f t="shared" ref="G100:G108" si="3">B100*3.6</f>
        <v>14322260.879999999</v>
      </c>
      <c r="I100" s="14" t="s">
        <v>118</v>
      </c>
      <c r="J100" s="3">
        <v>22475.85</v>
      </c>
      <c r="K100" s="3" t="s">
        <v>196</v>
      </c>
      <c r="L100" s="3">
        <f t="shared" ref="L100:L108" si="4">J100/$B$87*3.6</f>
        <v>1.259178693591208E-3</v>
      </c>
      <c r="M100" s="3">
        <v>0.6</v>
      </c>
      <c r="N100" s="3">
        <f>L100*M100</f>
        <v>7.5550721615472475E-4</v>
      </c>
    </row>
    <row r="101" spans="1:14" x14ac:dyDescent="0.25">
      <c r="A101" s="14" t="s">
        <v>199</v>
      </c>
      <c r="B101" s="36">
        <v>70415.8</v>
      </c>
      <c r="C101" s="3" t="s">
        <v>196</v>
      </c>
      <c r="D101" s="3">
        <f t="shared" si="1"/>
        <v>3.9449486916926296E-3</v>
      </c>
      <c r="E101" s="3">
        <v>0.6</v>
      </c>
      <c r="F101" s="3">
        <f t="shared" si="2"/>
        <v>2.3669692150155778E-3</v>
      </c>
      <c r="G101" s="25">
        <f t="shared" si="3"/>
        <v>253496.88</v>
      </c>
      <c r="I101" s="14" t="s">
        <v>211</v>
      </c>
      <c r="J101" s="3">
        <v>110011.61</v>
      </c>
      <c r="K101" s="3" t="s">
        <v>196</v>
      </c>
      <c r="L101" s="3">
        <f t="shared" si="4"/>
        <v>6.1632496817546605E-3</v>
      </c>
      <c r="M101" s="3">
        <v>0.6</v>
      </c>
      <c r="N101" s="3">
        <f t="shared" ref="N101:N108" si="5">L101*M101</f>
        <v>3.697949809052796E-3</v>
      </c>
    </row>
    <row r="102" spans="1:14" x14ac:dyDescent="0.25">
      <c r="A102" s="14" t="s">
        <v>200</v>
      </c>
      <c r="B102" s="36">
        <v>22481.11</v>
      </c>
      <c r="C102" s="3" t="s">
        <v>196</v>
      </c>
      <c r="D102" s="3">
        <f>B102/$B$87*3.6</f>
        <v>1.2594733778824936E-3</v>
      </c>
      <c r="E102" s="3">
        <v>0.6</v>
      </c>
      <c r="F102" s="3">
        <f t="shared" si="2"/>
        <v>7.5568402672949618E-4</v>
      </c>
      <c r="G102" s="25">
        <f t="shared" si="3"/>
        <v>80931.995999999999</v>
      </c>
      <c r="I102" s="14" t="s">
        <v>212</v>
      </c>
      <c r="J102" s="3">
        <v>43985.39</v>
      </c>
      <c r="K102" s="3" t="s">
        <v>196</v>
      </c>
      <c r="L102" s="3">
        <f t="shared" si="4"/>
        <v>2.4642211937390482E-3</v>
      </c>
      <c r="M102" s="3">
        <v>0.6</v>
      </c>
      <c r="N102" s="3">
        <f t="shared" si="5"/>
        <v>1.4785327162434288E-3</v>
      </c>
    </row>
    <row r="103" spans="1:14" x14ac:dyDescent="0.25">
      <c r="A103" s="14" t="s">
        <v>201</v>
      </c>
      <c r="B103" s="30">
        <v>10480.44</v>
      </c>
      <c r="C103" s="3" t="s">
        <v>196</v>
      </c>
      <c r="D103" s="3">
        <f t="shared" si="1"/>
        <v>5.8715228778716006E-4</v>
      </c>
      <c r="E103" s="3">
        <v>0.6</v>
      </c>
      <c r="F103" s="3">
        <f t="shared" si="2"/>
        <v>3.5229137267229604E-4</v>
      </c>
      <c r="G103" s="25">
        <f t="shared" si="3"/>
        <v>37729.584000000003</v>
      </c>
      <c r="I103" s="14" t="s">
        <v>213</v>
      </c>
      <c r="J103" s="14">
        <v>14139.45</v>
      </c>
      <c r="K103" s="3" t="s">
        <v>196</v>
      </c>
      <c r="L103" s="3">
        <f t="shared" si="4"/>
        <v>7.9214330844431721E-4</v>
      </c>
      <c r="M103" s="3">
        <v>0.6</v>
      </c>
      <c r="N103" s="3">
        <f t="shared" si="5"/>
        <v>4.752859850665903E-4</v>
      </c>
    </row>
    <row r="104" spans="1:14" x14ac:dyDescent="0.25">
      <c r="A104" s="14" t="s">
        <v>202</v>
      </c>
      <c r="B104" s="30">
        <v>76776.58</v>
      </c>
      <c r="C104" s="3" t="s">
        <v>196</v>
      </c>
      <c r="D104" s="3">
        <f t="shared" si="1"/>
        <v>4.3013026738833405E-3</v>
      </c>
      <c r="E104" s="3">
        <v>0.6</v>
      </c>
      <c r="F104" s="3">
        <f t="shared" si="2"/>
        <v>2.5807816043300043E-3</v>
      </c>
      <c r="G104" s="25">
        <f t="shared" si="3"/>
        <v>276395.68800000002</v>
      </c>
      <c r="I104" s="14" t="s">
        <v>198</v>
      </c>
      <c r="J104" s="14">
        <v>5780053.1299999999</v>
      </c>
      <c r="K104" s="3" t="s">
        <v>196</v>
      </c>
      <c r="L104" s="3">
        <f t="shared" si="4"/>
        <v>0.32381955517238159</v>
      </c>
      <c r="M104" s="3">
        <v>0.6</v>
      </c>
      <c r="N104" s="3">
        <f t="shared" si="5"/>
        <v>0.19429173310342895</v>
      </c>
    </row>
    <row r="105" spans="1:14" x14ac:dyDescent="0.25">
      <c r="A105" s="14" t="s">
        <v>203</v>
      </c>
      <c r="B105" s="30">
        <v>328019.68</v>
      </c>
      <c r="C105" s="3" t="s">
        <v>196</v>
      </c>
      <c r="D105" s="3">
        <f t="shared" si="1"/>
        <v>1.8376853028232797E-2</v>
      </c>
      <c r="E105" s="3">
        <v>0.6</v>
      </c>
      <c r="F105" s="3">
        <f t="shared" si="2"/>
        <v>1.1026111816939677E-2</v>
      </c>
      <c r="G105" s="25">
        <f t="shared" si="3"/>
        <v>1180870.848</v>
      </c>
      <c r="I105" s="14" t="s">
        <v>214</v>
      </c>
      <c r="J105" s="14">
        <v>217043.61</v>
      </c>
      <c r="K105" s="3" t="s">
        <v>196</v>
      </c>
      <c r="L105" s="3">
        <f t="shared" si="4"/>
        <v>1.2159570796749385E-2</v>
      </c>
      <c r="M105" s="3">
        <v>0.6</v>
      </c>
      <c r="N105" s="3">
        <f t="shared" si="5"/>
        <v>7.2957424780496303E-3</v>
      </c>
    </row>
    <row r="106" spans="1:14" x14ac:dyDescent="0.25">
      <c r="A106" s="14" t="s">
        <v>204</v>
      </c>
      <c r="B106" s="30">
        <v>52410.05</v>
      </c>
      <c r="C106" s="3" t="s">
        <v>196</v>
      </c>
      <c r="D106" s="3">
        <f t="shared" si="1"/>
        <v>2.936201224427548E-3</v>
      </c>
      <c r="E106" s="3">
        <v>0.6</v>
      </c>
      <c r="F106" s="3">
        <f t="shared" si="2"/>
        <v>1.7617207346565288E-3</v>
      </c>
      <c r="G106" s="25">
        <f t="shared" si="3"/>
        <v>188676.18000000002</v>
      </c>
      <c r="I106" s="14" t="s">
        <v>201</v>
      </c>
      <c r="J106" s="14">
        <v>13888.14</v>
      </c>
      <c r="K106" s="3" t="s">
        <v>196</v>
      </c>
      <c r="L106" s="3">
        <f t="shared" si="4"/>
        <v>7.7806401010915274E-4</v>
      </c>
      <c r="M106" s="3">
        <v>0.6</v>
      </c>
      <c r="N106" s="3">
        <f t="shared" si="5"/>
        <v>4.6683840606549163E-4</v>
      </c>
    </row>
    <row r="107" spans="1:14" x14ac:dyDescent="0.25">
      <c r="A107" s="14" t="s">
        <v>205</v>
      </c>
      <c r="B107" s="30">
        <v>29844.89</v>
      </c>
      <c r="C107" s="3" t="s">
        <v>196</v>
      </c>
      <c r="D107" s="3">
        <f t="shared" si="1"/>
        <v>1.6720190604837329E-3</v>
      </c>
      <c r="E107" s="3">
        <v>0.6</v>
      </c>
      <c r="F107" s="3">
        <f t="shared" si="2"/>
        <v>1.0032114362902398E-3</v>
      </c>
      <c r="G107" s="25">
        <f t="shared" si="3"/>
        <v>107441.60400000001</v>
      </c>
      <c r="I107" s="14" t="s">
        <v>216</v>
      </c>
      <c r="J107" s="14">
        <v>230837.75</v>
      </c>
      <c r="K107" s="3" t="s">
        <v>196</v>
      </c>
      <c r="L107" s="3">
        <f t="shared" si="4"/>
        <v>1.2932368585683474E-2</v>
      </c>
      <c r="M107" s="3">
        <v>0.6</v>
      </c>
      <c r="N107" s="3">
        <f t="shared" si="5"/>
        <v>7.759421151410084E-3</v>
      </c>
    </row>
    <row r="108" spans="1:14" x14ac:dyDescent="0.25">
      <c r="A108" s="14" t="s">
        <v>206</v>
      </c>
      <c r="B108" s="30">
        <v>127170.64</v>
      </c>
      <c r="C108" s="3" t="s">
        <v>196</v>
      </c>
      <c r="D108" s="3">
        <f t="shared" si="1"/>
        <v>7.1245608214309062E-3</v>
      </c>
      <c r="E108" s="3">
        <v>0.6</v>
      </c>
      <c r="F108" s="3">
        <f t="shared" si="2"/>
        <v>4.2747364928585434E-3</v>
      </c>
      <c r="G108" s="25">
        <f t="shared" si="3"/>
        <v>457814.304</v>
      </c>
      <c r="I108" s="14" t="s">
        <v>203</v>
      </c>
      <c r="J108" s="14">
        <v>825167.2</v>
      </c>
      <c r="K108" s="3" t="s">
        <v>196</v>
      </c>
      <c r="L108" s="3">
        <f t="shared" si="4"/>
        <v>4.6228861506475392E-2</v>
      </c>
      <c r="M108" s="3">
        <v>0.6</v>
      </c>
      <c r="N108" s="3">
        <f t="shared" si="5"/>
        <v>2.7737316903885235E-2</v>
      </c>
    </row>
    <row r="109" spans="1:14" x14ac:dyDescent="0.25">
      <c r="A109" t="s">
        <v>455</v>
      </c>
      <c r="B109" s="23">
        <f>SUM(B99:B108)</f>
        <v>4769637.2699999977</v>
      </c>
      <c r="D109" s="11">
        <f>SUM(D99:D108)</f>
        <v>0.26721239136862618</v>
      </c>
      <c r="F109" s="26">
        <f>SUM(F99:F108)</f>
        <v>0.16032743482117562</v>
      </c>
      <c r="I109" s="14" t="s">
        <v>217</v>
      </c>
      <c r="J109" s="14">
        <v>57200.25</v>
      </c>
      <c r="K109" s="3" t="s">
        <v>196</v>
      </c>
      <c r="L109" s="3">
        <f t="shared" ref="L109:L116" si="6">J109/$B$87*3.6</f>
        <v>3.2045656145636538E-3</v>
      </c>
      <c r="M109" s="3">
        <v>0.6</v>
      </c>
      <c r="N109" s="3">
        <f>L109*M109</f>
        <v>1.9227393687381922E-3</v>
      </c>
    </row>
    <row r="110" spans="1:14" x14ac:dyDescent="0.25">
      <c r="F110" s="11"/>
      <c r="I110" s="14" t="s">
        <v>206</v>
      </c>
      <c r="J110" s="14">
        <v>1116678.75</v>
      </c>
      <c r="K110" s="3" t="s">
        <v>196</v>
      </c>
      <c r="L110" s="3">
        <f t="shared" si="6"/>
        <v>6.2560396585048542E-2</v>
      </c>
      <c r="M110" s="3">
        <v>0.6</v>
      </c>
      <c r="N110" s="3">
        <f t="shared" ref="N110:N116" si="7">L110*M110</f>
        <v>3.7536237951029124E-2</v>
      </c>
    </row>
    <row r="111" spans="1:14" x14ac:dyDescent="0.25">
      <c r="F111" s="11"/>
      <c r="I111" s="14" t="s">
        <v>218</v>
      </c>
      <c r="J111" s="14">
        <v>92998.5</v>
      </c>
      <c r="K111" s="3" t="s">
        <v>196</v>
      </c>
      <c r="L111" s="3">
        <f t="shared" si="6"/>
        <v>5.2101135100982594E-3</v>
      </c>
      <c r="M111" s="3">
        <v>0.6</v>
      </c>
      <c r="N111" s="3">
        <f t="shared" si="7"/>
        <v>3.1260681060589555E-3</v>
      </c>
    </row>
    <row r="112" spans="1:14" x14ac:dyDescent="0.25">
      <c r="F112" s="11"/>
      <c r="I112" s="14" t="s">
        <v>204</v>
      </c>
      <c r="J112" s="14">
        <v>333740</v>
      </c>
      <c r="K112" s="3" t="s">
        <v>196</v>
      </c>
      <c r="L112" s="3">
        <f t="shared" si="6"/>
        <v>1.8697326116659873E-2</v>
      </c>
      <c r="M112" s="3">
        <v>0.6</v>
      </c>
      <c r="N112" s="3">
        <f t="shared" si="7"/>
        <v>1.1218395669995924E-2</v>
      </c>
    </row>
    <row r="113" spans="1:14" x14ac:dyDescent="0.25">
      <c r="F113" s="11"/>
      <c r="I113" s="14" t="s">
        <v>219</v>
      </c>
      <c r="J113" s="14">
        <v>61622.43</v>
      </c>
      <c r="K113" s="3" t="s">
        <v>196</v>
      </c>
      <c r="L113" s="3">
        <f t="shared" si="6"/>
        <v>3.4523121885630874E-3</v>
      </c>
      <c r="M113" s="3">
        <v>0.6</v>
      </c>
      <c r="N113" s="3">
        <f t="shared" si="7"/>
        <v>2.0713873131378525E-3</v>
      </c>
    </row>
    <row r="114" spans="1:14" x14ac:dyDescent="0.25">
      <c r="F114" s="11"/>
      <c r="I114" s="14" t="s">
        <v>220</v>
      </c>
      <c r="J114" s="14">
        <v>13796.76</v>
      </c>
      <c r="K114" s="3" t="s">
        <v>196</v>
      </c>
      <c r="L114" s="3">
        <f t="shared" si="6"/>
        <v>7.7294457084343569E-4</v>
      </c>
      <c r="M114" s="3">
        <v>0.6</v>
      </c>
      <c r="N114" s="3">
        <f t="shared" si="7"/>
        <v>4.6376674250606141E-4</v>
      </c>
    </row>
    <row r="115" spans="1:14" x14ac:dyDescent="0.25">
      <c r="I115" s="14" t="s">
        <v>221</v>
      </c>
      <c r="J115" s="14">
        <v>235666.91</v>
      </c>
      <c r="K115" s="3" t="s">
        <v>196</v>
      </c>
      <c r="L115" s="3">
        <f t="shared" si="6"/>
        <v>1.3202915656425757E-2</v>
      </c>
      <c r="M115" s="3">
        <v>0.6</v>
      </c>
      <c r="N115" s="3">
        <f t="shared" si="7"/>
        <v>7.921749393855454E-3</v>
      </c>
    </row>
    <row r="116" spans="1:14" x14ac:dyDescent="0.25">
      <c r="I116" s="14" t="s">
        <v>222</v>
      </c>
      <c r="J116" s="14">
        <v>140079.03</v>
      </c>
      <c r="K116" s="3" t="s">
        <v>196</v>
      </c>
      <c r="L116" s="3">
        <f t="shared" si="6"/>
        <v>7.847735680515916E-3</v>
      </c>
      <c r="M116" s="3">
        <v>0.6</v>
      </c>
      <c r="N116" s="3">
        <f t="shared" si="7"/>
        <v>4.7086414083095498E-3</v>
      </c>
    </row>
    <row r="117" spans="1:14" x14ac:dyDescent="0.25">
      <c r="I117" t="s">
        <v>455</v>
      </c>
      <c r="J117">
        <f>SUM(J99:J116)</f>
        <v>9338765.0700000003</v>
      </c>
      <c r="L117" s="11">
        <f>SUM(L99:L116)</f>
        <v>0.5231915144743271</v>
      </c>
      <c r="N117" s="26">
        <f>SUM(N99:N116)</f>
        <v>0.31391490868459632</v>
      </c>
    </row>
    <row r="118" spans="1:14" x14ac:dyDescent="0.25">
      <c r="N118" s="11"/>
    </row>
    <row r="119" spans="1:14" x14ac:dyDescent="0.25">
      <c r="H119" s="11"/>
    </row>
    <row r="120" spans="1:14" x14ac:dyDescent="0.25">
      <c r="H120" s="11"/>
    </row>
    <row r="121" spans="1:14" ht="21" x14ac:dyDescent="0.35">
      <c r="A121" s="9" t="s">
        <v>494</v>
      </c>
    </row>
    <row r="122" spans="1:14" x14ac:dyDescent="0.25">
      <c r="A122" t="s">
        <v>499</v>
      </c>
      <c r="B122" s="82">
        <f>F35</f>
        <v>3.2248799999999994E-2</v>
      </c>
    </row>
    <row r="123" spans="1:14" x14ac:dyDescent="0.25">
      <c r="A123" t="s">
        <v>500</v>
      </c>
      <c r="B123" s="82">
        <f>N35</f>
        <v>2.9181599999999999E-2</v>
      </c>
    </row>
    <row r="124" spans="1:14" x14ac:dyDescent="0.25">
      <c r="A124" t="s">
        <v>496</v>
      </c>
      <c r="B124" s="82">
        <f>F58</f>
        <v>7.91964E-2</v>
      </c>
    </row>
    <row r="125" spans="1:14" x14ac:dyDescent="0.25">
      <c r="A125" t="s">
        <v>497</v>
      </c>
      <c r="B125" s="83">
        <f>F79</f>
        <v>0.49147722772277225</v>
      </c>
    </row>
    <row r="126" spans="1:14" x14ac:dyDescent="0.25">
      <c r="A126" t="s">
        <v>526</v>
      </c>
      <c r="B126" s="83">
        <f>F109</f>
        <v>0.16032743482117562</v>
      </c>
    </row>
    <row r="127" spans="1:14" x14ac:dyDescent="0.25">
      <c r="A127" t="s">
        <v>527</v>
      </c>
      <c r="B127" s="83">
        <f>N117</f>
        <v>0.31391490868459632</v>
      </c>
    </row>
    <row r="128" spans="1:14" x14ac:dyDescent="0.25">
      <c r="A128" t="s">
        <v>491</v>
      </c>
      <c r="B128" s="83">
        <f>AVERAGE($B$122:$B$127)</f>
        <v>0.18439106187142404</v>
      </c>
    </row>
    <row r="129" spans="1:2" x14ac:dyDescent="0.25">
      <c r="A129" t="s">
        <v>492</v>
      </c>
      <c r="B129" s="83">
        <f>MAX($B$122:$B$127)</f>
        <v>0.49147722772277225</v>
      </c>
    </row>
    <row r="130" spans="1:2" x14ac:dyDescent="0.25">
      <c r="A130" t="s">
        <v>493</v>
      </c>
      <c r="B130" s="83">
        <f>MIN($B$122:$B$127)</f>
        <v>2.9181599999999999E-2</v>
      </c>
    </row>
    <row r="131" spans="1:2" x14ac:dyDescent="0.25">
      <c r="B131" s="83"/>
    </row>
    <row r="132" spans="1:2" x14ac:dyDescent="0.25">
      <c r="B132" s="83"/>
    </row>
    <row r="133" spans="1:2" x14ac:dyDescent="0.25">
      <c r="B133" s="83"/>
    </row>
    <row r="134" spans="1:2" x14ac:dyDescent="0.25">
      <c r="B134" s="82"/>
    </row>
    <row r="135" spans="1:2" x14ac:dyDescent="0.25">
      <c r="B135" s="83"/>
    </row>
    <row r="136" spans="1:2" x14ac:dyDescent="0.25">
      <c r="B136" s="83"/>
    </row>
    <row r="137" spans="1:2" x14ac:dyDescent="0.25">
      <c r="B137" s="83"/>
    </row>
    <row r="138" spans="1:2" x14ac:dyDescent="0.25">
      <c r="B138" s="83"/>
    </row>
    <row r="139" spans="1:2" x14ac:dyDescent="0.25">
      <c r="B139" s="83"/>
    </row>
    <row r="140" spans="1:2" x14ac:dyDescent="0.25">
      <c r="B140" s="83"/>
    </row>
  </sheetData>
  <mergeCells count="1">
    <mergeCell ref="F1:L1"/>
  </mergeCells>
  <phoneticPr fontId="9" type="noConversion"/>
  <hyperlinks>
    <hyperlink ref="D4" r:id="rId1" xr:uid="{25253564-8A32-4BF1-859C-03ECDA6C418C}"/>
  </hyperlinks>
  <pageMargins left="0.7" right="0.7" top="0.78740157499999996" bottom="0.78740157499999996"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B1D97-F17E-48DE-95C5-6380D69D040F}">
  <dimension ref="A1:V174"/>
  <sheetViews>
    <sheetView topLeftCell="A153" zoomScale="78" workbookViewId="0">
      <selection activeCell="D3" sqref="D3:D4"/>
    </sheetView>
  </sheetViews>
  <sheetFormatPr defaultColWidth="11.42578125" defaultRowHeight="15" x14ac:dyDescent="0.25"/>
  <cols>
    <col min="1" max="1" width="31.140625" style="23" customWidth="1"/>
    <col min="2" max="2" width="36.7109375" style="23" customWidth="1"/>
    <col min="3" max="3" width="18.42578125" style="23" customWidth="1"/>
    <col min="4" max="4" width="23.140625" style="23" customWidth="1"/>
    <col min="5" max="5" width="21" style="23" customWidth="1"/>
    <col min="6" max="6" width="13.140625" style="23" bestFit="1" customWidth="1"/>
    <col min="7" max="8" width="11.42578125" style="23"/>
    <col min="9" max="9" width="22.85546875" style="23" customWidth="1"/>
    <col min="10" max="10" width="11.42578125" style="23"/>
    <col min="11" max="11" width="15.28515625" style="23" customWidth="1"/>
    <col min="12" max="16" width="11.42578125" style="23"/>
    <col min="17" max="17" width="22.7109375" style="23" customWidth="1"/>
    <col min="18" max="16384" width="11.42578125" style="23"/>
  </cols>
  <sheetData>
    <row r="1" spans="1:12" ht="15.75" x14ac:dyDescent="0.25">
      <c r="A1" s="75"/>
      <c r="B1" s="75"/>
      <c r="C1" s="88" t="s">
        <v>35</v>
      </c>
      <c r="D1" s="88" t="s">
        <v>34</v>
      </c>
      <c r="E1" s="75"/>
      <c r="F1" s="172" t="s">
        <v>97</v>
      </c>
      <c r="G1" s="172"/>
      <c r="H1" s="172"/>
      <c r="I1" s="172"/>
      <c r="J1" s="172"/>
      <c r="K1" s="172"/>
      <c r="L1" s="172"/>
    </row>
    <row r="2" spans="1:12" ht="21" x14ac:dyDescent="0.35">
      <c r="A2" s="89" t="s">
        <v>39</v>
      </c>
      <c r="B2" s="75"/>
      <c r="C2" s="88"/>
      <c r="D2" s="88"/>
      <c r="E2" s="75"/>
      <c r="F2" s="90"/>
      <c r="G2" s="90"/>
      <c r="H2" s="90"/>
      <c r="I2" s="90"/>
      <c r="J2" s="90"/>
      <c r="K2" s="90"/>
      <c r="L2" s="90"/>
    </row>
    <row r="3" spans="1:12" x14ac:dyDescent="0.25">
      <c r="A3" s="23" t="s">
        <v>1</v>
      </c>
      <c r="B3" s="36" t="s">
        <v>560</v>
      </c>
      <c r="C3" s="23" t="s">
        <v>16</v>
      </c>
      <c r="D3" s="36" t="s">
        <v>662</v>
      </c>
    </row>
    <row r="4" spans="1:12" x14ac:dyDescent="0.25">
      <c r="A4" s="23" t="s">
        <v>7</v>
      </c>
      <c r="B4" s="36" t="s">
        <v>553</v>
      </c>
      <c r="C4" s="23" t="s">
        <v>16</v>
      </c>
      <c r="D4" s="36" t="s">
        <v>663</v>
      </c>
    </row>
    <row r="5" spans="1:12" x14ac:dyDescent="0.25">
      <c r="A5" s="23" t="s">
        <v>27</v>
      </c>
      <c r="B5" s="85"/>
      <c r="C5" s="69"/>
      <c r="D5" s="69"/>
    </row>
    <row r="6" spans="1:12" ht="60" x14ac:dyDescent="0.25">
      <c r="A6" s="23" t="s">
        <v>28</v>
      </c>
      <c r="B6" s="36">
        <v>0.49392472587177716</v>
      </c>
      <c r="C6" s="36" t="s">
        <v>551</v>
      </c>
      <c r="D6" s="46" t="s">
        <v>552</v>
      </c>
      <c r="E6" s="46" t="s">
        <v>223</v>
      </c>
    </row>
    <row r="8" spans="1:12" ht="21" x14ac:dyDescent="0.35">
      <c r="A8" s="91" t="s">
        <v>38</v>
      </c>
    </row>
    <row r="9" spans="1:12" x14ac:dyDescent="0.25">
      <c r="A9" s="23" t="s">
        <v>36</v>
      </c>
      <c r="B9" s="23">
        <v>100000</v>
      </c>
      <c r="C9" s="23" t="s">
        <v>37</v>
      </c>
    </row>
    <row r="10" spans="1:12" x14ac:dyDescent="0.25">
      <c r="A10" s="23" t="s">
        <v>102</v>
      </c>
      <c r="B10" s="36">
        <f>B9/B6</f>
        <v>202460</v>
      </c>
      <c r="C10" s="36" t="s">
        <v>33</v>
      </c>
    </row>
    <row r="11" spans="1:12" x14ac:dyDescent="0.25">
      <c r="A11" s="23" t="s">
        <v>102</v>
      </c>
      <c r="B11" s="36">
        <f>B10/1000</f>
        <v>202.46</v>
      </c>
      <c r="C11" s="36" t="s">
        <v>89</v>
      </c>
    </row>
    <row r="12" spans="1:12" x14ac:dyDescent="0.25">
      <c r="A12" s="23" t="s">
        <v>103</v>
      </c>
      <c r="B12" s="104">
        <f>B10/365</f>
        <v>554.68493150684935</v>
      </c>
      <c r="C12" s="36" t="s">
        <v>33</v>
      </c>
    </row>
    <row r="15" spans="1:12" ht="21" x14ac:dyDescent="0.35">
      <c r="A15" s="107" t="s">
        <v>555</v>
      </c>
      <c r="D15" s="92"/>
    </row>
    <row r="16" spans="1:12" x14ac:dyDescent="0.25">
      <c r="A16" s="23" t="s">
        <v>22</v>
      </c>
      <c r="B16" s="77" t="s">
        <v>230</v>
      </c>
    </row>
    <row r="17" spans="1:14" x14ac:dyDescent="0.25">
      <c r="A17" s="23" t="s">
        <v>107</v>
      </c>
      <c r="B17" s="35"/>
    </row>
    <row r="18" spans="1:14" x14ac:dyDescent="0.25">
      <c r="A18" s="23" t="s">
        <v>48</v>
      </c>
      <c r="B18" s="35"/>
    </row>
    <row r="19" spans="1:14" x14ac:dyDescent="0.25">
      <c r="A19" s="23" t="s">
        <v>30</v>
      </c>
      <c r="B19" s="35"/>
    </row>
    <row r="20" spans="1:14" x14ac:dyDescent="0.25">
      <c r="A20" s="23" t="s">
        <v>49</v>
      </c>
      <c r="B20" s="35"/>
    </row>
    <row r="21" spans="1:14" x14ac:dyDescent="0.25">
      <c r="A21" s="23" t="s">
        <v>534</v>
      </c>
      <c r="B21" s="47">
        <v>0.66</v>
      </c>
    </row>
    <row r="22" spans="1:14" x14ac:dyDescent="0.25">
      <c r="A22" s="23" t="s">
        <v>442</v>
      </c>
      <c r="B22" s="35"/>
    </row>
    <row r="23" spans="1:14" x14ac:dyDescent="0.25">
      <c r="A23" s="23" t="s">
        <v>451</v>
      </c>
      <c r="B23" s="47" t="s">
        <v>537</v>
      </c>
    </row>
    <row r="24" spans="1:14" x14ac:dyDescent="0.25">
      <c r="A24" s="23" t="s">
        <v>0</v>
      </c>
      <c r="B24" s="36" t="s">
        <v>110</v>
      </c>
    </row>
    <row r="25" spans="1:14" x14ac:dyDescent="0.25">
      <c r="A25" s="23" t="s">
        <v>5</v>
      </c>
      <c r="B25" s="30" t="s">
        <v>88</v>
      </c>
    </row>
    <row r="26" spans="1:14" ht="30" x14ac:dyDescent="0.25">
      <c r="A26" s="23" t="s">
        <v>6</v>
      </c>
      <c r="B26" s="46" t="s">
        <v>536</v>
      </c>
    </row>
    <row r="27" spans="1:14" ht="30" x14ac:dyDescent="0.25">
      <c r="A27" s="23" t="s">
        <v>448</v>
      </c>
      <c r="B27" s="46" t="s">
        <v>554</v>
      </c>
    </row>
    <row r="29" spans="1:14" ht="60" x14ac:dyDescent="0.25">
      <c r="A29" s="31" t="s">
        <v>228</v>
      </c>
      <c r="B29" s="31" t="s">
        <v>20</v>
      </c>
      <c r="C29" s="31" t="s">
        <v>17</v>
      </c>
      <c r="D29" s="31" t="s">
        <v>253</v>
      </c>
      <c r="E29" s="31" t="s">
        <v>106</v>
      </c>
      <c r="F29" s="31" t="s">
        <v>41</v>
      </c>
      <c r="G29" s="31"/>
      <c r="H29" s="31"/>
      <c r="I29" s="98" t="s">
        <v>229</v>
      </c>
      <c r="J29" s="98" t="s">
        <v>20</v>
      </c>
      <c r="K29" s="98" t="s">
        <v>17</v>
      </c>
      <c r="L29" s="98" t="s">
        <v>244</v>
      </c>
      <c r="M29" s="98" t="s">
        <v>106</v>
      </c>
      <c r="N29" s="98" t="s">
        <v>41</v>
      </c>
    </row>
    <row r="30" spans="1:14" x14ac:dyDescent="0.25">
      <c r="A30" s="36" t="s">
        <v>224</v>
      </c>
      <c r="B30" s="36">
        <v>0.20399999999999999</v>
      </c>
      <c r="C30" s="36" t="s">
        <v>227</v>
      </c>
      <c r="D30" s="36">
        <f>B30*3.6</f>
        <v>0.73439999999999994</v>
      </c>
      <c r="E30" s="30">
        <v>0.66</v>
      </c>
      <c r="F30" s="36">
        <f>D30/0.66</f>
        <v>1.1127272727272726</v>
      </c>
      <c r="H30" s="83"/>
      <c r="I30" s="52" t="s">
        <v>224</v>
      </c>
      <c r="J30" s="52">
        <v>0.20399999999999999</v>
      </c>
      <c r="K30" s="52" t="s">
        <v>227</v>
      </c>
      <c r="L30" s="52">
        <f>J30*3.6</f>
        <v>0.73439999999999994</v>
      </c>
      <c r="M30" s="52">
        <v>0.66</v>
      </c>
      <c r="N30" s="52">
        <f>L30/M30</f>
        <v>1.1127272727272726</v>
      </c>
    </row>
    <row r="31" spans="1:14" s="17" customFormat="1" x14ac:dyDescent="0.25">
      <c r="A31" s="52" t="s">
        <v>225</v>
      </c>
      <c r="B31" s="52">
        <v>4.7E-2</v>
      </c>
      <c r="C31" s="52" t="s">
        <v>227</v>
      </c>
      <c r="D31" s="52">
        <f>B31*3.6</f>
        <v>0.16920000000000002</v>
      </c>
      <c r="E31" s="52" t="s">
        <v>109</v>
      </c>
      <c r="F31" s="52">
        <f t="shared" ref="F31:F32" si="0">D31/0.66</f>
        <v>0.2563636363636364</v>
      </c>
      <c r="H31" s="95"/>
      <c r="I31" s="52" t="s">
        <v>225</v>
      </c>
      <c r="J31" s="52">
        <v>8.4000000000000005E-2</v>
      </c>
      <c r="K31" s="52" t="s">
        <v>227</v>
      </c>
      <c r="L31" s="52">
        <f>J31*3.6</f>
        <v>0.3024</v>
      </c>
      <c r="M31" s="52" t="s">
        <v>109</v>
      </c>
      <c r="N31" s="52"/>
    </row>
    <row r="32" spans="1:14" s="17" customFormat="1" x14ac:dyDescent="0.25">
      <c r="A32" s="52" t="s">
        <v>226</v>
      </c>
      <c r="B32" s="52">
        <v>5.76</v>
      </c>
      <c r="C32" s="52" t="s">
        <v>227</v>
      </c>
      <c r="D32" s="52">
        <f>B32*3.6</f>
        <v>20.736000000000001</v>
      </c>
      <c r="E32" s="52" t="s">
        <v>109</v>
      </c>
      <c r="F32" s="52">
        <f t="shared" si="0"/>
        <v>31.418181818181818</v>
      </c>
      <c r="H32" s="95"/>
      <c r="I32" s="52" t="s">
        <v>226</v>
      </c>
      <c r="J32" s="52">
        <v>5.76</v>
      </c>
      <c r="K32" s="52" t="s">
        <v>227</v>
      </c>
      <c r="L32" s="52">
        <f>J32*3.6</f>
        <v>20.736000000000001</v>
      </c>
      <c r="M32" s="52" t="s">
        <v>109</v>
      </c>
      <c r="N32" s="52"/>
    </row>
    <row r="33" spans="1:14" x14ac:dyDescent="0.25">
      <c r="A33" s="23" t="s">
        <v>455</v>
      </c>
      <c r="B33" s="23">
        <f>SUM(B30:B32)</f>
        <v>6.0110000000000001</v>
      </c>
      <c r="D33" s="23">
        <f>SUM(D30)</f>
        <v>0.73439999999999994</v>
      </c>
      <c r="F33" s="26">
        <f>SUM(F30)</f>
        <v>1.1127272727272726</v>
      </c>
      <c r="I33" s="17" t="s">
        <v>455</v>
      </c>
      <c r="J33" s="17">
        <f>SUM(J30:J32)</f>
        <v>6.048</v>
      </c>
      <c r="K33" s="17"/>
      <c r="L33" s="17">
        <f>SUM(L30:L32)</f>
        <v>21.7728</v>
      </c>
      <c r="M33" s="17"/>
      <c r="N33" s="99">
        <f>SUM(N30:N30)</f>
        <v>1.1127272727272726</v>
      </c>
    </row>
    <row r="37" spans="1:14" ht="21" x14ac:dyDescent="0.35">
      <c r="A37" s="91" t="s">
        <v>95</v>
      </c>
      <c r="D37" s="92"/>
    </row>
    <row r="38" spans="1:14" x14ac:dyDescent="0.25">
      <c r="A38" s="23" t="s">
        <v>22</v>
      </c>
      <c r="B38" s="77" t="s">
        <v>239</v>
      </c>
    </row>
    <row r="39" spans="1:14" x14ac:dyDescent="0.25">
      <c r="A39" s="23" t="s">
        <v>107</v>
      </c>
      <c r="B39" s="78" t="s">
        <v>550</v>
      </c>
      <c r="C39" s="23" t="s">
        <v>89</v>
      </c>
    </row>
    <row r="40" spans="1:14" x14ac:dyDescent="0.25">
      <c r="A40" s="23" t="s">
        <v>48</v>
      </c>
      <c r="B40" s="35"/>
    </row>
    <row r="41" spans="1:14" x14ac:dyDescent="0.25">
      <c r="A41" s="23" t="s">
        <v>250</v>
      </c>
      <c r="B41" s="84">
        <f>3.34/0.66</f>
        <v>5.0606060606060606</v>
      </c>
      <c r="C41" s="23" t="s">
        <v>89</v>
      </c>
    </row>
    <row r="42" spans="1:14" x14ac:dyDescent="0.25">
      <c r="A42" s="23" t="s">
        <v>542</v>
      </c>
      <c r="B42" s="102">
        <f>B41*6*300</f>
        <v>9109.0909090909081</v>
      </c>
      <c r="C42" s="23" t="s">
        <v>89</v>
      </c>
    </row>
    <row r="43" spans="1:14" x14ac:dyDescent="0.25">
      <c r="A43" s="23" t="s">
        <v>534</v>
      </c>
      <c r="B43" s="30">
        <v>0.66</v>
      </c>
    </row>
    <row r="44" spans="1:14" x14ac:dyDescent="0.25">
      <c r="A44" s="23" t="s">
        <v>442</v>
      </c>
      <c r="B44" s="30" t="s">
        <v>443</v>
      </c>
    </row>
    <row r="45" spans="1:14" ht="60" x14ac:dyDescent="0.25">
      <c r="A45" s="23" t="s">
        <v>451</v>
      </c>
      <c r="B45" s="79" t="s">
        <v>539</v>
      </c>
    </row>
    <row r="46" spans="1:14" x14ac:dyDescent="0.25">
      <c r="A46" s="23" t="s">
        <v>0</v>
      </c>
      <c r="B46" s="36" t="s">
        <v>241</v>
      </c>
    </row>
    <row r="47" spans="1:14" x14ac:dyDescent="0.25">
      <c r="A47" s="23" t="s">
        <v>5</v>
      </c>
      <c r="B47" s="30" t="s">
        <v>88</v>
      </c>
    </row>
    <row r="48" spans="1:14" x14ac:dyDescent="0.25">
      <c r="A48" s="23" t="s">
        <v>6</v>
      </c>
      <c r="B48" s="36" t="s">
        <v>548</v>
      </c>
    </row>
    <row r="49" spans="1:6" ht="30" x14ac:dyDescent="0.25">
      <c r="A49" s="23" t="s">
        <v>446</v>
      </c>
      <c r="B49" s="46" t="s">
        <v>540</v>
      </c>
    </row>
    <row r="51" spans="1:6" ht="30" x14ac:dyDescent="0.25">
      <c r="A51" s="31" t="s">
        <v>240</v>
      </c>
      <c r="B51" s="31" t="s">
        <v>20</v>
      </c>
      <c r="C51" s="31" t="s">
        <v>17</v>
      </c>
      <c r="D51" s="31" t="s">
        <v>253</v>
      </c>
      <c r="E51" s="31" t="s">
        <v>243</v>
      </c>
      <c r="F51" s="31" t="s">
        <v>41</v>
      </c>
    </row>
    <row r="52" spans="1:6" x14ac:dyDescent="0.25">
      <c r="A52" s="36" t="s">
        <v>13</v>
      </c>
      <c r="B52" s="36">
        <v>5.0999999999999996</v>
      </c>
      <c r="C52" s="36" t="s">
        <v>170</v>
      </c>
      <c r="D52" s="36">
        <f>B52/1000*3.6</f>
        <v>1.8359999999999998E-2</v>
      </c>
      <c r="E52" s="30">
        <v>0.66</v>
      </c>
      <c r="F52" s="36">
        <f>D52*E52</f>
        <v>1.2117599999999999E-2</v>
      </c>
    </row>
    <row r="53" spans="1:6" x14ac:dyDescent="0.25">
      <c r="A53" s="23" t="s">
        <v>455</v>
      </c>
      <c r="B53" s="23">
        <f>SUM(B52:B52)</f>
        <v>5.0999999999999996</v>
      </c>
      <c r="D53" s="23">
        <f>SUM(D52:D52)</f>
        <v>1.8359999999999998E-2</v>
      </c>
      <c r="F53" s="26">
        <f>SUM(F52:F52)</f>
        <v>1.2117599999999999E-2</v>
      </c>
    </row>
    <row r="57" spans="1:6" ht="21" x14ac:dyDescent="0.35">
      <c r="A57" s="91" t="s">
        <v>96</v>
      </c>
      <c r="D57" s="92"/>
    </row>
    <row r="58" spans="1:6" x14ac:dyDescent="0.25">
      <c r="A58" s="23" t="s">
        <v>22</v>
      </c>
      <c r="B58" s="77" t="s">
        <v>231</v>
      </c>
    </row>
    <row r="59" spans="1:6" x14ac:dyDescent="0.25">
      <c r="A59" s="23" t="s">
        <v>107</v>
      </c>
      <c r="B59" s="30">
        <v>60</v>
      </c>
      <c r="C59" s="23" t="s">
        <v>33</v>
      </c>
    </row>
    <row r="60" spans="1:6" x14ac:dyDescent="0.25">
      <c r="A60" s="23" t="s">
        <v>48</v>
      </c>
      <c r="B60" s="35"/>
    </row>
    <row r="61" spans="1:6" x14ac:dyDescent="0.25">
      <c r="A61" s="23" t="s">
        <v>242</v>
      </c>
      <c r="B61" s="106">
        <f>B59/0.66</f>
        <v>90.909090909090907</v>
      </c>
      <c r="C61" s="23" t="s">
        <v>33</v>
      </c>
    </row>
    <row r="62" spans="1:6" x14ac:dyDescent="0.25">
      <c r="A62" s="23" t="s">
        <v>49</v>
      </c>
      <c r="B62" s="35"/>
    </row>
    <row r="63" spans="1:6" x14ac:dyDescent="0.25">
      <c r="A63" s="23" t="s">
        <v>541</v>
      </c>
      <c r="B63" s="84">
        <f>B61*6*300/1000</f>
        <v>163.63636363636365</v>
      </c>
      <c r="C63" s="23" t="s">
        <v>89</v>
      </c>
    </row>
    <row r="64" spans="1:6" ht="60" x14ac:dyDescent="0.25">
      <c r="A64" s="23" t="s">
        <v>452</v>
      </c>
      <c r="B64" s="41" t="s">
        <v>238</v>
      </c>
    </row>
    <row r="65" spans="1:22" ht="90" x14ac:dyDescent="0.25">
      <c r="A65" s="23" t="s">
        <v>451</v>
      </c>
      <c r="B65" s="41" t="s">
        <v>561</v>
      </c>
    </row>
    <row r="66" spans="1:22" x14ac:dyDescent="0.25">
      <c r="A66" s="23" t="s">
        <v>472</v>
      </c>
      <c r="B66" s="41">
        <v>0.66</v>
      </c>
    </row>
    <row r="67" spans="1:22" x14ac:dyDescent="0.25">
      <c r="A67" s="23" t="s">
        <v>442</v>
      </c>
      <c r="B67" s="41" t="s">
        <v>445</v>
      </c>
    </row>
    <row r="68" spans="1:22" x14ac:dyDescent="0.25">
      <c r="A68" s="23" t="s">
        <v>0</v>
      </c>
      <c r="B68" s="36" t="s">
        <v>110</v>
      </c>
    </row>
    <row r="69" spans="1:22" x14ac:dyDescent="0.25">
      <c r="A69" s="23" t="s">
        <v>5</v>
      </c>
      <c r="B69" s="30" t="s">
        <v>235</v>
      </c>
    </row>
    <row r="70" spans="1:22" x14ac:dyDescent="0.25">
      <c r="A70" s="23" t="s">
        <v>6</v>
      </c>
      <c r="B70" s="36" t="s">
        <v>549</v>
      </c>
    </row>
    <row r="71" spans="1:22" x14ac:dyDescent="0.25">
      <c r="A71" s="23" t="s">
        <v>446</v>
      </c>
      <c r="B71" s="36" t="s">
        <v>562</v>
      </c>
    </row>
    <row r="73" spans="1:22" ht="60" x14ac:dyDescent="0.25">
      <c r="A73" s="31" t="s">
        <v>233</v>
      </c>
      <c r="B73" s="31" t="s">
        <v>20</v>
      </c>
      <c r="C73" s="31" t="s">
        <v>17</v>
      </c>
      <c r="D73" s="31" t="s">
        <v>244</v>
      </c>
      <c r="E73" s="32" t="s">
        <v>243</v>
      </c>
      <c r="F73" s="31" t="s">
        <v>41</v>
      </c>
      <c r="I73" s="31" t="s">
        <v>234</v>
      </c>
      <c r="J73" s="31" t="s">
        <v>20</v>
      </c>
      <c r="K73" s="31" t="s">
        <v>17</v>
      </c>
      <c r="L73" s="31" t="s">
        <v>244</v>
      </c>
      <c r="M73" s="32" t="s">
        <v>106</v>
      </c>
      <c r="N73" s="31" t="s">
        <v>41</v>
      </c>
      <c r="Q73" s="31" t="s">
        <v>234</v>
      </c>
      <c r="R73" s="31" t="s">
        <v>20</v>
      </c>
      <c r="S73" s="31" t="s">
        <v>17</v>
      </c>
      <c r="T73" s="31" t="s">
        <v>244</v>
      </c>
      <c r="U73" s="32" t="s">
        <v>106</v>
      </c>
      <c r="V73" s="31" t="s">
        <v>41</v>
      </c>
    </row>
    <row r="74" spans="1:22" x14ac:dyDescent="0.25">
      <c r="A74" s="36" t="s">
        <v>113</v>
      </c>
      <c r="B74" s="36">
        <v>0.746</v>
      </c>
      <c r="C74" s="36" t="s">
        <v>257</v>
      </c>
      <c r="D74" s="104">
        <f>B74/231.5*1000*3.6*(60/231.5)</f>
        <v>3.0067033946139605</v>
      </c>
      <c r="E74" s="30">
        <f>$B$59/$B$61</f>
        <v>0.66</v>
      </c>
      <c r="F74" s="36">
        <f>D74*E74/1000</f>
        <v>1.9844242404452143E-3</v>
      </c>
      <c r="I74" s="36" t="s">
        <v>113</v>
      </c>
      <c r="J74" s="36">
        <v>0.746</v>
      </c>
      <c r="K74" s="36" t="s">
        <v>259</v>
      </c>
      <c r="L74" s="36">
        <f>J74/233*1000*3.6*(60/233)</f>
        <v>2.968115087771003</v>
      </c>
      <c r="M74" s="30">
        <f>$B$59/$B$61</f>
        <v>0.66</v>
      </c>
      <c r="N74" s="36">
        <f>L74*M74/1000</f>
        <v>1.9589559579288622E-3</v>
      </c>
      <c r="Q74" s="36" t="s">
        <v>237</v>
      </c>
      <c r="R74" s="36">
        <f>7.5*B74</f>
        <v>5.5949999999999998</v>
      </c>
      <c r="S74" s="36" t="s">
        <v>256</v>
      </c>
      <c r="T74" s="36">
        <f>R74/75*1000*3.6*(60/75)</f>
        <v>214.84800000000001</v>
      </c>
      <c r="U74" s="30">
        <f>$B$59/$B$61</f>
        <v>0.66</v>
      </c>
      <c r="V74" s="36">
        <f>T74*U74/1000</f>
        <v>0.14179968000000001</v>
      </c>
    </row>
    <row r="75" spans="1:22" x14ac:dyDescent="0.25">
      <c r="A75" s="30" t="s">
        <v>236</v>
      </c>
      <c r="B75" s="36">
        <v>10</v>
      </c>
      <c r="C75" s="36" t="s">
        <v>258</v>
      </c>
      <c r="D75" s="104">
        <f>B75/91*1000*3.6*60/91</f>
        <v>260.83806303586522</v>
      </c>
      <c r="E75" s="30">
        <f>$B$59/$B$61</f>
        <v>0.66</v>
      </c>
      <c r="F75" s="36">
        <f>D75*E75/1000</f>
        <v>0.17215312160367105</v>
      </c>
      <c r="I75" s="30" t="s">
        <v>236</v>
      </c>
      <c r="J75" s="36">
        <v>10</v>
      </c>
      <c r="K75" s="36" t="s">
        <v>260</v>
      </c>
      <c r="L75" s="36">
        <f>J75/92*1000*3.6*(60/92)</f>
        <v>255.19848771266544</v>
      </c>
      <c r="M75" s="30">
        <f>$B$59/$B$61</f>
        <v>0.66</v>
      </c>
      <c r="N75" s="36">
        <f>L75*M75/1000</f>
        <v>0.1684310018903592</v>
      </c>
      <c r="Q75" s="30"/>
      <c r="R75" s="36"/>
      <c r="S75" s="36"/>
      <c r="T75" s="36"/>
      <c r="U75" s="30"/>
      <c r="V75" s="36"/>
    </row>
    <row r="76" spans="1:22" x14ac:dyDescent="0.25">
      <c r="A76" s="30" t="s">
        <v>117</v>
      </c>
      <c r="B76" s="87">
        <f>B74*2</f>
        <v>1.492</v>
      </c>
      <c r="C76" s="36" t="s">
        <v>255</v>
      </c>
      <c r="D76" s="104">
        <f>B76/60*1000*3.6</f>
        <v>89.52000000000001</v>
      </c>
      <c r="E76" s="30">
        <f>$B$59/$B$61</f>
        <v>0.66</v>
      </c>
      <c r="F76" s="36">
        <f>D76*E76/1000</f>
        <v>5.9083200000000009E-2</v>
      </c>
      <c r="I76" s="30" t="s">
        <v>117</v>
      </c>
      <c r="J76" s="87">
        <f>J74*2</f>
        <v>1.492</v>
      </c>
      <c r="K76" s="36" t="s">
        <v>255</v>
      </c>
      <c r="L76" s="36">
        <f>J76/60*1000*3.6</f>
        <v>89.52000000000001</v>
      </c>
      <c r="M76" s="30">
        <f>$B$59/$B$61</f>
        <v>0.66</v>
      </c>
      <c r="N76" s="36">
        <f>L76*M76/1000</f>
        <v>5.9083200000000009E-2</v>
      </c>
      <c r="Q76" s="30"/>
      <c r="R76" s="86"/>
      <c r="S76" s="36"/>
      <c r="T76" s="36"/>
      <c r="U76" s="30"/>
      <c r="V76" s="36"/>
    </row>
    <row r="77" spans="1:22" x14ac:dyDescent="0.25">
      <c r="A77" s="23" t="s">
        <v>455</v>
      </c>
      <c r="B77" s="23">
        <f>SUM(B74:B76)</f>
        <v>12.238</v>
      </c>
      <c r="D77" s="94">
        <f>SUM(D74:D76)</f>
        <v>353.36476643047922</v>
      </c>
      <c r="E77" s="24"/>
      <c r="F77" s="26">
        <f>SUM(F74:F76)</f>
        <v>0.23322074584411626</v>
      </c>
      <c r="I77" s="23" t="s">
        <v>455</v>
      </c>
      <c r="J77" s="23">
        <f>SUM(J74:J76)</f>
        <v>12.238</v>
      </c>
      <c r="L77" s="23">
        <f>SUM(L74:L76)</f>
        <v>347.6866028004365</v>
      </c>
      <c r="M77" s="24"/>
      <c r="N77" s="26">
        <f>SUM(N74:N76)</f>
        <v>0.22947315784828806</v>
      </c>
      <c r="Q77" s="23" t="s">
        <v>455</v>
      </c>
      <c r="R77" s="23">
        <f>SUM(R74:R76)</f>
        <v>5.5949999999999998</v>
      </c>
      <c r="U77" s="24"/>
      <c r="V77" s="26">
        <f>SUM(V74:V74)</f>
        <v>0.14179968000000001</v>
      </c>
    </row>
    <row r="78" spans="1:22" x14ac:dyDescent="0.25">
      <c r="E78" s="24"/>
      <c r="M78" s="24"/>
    </row>
    <row r="79" spans="1:22" x14ac:dyDescent="0.25">
      <c r="E79" s="24"/>
    </row>
    <row r="82" spans="1:6" ht="21" x14ac:dyDescent="0.35">
      <c r="A82" s="91" t="s">
        <v>157</v>
      </c>
      <c r="D82" s="92"/>
      <c r="E82" s="24"/>
    </row>
    <row r="83" spans="1:6" x14ac:dyDescent="0.25">
      <c r="A83" s="23" t="s">
        <v>22</v>
      </c>
      <c r="B83" s="77" t="s">
        <v>232</v>
      </c>
      <c r="E83" s="24"/>
    </row>
    <row r="84" spans="1:6" x14ac:dyDescent="0.25">
      <c r="A84" s="23" t="s">
        <v>107</v>
      </c>
      <c r="B84" s="78" t="s">
        <v>254</v>
      </c>
      <c r="C84" s="23" t="s">
        <v>33</v>
      </c>
      <c r="E84" s="24"/>
    </row>
    <row r="85" spans="1:6" x14ac:dyDescent="0.25">
      <c r="A85" s="23" t="s">
        <v>48</v>
      </c>
      <c r="B85" s="35"/>
      <c r="E85" s="24"/>
    </row>
    <row r="86" spans="1:6" x14ac:dyDescent="0.25">
      <c r="A86" s="23" t="s">
        <v>246</v>
      </c>
      <c r="B86" s="47">
        <f>105/0.95</f>
        <v>110.52631578947368</v>
      </c>
      <c r="C86" s="23" t="s">
        <v>33</v>
      </c>
      <c r="E86" s="24"/>
    </row>
    <row r="87" spans="1:6" x14ac:dyDescent="0.25">
      <c r="A87" s="23" t="s">
        <v>49</v>
      </c>
      <c r="B87" s="35"/>
      <c r="E87" s="24"/>
    </row>
    <row r="88" spans="1:6" x14ac:dyDescent="0.25">
      <c r="A88" s="23" t="s">
        <v>541</v>
      </c>
      <c r="B88" s="84">
        <f>B86*6*300/1000</f>
        <v>198.9473684210526</v>
      </c>
      <c r="C88" s="23" t="s">
        <v>89</v>
      </c>
      <c r="E88" s="24"/>
    </row>
    <row r="89" spans="1:6" x14ac:dyDescent="0.25">
      <c r="A89" s="23" t="s">
        <v>464</v>
      </c>
      <c r="B89" s="30" t="s">
        <v>558</v>
      </c>
      <c r="E89" s="24"/>
    </row>
    <row r="90" spans="1:6" x14ac:dyDescent="0.25">
      <c r="A90" s="23" t="s">
        <v>442</v>
      </c>
      <c r="B90" s="30" t="s">
        <v>445</v>
      </c>
      <c r="E90" s="24"/>
    </row>
    <row r="91" spans="1:6" x14ac:dyDescent="0.25">
      <c r="A91" s="23" t="s">
        <v>0</v>
      </c>
      <c r="B91" s="36" t="s">
        <v>110</v>
      </c>
      <c r="E91" s="24"/>
    </row>
    <row r="92" spans="1:6" x14ac:dyDescent="0.25">
      <c r="A92" s="23" t="s">
        <v>5</v>
      </c>
      <c r="B92" s="30" t="s">
        <v>235</v>
      </c>
      <c r="E92" s="24"/>
    </row>
    <row r="93" spans="1:6" x14ac:dyDescent="0.25">
      <c r="A93" s="23" t="s">
        <v>6</v>
      </c>
      <c r="B93" s="36" t="s">
        <v>559</v>
      </c>
      <c r="E93" s="24"/>
    </row>
    <row r="94" spans="1:6" ht="30" x14ac:dyDescent="0.25">
      <c r="A94" s="23" t="s">
        <v>446</v>
      </c>
      <c r="B94" s="46" t="s">
        <v>563</v>
      </c>
      <c r="E94" s="24"/>
    </row>
    <row r="95" spans="1:6" x14ac:dyDescent="0.25">
      <c r="E95" s="24"/>
    </row>
    <row r="96" spans="1:6" ht="30" x14ac:dyDescent="0.25">
      <c r="A96" s="31" t="s">
        <v>179</v>
      </c>
      <c r="B96" s="31" t="s">
        <v>20</v>
      </c>
      <c r="C96" s="31" t="s">
        <v>17</v>
      </c>
      <c r="D96" s="31" t="s">
        <v>253</v>
      </c>
      <c r="E96" s="32" t="s">
        <v>106</v>
      </c>
      <c r="F96" s="31" t="s">
        <v>41</v>
      </c>
    </row>
    <row r="97" spans="1:6" x14ac:dyDescent="0.25">
      <c r="A97" s="36" t="s">
        <v>252</v>
      </c>
      <c r="B97" s="36">
        <v>0.745</v>
      </c>
      <c r="C97" s="36" t="s">
        <v>251</v>
      </c>
      <c r="D97" s="36">
        <f>B97*3.6/105</f>
        <v>2.5542857142857141E-2</v>
      </c>
      <c r="E97" s="30">
        <f>0.95</f>
        <v>0.95</v>
      </c>
      <c r="F97" s="36">
        <f>E97*D97</f>
        <v>2.4265714285714283E-2</v>
      </c>
    </row>
    <row r="98" spans="1:6" x14ac:dyDescent="0.25">
      <c r="A98" s="23" t="s">
        <v>455</v>
      </c>
      <c r="B98" s="23">
        <f>SUM(B97:B97)</f>
        <v>0.745</v>
      </c>
      <c r="E98" s="24"/>
      <c r="F98" s="26">
        <f>SUM(F97:F97)</f>
        <v>2.4265714285714283E-2</v>
      </c>
    </row>
    <row r="102" spans="1:6" x14ac:dyDescent="0.25">
      <c r="E102" s="24"/>
    </row>
    <row r="103" spans="1:6" ht="21" x14ac:dyDescent="0.35">
      <c r="A103" s="103" t="s">
        <v>266</v>
      </c>
      <c r="B103" s="23" t="s">
        <v>262</v>
      </c>
      <c r="D103" s="92"/>
      <c r="E103" s="24"/>
    </row>
    <row r="104" spans="1:6" x14ac:dyDescent="0.25">
      <c r="A104" s="23" t="s">
        <v>22</v>
      </c>
      <c r="B104" s="77" t="s">
        <v>261</v>
      </c>
      <c r="E104" s="24"/>
    </row>
    <row r="105" spans="1:6" x14ac:dyDescent="0.25">
      <c r="A105" s="23" t="s">
        <v>107</v>
      </c>
      <c r="B105" s="35" t="s">
        <v>109</v>
      </c>
      <c r="E105" s="24"/>
    </row>
    <row r="106" spans="1:6" x14ac:dyDescent="0.25">
      <c r="A106" s="23" t="s">
        <v>48</v>
      </c>
      <c r="B106" s="35"/>
      <c r="E106" s="24"/>
    </row>
    <row r="107" spans="1:6" x14ac:dyDescent="0.25">
      <c r="A107" s="23" t="s">
        <v>30</v>
      </c>
      <c r="B107" s="35"/>
      <c r="E107" s="24"/>
    </row>
    <row r="108" spans="1:6" x14ac:dyDescent="0.25">
      <c r="A108" s="23" t="s">
        <v>49</v>
      </c>
      <c r="B108" s="35"/>
      <c r="E108" s="24"/>
    </row>
    <row r="109" spans="1:6" x14ac:dyDescent="0.25">
      <c r="A109" s="23" t="s">
        <v>19</v>
      </c>
      <c r="B109" s="34"/>
      <c r="E109" s="24"/>
    </row>
    <row r="110" spans="1:6" x14ac:dyDescent="0.25">
      <c r="A110" s="23" t="s">
        <v>0</v>
      </c>
      <c r="B110" s="36" t="s">
        <v>263</v>
      </c>
      <c r="E110" s="24"/>
    </row>
    <row r="111" spans="1:6" x14ac:dyDescent="0.25">
      <c r="A111" s="23" t="s">
        <v>5</v>
      </c>
      <c r="B111" s="35"/>
      <c r="E111" s="24"/>
    </row>
    <row r="112" spans="1:6" x14ac:dyDescent="0.25">
      <c r="A112" s="23" t="s">
        <v>6</v>
      </c>
      <c r="B112" s="36"/>
      <c r="E112" s="24"/>
    </row>
    <row r="113" spans="1:6" x14ac:dyDescent="0.25">
      <c r="E113" s="24"/>
    </row>
    <row r="114" spans="1:6" ht="30" x14ac:dyDescent="0.25">
      <c r="A114" s="98" t="s">
        <v>179</v>
      </c>
      <c r="B114" s="98" t="s">
        <v>20</v>
      </c>
      <c r="C114" s="98" t="s">
        <v>17</v>
      </c>
      <c r="D114" s="98" t="s">
        <v>244</v>
      </c>
      <c r="E114" s="98" t="s">
        <v>106</v>
      </c>
      <c r="F114" s="98" t="s">
        <v>41</v>
      </c>
    </row>
    <row r="115" spans="1:6" x14ac:dyDescent="0.25">
      <c r="A115" s="52" t="s">
        <v>264</v>
      </c>
      <c r="B115" s="52">
        <f>0.746*0.25</f>
        <v>0.1865</v>
      </c>
      <c r="C115" s="52" t="s">
        <v>282</v>
      </c>
      <c r="D115" s="52"/>
      <c r="E115" s="52"/>
      <c r="F115" s="52"/>
    </row>
    <row r="116" spans="1:6" x14ac:dyDescent="0.25">
      <c r="A116" s="52" t="s">
        <v>265</v>
      </c>
      <c r="B116" s="52">
        <f>0.746/2</f>
        <v>0.373</v>
      </c>
      <c r="C116" s="52" t="s">
        <v>282</v>
      </c>
      <c r="D116" s="52"/>
      <c r="E116" s="52"/>
      <c r="F116" s="52"/>
    </row>
    <row r="117" spans="1:6" x14ac:dyDescent="0.25">
      <c r="A117" s="52" t="s">
        <v>185</v>
      </c>
      <c r="B117" s="52">
        <f>0.746*20</f>
        <v>14.92</v>
      </c>
      <c r="C117" s="52" t="s">
        <v>282</v>
      </c>
      <c r="D117" s="52"/>
      <c r="E117" s="52"/>
      <c r="F117" s="52"/>
    </row>
    <row r="118" spans="1:6" x14ac:dyDescent="0.25">
      <c r="A118" s="17" t="s">
        <v>455</v>
      </c>
      <c r="B118" s="17">
        <f>SUM(B115:B117)</f>
        <v>15.4795</v>
      </c>
      <c r="C118" s="17"/>
      <c r="D118" s="17"/>
      <c r="E118" s="17"/>
      <c r="F118" s="105">
        <f>SUM(F115:F115)</f>
        <v>0</v>
      </c>
    </row>
    <row r="121" spans="1:6" ht="21" x14ac:dyDescent="0.35">
      <c r="A121" s="91" t="s">
        <v>267</v>
      </c>
      <c r="D121" s="92"/>
      <c r="E121" s="24"/>
    </row>
    <row r="122" spans="1:6" x14ac:dyDescent="0.25">
      <c r="A122" s="23" t="s">
        <v>22</v>
      </c>
      <c r="B122" s="77" t="s">
        <v>273</v>
      </c>
      <c r="E122" s="24"/>
    </row>
    <row r="123" spans="1:6" x14ac:dyDescent="0.25">
      <c r="A123" s="23" t="s">
        <v>107</v>
      </c>
      <c r="B123" s="30">
        <v>100</v>
      </c>
      <c r="C123" s="23" t="s">
        <v>33</v>
      </c>
      <c r="E123" s="24"/>
    </row>
    <row r="124" spans="1:6" x14ac:dyDescent="0.25">
      <c r="A124" s="23" t="s">
        <v>48</v>
      </c>
      <c r="B124" s="35"/>
      <c r="E124" s="24"/>
    </row>
    <row r="125" spans="1:6" x14ac:dyDescent="0.25">
      <c r="A125" s="23" t="s">
        <v>246</v>
      </c>
      <c r="B125" s="84">
        <f>B123/B128</f>
        <v>105.26315789473685</v>
      </c>
      <c r="C125" s="23" t="s">
        <v>33</v>
      </c>
      <c r="E125" s="24"/>
    </row>
    <row r="126" spans="1:6" x14ac:dyDescent="0.25">
      <c r="A126" s="23" t="s">
        <v>49</v>
      </c>
      <c r="B126" s="35"/>
      <c r="E126" s="24"/>
    </row>
    <row r="127" spans="1:6" x14ac:dyDescent="0.25">
      <c r="A127" s="23" t="s">
        <v>541</v>
      </c>
      <c r="B127" s="81">
        <f>B125*6*300/1000</f>
        <v>189.47368421052633</v>
      </c>
      <c r="C127" s="23" t="s">
        <v>89</v>
      </c>
      <c r="E127" s="24"/>
    </row>
    <row r="128" spans="1:6" x14ac:dyDescent="0.25">
      <c r="A128" s="23" t="s">
        <v>472</v>
      </c>
      <c r="B128" s="30">
        <v>0.95</v>
      </c>
      <c r="E128" s="24"/>
    </row>
    <row r="129" spans="1:19" x14ac:dyDescent="0.25">
      <c r="A129" s="23" t="s">
        <v>442</v>
      </c>
      <c r="B129" s="30" t="s">
        <v>444</v>
      </c>
      <c r="E129" s="24"/>
    </row>
    <row r="130" spans="1:19" x14ac:dyDescent="0.25">
      <c r="A130" s="23" t="s">
        <v>0</v>
      </c>
      <c r="B130" s="36" t="s">
        <v>110</v>
      </c>
      <c r="E130" s="24"/>
    </row>
    <row r="131" spans="1:19" x14ac:dyDescent="0.25">
      <c r="A131" s="23" t="s">
        <v>5</v>
      </c>
      <c r="B131" s="30" t="s">
        <v>269</v>
      </c>
      <c r="E131" s="24"/>
    </row>
    <row r="132" spans="1:19" x14ac:dyDescent="0.25">
      <c r="A132" s="23" t="s">
        <v>6</v>
      </c>
      <c r="B132" s="36" t="s">
        <v>598</v>
      </c>
      <c r="E132" s="24"/>
    </row>
    <row r="133" spans="1:19" x14ac:dyDescent="0.25">
      <c r="A133" s="23" t="s">
        <v>446</v>
      </c>
      <c r="B133" s="36" t="s">
        <v>562</v>
      </c>
      <c r="E133" s="24"/>
    </row>
    <row r="134" spans="1:19" x14ac:dyDescent="0.25">
      <c r="E134" s="24"/>
    </row>
    <row r="135" spans="1:19" ht="30" x14ac:dyDescent="0.25">
      <c r="A135" s="31" t="s">
        <v>179</v>
      </c>
      <c r="B135" s="31" t="s">
        <v>20</v>
      </c>
      <c r="C135" s="31" t="s">
        <v>17</v>
      </c>
      <c r="D135" s="31" t="s">
        <v>272</v>
      </c>
      <c r="E135" s="32" t="s">
        <v>243</v>
      </c>
      <c r="F135" s="31" t="s">
        <v>41</v>
      </c>
    </row>
    <row r="136" spans="1:19" x14ac:dyDescent="0.25">
      <c r="A136" s="36" t="s">
        <v>270</v>
      </c>
      <c r="B136" s="36">
        <v>0.746</v>
      </c>
      <c r="C136" s="36" t="s">
        <v>271</v>
      </c>
      <c r="D136" s="36">
        <f>B136/100*3.6</f>
        <v>2.6855999999999998E-2</v>
      </c>
      <c r="E136" s="30">
        <f>0.95</f>
        <v>0.95</v>
      </c>
      <c r="F136" s="36">
        <f>E136*D136</f>
        <v>2.5513199999999996E-2</v>
      </c>
    </row>
    <row r="137" spans="1:19" x14ac:dyDescent="0.25">
      <c r="A137" s="23" t="s">
        <v>455</v>
      </c>
      <c r="B137" s="23">
        <f>SUM(B136:B136)</f>
        <v>0.746</v>
      </c>
      <c r="D137" s="23">
        <f>SUM(D136:D136)</f>
        <v>2.6855999999999998E-2</v>
      </c>
      <c r="E137" s="24"/>
      <c r="F137" s="26">
        <f>SUM(F136:F136)</f>
        <v>2.5513199999999996E-2</v>
      </c>
    </row>
    <row r="140" spans="1:19" ht="21" x14ac:dyDescent="0.35">
      <c r="A140" s="91" t="s">
        <v>535</v>
      </c>
      <c r="D140" s="92"/>
      <c r="E140" s="24"/>
    </row>
    <row r="141" spans="1:19" x14ac:dyDescent="0.25">
      <c r="A141" s="23" t="s">
        <v>22</v>
      </c>
      <c r="B141" s="77" t="s">
        <v>274</v>
      </c>
      <c r="E141" s="24"/>
    </row>
    <row r="142" spans="1:19" x14ac:dyDescent="0.25">
      <c r="A142" s="23" t="s">
        <v>107</v>
      </c>
      <c r="B142" s="30" t="s">
        <v>281</v>
      </c>
      <c r="C142" s="23" t="s">
        <v>33</v>
      </c>
      <c r="E142" s="24"/>
      <c r="I142" s="23" t="s">
        <v>107</v>
      </c>
      <c r="J142" s="30">
        <v>120</v>
      </c>
      <c r="K142" s="23" t="s">
        <v>33</v>
      </c>
      <c r="Q142" s="23" t="s">
        <v>107</v>
      </c>
      <c r="R142" s="47">
        <f>R143/6</f>
        <v>83.333333333333329</v>
      </c>
      <c r="S142" s="23" t="s">
        <v>33</v>
      </c>
    </row>
    <row r="143" spans="1:19" x14ac:dyDescent="0.25">
      <c r="A143" s="23" t="s">
        <v>48</v>
      </c>
      <c r="B143" s="35"/>
      <c r="E143" s="24"/>
      <c r="I143" s="23" t="s">
        <v>48</v>
      </c>
      <c r="J143" s="35"/>
      <c r="Q143" s="23" t="s">
        <v>48</v>
      </c>
      <c r="R143" s="30">
        <v>500</v>
      </c>
      <c r="S143" s="23" t="s">
        <v>33</v>
      </c>
    </row>
    <row r="144" spans="1:19" x14ac:dyDescent="0.25">
      <c r="A144" s="23" t="s">
        <v>246</v>
      </c>
      <c r="B144" s="47">
        <f>350/0.95</f>
        <v>368.42105263157896</v>
      </c>
      <c r="C144" s="23" t="s">
        <v>33</v>
      </c>
      <c r="E144" s="24"/>
      <c r="I144" s="23" t="s">
        <v>246</v>
      </c>
      <c r="J144" s="47">
        <f>J142/0.95</f>
        <v>126.31578947368422</v>
      </c>
      <c r="K144" s="23" t="s">
        <v>33</v>
      </c>
      <c r="Q144" s="23" t="s">
        <v>246</v>
      </c>
      <c r="R144" s="35">
        <f>R142/0.95</f>
        <v>87.719298245614027</v>
      </c>
      <c r="S144" s="23" t="s">
        <v>33</v>
      </c>
    </row>
    <row r="145" spans="1:22" x14ac:dyDescent="0.25">
      <c r="A145" s="23" t="s">
        <v>49</v>
      </c>
      <c r="B145" s="35"/>
      <c r="E145" s="24"/>
      <c r="I145" s="23" t="s">
        <v>49</v>
      </c>
      <c r="J145" s="35"/>
      <c r="Q145" s="23" t="s">
        <v>49</v>
      </c>
      <c r="R145" s="35">
        <f>R143/0.95</f>
        <v>526.31578947368428</v>
      </c>
      <c r="S145" s="23" t="s">
        <v>33</v>
      </c>
    </row>
    <row r="146" spans="1:22" x14ac:dyDescent="0.25">
      <c r="A146" s="23" t="s">
        <v>449</v>
      </c>
      <c r="B146" s="47">
        <f>B144*6*300/1000</f>
        <v>663.15789473684208</v>
      </c>
      <c r="C146" s="23" t="s">
        <v>89</v>
      </c>
      <c r="E146" s="24"/>
      <c r="I146" s="23" t="s">
        <v>449</v>
      </c>
      <c r="J146" s="47">
        <f>J144*6*300/1000</f>
        <v>227.36842105263159</v>
      </c>
      <c r="K146" s="23" t="s">
        <v>89</v>
      </c>
      <c r="Q146" s="23" t="s">
        <v>449</v>
      </c>
      <c r="R146" s="47">
        <f>R144*6*300/1000</f>
        <v>157.89473684210526</v>
      </c>
      <c r="S146" s="23" t="s">
        <v>89</v>
      </c>
    </row>
    <row r="147" spans="1:22" x14ac:dyDescent="0.25">
      <c r="A147" s="23" t="s">
        <v>450</v>
      </c>
      <c r="B147" s="36">
        <v>0.95</v>
      </c>
      <c r="E147" s="24"/>
      <c r="J147" s="108"/>
      <c r="R147" s="24"/>
    </row>
    <row r="148" spans="1:22" x14ac:dyDescent="0.25">
      <c r="A148" s="23" t="s">
        <v>442</v>
      </c>
      <c r="B148" s="23" t="s">
        <v>556</v>
      </c>
      <c r="E148" s="24"/>
      <c r="J148" s="108"/>
      <c r="R148" s="24"/>
    </row>
    <row r="149" spans="1:22" ht="75" x14ac:dyDescent="0.25">
      <c r="A149" s="23" t="s">
        <v>451</v>
      </c>
      <c r="B149" s="79" t="s">
        <v>557</v>
      </c>
      <c r="E149" s="24"/>
    </row>
    <row r="150" spans="1:22" x14ac:dyDescent="0.25">
      <c r="A150" s="23" t="s">
        <v>0</v>
      </c>
      <c r="B150" s="36" t="s">
        <v>275</v>
      </c>
      <c r="E150" s="24"/>
    </row>
    <row r="151" spans="1:22" x14ac:dyDescent="0.25">
      <c r="A151" s="23" t="s">
        <v>5</v>
      </c>
      <c r="B151" s="30" t="s">
        <v>269</v>
      </c>
      <c r="E151" s="24"/>
    </row>
    <row r="152" spans="1:22" ht="30" x14ac:dyDescent="0.25">
      <c r="A152" s="23" t="s">
        <v>6</v>
      </c>
      <c r="B152" s="46" t="s">
        <v>278</v>
      </c>
      <c r="E152" s="24"/>
    </row>
    <row r="153" spans="1:22" x14ac:dyDescent="0.25">
      <c r="A153" s="23" t="s">
        <v>446</v>
      </c>
      <c r="B153" s="36" t="s">
        <v>564</v>
      </c>
      <c r="E153" s="24"/>
    </row>
    <row r="154" spans="1:22" x14ac:dyDescent="0.25">
      <c r="E154" s="24"/>
    </row>
    <row r="155" spans="1:22" ht="45" x14ac:dyDescent="0.25">
      <c r="A155" s="31" t="s">
        <v>276</v>
      </c>
      <c r="B155" s="31" t="s">
        <v>20</v>
      </c>
      <c r="C155" s="31" t="s">
        <v>17</v>
      </c>
      <c r="D155" s="31" t="s">
        <v>272</v>
      </c>
      <c r="E155" s="32" t="s">
        <v>106</v>
      </c>
      <c r="F155" s="31" t="s">
        <v>41</v>
      </c>
      <c r="I155" s="31" t="s">
        <v>277</v>
      </c>
      <c r="J155" s="31" t="s">
        <v>20</v>
      </c>
      <c r="K155" s="31" t="s">
        <v>17</v>
      </c>
      <c r="L155" s="31" t="s">
        <v>272</v>
      </c>
      <c r="M155" s="32" t="s">
        <v>106</v>
      </c>
      <c r="N155" s="31" t="s">
        <v>41</v>
      </c>
      <c r="Q155" s="31" t="s">
        <v>280</v>
      </c>
      <c r="R155" s="31" t="s">
        <v>20</v>
      </c>
      <c r="S155" s="31" t="s">
        <v>17</v>
      </c>
      <c r="T155" s="31" t="s">
        <v>272</v>
      </c>
      <c r="U155" s="32" t="s">
        <v>106</v>
      </c>
      <c r="V155" s="31" t="s">
        <v>41</v>
      </c>
    </row>
    <row r="156" spans="1:22" x14ac:dyDescent="0.25">
      <c r="A156" s="36" t="s">
        <v>279</v>
      </c>
      <c r="B156" s="36">
        <f>10*0.746</f>
        <v>7.46</v>
      </c>
      <c r="C156" s="36" t="s">
        <v>282</v>
      </c>
      <c r="D156" s="36">
        <f>B156*3.6/350</f>
        <v>7.6731428571428575E-2</v>
      </c>
      <c r="E156" s="30">
        <v>0.95</v>
      </c>
      <c r="F156" s="36">
        <f>E156*D156</f>
        <v>7.289485714285715E-2</v>
      </c>
      <c r="I156" s="36" t="s">
        <v>279</v>
      </c>
      <c r="J156" s="36">
        <f>0.746*5</f>
        <v>3.73</v>
      </c>
      <c r="K156" s="36" t="s">
        <v>282</v>
      </c>
      <c r="L156" s="36">
        <f>J156*3.6/120</f>
        <v>0.11190000000000001</v>
      </c>
      <c r="M156" s="30">
        <v>0.95</v>
      </c>
      <c r="N156" s="36">
        <f>M156*L156</f>
        <v>0.10630500000000001</v>
      </c>
      <c r="Q156" s="36" t="s">
        <v>279</v>
      </c>
      <c r="R156" s="36">
        <f>0.746*3</f>
        <v>2.238</v>
      </c>
      <c r="S156" s="36" t="s">
        <v>282</v>
      </c>
      <c r="T156" s="36">
        <f>R156*3.6/R142</f>
        <v>9.668160000000002E-2</v>
      </c>
      <c r="U156" s="30">
        <v>0.95</v>
      </c>
      <c r="V156" s="36">
        <f>U156*T156</f>
        <v>9.1847520000000016E-2</v>
      </c>
    </row>
    <row r="157" spans="1:22" x14ac:dyDescent="0.25">
      <c r="A157" s="23" t="s">
        <v>455</v>
      </c>
      <c r="B157" s="23">
        <f>SUM(B156:B156)</f>
        <v>7.46</v>
      </c>
      <c r="D157" s="23">
        <f>SUM(D156:D156)</f>
        <v>7.6731428571428575E-2</v>
      </c>
      <c r="E157" s="24"/>
      <c r="F157" s="26">
        <f>SUM(F156:F156)</f>
        <v>7.289485714285715E-2</v>
      </c>
      <c r="I157" s="23" t="s">
        <v>455</v>
      </c>
      <c r="J157" s="23">
        <f>SUM(J156:J156)</f>
        <v>3.73</v>
      </c>
      <c r="L157" s="23">
        <f>SUM(L156:L156)</f>
        <v>0.11190000000000001</v>
      </c>
      <c r="M157" s="24"/>
      <c r="N157" s="26">
        <f>SUM(N156:N156)</f>
        <v>0.10630500000000001</v>
      </c>
      <c r="Q157" s="23" t="s">
        <v>455</v>
      </c>
      <c r="R157" s="23">
        <f>SUM(R156:R156)</f>
        <v>2.238</v>
      </c>
      <c r="T157" s="23">
        <f>SUM(T156:T156)</f>
        <v>9.668160000000002E-2</v>
      </c>
      <c r="U157" s="24"/>
      <c r="V157" s="26">
        <f>SUM(V156:V156)</f>
        <v>9.1847520000000016E-2</v>
      </c>
    </row>
    <row r="161" spans="1:8" ht="21" x14ac:dyDescent="0.35">
      <c r="A161" s="9" t="s">
        <v>494</v>
      </c>
      <c r="B161"/>
      <c r="C161"/>
      <c r="D161"/>
      <c r="E161"/>
      <c r="F161"/>
      <c r="G161"/>
      <c r="H161"/>
    </row>
    <row r="162" spans="1:8" x14ac:dyDescent="0.25">
      <c r="A162"/>
      <c r="B162" s="68"/>
      <c r="C162"/>
      <c r="D162"/>
      <c r="E162"/>
      <c r="F162"/>
      <c r="G162"/>
      <c r="H162"/>
    </row>
    <row r="163" spans="1:8" x14ac:dyDescent="0.25">
      <c r="A163" t="s">
        <v>496</v>
      </c>
      <c r="B163" s="68">
        <f>F53</f>
        <v>1.2117599999999999E-2</v>
      </c>
      <c r="C163"/>
      <c r="D163"/>
      <c r="E163"/>
      <c r="F163"/>
      <c r="G163"/>
      <c r="H163"/>
    </row>
    <row r="164" spans="1:8" x14ac:dyDescent="0.25">
      <c r="A164" t="s">
        <v>512</v>
      </c>
      <c r="B164" s="68">
        <f>F77</f>
        <v>0.23322074584411626</v>
      </c>
      <c r="C164"/>
      <c r="D164"/>
      <c r="E164"/>
      <c r="F164"/>
      <c r="G164"/>
      <c r="H164"/>
    </row>
    <row r="165" spans="1:8" x14ac:dyDescent="0.25">
      <c r="A165" t="s">
        <v>513</v>
      </c>
      <c r="B165" s="10">
        <f>N77</f>
        <v>0.22947315784828806</v>
      </c>
      <c r="C165"/>
      <c r="D165"/>
      <c r="E165"/>
      <c r="F165"/>
      <c r="G165"/>
      <c r="H165"/>
    </row>
    <row r="166" spans="1:8" x14ac:dyDescent="0.25">
      <c r="A166" t="s">
        <v>543</v>
      </c>
      <c r="B166" s="10">
        <f>V77</f>
        <v>0.14179968000000001</v>
      </c>
      <c r="C166"/>
      <c r="D166"/>
      <c r="E166"/>
      <c r="F166"/>
      <c r="G166"/>
      <c r="H166"/>
    </row>
    <row r="167" spans="1:8" x14ac:dyDescent="0.25">
      <c r="A167" t="s">
        <v>514</v>
      </c>
      <c r="B167" s="10">
        <f>F98</f>
        <v>2.4265714285714283E-2</v>
      </c>
      <c r="C167"/>
      <c r="D167"/>
      <c r="E167"/>
      <c r="F167"/>
      <c r="G167"/>
      <c r="H167"/>
    </row>
    <row r="168" spans="1:8" x14ac:dyDescent="0.25">
      <c r="A168" t="s">
        <v>518</v>
      </c>
      <c r="B168" s="68">
        <f>F137</f>
        <v>2.5513199999999996E-2</v>
      </c>
      <c r="C168"/>
      <c r="D168"/>
      <c r="E168"/>
      <c r="F168"/>
      <c r="G168"/>
      <c r="H168"/>
    </row>
    <row r="169" spans="1:8" x14ac:dyDescent="0.25">
      <c r="A169" t="s">
        <v>545</v>
      </c>
      <c r="B169" s="68">
        <f>F157</f>
        <v>7.289485714285715E-2</v>
      </c>
      <c r="C169"/>
      <c r="D169"/>
      <c r="E169"/>
      <c r="F169"/>
      <c r="G169"/>
      <c r="H169"/>
    </row>
    <row r="170" spans="1:8" x14ac:dyDescent="0.25">
      <c r="A170" t="s">
        <v>546</v>
      </c>
      <c r="B170" s="10">
        <f>N157</f>
        <v>0.10630500000000001</v>
      </c>
      <c r="C170"/>
      <c r="D170"/>
      <c r="E170"/>
      <c r="F170"/>
      <c r="G170"/>
      <c r="H170"/>
    </row>
    <row r="171" spans="1:8" x14ac:dyDescent="0.25">
      <c r="A171" t="s">
        <v>547</v>
      </c>
      <c r="B171" s="10">
        <f>V157</f>
        <v>9.1847520000000016E-2</v>
      </c>
      <c r="C171"/>
      <c r="D171"/>
      <c r="E171"/>
      <c r="F171"/>
      <c r="G171"/>
      <c r="H171"/>
    </row>
    <row r="172" spans="1:8" x14ac:dyDescent="0.25">
      <c r="A172" t="s">
        <v>491</v>
      </c>
      <c r="B172" s="10">
        <f>AVERAGE($B$162:$B$171)</f>
        <v>0.1041597194578862</v>
      </c>
      <c r="C172"/>
      <c r="D172"/>
      <c r="E172"/>
      <c r="F172"/>
      <c r="G172"/>
      <c r="H172"/>
    </row>
    <row r="173" spans="1:8" x14ac:dyDescent="0.25">
      <c r="A173" t="s">
        <v>492</v>
      </c>
      <c r="B173" s="10">
        <f>MAX($B$162:$B$171)</f>
        <v>0.23322074584411626</v>
      </c>
      <c r="C173"/>
      <c r="D173"/>
      <c r="E173"/>
      <c r="F173"/>
      <c r="G173"/>
      <c r="H173"/>
    </row>
    <row r="174" spans="1:8" x14ac:dyDescent="0.25">
      <c r="A174" t="s">
        <v>493</v>
      </c>
      <c r="B174" s="10">
        <f>MIN($B$162:$B$171)</f>
        <v>1.2117599999999999E-2</v>
      </c>
      <c r="C174"/>
      <c r="D174"/>
      <c r="E174"/>
      <c r="F174"/>
      <c r="G174"/>
      <c r="H174"/>
    </row>
  </sheetData>
  <mergeCells count="1">
    <mergeCell ref="F1:L1"/>
  </mergeCells>
  <phoneticPr fontId="9" type="noConversion"/>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79C44-2D9D-4B0A-B403-CD410498C2BA}">
  <dimension ref="A1:AA133"/>
  <sheetViews>
    <sheetView topLeftCell="A111" zoomScale="85" workbookViewId="0">
      <selection activeCell="D12" sqref="D12:D13"/>
    </sheetView>
  </sheetViews>
  <sheetFormatPr defaultColWidth="11.42578125" defaultRowHeight="15" x14ac:dyDescent="0.25"/>
  <cols>
    <col min="1" max="1" width="29.42578125" style="24" customWidth="1"/>
    <col min="2" max="2" width="34.5703125" style="24" customWidth="1"/>
    <col min="3" max="7" width="11.42578125" style="24"/>
    <col min="8" max="8" width="30.140625" style="24" customWidth="1"/>
    <col min="9" max="9" width="18.140625" style="24" customWidth="1"/>
    <col min="10" max="15" width="11.42578125" style="24"/>
    <col min="16" max="16" width="27.85546875" style="24" customWidth="1"/>
    <col min="17" max="17" width="22.140625" style="24" customWidth="1"/>
    <col min="18" max="16384" width="11.42578125" style="24"/>
  </cols>
  <sheetData>
    <row r="1" spans="1:12" ht="15.75" x14ac:dyDescent="0.25">
      <c r="A1" s="110"/>
      <c r="B1" s="110"/>
      <c r="C1" s="111" t="s">
        <v>35</v>
      </c>
      <c r="D1" s="111" t="s">
        <v>34</v>
      </c>
      <c r="E1" s="110"/>
      <c r="F1" s="173" t="s">
        <v>97</v>
      </c>
      <c r="G1" s="173"/>
      <c r="H1" s="173"/>
      <c r="I1" s="173"/>
      <c r="J1" s="173"/>
      <c r="K1" s="173"/>
      <c r="L1" s="173"/>
    </row>
    <row r="2" spans="1:12" ht="21" x14ac:dyDescent="0.35">
      <c r="A2" s="89" t="s">
        <v>39</v>
      </c>
      <c r="B2" s="110"/>
      <c r="C2" s="111"/>
      <c r="D2" s="111"/>
      <c r="E2" s="110"/>
      <c r="F2" s="112"/>
      <c r="G2" s="112"/>
      <c r="H2" s="112"/>
      <c r="I2" s="112"/>
      <c r="J2" s="112"/>
      <c r="K2" s="112"/>
      <c r="L2" s="112"/>
    </row>
    <row r="3" spans="1:12" x14ac:dyDescent="0.25">
      <c r="A3" s="24" t="s">
        <v>1</v>
      </c>
      <c r="B3" s="30" t="s">
        <v>572</v>
      </c>
      <c r="D3" s="30" t="s">
        <v>664</v>
      </c>
    </row>
    <row r="4" spans="1:12" x14ac:dyDescent="0.25">
      <c r="A4" s="24" t="s">
        <v>7</v>
      </c>
      <c r="B4" s="30" t="s">
        <v>665</v>
      </c>
      <c r="D4" s="30" t="s">
        <v>664</v>
      </c>
    </row>
    <row r="5" spans="1:12" x14ac:dyDescent="0.25">
      <c r="A5" s="24" t="s">
        <v>27</v>
      </c>
      <c r="B5" s="69"/>
      <c r="C5" s="69"/>
      <c r="D5" s="69"/>
    </row>
    <row r="6" spans="1:12" x14ac:dyDescent="0.25">
      <c r="A6" s="24" t="s">
        <v>28</v>
      </c>
      <c r="B6" s="30">
        <v>0.32369999999999999</v>
      </c>
      <c r="C6" s="30" t="s">
        <v>32</v>
      </c>
      <c r="D6" s="30" t="s">
        <v>565</v>
      </c>
    </row>
    <row r="8" spans="1:12" ht="21" x14ac:dyDescent="0.35">
      <c r="A8" s="113" t="s">
        <v>38</v>
      </c>
    </row>
    <row r="9" spans="1:12" x14ac:dyDescent="0.25">
      <c r="A9" s="24" t="s">
        <v>36</v>
      </c>
      <c r="B9" s="30">
        <v>100000</v>
      </c>
      <c r="C9" s="24" t="s">
        <v>37</v>
      </c>
    </row>
    <row r="10" spans="1:12" x14ac:dyDescent="0.25">
      <c r="A10" s="24" t="s">
        <v>102</v>
      </c>
      <c r="B10" s="81">
        <f>B9/B6</f>
        <v>308928.01977139327</v>
      </c>
      <c r="C10" s="24" t="s">
        <v>33</v>
      </c>
    </row>
    <row r="11" spans="1:12" x14ac:dyDescent="0.25">
      <c r="A11" s="24" t="s">
        <v>102</v>
      </c>
      <c r="B11" s="81">
        <f>B10/1000</f>
        <v>308.92801977139328</v>
      </c>
      <c r="C11" s="24" t="s">
        <v>89</v>
      </c>
    </row>
    <row r="12" spans="1:12" x14ac:dyDescent="0.25">
      <c r="A12" s="24" t="s">
        <v>103</v>
      </c>
      <c r="B12" s="81">
        <f>B10/365</f>
        <v>846.37813635998157</v>
      </c>
      <c r="C12" s="24" t="s">
        <v>33</v>
      </c>
    </row>
    <row r="15" spans="1:12" ht="21" x14ac:dyDescent="0.35">
      <c r="A15" s="91" t="s">
        <v>309</v>
      </c>
      <c r="D15" s="114"/>
    </row>
    <row r="16" spans="1:12" x14ac:dyDescent="0.25">
      <c r="A16" s="24" t="s">
        <v>22</v>
      </c>
      <c r="B16" s="77" t="s">
        <v>291</v>
      </c>
    </row>
    <row r="17" spans="1:14" x14ac:dyDescent="0.25">
      <c r="A17" s="24" t="s">
        <v>300</v>
      </c>
      <c r="B17" s="30">
        <v>2.5000000000000001E-2</v>
      </c>
      <c r="C17" s="24" t="s">
        <v>33</v>
      </c>
    </row>
    <row r="18" spans="1:14" x14ac:dyDescent="0.25">
      <c r="A18" s="24" t="s">
        <v>301</v>
      </c>
      <c r="B18" s="30">
        <v>5.5E-2</v>
      </c>
      <c r="C18" s="24" t="s">
        <v>33</v>
      </c>
    </row>
    <row r="19" spans="1:14" x14ac:dyDescent="0.25">
      <c r="A19" s="24" t="s">
        <v>579</v>
      </c>
      <c r="B19" s="47">
        <f>B17*6*300/1000</f>
        <v>4.5000000000000005E-2</v>
      </c>
      <c r="C19" s="24" t="s">
        <v>89</v>
      </c>
    </row>
    <row r="20" spans="1:14" x14ac:dyDescent="0.25">
      <c r="A20" s="24" t="s">
        <v>580</v>
      </c>
      <c r="B20" s="47">
        <f>B18*6*300/1000</f>
        <v>9.9000000000000005E-2</v>
      </c>
      <c r="C20" s="24" t="s">
        <v>89</v>
      </c>
    </row>
    <row r="21" spans="1:14" x14ac:dyDescent="0.25">
      <c r="A21" s="24" t="s">
        <v>452</v>
      </c>
      <c r="B21" s="30" t="s">
        <v>294</v>
      </c>
    </row>
    <row r="22" spans="1:14" ht="30" x14ac:dyDescent="0.25">
      <c r="A22" s="24" t="s">
        <v>451</v>
      </c>
      <c r="B22" s="79" t="s">
        <v>568</v>
      </c>
    </row>
    <row r="23" spans="1:14" x14ac:dyDescent="0.25">
      <c r="A23" s="24" t="s">
        <v>462</v>
      </c>
      <c r="B23" s="52"/>
    </row>
    <row r="24" spans="1:14" x14ac:dyDescent="0.25">
      <c r="A24" s="24" t="s">
        <v>442</v>
      </c>
      <c r="B24" s="30" t="s">
        <v>445</v>
      </c>
    </row>
    <row r="25" spans="1:14" x14ac:dyDescent="0.25">
      <c r="A25" s="24" t="s">
        <v>0</v>
      </c>
      <c r="B25" s="30" t="s">
        <v>295</v>
      </c>
    </row>
    <row r="26" spans="1:14" x14ac:dyDescent="0.25">
      <c r="A26" s="24" t="s">
        <v>5</v>
      </c>
      <c r="B26" s="30" t="s">
        <v>296</v>
      </c>
    </row>
    <row r="27" spans="1:14" ht="135" x14ac:dyDescent="0.25">
      <c r="A27" s="24" t="s">
        <v>6</v>
      </c>
      <c r="B27" s="41" t="s">
        <v>567</v>
      </c>
    </row>
    <row r="28" spans="1:14" ht="45" x14ac:dyDescent="0.25">
      <c r="A28" s="24" t="s">
        <v>446</v>
      </c>
      <c r="B28" s="41" t="s">
        <v>578</v>
      </c>
    </row>
    <row r="30" spans="1:14" ht="60" x14ac:dyDescent="0.25">
      <c r="A30" s="32" t="s">
        <v>288</v>
      </c>
      <c r="B30" s="32" t="s">
        <v>20</v>
      </c>
      <c r="C30" s="32" t="s">
        <v>17</v>
      </c>
      <c r="D30" s="32" t="s">
        <v>297</v>
      </c>
      <c r="E30" s="32" t="s">
        <v>106</v>
      </c>
      <c r="F30" s="32" t="s">
        <v>41</v>
      </c>
      <c r="G30" s="32"/>
      <c r="H30" s="32"/>
      <c r="I30" s="32" t="s">
        <v>289</v>
      </c>
      <c r="J30" s="32" t="s">
        <v>20</v>
      </c>
      <c r="K30" s="32" t="s">
        <v>17</v>
      </c>
      <c r="L30" s="32" t="s">
        <v>297</v>
      </c>
      <c r="M30" s="32" t="s">
        <v>106</v>
      </c>
      <c r="N30" s="32" t="s">
        <v>41</v>
      </c>
    </row>
    <row r="31" spans="1:14" x14ac:dyDescent="0.25">
      <c r="A31" s="30" t="s">
        <v>293</v>
      </c>
      <c r="B31" s="30">
        <f>(13.92+19.38)/2</f>
        <v>16.649999999999999</v>
      </c>
      <c r="C31" s="30" t="s">
        <v>292</v>
      </c>
      <c r="D31" s="30">
        <f>B31*3.6/1000</f>
        <v>5.994E-2</v>
      </c>
      <c r="E31" s="30" t="s">
        <v>188</v>
      </c>
      <c r="F31" s="30">
        <f>D31</f>
        <v>5.994E-2</v>
      </c>
      <c r="H31" s="115"/>
      <c r="I31" s="30" t="s">
        <v>293</v>
      </c>
      <c r="J31" s="30">
        <f>(6.88+9.32)/2</f>
        <v>8.1</v>
      </c>
      <c r="K31" s="30" t="s">
        <v>292</v>
      </c>
      <c r="L31" s="30">
        <f>J31*3.6/1000</f>
        <v>2.9159999999999998E-2</v>
      </c>
      <c r="M31" s="30" t="s">
        <v>188</v>
      </c>
      <c r="N31" s="30">
        <f>L31</f>
        <v>2.9159999999999998E-2</v>
      </c>
    </row>
    <row r="32" spans="1:14" x14ac:dyDescent="0.25">
      <c r="A32" s="24" t="s">
        <v>455</v>
      </c>
      <c r="B32" s="24">
        <f>SUM(B31:B31)</f>
        <v>16.649999999999999</v>
      </c>
      <c r="D32" s="24">
        <f>SUM(D31:D31)</f>
        <v>5.994E-2</v>
      </c>
      <c r="F32" s="26">
        <f>SUM(F31:F31)</f>
        <v>5.994E-2</v>
      </c>
      <c r="I32" s="24" t="s">
        <v>455</v>
      </c>
      <c r="J32" s="24">
        <f>SUM(J31:J31)</f>
        <v>8.1</v>
      </c>
      <c r="L32" s="24">
        <f>SUM(L31:L31)</f>
        <v>2.9159999999999998E-2</v>
      </c>
      <c r="N32" s="26">
        <f>SUM(N31:N31)</f>
        <v>2.9159999999999998E-2</v>
      </c>
    </row>
    <row r="35" spans="1:4" ht="21" x14ac:dyDescent="0.35">
      <c r="A35" s="119" t="s">
        <v>308</v>
      </c>
      <c r="D35" s="114"/>
    </row>
    <row r="36" spans="1:4" x14ac:dyDescent="0.25">
      <c r="A36" s="24" t="s">
        <v>22</v>
      </c>
      <c r="B36" s="77" t="s">
        <v>298</v>
      </c>
    </row>
    <row r="37" spans="1:4" x14ac:dyDescent="0.25">
      <c r="A37" s="24" t="s">
        <v>290</v>
      </c>
      <c r="B37" s="35" t="s">
        <v>16</v>
      </c>
      <c r="C37" s="24" t="s">
        <v>33</v>
      </c>
      <c r="D37" s="24" t="s">
        <v>305</v>
      </c>
    </row>
    <row r="38" spans="1:4" x14ac:dyDescent="0.25">
      <c r="A38" s="24" t="s">
        <v>48</v>
      </c>
      <c r="B38" s="35" t="s">
        <v>16</v>
      </c>
    </row>
    <row r="39" spans="1:4" x14ac:dyDescent="0.25">
      <c r="A39" s="24" t="s">
        <v>30</v>
      </c>
      <c r="B39" s="35" t="s">
        <v>16</v>
      </c>
    </row>
    <row r="40" spans="1:4" x14ac:dyDescent="0.25">
      <c r="A40" s="24" t="s">
        <v>49</v>
      </c>
      <c r="B40" s="35" t="s">
        <v>16</v>
      </c>
    </row>
    <row r="41" spans="1:4" x14ac:dyDescent="0.25">
      <c r="A41" s="24" t="s">
        <v>442</v>
      </c>
      <c r="B41" s="30" t="s">
        <v>299</v>
      </c>
    </row>
    <row r="42" spans="1:4" x14ac:dyDescent="0.25">
      <c r="A42" s="24" t="s">
        <v>450</v>
      </c>
      <c r="B42" s="30"/>
    </row>
    <row r="43" spans="1:4" x14ac:dyDescent="0.25">
      <c r="A43" s="24" t="s">
        <v>19</v>
      </c>
      <c r="B43" s="30" t="s">
        <v>294</v>
      </c>
    </row>
    <row r="44" spans="1:4" x14ac:dyDescent="0.25">
      <c r="A44" s="24" t="s">
        <v>0</v>
      </c>
      <c r="B44" s="30" t="s">
        <v>3</v>
      </c>
    </row>
    <row r="45" spans="1:4" x14ac:dyDescent="0.25">
      <c r="A45" s="24" t="s">
        <v>5</v>
      </c>
      <c r="B45" s="30" t="s">
        <v>296</v>
      </c>
    </row>
    <row r="46" spans="1:4" x14ac:dyDescent="0.25">
      <c r="A46" s="24" t="s">
        <v>6</v>
      </c>
      <c r="B46" s="30" t="s">
        <v>310</v>
      </c>
    </row>
    <row r="47" spans="1:4" x14ac:dyDescent="0.25">
      <c r="A47" s="24" t="s">
        <v>446</v>
      </c>
      <c r="B47" s="30"/>
    </row>
    <row r="49" spans="1:26" s="17" customFormat="1" ht="60" x14ac:dyDescent="0.25">
      <c r="A49" s="98" t="s">
        <v>304</v>
      </c>
      <c r="B49" s="98" t="s">
        <v>20</v>
      </c>
      <c r="C49" s="98" t="s">
        <v>17</v>
      </c>
      <c r="D49" s="98" t="s">
        <v>297</v>
      </c>
      <c r="E49" s="98" t="s">
        <v>106</v>
      </c>
      <c r="F49" s="98" t="s">
        <v>41</v>
      </c>
      <c r="I49" s="98" t="s">
        <v>307</v>
      </c>
      <c r="J49" s="98" t="s">
        <v>20</v>
      </c>
      <c r="K49" s="98" t="s">
        <v>17</v>
      </c>
      <c r="L49" s="98" t="s">
        <v>297</v>
      </c>
      <c r="M49" s="98" t="s">
        <v>106</v>
      </c>
      <c r="N49" s="98" t="s">
        <v>41</v>
      </c>
      <c r="Q49" s="98" t="s">
        <v>306</v>
      </c>
      <c r="R49" s="98" t="s">
        <v>20</v>
      </c>
      <c r="S49" s="98" t="s">
        <v>17</v>
      </c>
      <c r="T49" s="98" t="s">
        <v>297</v>
      </c>
      <c r="U49" s="98" t="s">
        <v>106</v>
      </c>
      <c r="V49" s="98" t="s">
        <v>41</v>
      </c>
    </row>
    <row r="50" spans="1:26" s="17" customFormat="1" x14ac:dyDescent="0.25">
      <c r="A50" s="52" t="s">
        <v>73</v>
      </c>
      <c r="B50" s="52" t="s">
        <v>16</v>
      </c>
      <c r="C50" s="52" t="s">
        <v>282</v>
      </c>
      <c r="D50" s="52"/>
      <c r="E50" s="52" t="s">
        <v>188</v>
      </c>
      <c r="F50" s="52"/>
      <c r="I50" s="52" t="s">
        <v>73</v>
      </c>
      <c r="J50" s="52" t="s">
        <v>16</v>
      </c>
      <c r="K50" s="52" t="s">
        <v>282</v>
      </c>
      <c r="L50" s="52"/>
      <c r="M50" s="52" t="s">
        <v>188</v>
      </c>
      <c r="N50" s="52"/>
      <c r="Q50" s="52" t="s">
        <v>73</v>
      </c>
      <c r="R50" s="52">
        <v>0.66</v>
      </c>
      <c r="S50" s="52" t="s">
        <v>302</v>
      </c>
      <c r="T50" s="52"/>
      <c r="U50" s="52"/>
      <c r="V50" s="52"/>
    </row>
    <row r="51" spans="1:26" s="17" customFormat="1" x14ac:dyDescent="0.25">
      <c r="A51" s="52" t="s">
        <v>303</v>
      </c>
      <c r="B51" s="52">
        <v>0.13</v>
      </c>
      <c r="C51" s="52" t="s">
        <v>282</v>
      </c>
      <c r="D51" s="52"/>
      <c r="E51" s="52" t="s">
        <v>188</v>
      </c>
      <c r="F51" s="52"/>
      <c r="I51" s="52" t="s">
        <v>303</v>
      </c>
      <c r="J51" s="52" t="s">
        <v>16</v>
      </c>
      <c r="K51" s="52" t="s">
        <v>282</v>
      </c>
      <c r="L51" s="52"/>
      <c r="M51" s="52" t="s">
        <v>188</v>
      </c>
      <c r="N51" s="52"/>
      <c r="Q51" s="52" t="s">
        <v>303</v>
      </c>
      <c r="R51" s="52" t="s">
        <v>16</v>
      </c>
      <c r="S51" s="52" t="s">
        <v>302</v>
      </c>
      <c r="T51" s="52"/>
      <c r="U51" s="52"/>
      <c r="V51" s="52"/>
    </row>
    <row r="52" spans="1:26" s="17" customFormat="1" x14ac:dyDescent="0.25">
      <c r="A52" s="52" t="s">
        <v>13</v>
      </c>
      <c r="B52" s="52">
        <v>5.49</v>
      </c>
      <c r="C52" s="52" t="s">
        <v>282</v>
      </c>
      <c r="D52" s="52"/>
      <c r="E52" s="52" t="s">
        <v>188</v>
      </c>
      <c r="F52" s="52"/>
      <c r="I52" s="52" t="s">
        <v>13</v>
      </c>
      <c r="J52" s="52" t="s">
        <v>16</v>
      </c>
      <c r="K52" s="52" t="s">
        <v>282</v>
      </c>
      <c r="L52" s="52"/>
      <c r="M52" s="52" t="s">
        <v>188</v>
      </c>
      <c r="N52" s="52"/>
      <c r="Q52" s="52" t="s">
        <v>13</v>
      </c>
      <c r="R52" s="52">
        <v>5.49</v>
      </c>
      <c r="S52" s="52" t="s">
        <v>302</v>
      </c>
      <c r="T52" s="52"/>
      <c r="U52" s="52"/>
      <c r="V52" s="52"/>
    </row>
    <row r="53" spans="1:26" s="17" customFormat="1" x14ac:dyDescent="0.25">
      <c r="A53" s="52" t="s">
        <v>15</v>
      </c>
      <c r="B53" s="96">
        <v>4.7</v>
      </c>
      <c r="C53" s="52" t="s">
        <v>282</v>
      </c>
      <c r="D53" s="52"/>
      <c r="E53" s="52" t="s">
        <v>188</v>
      </c>
      <c r="F53" s="52"/>
      <c r="I53" s="52" t="s">
        <v>15</v>
      </c>
      <c r="J53" s="96">
        <v>3.8</v>
      </c>
      <c r="K53" s="52" t="s">
        <v>282</v>
      </c>
      <c r="L53" s="52"/>
      <c r="M53" s="52" t="s">
        <v>188</v>
      </c>
      <c r="N53" s="52"/>
      <c r="Q53" s="52" t="s">
        <v>15</v>
      </c>
      <c r="R53" s="96">
        <v>3.8</v>
      </c>
      <c r="S53" s="52" t="s">
        <v>302</v>
      </c>
      <c r="T53" s="52"/>
      <c r="U53" s="52"/>
      <c r="V53" s="52"/>
    </row>
    <row r="54" spans="1:26" x14ac:dyDescent="0.25">
      <c r="A54" s="24" t="s">
        <v>455</v>
      </c>
      <c r="B54" s="24">
        <f>SUM(B50:B53)</f>
        <v>10.32</v>
      </c>
      <c r="D54" s="24">
        <f>SUM(D50:D53)</f>
        <v>0</v>
      </c>
      <c r="F54" s="26">
        <f>SUM(F50:F50)</f>
        <v>0</v>
      </c>
      <c r="I54" s="24" t="s">
        <v>455</v>
      </c>
      <c r="J54" s="24">
        <f>SUM(J50:J53)</f>
        <v>3.8</v>
      </c>
      <c r="L54" s="24">
        <f>SUM(L50:L53)</f>
        <v>0</v>
      </c>
      <c r="N54" s="26">
        <f>SUM(N50:N50)</f>
        <v>0</v>
      </c>
      <c r="Q54" s="24" t="s">
        <v>455</v>
      </c>
      <c r="R54" s="24">
        <f>SUM(R50:R53)</f>
        <v>9.9499999999999993</v>
      </c>
      <c r="T54" s="24">
        <f>SUM(T50:T53)</f>
        <v>0</v>
      </c>
      <c r="V54" s="26">
        <f>SUM(V50:V50)</f>
        <v>0</v>
      </c>
    </row>
    <row r="58" spans="1:26" ht="21" x14ac:dyDescent="0.35">
      <c r="A58" s="91" t="s">
        <v>311</v>
      </c>
      <c r="D58" s="114"/>
    </row>
    <row r="59" spans="1:26" x14ac:dyDescent="0.25">
      <c r="A59" s="24" t="s">
        <v>22</v>
      </c>
      <c r="B59" s="77" t="s">
        <v>312</v>
      </c>
    </row>
    <row r="60" spans="1:26" x14ac:dyDescent="0.25">
      <c r="A60" s="24" t="s">
        <v>290</v>
      </c>
      <c r="B60" s="30">
        <v>100</v>
      </c>
      <c r="C60" s="24" t="s">
        <v>33</v>
      </c>
      <c r="H60" s="24" t="s">
        <v>290</v>
      </c>
      <c r="I60" s="30">
        <v>50</v>
      </c>
      <c r="J60" s="24" t="s">
        <v>33</v>
      </c>
      <c r="P60" s="24" t="s">
        <v>290</v>
      </c>
      <c r="Q60" s="30">
        <v>125</v>
      </c>
      <c r="R60" s="24" t="s">
        <v>33</v>
      </c>
      <c r="X60" s="24" t="s">
        <v>290</v>
      </c>
      <c r="Y60" s="30">
        <v>50</v>
      </c>
      <c r="Z60" s="24" t="s">
        <v>33</v>
      </c>
    </row>
    <row r="61" spans="1:26" x14ac:dyDescent="0.25">
      <c r="A61" s="24" t="s">
        <v>450</v>
      </c>
      <c r="B61" s="74">
        <v>0.75</v>
      </c>
      <c r="H61" s="24" t="s">
        <v>314</v>
      </c>
      <c r="I61" s="74">
        <v>0.72</v>
      </c>
      <c r="P61" s="24" t="s">
        <v>314</v>
      </c>
      <c r="Q61" s="74">
        <v>0.8</v>
      </c>
      <c r="X61" s="24" t="s">
        <v>314</v>
      </c>
      <c r="Y61" s="74">
        <v>0.8</v>
      </c>
    </row>
    <row r="62" spans="1:26" x14ac:dyDescent="0.25">
      <c r="A62" s="24" t="s">
        <v>315</v>
      </c>
      <c r="B62" s="84">
        <f>B60/B61</f>
        <v>133.33333333333334</v>
      </c>
      <c r="H62" s="24" t="s">
        <v>315</v>
      </c>
      <c r="I62" s="84">
        <f>I60/I61</f>
        <v>69.444444444444443</v>
      </c>
      <c r="P62" s="24" t="s">
        <v>315</v>
      </c>
      <c r="Q62" s="47">
        <f>Q60/Q61</f>
        <v>156.25</v>
      </c>
      <c r="X62" s="24" t="s">
        <v>315</v>
      </c>
      <c r="Y62" s="47">
        <f>Y60/Y61</f>
        <v>62.5</v>
      </c>
    </row>
    <row r="63" spans="1:26" x14ac:dyDescent="0.25">
      <c r="A63" s="24" t="s">
        <v>449</v>
      </c>
      <c r="B63" s="30">
        <f>B62*6*300/1000</f>
        <v>240</v>
      </c>
      <c r="C63" s="24" t="s">
        <v>89</v>
      </c>
      <c r="H63" s="24" t="s">
        <v>449</v>
      </c>
      <c r="I63" s="47">
        <f>I62*6*300/1000</f>
        <v>124.99999999999999</v>
      </c>
      <c r="J63" s="24" t="s">
        <v>89</v>
      </c>
      <c r="P63" s="24" t="s">
        <v>449</v>
      </c>
      <c r="Q63" s="47">
        <f>Q62*6*300/1000</f>
        <v>281.25</v>
      </c>
      <c r="R63" s="24" t="s">
        <v>89</v>
      </c>
      <c r="X63" s="24" t="s">
        <v>449</v>
      </c>
      <c r="Y63" s="47">
        <f>Y62*6*300/1000</f>
        <v>112.5</v>
      </c>
      <c r="Z63" s="24" t="s">
        <v>89</v>
      </c>
    </row>
    <row r="64" spans="1:26" x14ac:dyDescent="0.25">
      <c r="A64" s="24" t="s">
        <v>442</v>
      </c>
      <c r="B64" s="30" t="s">
        <v>444</v>
      </c>
      <c r="H64" s="24" t="s">
        <v>442</v>
      </c>
      <c r="I64" s="30" t="s">
        <v>444</v>
      </c>
      <c r="P64" s="24" t="s">
        <v>442</v>
      </c>
      <c r="Q64" s="30" t="s">
        <v>444</v>
      </c>
      <c r="X64" s="24" t="s">
        <v>442</v>
      </c>
      <c r="Y64" s="30" t="s">
        <v>444</v>
      </c>
    </row>
    <row r="65" spans="1:27" ht="120" x14ac:dyDescent="0.25">
      <c r="A65" s="24" t="s">
        <v>451</v>
      </c>
      <c r="B65" s="41" t="s">
        <v>569</v>
      </c>
    </row>
    <row r="66" spans="1:27" x14ac:dyDescent="0.25">
      <c r="A66" s="24" t="s">
        <v>0</v>
      </c>
      <c r="B66" s="30" t="s">
        <v>268</v>
      </c>
    </row>
    <row r="67" spans="1:27" x14ac:dyDescent="0.25">
      <c r="A67" s="24" t="s">
        <v>5</v>
      </c>
      <c r="B67" s="30" t="s">
        <v>319</v>
      </c>
    </row>
    <row r="68" spans="1:27" x14ac:dyDescent="0.25">
      <c r="A68" s="24" t="s">
        <v>6</v>
      </c>
      <c r="B68" s="30" t="s">
        <v>570</v>
      </c>
    </row>
    <row r="69" spans="1:27" x14ac:dyDescent="0.25">
      <c r="A69" s="24" t="s">
        <v>446</v>
      </c>
      <c r="B69" s="30" t="s">
        <v>562</v>
      </c>
    </row>
    <row r="71" spans="1:27" ht="60" x14ac:dyDescent="0.25">
      <c r="A71" s="32" t="s">
        <v>313</v>
      </c>
      <c r="B71" s="32" t="s">
        <v>20</v>
      </c>
      <c r="C71" s="32" t="s">
        <v>17</v>
      </c>
      <c r="D71" s="32" t="s">
        <v>297</v>
      </c>
      <c r="E71" s="32" t="s">
        <v>41</v>
      </c>
      <c r="H71" s="32" t="s">
        <v>316</v>
      </c>
      <c r="I71" s="32" t="s">
        <v>20</v>
      </c>
      <c r="J71" s="32" t="s">
        <v>17</v>
      </c>
      <c r="K71" s="32" t="s">
        <v>297</v>
      </c>
      <c r="L71" s="32" t="s">
        <v>41</v>
      </c>
      <c r="P71" s="32" t="s">
        <v>317</v>
      </c>
      <c r="Q71" s="32" t="s">
        <v>20</v>
      </c>
      <c r="R71" s="32" t="s">
        <v>17</v>
      </c>
      <c r="S71" s="32" t="s">
        <v>297</v>
      </c>
      <c r="T71" s="32" t="s">
        <v>41</v>
      </c>
      <c r="W71" s="32" t="s">
        <v>316</v>
      </c>
      <c r="X71" s="32" t="s">
        <v>20</v>
      </c>
      <c r="Y71" s="32" t="s">
        <v>17</v>
      </c>
      <c r="Z71" s="32" t="s">
        <v>297</v>
      </c>
      <c r="AA71" s="32" t="s">
        <v>41</v>
      </c>
    </row>
    <row r="72" spans="1:27" x14ac:dyDescent="0.25">
      <c r="A72" s="30" t="s">
        <v>185</v>
      </c>
      <c r="B72" s="30">
        <f>1.5*0.746</f>
        <v>1.119</v>
      </c>
      <c r="C72" s="30" t="s">
        <v>282</v>
      </c>
      <c r="D72" s="30">
        <f>B72/B60*3.6</f>
        <v>4.0284E-2</v>
      </c>
      <c r="E72" s="30">
        <f>D72*B61</f>
        <v>3.0213E-2</v>
      </c>
      <c r="F72" s="30"/>
      <c r="H72" s="30" t="s">
        <v>185</v>
      </c>
      <c r="I72" s="30">
        <v>0.746</v>
      </c>
      <c r="J72" s="30" t="s">
        <v>271</v>
      </c>
      <c r="K72" s="30">
        <f>I72/B60*3.6</f>
        <v>2.6855999999999998E-2</v>
      </c>
      <c r="L72" s="30">
        <f>K72*I61</f>
        <v>1.9336319999999997E-2</v>
      </c>
      <c r="M72" s="30"/>
      <c r="P72" s="30" t="s">
        <v>185</v>
      </c>
      <c r="Q72" s="30">
        <v>0.746</v>
      </c>
      <c r="R72" s="30" t="s">
        <v>271</v>
      </c>
      <c r="S72" s="30">
        <f>Q72/Q60*3.6</f>
        <v>2.1484800000000002E-2</v>
      </c>
      <c r="T72" s="30">
        <f>S72*Q61</f>
        <v>1.7187840000000003E-2</v>
      </c>
      <c r="W72" s="30" t="s">
        <v>185</v>
      </c>
      <c r="X72" s="30">
        <v>0.746</v>
      </c>
      <c r="Y72" s="30" t="s">
        <v>271</v>
      </c>
      <c r="Z72" s="30">
        <f>X72/Y60*3.6</f>
        <v>5.3711999999999996E-2</v>
      </c>
      <c r="AA72" s="30">
        <f>Z72*Y61</f>
        <v>4.2969599999999997E-2</v>
      </c>
    </row>
    <row r="73" spans="1:27" x14ac:dyDescent="0.25">
      <c r="A73" s="24" t="s">
        <v>455</v>
      </c>
      <c r="B73" s="24">
        <f>SUM(B72:B72)</f>
        <v>1.119</v>
      </c>
      <c r="D73" s="24">
        <f>SUM(D72:D72)</f>
        <v>4.0284E-2</v>
      </c>
      <c r="E73" s="26">
        <f>SUM(E72)</f>
        <v>3.0213E-2</v>
      </c>
      <c r="H73" s="24" t="s">
        <v>455</v>
      </c>
      <c r="I73" s="24">
        <f>SUM(I72:I72)</f>
        <v>0.746</v>
      </c>
      <c r="K73" s="24">
        <f>SUM(K72:K72)</f>
        <v>2.6855999999999998E-2</v>
      </c>
      <c r="L73" s="117">
        <f>SUM(L72)</f>
        <v>1.9336319999999997E-2</v>
      </c>
      <c r="M73" s="116"/>
      <c r="P73" s="30" t="s">
        <v>318</v>
      </c>
      <c r="Q73" s="30">
        <f>0.5*0.746</f>
        <v>0.373</v>
      </c>
      <c r="R73" s="30" t="s">
        <v>271</v>
      </c>
      <c r="S73" s="30">
        <f>Q73/Q60*3.6</f>
        <v>1.0742400000000001E-2</v>
      </c>
      <c r="T73" s="30">
        <f>S73*Q61</f>
        <v>8.5939200000000014E-3</v>
      </c>
      <c r="W73" s="24" t="s">
        <v>455</v>
      </c>
      <c r="X73" s="24">
        <f>SUM(X72:X72)</f>
        <v>0.746</v>
      </c>
      <c r="Z73" s="24">
        <f>SUM(Z72:Z72)</f>
        <v>5.3711999999999996E-2</v>
      </c>
      <c r="AA73" s="117">
        <f>SUM(AA72)</f>
        <v>4.2969599999999997E-2</v>
      </c>
    </row>
    <row r="74" spans="1:27" x14ac:dyDescent="0.25">
      <c r="P74" s="24" t="s">
        <v>455</v>
      </c>
      <c r="Q74" s="24">
        <f>SUM(Q72:Q72)</f>
        <v>0.746</v>
      </c>
      <c r="S74" s="24">
        <f>SUM(S72:S72)</f>
        <v>2.1484800000000002E-2</v>
      </c>
      <c r="T74" s="117">
        <f>SUM(T72:T73)</f>
        <v>2.5781760000000004E-2</v>
      </c>
    </row>
    <row r="78" spans="1:27" ht="21" x14ac:dyDescent="0.35">
      <c r="A78" s="91" t="s">
        <v>157</v>
      </c>
    </row>
    <row r="79" spans="1:27" x14ac:dyDescent="0.25">
      <c r="A79" s="24" t="s">
        <v>22</v>
      </c>
      <c r="B79" s="77" t="s">
        <v>566</v>
      </c>
    </row>
    <row r="80" spans="1:27" x14ac:dyDescent="0.25">
      <c r="A80" s="24" t="s">
        <v>290</v>
      </c>
      <c r="B80" s="30">
        <v>94</v>
      </c>
      <c r="C80" s="24" t="s">
        <v>33</v>
      </c>
      <c r="H80" s="24" t="s">
        <v>290</v>
      </c>
      <c r="I80" s="30">
        <v>140</v>
      </c>
      <c r="J80" s="24" t="s">
        <v>33</v>
      </c>
      <c r="P80" s="24" t="s">
        <v>290</v>
      </c>
      <c r="Q80" s="30">
        <v>125</v>
      </c>
      <c r="R80" s="24" t="s">
        <v>33</v>
      </c>
    </row>
    <row r="81" spans="1:20" x14ac:dyDescent="0.25">
      <c r="A81" s="24" t="s">
        <v>314</v>
      </c>
      <c r="B81" s="74">
        <v>0.9</v>
      </c>
      <c r="H81" s="24" t="s">
        <v>314</v>
      </c>
      <c r="I81" s="74">
        <v>0.95</v>
      </c>
      <c r="P81" s="24" t="s">
        <v>314</v>
      </c>
      <c r="Q81" s="74">
        <v>0.97</v>
      </c>
    </row>
    <row r="82" spans="1:20" x14ac:dyDescent="0.25">
      <c r="A82" s="24" t="s">
        <v>315</v>
      </c>
      <c r="B82" s="84">
        <f>B80/B81</f>
        <v>104.44444444444444</v>
      </c>
      <c r="C82" s="24" t="s">
        <v>33</v>
      </c>
      <c r="H82" s="24" t="s">
        <v>315</v>
      </c>
      <c r="I82" s="84">
        <f>I80/I81</f>
        <v>147.36842105263159</v>
      </c>
      <c r="J82" s="24" t="s">
        <v>33</v>
      </c>
      <c r="P82" s="24" t="s">
        <v>315</v>
      </c>
      <c r="Q82" s="84">
        <f>Q80/Q81</f>
        <v>128.86597938144331</v>
      </c>
    </row>
    <row r="83" spans="1:20" x14ac:dyDescent="0.25">
      <c r="A83" s="24" t="s">
        <v>449</v>
      </c>
      <c r="B83" s="47">
        <f>B82*6*300/1000</f>
        <v>188</v>
      </c>
      <c r="C83" s="24" t="s">
        <v>89</v>
      </c>
      <c r="H83" s="24" t="s">
        <v>449</v>
      </c>
      <c r="I83" s="84">
        <f>I82*6*300/1000</f>
        <v>265.26315789473688</v>
      </c>
      <c r="J83" s="24" t="s">
        <v>89</v>
      </c>
      <c r="P83" s="24" t="s">
        <v>449</v>
      </c>
      <c r="Q83" s="84">
        <f>Q82*6*300/1000</f>
        <v>231.95876288659795</v>
      </c>
      <c r="R83" s="24" t="s">
        <v>89</v>
      </c>
    </row>
    <row r="84" spans="1:20" x14ac:dyDescent="0.25">
      <c r="A84" s="24" t="s">
        <v>442</v>
      </c>
      <c r="B84" s="30" t="s">
        <v>444</v>
      </c>
    </row>
    <row r="85" spans="1:20" ht="105" x14ac:dyDescent="0.25">
      <c r="A85" s="24" t="s">
        <v>451</v>
      </c>
      <c r="B85" s="41" t="s">
        <v>574</v>
      </c>
    </row>
    <row r="86" spans="1:20" x14ac:dyDescent="0.25">
      <c r="A86" s="24" t="s">
        <v>0</v>
      </c>
      <c r="B86" s="30" t="s">
        <v>268</v>
      </c>
    </row>
    <row r="87" spans="1:20" x14ac:dyDescent="0.25">
      <c r="A87" s="24" t="s">
        <v>5</v>
      </c>
      <c r="B87" s="30" t="s">
        <v>319</v>
      </c>
    </row>
    <row r="88" spans="1:20" x14ac:dyDescent="0.25">
      <c r="A88" s="24" t="s">
        <v>6</v>
      </c>
      <c r="B88" s="30" t="s">
        <v>570</v>
      </c>
    </row>
    <row r="89" spans="1:20" x14ac:dyDescent="0.25">
      <c r="A89" s="24" t="s">
        <v>571</v>
      </c>
      <c r="B89" s="30" t="s">
        <v>562</v>
      </c>
    </row>
    <row r="91" spans="1:20" ht="60" x14ac:dyDescent="0.25">
      <c r="A91" s="32" t="s">
        <v>316</v>
      </c>
      <c r="B91" s="32" t="s">
        <v>20</v>
      </c>
      <c r="C91" s="32" t="s">
        <v>17</v>
      </c>
      <c r="D91" s="32" t="s">
        <v>297</v>
      </c>
      <c r="E91" s="32" t="s">
        <v>41</v>
      </c>
      <c r="H91" s="32" t="s">
        <v>320</v>
      </c>
      <c r="I91" s="32" t="s">
        <v>20</v>
      </c>
      <c r="J91" s="32" t="s">
        <v>17</v>
      </c>
      <c r="K91" s="32" t="s">
        <v>297</v>
      </c>
      <c r="L91" s="32" t="s">
        <v>41</v>
      </c>
      <c r="P91" s="32" t="s">
        <v>317</v>
      </c>
      <c r="Q91" s="32" t="s">
        <v>20</v>
      </c>
      <c r="R91" s="32" t="s">
        <v>17</v>
      </c>
      <c r="S91" s="32" t="s">
        <v>297</v>
      </c>
      <c r="T91" s="32" t="s">
        <v>41</v>
      </c>
    </row>
    <row r="92" spans="1:20" x14ac:dyDescent="0.25">
      <c r="A92" s="30" t="s">
        <v>185</v>
      </c>
      <c r="B92" s="30">
        <f>2*0.746</f>
        <v>1.492</v>
      </c>
      <c r="C92" s="30" t="s">
        <v>282</v>
      </c>
      <c r="D92" s="30">
        <f>B92/B80*3.6</f>
        <v>5.7140425531914889E-2</v>
      </c>
      <c r="E92" s="30">
        <f>D92*B80/B82</f>
        <v>5.1426382978723408E-2</v>
      </c>
      <c r="H92" s="30" t="s">
        <v>185</v>
      </c>
      <c r="I92" s="30">
        <v>0.746</v>
      </c>
      <c r="J92" s="30" t="s">
        <v>282</v>
      </c>
      <c r="K92" s="30">
        <f>I92/I80*3.6</f>
        <v>1.918285714285714E-2</v>
      </c>
      <c r="L92" s="30">
        <f>K92*I80/I82</f>
        <v>1.8223714285714281E-2</v>
      </c>
      <c r="P92" s="30" t="s">
        <v>321</v>
      </c>
      <c r="Q92" s="30">
        <v>0.746</v>
      </c>
      <c r="R92" s="30" t="s">
        <v>271</v>
      </c>
      <c r="S92" s="30">
        <f>Q92/$Q$80*3.6</f>
        <v>2.1484800000000002E-2</v>
      </c>
      <c r="T92" s="30">
        <f>S92*Q80/Q82</f>
        <v>2.0840256000000001E-2</v>
      </c>
    </row>
    <row r="93" spans="1:20" x14ac:dyDescent="0.25">
      <c r="A93" s="24" t="s">
        <v>455</v>
      </c>
      <c r="B93" s="24">
        <f>SUM(B92:B92)</f>
        <v>1.492</v>
      </c>
      <c r="D93" s="24">
        <f>SUM(D92:D92)</f>
        <v>5.7140425531914889E-2</v>
      </c>
      <c r="E93" s="26">
        <f>SUM(E92)</f>
        <v>5.1426382978723408E-2</v>
      </c>
      <c r="H93" s="24" t="s">
        <v>455</v>
      </c>
      <c r="I93" s="24">
        <f>SUM(I92:I92)</f>
        <v>0.746</v>
      </c>
      <c r="K93" s="24">
        <f>SUM(K92:K92)</f>
        <v>1.918285714285714E-2</v>
      </c>
      <c r="L93" s="26">
        <f>SUM(L92)</f>
        <v>1.8223714285714281E-2</v>
      </c>
      <c r="P93" s="30" t="s">
        <v>318</v>
      </c>
      <c r="Q93" s="30">
        <f>0.5*0.746</f>
        <v>0.373</v>
      </c>
      <c r="R93" s="30" t="s">
        <v>271</v>
      </c>
      <c r="S93" s="30">
        <f>Q93/$Q$80*3.6</f>
        <v>1.0742400000000001E-2</v>
      </c>
      <c r="T93" s="30">
        <f>S93*(125/225)*Q80/Q82</f>
        <v>5.7889600000000001E-3</v>
      </c>
    </row>
    <row r="94" spans="1:20" x14ac:dyDescent="0.25">
      <c r="P94" s="24" t="s">
        <v>455</v>
      </c>
      <c r="Q94" s="24">
        <f>SUM(Q92:Q92)</f>
        <v>0.746</v>
      </c>
      <c r="S94" s="24">
        <f>SUM(S92:S93)</f>
        <v>3.2227200000000004E-2</v>
      </c>
      <c r="T94" s="117">
        <f>SUM(T92:T93)</f>
        <v>2.6629216000000001E-2</v>
      </c>
    </row>
    <row r="97" spans="1:6" ht="21" x14ac:dyDescent="0.35">
      <c r="A97" s="91" t="s">
        <v>163</v>
      </c>
      <c r="D97" s="114"/>
    </row>
    <row r="98" spans="1:6" x14ac:dyDescent="0.25">
      <c r="A98" s="24" t="s">
        <v>22</v>
      </c>
      <c r="B98" s="77" t="s">
        <v>274</v>
      </c>
    </row>
    <row r="99" spans="1:6" x14ac:dyDescent="0.25">
      <c r="A99" s="24" t="s">
        <v>107</v>
      </c>
      <c r="B99" s="30">
        <v>120</v>
      </c>
      <c r="C99" s="24" t="s">
        <v>33</v>
      </c>
    </row>
    <row r="100" spans="1:6" x14ac:dyDescent="0.25">
      <c r="A100" s="24" t="s">
        <v>48</v>
      </c>
      <c r="B100" s="52"/>
    </row>
    <row r="101" spans="1:6" x14ac:dyDescent="0.25">
      <c r="A101" s="24" t="s">
        <v>246</v>
      </c>
      <c r="B101" s="30">
        <f>B99/0.74</f>
        <v>162.16216216216216</v>
      </c>
      <c r="C101" s="24" t="s">
        <v>33</v>
      </c>
    </row>
    <row r="102" spans="1:6" x14ac:dyDescent="0.25">
      <c r="A102" s="24" t="s">
        <v>49</v>
      </c>
      <c r="B102" s="52"/>
    </row>
    <row r="103" spans="1:6" x14ac:dyDescent="0.25">
      <c r="A103" s="24" t="s">
        <v>449</v>
      </c>
      <c r="B103" s="120">
        <f>B101*6*300/1000</f>
        <v>291.89189189189187</v>
      </c>
      <c r="C103" s="24" t="s">
        <v>89</v>
      </c>
    </row>
    <row r="104" spans="1:6" x14ac:dyDescent="0.25">
      <c r="A104" s="24" t="s">
        <v>464</v>
      </c>
      <c r="B104" s="81">
        <v>0.74</v>
      </c>
    </row>
    <row r="105" spans="1:6" x14ac:dyDescent="0.25">
      <c r="A105" s="24" t="s">
        <v>573</v>
      </c>
      <c r="B105" s="30" t="s">
        <v>444</v>
      </c>
    </row>
    <row r="106" spans="1:6" x14ac:dyDescent="0.25">
      <c r="A106" s="24" t="s">
        <v>19</v>
      </c>
      <c r="B106" s="30"/>
    </row>
    <row r="107" spans="1:6" x14ac:dyDescent="0.25">
      <c r="A107" s="24" t="s">
        <v>0</v>
      </c>
      <c r="B107" s="30" t="s">
        <v>275</v>
      </c>
    </row>
    <row r="108" spans="1:6" x14ac:dyDescent="0.25">
      <c r="A108" s="24" t="s">
        <v>5</v>
      </c>
      <c r="B108" s="30" t="s">
        <v>269</v>
      </c>
    </row>
    <row r="109" spans="1:6" ht="30" x14ac:dyDescent="0.25">
      <c r="A109" s="24" t="s">
        <v>6</v>
      </c>
      <c r="B109" s="41" t="s">
        <v>390</v>
      </c>
    </row>
    <row r="110" spans="1:6" x14ac:dyDescent="0.25">
      <c r="A110" s="24" t="s">
        <v>446</v>
      </c>
      <c r="B110" s="30" t="s">
        <v>577</v>
      </c>
    </row>
    <row r="112" spans="1:6" ht="45" x14ac:dyDescent="0.25">
      <c r="A112" s="32" t="s">
        <v>277</v>
      </c>
      <c r="B112" s="32" t="s">
        <v>20</v>
      </c>
      <c r="C112" s="32" t="s">
        <v>17</v>
      </c>
      <c r="D112" s="32" t="s">
        <v>272</v>
      </c>
      <c r="E112" s="32" t="s">
        <v>106</v>
      </c>
      <c r="F112" s="32" t="s">
        <v>41</v>
      </c>
    </row>
    <row r="113" spans="1:6" x14ac:dyDescent="0.25">
      <c r="A113" s="30" t="s">
        <v>279</v>
      </c>
      <c r="B113" s="30">
        <f>0.746*5</f>
        <v>3.73</v>
      </c>
      <c r="C113" s="30" t="s">
        <v>282</v>
      </c>
      <c r="D113" s="30">
        <f>B113*3.6/120</f>
        <v>0.11190000000000001</v>
      </c>
      <c r="E113" s="30">
        <v>0.74</v>
      </c>
      <c r="F113" s="30">
        <f>E113*D113</f>
        <v>8.2806000000000005E-2</v>
      </c>
    </row>
    <row r="114" spans="1:6" x14ac:dyDescent="0.25">
      <c r="A114" s="24" t="s">
        <v>455</v>
      </c>
      <c r="B114" s="24">
        <f>SUM(B113:B113)</f>
        <v>3.73</v>
      </c>
      <c r="D114" s="24">
        <f>SUM(D113:D113)</f>
        <v>0.11190000000000001</v>
      </c>
      <c r="F114" s="26">
        <f>SUM(F113:F113)</f>
        <v>8.2806000000000005E-2</v>
      </c>
    </row>
    <row r="118" spans="1:6" ht="21" x14ac:dyDescent="0.35">
      <c r="A118" s="9" t="s">
        <v>494</v>
      </c>
      <c r="B118"/>
    </row>
    <row r="119" spans="1:6" x14ac:dyDescent="0.25">
      <c r="A119" t="s">
        <v>499</v>
      </c>
      <c r="B119" s="68">
        <f>F32</f>
        <v>5.994E-2</v>
      </c>
    </row>
    <row r="120" spans="1:6" x14ac:dyDescent="0.25">
      <c r="A120" t="s">
        <v>500</v>
      </c>
      <c r="B120" s="68">
        <f>N32</f>
        <v>2.9159999999999998E-2</v>
      </c>
    </row>
    <row r="121" spans="1:6" x14ac:dyDescent="0.25">
      <c r="A121" t="s">
        <v>512</v>
      </c>
      <c r="B121" s="68">
        <f>E73</f>
        <v>3.0213E-2</v>
      </c>
    </row>
    <row r="122" spans="1:6" x14ac:dyDescent="0.25">
      <c r="A122" t="s">
        <v>513</v>
      </c>
      <c r="B122" s="10">
        <f>L73</f>
        <v>1.9336319999999997E-2</v>
      </c>
    </row>
    <row r="123" spans="1:6" x14ac:dyDescent="0.25">
      <c r="A123" t="s">
        <v>543</v>
      </c>
      <c r="B123" s="10">
        <f>T74</f>
        <v>2.5781760000000004E-2</v>
      </c>
    </row>
    <row r="124" spans="1:6" x14ac:dyDescent="0.25">
      <c r="A124" t="s">
        <v>575</v>
      </c>
      <c r="B124" s="10">
        <f>AA73</f>
        <v>4.2969599999999997E-2</v>
      </c>
    </row>
    <row r="125" spans="1:6" x14ac:dyDescent="0.25">
      <c r="A125" t="s">
        <v>526</v>
      </c>
      <c r="B125" s="10">
        <f>E93</f>
        <v>5.1426382978723408E-2</v>
      </c>
    </row>
    <row r="126" spans="1:6" x14ac:dyDescent="0.25">
      <c r="A126" t="s">
        <v>527</v>
      </c>
      <c r="B126" s="68">
        <f>L93</f>
        <v>1.8223714285714281E-2</v>
      </c>
    </row>
    <row r="127" spans="1:6" x14ac:dyDescent="0.25">
      <c r="A127" t="s">
        <v>576</v>
      </c>
      <c r="B127" s="68">
        <f>T94</f>
        <v>2.6629216000000001E-2</v>
      </c>
    </row>
    <row r="128" spans="1:6" x14ac:dyDescent="0.25">
      <c r="A128" t="s">
        <v>544</v>
      </c>
      <c r="B128" s="10">
        <f>F114</f>
        <v>8.2806000000000005E-2</v>
      </c>
    </row>
    <row r="129" spans="1:2" x14ac:dyDescent="0.25">
      <c r="A129"/>
      <c r="B129" s="10"/>
    </row>
    <row r="130" spans="1:2" x14ac:dyDescent="0.25">
      <c r="A130" t="s">
        <v>491</v>
      </c>
      <c r="B130" s="10">
        <f>AVERAGE(B119:B128)</f>
        <v>3.8648599326443774E-2</v>
      </c>
    </row>
    <row r="131" spans="1:2" x14ac:dyDescent="0.25">
      <c r="A131" t="s">
        <v>492</v>
      </c>
      <c r="B131" s="10">
        <f>MAX(B119:B128)</f>
        <v>8.2806000000000005E-2</v>
      </c>
    </row>
    <row r="132" spans="1:2" x14ac:dyDescent="0.25">
      <c r="A132" t="s">
        <v>493</v>
      </c>
      <c r="B132" s="10">
        <f>MIN(B119:B128)</f>
        <v>1.8223714285714281E-2</v>
      </c>
    </row>
    <row r="133" spans="1:2" x14ac:dyDescent="0.25">
      <c r="A133" s="23"/>
      <c r="B133" s="23"/>
    </row>
  </sheetData>
  <mergeCells count="1">
    <mergeCell ref="F1:L1"/>
  </mergeCells>
  <phoneticPr fontId="9" type="noConversion"/>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37F5F-2BDD-4EC3-9F84-25F6ADDD832A}">
  <dimension ref="A1:N82"/>
  <sheetViews>
    <sheetView topLeftCell="A64" zoomScale="77" workbookViewId="0">
      <selection activeCell="G21" sqref="G21"/>
    </sheetView>
  </sheetViews>
  <sheetFormatPr defaultColWidth="11.42578125" defaultRowHeight="15" x14ac:dyDescent="0.25"/>
  <cols>
    <col min="1" max="1" width="29.42578125" style="23" customWidth="1"/>
    <col min="2" max="2" width="26.140625" style="23" customWidth="1"/>
    <col min="3" max="8" width="11.42578125" style="23"/>
    <col min="9" max="9" width="27.5703125" style="23" customWidth="1"/>
    <col min="10" max="16384" width="11.42578125" style="23"/>
  </cols>
  <sheetData>
    <row r="1" spans="1:12" ht="15.75" x14ac:dyDescent="0.25">
      <c r="A1" s="75"/>
      <c r="B1" s="75"/>
      <c r="C1" s="88" t="s">
        <v>35</v>
      </c>
      <c r="D1" s="88" t="s">
        <v>34</v>
      </c>
      <c r="E1" s="75"/>
      <c r="F1" s="172"/>
      <c r="G1" s="172"/>
      <c r="H1" s="172"/>
      <c r="I1" s="172"/>
      <c r="J1" s="172"/>
      <c r="K1" s="172"/>
      <c r="L1" s="172"/>
    </row>
    <row r="2" spans="1:12" ht="21" x14ac:dyDescent="0.35">
      <c r="A2" s="89" t="s">
        <v>39</v>
      </c>
      <c r="B2" s="75"/>
      <c r="C2" s="88"/>
      <c r="D2" s="88"/>
      <c r="E2" s="75"/>
      <c r="F2" s="90"/>
      <c r="G2" s="90"/>
      <c r="H2" s="90"/>
      <c r="I2" s="90"/>
      <c r="J2" s="90"/>
      <c r="K2" s="90"/>
      <c r="L2" s="90"/>
    </row>
    <row r="3" spans="1:12" x14ac:dyDescent="0.25">
      <c r="A3" s="23" t="s">
        <v>1</v>
      </c>
      <c r="B3" s="36" t="s">
        <v>585</v>
      </c>
      <c r="D3" s="36" t="s">
        <v>666</v>
      </c>
    </row>
    <row r="4" spans="1:12" ht="90" x14ac:dyDescent="0.25">
      <c r="A4" s="23" t="s">
        <v>7</v>
      </c>
      <c r="B4" s="46" t="s">
        <v>588</v>
      </c>
      <c r="D4" s="36" t="s">
        <v>587</v>
      </c>
    </row>
    <row r="5" spans="1:12" x14ac:dyDescent="0.25">
      <c r="A5" s="23" t="s">
        <v>27</v>
      </c>
      <c r="B5" s="125">
        <v>6.2E-2</v>
      </c>
      <c r="C5" s="30" t="s">
        <v>438</v>
      </c>
      <c r="D5" s="126" t="s">
        <v>584</v>
      </c>
    </row>
    <row r="6" spans="1:12" x14ac:dyDescent="0.25">
      <c r="A6" s="23" t="s">
        <v>28</v>
      </c>
      <c r="B6" s="52"/>
      <c r="C6" s="52"/>
      <c r="D6" s="52"/>
    </row>
    <row r="8" spans="1:12" ht="21" x14ac:dyDescent="0.35">
      <c r="A8" s="91" t="s">
        <v>38</v>
      </c>
    </row>
    <row r="9" spans="1:12" x14ac:dyDescent="0.25">
      <c r="A9" s="23" t="s">
        <v>36</v>
      </c>
      <c r="B9" s="23">
        <v>100000</v>
      </c>
      <c r="C9" s="23" t="s">
        <v>37</v>
      </c>
    </row>
    <row r="10" spans="1:12" x14ac:dyDescent="0.25">
      <c r="A10" s="23" t="s">
        <v>102</v>
      </c>
      <c r="B10" s="121">
        <f>B9/B5/1000</f>
        <v>1612.9032258064517</v>
      </c>
      <c r="C10" s="23" t="s">
        <v>89</v>
      </c>
    </row>
    <row r="11" spans="1:12" x14ac:dyDescent="0.25">
      <c r="A11" s="23" t="s">
        <v>103</v>
      </c>
      <c r="B11" s="23">
        <f>B10/365</f>
        <v>4.4189129474149365</v>
      </c>
      <c r="C11" s="23" t="s">
        <v>33</v>
      </c>
    </row>
    <row r="14" spans="1:12" ht="21" x14ac:dyDescent="0.35">
      <c r="A14" s="91" t="s">
        <v>322</v>
      </c>
      <c r="D14" s="92"/>
    </row>
    <row r="15" spans="1:12" x14ac:dyDescent="0.25">
      <c r="A15" s="23" t="s">
        <v>22</v>
      </c>
      <c r="B15" s="77" t="s">
        <v>330</v>
      </c>
    </row>
    <row r="16" spans="1:12" x14ac:dyDescent="0.25">
      <c r="A16" s="23" t="s">
        <v>300</v>
      </c>
      <c r="B16" s="35"/>
    </row>
    <row r="17" spans="1:7" x14ac:dyDescent="0.25">
      <c r="A17" s="23" t="s">
        <v>301</v>
      </c>
      <c r="B17" s="35"/>
    </row>
    <row r="18" spans="1:7" x14ac:dyDescent="0.25">
      <c r="A18" s="23" t="s">
        <v>48</v>
      </c>
      <c r="B18" s="35"/>
    </row>
    <row r="19" spans="1:7" x14ac:dyDescent="0.25">
      <c r="A19" s="23" t="s">
        <v>30</v>
      </c>
      <c r="B19" s="35"/>
    </row>
    <row r="20" spans="1:7" x14ac:dyDescent="0.25">
      <c r="A20" s="23" t="s">
        <v>49</v>
      </c>
      <c r="B20" s="35"/>
    </row>
    <row r="21" spans="1:7" x14ac:dyDescent="0.25">
      <c r="A21" s="23" t="s">
        <v>442</v>
      </c>
      <c r="B21" s="35" t="s">
        <v>332</v>
      </c>
    </row>
    <row r="22" spans="1:7" ht="64.5" customHeight="1" x14ac:dyDescent="0.25">
      <c r="A22" s="23" t="s">
        <v>19</v>
      </c>
      <c r="B22" s="41" t="s">
        <v>589</v>
      </c>
    </row>
    <row r="23" spans="1:7" x14ac:dyDescent="0.25">
      <c r="A23" s="23" t="s">
        <v>0</v>
      </c>
      <c r="B23" s="30" t="s">
        <v>110</v>
      </c>
    </row>
    <row r="24" spans="1:7" x14ac:dyDescent="0.25">
      <c r="A24" s="23" t="s">
        <v>5</v>
      </c>
      <c r="B24" s="30" t="s">
        <v>4</v>
      </c>
    </row>
    <row r="25" spans="1:7" x14ac:dyDescent="0.25">
      <c r="A25" s="23" t="s">
        <v>6</v>
      </c>
      <c r="B25" s="30"/>
    </row>
    <row r="26" spans="1:7" x14ac:dyDescent="0.25">
      <c r="A26" s="23" t="s">
        <v>446</v>
      </c>
      <c r="B26" s="36" t="s">
        <v>586</v>
      </c>
    </row>
    <row r="28" spans="1:7" ht="60" x14ac:dyDescent="0.25">
      <c r="A28" s="31" t="s">
        <v>323</v>
      </c>
      <c r="B28" s="31" t="s">
        <v>20</v>
      </c>
      <c r="C28" s="31" t="s">
        <v>17</v>
      </c>
      <c r="D28" s="31" t="s">
        <v>297</v>
      </c>
      <c r="E28" s="31" t="s">
        <v>106</v>
      </c>
      <c r="F28" s="31" t="s">
        <v>41</v>
      </c>
      <c r="G28" s="31"/>
    </row>
    <row r="29" spans="1:7" s="24" customFormat="1" x14ac:dyDescent="0.25">
      <c r="A29" s="30"/>
      <c r="B29" s="30">
        <v>28</v>
      </c>
      <c r="C29" s="30" t="s">
        <v>333</v>
      </c>
      <c r="D29" s="30"/>
      <c r="E29" s="30"/>
      <c r="F29" s="30">
        <f>B29*3.6/1000</f>
        <v>0.1008</v>
      </c>
    </row>
    <row r="30" spans="1:7" x14ac:dyDescent="0.25">
      <c r="A30" s="23" t="s">
        <v>455</v>
      </c>
      <c r="B30" s="23">
        <f>SUM(B29:B29)</f>
        <v>28</v>
      </c>
      <c r="D30" s="23">
        <f>SUM(D29:D29)</f>
        <v>0</v>
      </c>
      <c r="F30" s="93">
        <f>SUM(F29:F29)</f>
        <v>0.1008</v>
      </c>
    </row>
    <row r="33" spans="1:6" ht="21" x14ac:dyDescent="0.35">
      <c r="A33" s="91" t="s">
        <v>334</v>
      </c>
      <c r="B33" s="23" t="s">
        <v>332</v>
      </c>
      <c r="D33" s="92"/>
    </row>
    <row r="34" spans="1:6" x14ac:dyDescent="0.25">
      <c r="A34" s="23" t="s">
        <v>22</v>
      </c>
      <c r="B34" s="77" t="s">
        <v>335</v>
      </c>
    </row>
    <row r="35" spans="1:6" x14ac:dyDescent="0.25">
      <c r="A35" s="23" t="s">
        <v>300</v>
      </c>
      <c r="B35" s="35"/>
    </row>
    <row r="36" spans="1:6" x14ac:dyDescent="0.25">
      <c r="A36" s="23" t="s">
        <v>301</v>
      </c>
      <c r="B36" s="35"/>
    </row>
    <row r="37" spans="1:6" x14ac:dyDescent="0.25">
      <c r="A37" s="23" t="s">
        <v>48</v>
      </c>
      <c r="B37" s="35"/>
    </row>
    <row r="38" spans="1:6" x14ac:dyDescent="0.25">
      <c r="A38" s="23" t="s">
        <v>30</v>
      </c>
      <c r="B38" s="35"/>
    </row>
    <row r="39" spans="1:6" x14ac:dyDescent="0.25">
      <c r="A39" s="23" t="s">
        <v>49</v>
      </c>
      <c r="B39" s="35"/>
    </row>
    <row r="40" spans="1:6" x14ac:dyDescent="0.25">
      <c r="A40" s="23" t="s">
        <v>442</v>
      </c>
      <c r="B40" s="35" t="s">
        <v>332</v>
      </c>
    </row>
    <row r="41" spans="1:6" ht="75" x14ac:dyDescent="0.25">
      <c r="A41" s="23" t="s">
        <v>452</v>
      </c>
      <c r="B41" s="41" t="s">
        <v>590</v>
      </c>
    </row>
    <row r="42" spans="1:6" ht="45" x14ac:dyDescent="0.25">
      <c r="A42" s="23" t="s">
        <v>451</v>
      </c>
      <c r="B42" s="41" t="s">
        <v>591</v>
      </c>
    </row>
    <row r="43" spans="1:6" x14ac:dyDescent="0.25">
      <c r="A43" s="23" t="s">
        <v>0</v>
      </c>
      <c r="B43" s="30" t="s">
        <v>109</v>
      </c>
    </row>
    <row r="44" spans="1:6" x14ac:dyDescent="0.25">
      <c r="A44" s="23" t="s">
        <v>5</v>
      </c>
      <c r="B44" s="30" t="s">
        <v>4</v>
      </c>
    </row>
    <row r="45" spans="1:6" x14ac:dyDescent="0.25">
      <c r="A45" s="23" t="s">
        <v>6</v>
      </c>
      <c r="B45" s="30" t="s">
        <v>581</v>
      </c>
    </row>
    <row r="46" spans="1:6" ht="45" x14ac:dyDescent="0.25">
      <c r="A46" s="23" t="s">
        <v>446</v>
      </c>
      <c r="B46" s="41" t="s">
        <v>592</v>
      </c>
    </row>
    <row r="48" spans="1:6" ht="60" x14ac:dyDescent="0.25">
      <c r="A48" s="31" t="s">
        <v>323</v>
      </c>
      <c r="B48" s="31" t="s">
        <v>20</v>
      </c>
      <c r="C48" s="31" t="s">
        <v>17</v>
      </c>
      <c r="D48" s="31" t="s">
        <v>297</v>
      </c>
      <c r="E48" s="31" t="s">
        <v>106</v>
      </c>
      <c r="F48" s="31" t="s">
        <v>41</v>
      </c>
    </row>
    <row r="49" spans="1:6" s="24" customFormat="1" x14ac:dyDescent="0.25">
      <c r="A49" s="30"/>
      <c r="B49" s="30">
        <v>23</v>
      </c>
      <c r="C49" s="30" t="s">
        <v>333</v>
      </c>
      <c r="D49" s="30"/>
      <c r="E49" s="30"/>
      <c r="F49" s="30">
        <f>B49*3.6/1000</f>
        <v>8.2799999999999999E-2</v>
      </c>
    </row>
    <row r="50" spans="1:6" x14ac:dyDescent="0.25">
      <c r="A50" s="23" t="s">
        <v>455</v>
      </c>
      <c r="B50" s="23">
        <f>SUM(B49:B49)</f>
        <v>23</v>
      </c>
      <c r="D50" s="23">
        <f>SUM(D49:D49)</f>
        <v>0</v>
      </c>
      <c r="F50" s="93">
        <f>SUM(F49:F49)</f>
        <v>8.2799999999999999E-2</v>
      </c>
    </row>
    <row r="53" spans="1:6" ht="21" x14ac:dyDescent="0.35">
      <c r="A53" s="91" t="s">
        <v>96</v>
      </c>
      <c r="D53" s="92"/>
    </row>
    <row r="54" spans="1:6" x14ac:dyDescent="0.25">
      <c r="A54" s="23" t="s">
        <v>22</v>
      </c>
      <c r="B54" s="77" t="s">
        <v>336</v>
      </c>
    </row>
    <row r="55" spans="1:6" x14ac:dyDescent="0.25">
      <c r="A55" s="23" t="s">
        <v>48</v>
      </c>
      <c r="B55" s="35"/>
    </row>
    <row r="56" spans="1:6" x14ac:dyDescent="0.25">
      <c r="A56" s="23" t="s">
        <v>30</v>
      </c>
      <c r="B56" s="35"/>
    </row>
    <row r="57" spans="1:6" x14ac:dyDescent="0.25">
      <c r="A57" s="23" t="s">
        <v>49</v>
      </c>
      <c r="B57" s="35"/>
    </row>
    <row r="58" spans="1:6" x14ac:dyDescent="0.25">
      <c r="A58" s="23" t="s">
        <v>442</v>
      </c>
      <c r="B58" s="35"/>
    </row>
    <row r="59" spans="1:6" x14ac:dyDescent="0.25">
      <c r="A59" s="23" t="s">
        <v>464</v>
      </c>
      <c r="B59" s="47">
        <v>0.16</v>
      </c>
    </row>
    <row r="60" spans="1:6" x14ac:dyDescent="0.25">
      <c r="A60" s="23" t="s">
        <v>595</v>
      </c>
      <c r="B60" s="47" t="s">
        <v>596</v>
      </c>
    </row>
    <row r="61" spans="1:6" x14ac:dyDescent="0.25">
      <c r="A61" s="23" t="s">
        <v>451</v>
      </c>
      <c r="B61" s="30" t="s">
        <v>597</v>
      </c>
    </row>
    <row r="62" spans="1:6" x14ac:dyDescent="0.25">
      <c r="A62" s="23" t="s">
        <v>0</v>
      </c>
      <c r="B62" s="30" t="s">
        <v>337</v>
      </c>
    </row>
    <row r="63" spans="1:6" x14ac:dyDescent="0.25">
      <c r="A63" s="23" t="s">
        <v>5</v>
      </c>
      <c r="B63" s="30" t="s">
        <v>594</v>
      </c>
    </row>
    <row r="64" spans="1:6" x14ac:dyDescent="0.25">
      <c r="A64" s="23" t="s">
        <v>6</v>
      </c>
      <c r="B64" s="36" t="s">
        <v>341</v>
      </c>
    </row>
    <row r="65" spans="1:14" x14ac:dyDescent="0.25">
      <c r="A65" s="23" t="s">
        <v>446</v>
      </c>
      <c r="B65" s="36" t="s">
        <v>593</v>
      </c>
    </row>
    <row r="67" spans="1:14" ht="45" x14ac:dyDescent="0.25">
      <c r="A67" s="31" t="s">
        <v>338</v>
      </c>
      <c r="B67" s="31" t="s">
        <v>20</v>
      </c>
      <c r="C67" s="31" t="s">
        <v>17</v>
      </c>
      <c r="D67" s="31" t="s">
        <v>253</v>
      </c>
      <c r="E67" s="31" t="s">
        <v>243</v>
      </c>
      <c r="F67" s="31" t="s">
        <v>41</v>
      </c>
      <c r="I67" s="31" t="s">
        <v>339</v>
      </c>
      <c r="J67" s="31" t="s">
        <v>20</v>
      </c>
      <c r="K67" s="31" t="s">
        <v>17</v>
      </c>
      <c r="L67" s="31" t="s">
        <v>253</v>
      </c>
      <c r="M67" s="31" t="s">
        <v>243</v>
      </c>
      <c r="N67" s="31" t="s">
        <v>41</v>
      </c>
    </row>
    <row r="68" spans="1:14" s="24" customFormat="1" x14ac:dyDescent="0.25">
      <c r="A68" s="30"/>
      <c r="B68" s="30">
        <f>0.11*27</f>
        <v>2.97</v>
      </c>
      <c r="C68" s="30" t="s">
        <v>340</v>
      </c>
      <c r="D68" s="30">
        <f>B68</f>
        <v>2.97</v>
      </c>
      <c r="E68" s="30">
        <v>0.16</v>
      </c>
      <c r="F68" s="30">
        <f>E68*D68</f>
        <v>0.47520000000000007</v>
      </c>
      <c r="I68" s="30"/>
      <c r="J68" s="30">
        <f>0.11*19.27</f>
        <v>2.1196999999999999</v>
      </c>
      <c r="K68" s="30" t="s">
        <v>340</v>
      </c>
      <c r="L68" s="30">
        <f>J68</f>
        <v>2.1196999999999999</v>
      </c>
      <c r="M68" s="30">
        <v>0.16</v>
      </c>
      <c r="N68" s="30">
        <f>M68*L68</f>
        <v>0.33915200000000001</v>
      </c>
    </row>
    <row r="69" spans="1:14" x14ac:dyDescent="0.25">
      <c r="A69" s="23" t="s">
        <v>455</v>
      </c>
      <c r="B69" s="23">
        <f>SUM(B68:B68)</f>
        <v>2.97</v>
      </c>
      <c r="D69" s="23">
        <f>SUM(D68:D68)</f>
        <v>2.97</v>
      </c>
      <c r="F69" s="93">
        <f>SUM(F68:F68)</f>
        <v>0.47520000000000007</v>
      </c>
      <c r="I69" s="23" t="s">
        <v>455</v>
      </c>
      <c r="J69" s="23">
        <f>SUM(J68:J68)</f>
        <v>2.1196999999999999</v>
      </c>
      <c r="L69" s="23">
        <f>SUM(L68:L68)</f>
        <v>2.1196999999999999</v>
      </c>
      <c r="N69" s="93">
        <f>SUM(N68:N68)</f>
        <v>0.33915200000000001</v>
      </c>
    </row>
    <row r="73" spans="1:14" ht="21" x14ac:dyDescent="0.35">
      <c r="A73" s="9" t="s">
        <v>494</v>
      </c>
      <c r="B73"/>
      <c r="C73" s="24"/>
      <c r="D73" s="24"/>
      <c r="E73" s="24"/>
      <c r="F73" s="24"/>
      <c r="G73" s="24"/>
      <c r="H73" s="24"/>
    </row>
    <row r="74" spans="1:14" x14ac:dyDescent="0.25">
      <c r="A74" t="s">
        <v>495</v>
      </c>
      <c r="B74" s="68">
        <f>F30</f>
        <v>0.1008</v>
      </c>
      <c r="C74" s="24"/>
      <c r="D74" s="24"/>
      <c r="E74" s="24"/>
      <c r="F74" s="24"/>
      <c r="G74" s="24"/>
      <c r="H74" s="24"/>
    </row>
    <row r="75" spans="1:14" x14ac:dyDescent="0.25">
      <c r="A75" t="s">
        <v>496</v>
      </c>
      <c r="B75" s="68">
        <f>F50</f>
        <v>8.2799999999999999E-2</v>
      </c>
      <c r="C75" s="24"/>
      <c r="D75" s="24"/>
      <c r="E75" s="24"/>
      <c r="F75" s="24"/>
      <c r="G75" s="24"/>
      <c r="H75" s="24"/>
    </row>
    <row r="76" spans="1:14" x14ac:dyDescent="0.25">
      <c r="A76" t="s">
        <v>512</v>
      </c>
      <c r="B76" s="68">
        <f>F69</f>
        <v>0.47520000000000007</v>
      </c>
      <c r="C76" s="24"/>
      <c r="D76" s="24"/>
      <c r="E76" s="24"/>
      <c r="F76" s="24"/>
      <c r="G76" s="24"/>
      <c r="H76" s="24"/>
    </row>
    <row r="77" spans="1:14" x14ac:dyDescent="0.25">
      <c r="A77" t="s">
        <v>513</v>
      </c>
      <c r="B77" s="10">
        <f>N69</f>
        <v>0.33915200000000001</v>
      </c>
      <c r="C77" s="24"/>
      <c r="D77" s="24"/>
      <c r="E77" s="24"/>
      <c r="F77" s="24"/>
      <c r="G77" s="24"/>
      <c r="H77" s="24"/>
    </row>
    <row r="78" spans="1:14" x14ac:dyDescent="0.25">
      <c r="A78" t="s">
        <v>491</v>
      </c>
      <c r="B78" s="10">
        <f>AVERAGE(B74:B77)</f>
        <v>0.24948800000000002</v>
      </c>
      <c r="C78" s="24"/>
      <c r="D78" s="24"/>
      <c r="E78" s="24"/>
      <c r="F78" s="24"/>
      <c r="G78" s="24"/>
      <c r="H78" s="24"/>
    </row>
    <row r="79" spans="1:14" x14ac:dyDescent="0.25">
      <c r="A79" t="s">
        <v>492</v>
      </c>
      <c r="B79" s="10">
        <f>MAX(B74:B77)</f>
        <v>0.47520000000000007</v>
      </c>
      <c r="C79" s="24"/>
      <c r="D79" s="24"/>
      <c r="E79" s="24"/>
      <c r="F79" s="24"/>
      <c r="G79" s="24"/>
      <c r="H79" s="24"/>
    </row>
    <row r="80" spans="1:14" x14ac:dyDescent="0.25">
      <c r="A80" t="s">
        <v>493</v>
      </c>
      <c r="B80" s="10">
        <f>MIN(B74:B77)</f>
        <v>8.2799999999999999E-2</v>
      </c>
      <c r="C80" s="24"/>
      <c r="D80" s="24"/>
      <c r="E80" s="24"/>
      <c r="F80" s="24"/>
      <c r="G80" s="24"/>
      <c r="H80" s="24"/>
    </row>
    <row r="81" spans="1:8" x14ac:dyDescent="0.25">
      <c r="C81" s="24"/>
      <c r="D81" s="24"/>
      <c r="E81" s="24"/>
      <c r="F81" s="24"/>
      <c r="G81" s="24"/>
      <c r="H81" s="24"/>
    </row>
    <row r="82" spans="1:8" x14ac:dyDescent="0.25">
      <c r="A82" s="24"/>
      <c r="B82" s="24"/>
      <c r="C82" s="24"/>
      <c r="D82" s="24"/>
      <c r="E82" s="24"/>
      <c r="F82" s="24"/>
      <c r="G82" s="24"/>
      <c r="H82" s="24"/>
    </row>
  </sheetData>
  <mergeCells count="1">
    <mergeCell ref="F1:L1"/>
  </mergeCells>
  <phoneticPr fontId="9" type="noConversion"/>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B4B86-4D0E-4F17-AD8A-BF7B10F3B096}">
  <dimension ref="A1:AB123"/>
  <sheetViews>
    <sheetView topLeftCell="A106" zoomScale="67" zoomScaleNormal="59" workbookViewId="0">
      <selection activeCell="D5" sqref="D5"/>
    </sheetView>
  </sheetViews>
  <sheetFormatPr defaultColWidth="11.42578125" defaultRowHeight="15" x14ac:dyDescent="0.25"/>
  <cols>
    <col min="1" max="1" width="28" style="23" customWidth="1"/>
    <col min="2" max="2" width="29" style="23" customWidth="1"/>
    <col min="3" max="3" width="14.7109375" style="23" customWidth="1"/>
    <col min="4" max="4" width="19.140625" style="23" customWidth="1"/>
    <col min="5" max="8" width="14.7109375" style="23" customWidth="1"/>
    <col min="9" max="10" width="11.42578125" style="23"/>
    <col min="11" max="28" width="15.7109375" style="23" customWidth="1"/>
    <col min="29" max="16384" width="11.42578125" style="23"/>
  </cols>
  <sheetData>
    <row r="1" spans="1:12" ht="15.75" x14ac:dyDescent="0.25">
      <c r="A1" s="75"/>
      <c r="B1" s="75"/>
      <c r="C1" s="88" t="s">
        <v>35</v>
      </c>
      <c r="D1" s="88" t="s">
        <v>34</v>
      </c>
      <c r="E1" s="75"/>
      <c r="F1" s="172" t="s">
        <v>97</v>
      </c>
      <c r="G1" s="172"/>
      <c r="H1" s="172"/>
      <c r="I1" s="172"/>
      <c r="J1" s="172"/>
      <c r="K1" s="172"/>
      <c r="L1" s="172"/>
    </row>
    <row r="2" spans="1:12" ht="21" x14ac:dyDescent="0.35">
      <c r="A2" s="89" t="s">
        <v>39</v>
      </c>
      <c r="B2" s="75"/>
      <c r="C2" s="88"/>
      <c r="D2" s="88"/>
      <c r="E2" s="75"/>
      <c r="F2" s="90"/>
      <c r="G2" s="90"/>
      <c r="H2" s="90"/>
      <c r="I2" s="90"/>
      <c r="J2" s="90"/>
      <c r="K2" s="90"/>
      <c r="L2" s="90"/>
    </row>
    <row r="3" spans="1:12" x14ac:dyDescent="0.25">
      <c r="A3" s="23" t="s">
        <v>1</v>
      </c>
      <c r="B3" s="36" t="s">
        <v>78</v>
      </c>
      <c r="D3" s="36" t="s">
        <v>57</v>
      </c>
    </row>
    <row r="4" spans="1:12" x14ac:dyDescent="0.25">
      <c r="A4" s="23" t="s">
        <v>7</v>
      </c>
      <c r="B4" s="36" t="s">
        <v>612</v>
      </c>
      <c r="D4" s="36" t="s">
        <v>57</v>
      </c>
    </row>
    <row r="5" spans="1:12" x14ac:dyDescent="0.25">
      <c r="A5" s="23" t="s">
        <v>27</v>
      </c>
      <c r="B5" s="129"/>
      <c r="C5" s="36"/>
      <c r="D5" s="35"/>
    </row>
    <row r="6" spans="1:12" x14ac:dyDescent="0.25">
      <c r="A6" s="23" t="s">
        <v>28</v>
      </c>
      <c r="B6" s="130">
        <v>0.2</v>
      </c>
      <c r="C6" s="36" t="s">
        <v>32</v>
      </c>
      <c r="D6" s="36" t="s">
        <v>31</v>
      </c>
    </row>
    <row r="8" spans="1:12" ht="21" x14ac:dyDescent="0.35">
      <c r="A8" s="91" t="s">
        <v>38</v>
      </c>
    </row>
    <row r="9" spans="1:12" x14ac:dyDescent="0.25">
      <c r="A9" s="23" t="s">
        <v>21</v>
      </c>
      <c r="B9" s="23">
        <v>0.27777780000000002</v>
      </c>
    </row>
    <row r="10" spans="1:12" x14ac:dyDescent="0.25">
      <c r="A10" s="23" t="s">
        <v>36</v>
      </c>
      <c r="B10" s="23">
        <v>100000</v>
      </c>
      <c r="C10" s="23" t="s">
        <v>37</v>
      </c>
    </row>
    <row r="11" spans="1:12" x14ac:dyDescent="0.25">
      <c r="A11" s="23" t="s">
        <v>100</v>
      </c>
      <c r="B11" s="23">
        <f>B10/B6</f>
        <v>500000</v>
      </c>
      <c r="C11" s="23" t="s">
        <v>33</v>
      </c>
    </row>
    <row r="12" spans="1:12" x14ac:dyDescent="0.25">
      <c r="A12" s="23" t="s">
        <v>100</v>
      </c>
      <c r="B12" s="23">
        <f>B11/1000</f>
        <v>500</v>
      </c>
      <c r="C12" s="23" t="s">
        <v>89</v>
      </c>
    </row>
    <row r="13" spans="1:12" x14ac:dyDescent="0.25">
      <c r="A13" s="23" t="s">
        <v>101</v>
      </c>
      <c r="B13" s="23">
        <f>B11/365</f>
        <v>1369.8630136986301</v>
      </c>
      <c r="C13" s="23" t="s">
        <v>33</v>
      </c>
    </row>
    <row r="14" spans="1:12" x14ac:dyDescent="0.25">
      <c r="A14"/>
      <c r="B14"/>
      <c r="C14"/>
      <c r="D14"/>
      <c r="E14"/>
    </row>
    <row r="15" spans="1:12" ht="21" x14ac:dyDescent="0.35">
      <c r="A15" s="9" t="s">
        <v>437</v>
      </c>
      <c r="B15">
        <v>5.3999999999999999E-2</v>
      </c>
      <c r="C15" t="s">
        <v>433</v>
      </c>
      <c r="D15" t="s">
        <v>613</v>
      </c>
      <c r="E15"/>
    </row>
    <row r="17" spans="1:28" ht="21" x14ac:dyDescent="0.35">
      <c r="A17" s="91" t="s">
        <v>40</v>
      </c>
    </row>
    <row r="18" spans="1:28" x14ac:dyDescent="0.25">
      <c r="A18" s="23" t="s">
        <v>22</v>
      </c>
      <c r="B18" s="77" t="s">
        <v>57</v>
      </c>
    </row>
    <row r="19" spans="1:28" x14ac:dyDescent="0.25">
      <c r="A19" s="23" t="s">
        <v>29</v>
      </c>
      <c r="B19" s="35"/>
    </row>
    <row r="20" spans="1:28" x14ac:dyDescent="0.25">
      <c r="A20" s="23" t="s">
        <v>48</v>
      </c>
      <c r="B20" s="35"/>
    </row>
    <row r="21" spans="1:28" x14ac:dyDescent="0.25">
      <c r="A21" s="23" t="s">
        <v>30</v>
      </c>
      <c r="B21" s="35"/>
    </row>
    <row r="22" spans="1:28" x14ac:dyDescent="0.25">
      <c r="A22" s="23" t="s">
        <v>49</v>
      </c>
      <c r="B22" s="35"/>
    </row>
    <row r="23" spans="1:28" x14ac:dyDescent="0.25">
      <c r="A23" s="23" t="s">
        <v>442</v>
      </c>
      <c r="B23" s="35"/>
    </row>
    <row r="24" spans="1:28" x14ac:dyDescent="0.25">
      <c r="A24" s="23" t="s">
        <v>19</v>
      </c>
      <c r="B24" s="30"/>
    </row>
    <row r="25" spans="1:28" x14ac:dyDescent="0.25">
      <c r="A25" s="23" t="s">
        <v>0</v>
      </c>
      <c r="B25" s="36" t="s">
        <v>3</v>
      </c>
    </row>
    <row r="26" spans="1:28" x14ac:dyDescent="0.25">
      <c r="A26" s="23" t="s">
        <v>5</v>
      </c>
      <c r="B26" s="36" t="s">
        <v>74</v>
      </c>
    </row>
    <row r="27" spans="1:28" x14ac:dyDescent="0.25">
      <c r="A27" s="23" t="s">
        <v>6</v>
      </c>
      <c r="B27" s="36" t="s">
        <v>53</v>
      </c>
    </row>
    <row r="28" spans="1:28" x14ac:dyDescent="0.25">
      <c r="A28" s="23" t="s">
        <v>446</v>
      </c>
      <c r="B28" s="36" t="s">
        <v>538</v>
      </c>
    </row>
    <row r="29" spans="1:28" x14ac:dyDescent="0.25">
      <c r="B29" s="101"/>
    </row>
    <row r="30" spans="1:28" x14ac:dyDescent="0.25">
      <c r="B30" s="101"/>
      <c r="AB30" s="31"/>
    </row>
    <row r="31" spans="1:28" x14ac:dyDescent="0.25">
      <c r="AB31" s="83"/>
    </row>
    <row r="32" spans="1:28" ht="45" x14ac:dyDescent="0.25">
      <c r="A32" s="131" t="s">
        <v>54</v>
      </c>
      <c r="B32" s="131" t="s">
        <v>20</v>
      </c>
      <c r="C32" s="131" t="s">
        <v>17</v>
      </c>
      <c r="D32" s="131" t="s">
        <v>75</v>
      </c>
      <c r="E32" s="131" t="s">
        <v>18</v>
      </c>
      <c r="F32" s="131" t="s">
        <v>41</v>
      </c>
      <c r="G32" s="131"/>
      <c r="H32" s="131"/>
      <c r="I32" s="131"/>
      <c r="J32" s="131"/>
      <c r="K32" s="131" t="s">
        <v>55</v>
      </c>
      <c r="L32" s="131" t="s">
        <v>20</v>
      </c>
      <c r="M32" s="131" t="s">
        <v>17</v>
      </c>
      <c r="N32" s="131" t="s">
        <v>75</v>
      </c>
      <c r="O32" s="131" t="s">
        <v>18</v>
      </c>
      <c r="P32" s="131" t="s">
        <v>41</v>
      </c>
      <c r="Q32" s="31"/>
      <c r="R32" s="31"/>
      <c r="U32" s="31" t="s">
        <v>56</v>
      </c>
      <c r="V32" s="31" t="s">
        <v>20</v>
      </c>
      <c r="W32" s="31" t="s">
        <v>17</v>
      </c>
      <c r="X32" s="31" t="s">
        <v>75</v>
      </c>
      <c r="Y32" s="31" t="s">
        <v>18</v>
      </c>
      <c r="Z32" s="31" t="s">
        <v>41</v>
      </c>
      <c r="AA32" s="31"/>
      <c r="AB32" s="83"/>
    </row>
    <row r="33" spans="1:28" x14ac:dyDescent="0.25">
      <c r="A33" s="85" t="s">
        <v>58</v>
      </c>
      <c r="B33" s="85" t="s">
        <v>16</v>
      </c>
      <c r="C33" s="85"/>
      <c r="D33" s="122">
        <v>1000</v>
      </c>
      <c r="E33" s="122"/>
      <c r="F33" s="122"/>
      <c r="G33" s="122"/>
      <c r="H33" s="132"/>
      <c r="I33" s="122"/>
      <c r="J33" s="122"/>
      <c r="K33" s="85" t="s">
        <v>58</v>
      </c>
      <c r="L33" s="85" t="s">
        <v>16</v>
      </c>
      <c r="M33" s="85"/>
      <c r="N33" s="122">
        <v>1000</v>
      </c>
      <c r="O33" s="122"/>
      <c r="P33" s="122"/>
      <c r="R33" s="83"/>
      <c r="U33" s="36" t="s">
        <v>58</v>
      </c>
      <c r="V33" s="36" t="s">
        <v>16</v>
      </c>
      <c r="W33" s="36"/>
      <c r="X33" s="36">
        <v>1000</v>
      </c>
      <c r="Y33" s="36"/>
      <c r="Z33" s="36"/>
      <c r="AB33" s="83"/>
    </row>
    <row r="34" spans="1:28" x14ac:dyDescent="0.25">
      <c r="A34" s="85" t="s">
        <v>59</v>
      </c>
      <c r="B34" s="85" t="s">
        <v>16</v>
      </c>
      <c r="C34" s="85"/>
      <c r="D34" s="122">
        <v>1000</v>
      </c>
      <c r="E34" s="122"/>
      <c r="F34" s="132"/>
      <c r="G34" s="122"/>
      <c r="H34" s="132"/>
      <c r="I34" s="122"/>
      <c r="J34" s="122"/>
      <c r="K34" s="85" t="s">
        <v>59</v>
      </c>
      <c r="L34" s="85" t="s">
        <v>16</v>
      </c>
      <c r="M34" s="85"/>
      <c r="N34" s="122">
        <v>1000</v>
      </c>
      <c r="O34" s="122"/>
      <c r="P34" s="132"/>
      <c r="R34" s="83"/>
      <c r="U34" s="36" t="s">
        <v>59</v>
      </c>
      <c r="V34" s="36" t="s">
        <v>16</v>
      </c>
      <c r="W34" s="36"/>
      <c r="X34" s="36">
        <v>1000</v>
      </c>
      <c r="Y34" s="36"/>
      <c r="Z34" s="109"/>
      <c r="AB34" s="83"/>
    </row>
    <row r="35" spans="1:28" x14ac:dyDescent="0.25">
      <c r="A35" s="85" t="s">
        <v>60</v>
      </c>
      <c r="B35" s="85">
        <v>8.25</v>
      </c>
      <c r="C35" s="85" t="s">
        <v>71</v>
      </c>
      <c r="D35" s="122">
        <v>1000</v>
      </c>
      <c r="E35" s="122"/>
      <c r="F35" s="132">
        <f>B35/D35</f>
        <v>8.2500000000000004E-3</v>
      </c>
      <c r="G35" s="122"/>
      <c r="H35" s="132"/>
      <c r="I35" s="122"/>
      <c r="J35" s="122"/>
      <c r="K35" s="85" t="s">
        <v>60</v>
      </c>
      <c r="L35" s="85">
        <v>8.25</v>
      </c>
      <c r="M35" s="85" t="s">
        <v>71</v>
      </c>
      <c r="N35" s="122">
        <v>1000</v>
      </c>
      <c r="O35" s="122"/>
      <c r="P35" s="132">
        <f>L35/N35</f>
        <v>8.2500000000000004E-3</v>
      </c>
      <c r="R35" s="83"/>
      <c r="U35" s="36" t="s">
        <v>66</v>
      </c>
      <c r="V35" s="36">
        <v>8.25</v>
      </c>
      <c r="W35" s="36" t="s">
        <v>71</v>
      </c>
      <c r="X35" s="36">
        <v>1000</v>
      </c>
      <c r="Y35" s="36"/>
      <c r="Z35" s="109">
        <f>V35/X35</f>
        <v>8.2500000000000004E-3</v>
      </c>
      <c r="AB35" s="83"/>
    </row>
    <row r="36" spans="1:28" x14ac:dyDescent="0.25">
      <c r="A36" s="85" t="s">
        <v>61</v>
      </c>
      <c r="B36" s="85" t="s">
        <v>16</v>
      </c>
      <c r="C36" s="85"/>
      <c r="D36" s="122">
        <v>1000</v>
      </c>
      <c r="E36" s="122"/>
      <c r="F36" s="132"/>
      <c r="G36" s="122"/>
      <c r="H36" s="132"/>
      <c r="I36" s="122"/>
      <c r="J36" s="122"/>
      <c r="K36" s="85" t="s">
        <v>61</v>
      </c>
      <c r="L36" s="85" t="s">
        <v>16</v>
      </c>
      <c r="M36" s="85"/>
      <c r="N36" s="122">
        <v>1000</v>
      </c>
      <c r="O36" s="122"/>
      <c r="P36" s="132"/>
      <c r="R36" s="83"/>
      <c r="U36" s="36" t="s">
        <v>67</v>
      </c>
      <c r="V36" s="36">
        <v>2.92</v>
      </c>
      <c r="W36" s="36" t="s">
        <v>71</v>
      </c>
      <c r="X36" s="36">
        <v>1000</v>
      </c>
      <c r="Y36" s="36"/>
      <c r="Z36" s="109">
        <f>V36/X36</f>
        <v>2.9199999999999999E-3</v>
      </c>
      <c r="AB36" s="83"/>
    </row>
    <row r="37" spans="1:28" x14ac:dyDescent="0.25">
      <c r="A37" s="85" t="s">
        <v>62</v>
      </c>
      <c r="B37" s="85" t="s">
        <v>16</v>
      </c>
      <c r="C37" s="85"/>
      <c r="D37" s="122">
        <v>1000</v>
      </c>
      <c r="E37" s="122"/>
      <c r="F37" s="132"/>
      <c r="G37" s="122"/>
      <c r="H37" s="132"/>
      <c r="I37" s="122"/>
      <c r="J37" s="122"/>
      <c r="K37" s="85" t="s">
        <v>72</v>
      </c>
      <c r="L37" s="85" t="s">
        <v>16</v>
      </c>
      <c r="M37" s="85"/>
      <c r="N37" s="122">
        <v>1000</v>
      </c>
      <c r="O37" s="122"/>
      <c r="P37" s="132"/>
      <c r="R37" s="83"/>
      <c r="U37" s="36" t="s">
        <v>68</v>
      </c>
      <c r="V37" s="36" t="s">
        <v>16</v>
      </c>
      <c r="W37" s="36"/>
      <c r="X37" s="36">
        <v>1000</v>
      </c>
      <c r="Y37" s="36"/>
      <c r="Z37" s="109"/>
      <c r="AB37" s="83"/>
    </row>
    <row r="38" spans="1:28" x14ac:dyDescent="0.25">
      <c r="A38" s="85" t="s">
        <v>63</v>
      </c>
      <c r="B38" s="85" t="s">
        <v>16</v>
      </c>
      <c r="C38" s="85"/>
      <c r="D38" s="122">
        <v>1000</v>
      </c>
      <c r="E38" s="122"/>
      <c r="F38" s="132"/>
      <c r="G38" s="122"/>
      <c r="H38" s="132"/>
      <c r="I38" s="122"/>
      <c r="J38" s="122"/>
      <c r="K38" s="85" t="s">
        <v>73</v>
      </c>
      <c r="L38" s="85" t="s">
        <v>16</v>
      </c>
      <c r="M38" s="85"/>
      <c r="N38" s="122">
        <v>1000</v>
      </c>
      <c r="O38" s="122"/>
      <c r="P38" s="132"/>
      <c r="R38" s="83"/>
      <c r="U38" s="36" t="s">
        <v>69</v>
      </c>
      <c r="V38" s="36" t="s">
        <v>16</v>
      </c>
      <c r="W38" s="36"/>
      <c r="X38" s="36">
        <v>1000</v>
      </c>
      <c r="Y38" s="36"/>
      <c r="Z38" s="109"/>
      <c r="AB38" s="83"/>
    </row>
    <row r="39" spans="1:28" x14ac:dyDescent="0.25">
      <c r="A39" s="85" t="s">
        <v>64</v>
      </c>
      <c r="B39" s="85" t="s">
        <v>16</v>
      </c>
      <c r="C39" s="85"/>
      <c r="D39" s="122">
        <v>1000</v>
      </c>
      <c r="E39" s="122"/>
      <c r="F39" s="132"/>
      <c r="G39" s="122"/>
      <c r="H39" s="132"/>
      <c r="I39" s="122"/>
      <c r="J39" s="122"/>
      <c r="K39" s="85" t="s">
        <v>13</v>
      </c>
      <c r="L39" s="85">
        <v>7.3</v>
      </c>
      <c r="M39" s="85" t="s">
        <v>71</v>
      </c>
      <c r="N39" s="122">
        <v>1000</v>
      </c>
      <c r="O39" s="122"/>
      <c r="P39" s="132">
        <f>L39/N39</f>
        <v>7.3000000000000001E-3</v>
      </c>
      <c r="R39" s="83"/>
      <c r="U39" s="36" t="s">
        <v>70</v>
      </c>
      <c r="V39" s="36" t="s">
        <v>16</v>
      </c>
      <c r="W39" s="36"/>
      <c r="X39" s="36">
        <v>1000</v>
      </c>
      <c r="Y39" s="36"/>
      <c r="Z39" s="109"/>
    </row>
    <row r="40" spans="1:28" x14ac:dyDescent="0.25">
      <c r="A40" s="85" t="s">
        <v>65</v>
      </c>
      <c r="B40" s="85">
        <v>14.6</v>
      </c>
      <c r="C40" s="85" t="s">
        <v>71</v>
      </c>
      <c r="D40" s="122">
        <v>1000</v>
      </c>
      <c r="E40" s="122"/>
      <c r="F40" s="132">
        <f>B40/D40</f>
        <v>1.46E-2</v>
      </c>
      <c r="G40" s="122"/>
      <c r="H40" s="132"/>
      <c r="I40" s="122"/>
      <c r="J40" s="122"/>
      <c r="K40" s="85" t="s">
        <v>16</v>
      </c>
      <c r="L40" s="85"/>
      <c r="M40" s="85"/>
      <c r="N40" s="122">
        <v>1000</v>
      </c>
      <c r="O40" s="122"/>
      <c r="P40" s="132"/>
      <c r="R40" s="83"/>
      <c r="U40" s="36" t="s">
        <v>61</v>
      </c>
      <c r="V40" s="36" t="s">
        <v>16</v>
      </c>
      <c r="W40" s="36"/>
      <c r="X40" s="36">
        <v>1000</v>
      </c>
      <c r="Y40" s="36"/>
      <c r="Z40" s="109"/>
    </row>
    <row r="41" spans="1:28" x14ac:dyDescent="0.25">
      <c r="A41" s="122" t="s">
        <v>455</v>
      </c>
      <c r="B41" s="122"/>
      <c r="C41" s="122"/>
      <c r="D41" s="122"/>
      <c r="E41" s="122"/>
      <c r="F41" s="133">
        <f>SUM(F33:F40)</f>
        <v>2.2850000000000002E-2</v>
      </c>
      <c r="G41" s="122"/>
      <c r="H41" s="122"/>
      <c r="I41" s="122"/>
      <c r="J41" s="122"/>
      <c r="K41" s="122" t="s">
        <v>455</v>
      </c>
      <c r="L41" s="122"/>
      <c r="M41" s="122"/>
      <c r="N41" s="122"/>
      <c r="O41" s="122"/>
      <c r="P41" s="133">
        <f>SUM(P33:P40)</f>
        <v>1.5550000000000001E-2</v>
      </c>
      <c r="U41" s="23" t="s">
        <v>455</v>
      </c>
      <c r="Z41" s="26">
        <f>SUM(Z33:Z40)</f>
        <v>1.1169999999999999E-2</v>
      </c>
    </row>
    <row r="42" spans="1:28" x14ac:dyDescent="0.25">
      <c r="F42" s="93"/>
      <c r="P42" s="93"/>
      <c r="Z42" s="93"/>
    </row>
    <row r="43" spans="1:28" x14ac:dyDescent="0.25">
      <c r="F43" s="93"/>
      <c r="P43" s="93"/>
      <c r="Z43" s="93"/>
    </row>
    <row r="44" spans="1:28" x14ac:dyDescent="0.25">
      <c r="A44" s="23" t="s">
        <v>405</v>
      </c>
      <c r="F44" s="93"/>
      <c r="P44" s="93"/>
      <c r="Z44" s="93"/>
    </row>
    <row r="45" spans="1:28" x14ac:dyDescent="0.25">
      <c r="A45" s="23" t="s">
        <v>406</v>
      </c>
      <c r="F45" s="93"/>
      <c r="P45" s="93"/>
      <c r="Z45" s="93"/>
    </row>
    <row r="48" spans="1:28" ht="21" x14ac:dyDescent="0.35">
      <c r="A48" s="91" t="s">
        <v>95</v>
      </c>
    </row>
    <row r="49" spans="1:9" x14ac:dyDescent="0.25">
      <c r="A49" s="23" t="s">
        <v>22</v>
      </c>
      <c r="B49" s="77" t="s">
        <v>76</v>
      </c>
    </row>
    <row r="50" spans="1:9" x14ac:dyDescent="0.25">
      <c r="A50" s="23" t="s">
        <v>46</v>
      </c>
      <c r="B50" s="78" t="s">
        <v>79</v>
      </c>
      <c r="C50" s="23" t="s">
        <v>24</v>
      </c>
    </row>
    <row r="51" spans="1:9" x14ac:dyDescent="0.25">
      <c r="A51" s="23" t="s">
        <v>82</v>
      </c>
      <c r="B51" s="30">
        <v>3</v>
      </c>
      <c r="C51" s="23" t="s">
        <v>24</v>
      </c>
    </row>
    <row r="52" spans="1:9" x14ac:dyDescent="0.25">
      <c r="A52" s="23" t="s">
        <v>47</v>
      </c>
      <c r="B52" s="84">
        <f>B51/(220/1000)</f>
        <v>13.636363636363637</v>
      </c>
    </row>
    <row r="53" spans="1:9" x14ac:dyDescent="0.25">
      <c r="A53" s="23" t="s">
        <v>449</v>
      </c>
      <c r="B53" s="84">
        <f>B52*6*300</f>
        <v>24545.454545454544</v>
      </c>
      <c r="C53" s="23" t="s">
        <v>89</v>
      </c>
    </row>
    <row r="54" spans="1:9" x14ac:dyDescent="0.25">
      <c r="A54" s="23" t="s">
        <v>599</v>
      </c>
      <c r="B54" s="30">
        <f>220/1000</f>
        <v>0.22</v>
      </c>
    </row>
    <row r="55" spans="1:9" x14ac:dyDescent="0.25">
      <c r="A55" s="23" t="s">
        <v>442</v>
      </c>
      <c r="B55" s="30" t="s">
        <v>556</v>
      </c>
    </row>
    <row r="56" spans="1:9" ht="45" x14ac:dyDescent="0.25">
      <c r="A56" s="23" t="s">
        <v>452</v>
      </c>
      <c r="B56" s="41" t="s">
        <v>600</v>
      </c>
    </row>
    <row r="57" spans="1:9" x14ac:dyDescent="0.25">
      <c r="A57" s="23" t="s">
        <v>451</v>
      </c>
      <c r="B57" s="41" t="s">
        <v>601</v>
      </c>
    </row>
    <row r="58" spans="1:9" x14ac:dyDescent="0.25">
      <c r="A58" s="23" t="s">
        <v>0</v>
      </c>
      <c r="B58" s="30" t="s">
        <v>87</v>
      </c>
    </row>
    <row r="59" spans="1:9" x14ac:dyDescent="0.25">
      <c r="A59" s="23" t="s">
        <v>5</v>
      </c>
      <c r="B59" s="36" t="s">
        <v>88</v>
      </c>
    </row>
    <row r="60" spans="1:9" x14ac:dyDescent="0.25">
      <c r="A60" s="23" t="s">
        <v>6</v>
      </c>
      <c r="B60" s="36" t="s">
        <v>77</v>
      </c>
    </row>
    <row r="61" spans="1:9" x14ac:dyDescent="0.25">
      <c r="A61" s="23" t="s">
        <v>446</v>
      </c>
      <c r="B61" s="36" t="s">
        <v>602</v>
      </c>
    </row>
    <row r="63" spans="1:9" ht="30" x14ac:dyDescent="0.25">
      <c r="A63" s="31" t="s">
        <v>8</v>
      </c>
      <c r="B63" s="31" t="s">
        <v>20</v>
      </c>
      <c r="C63" s="31" t="s">
        <v>17</v>
      </c>
      <c r="D63" s="31" t="s">
        <v>45</v>
      </c>
      <c r="E63" s="31" t="s">
        <v>91</v>
      </c>
      <c r="F63" s="31" t="s">
        <v>18</v>
      </c>
      <c r="G63" s="31" t="s">
        <v>41</v>
      </c>
      <c r="H63" s="31"/>
      <c r="I63" s="31"/>
    </row>
    <row r="64" spans="1:9" x14ac:dyDescent="0.25">
      <c r="A64" s="36" t="s">
        <v>83</v>
      </c>
      <c r="B64" s="128">
        <v>123</v>
      </c>
      <c r="C64" s="36" t="s">
        <v>86</v>
      </c>
      <c r="D64" s="36">
        <f>$B$52*1000</f>
        <v>13636.363636363636</v>
      </c>
      <c r="E64" s="36">
        <f>1000*(1000/220)</f>
        <v>4545.454545454546</v>
      </c>
      <c r="F64" s="36"/>
      <c r="G64" s="109">
        <f>B64/E64</f>
        <v>2.7059999999999997E-2</v>
      </c>
      <c r="I64" s="83"/>
    </row>
    <row r="65" spans="1:9" x14ac:dyDescent="0.25">
      <c r="A65" s="36" t="s">
        <v>84</v>
      </c>
      <c r="B65" s="36">
        <v>65</v>
      </c>
      <c r="C65" s="36" t="s">
        <v>86</v>
      </c>
      <c r="D65" s="36">
        <f>$B$52*1000</f>
        <v>13636.363636363636</v>
      </c>
      <c r="E65" s="36">
        <f>1000*(1000/220)</f>
        <v>4545.454545454546</v>
      </c>
      <c r="F65" s="36"/>
      <c r="G65" s="109">
        <f>B65/E65</f>
        <v>1.4299999999999998E-2</v>
      </c>
      <c r="I65" s="83"/>
    </row>
    <row r="66" spans="1:9" x14ac:dyDescent="0.25">
      <c r="A66" s="36" t="s">
        <v>611</v>
      </c>
      <c r="B66" s="36">
        <v>19</v>
      </c>
      <c r="C66" s="36" t="s">
        <v>86</v>
      </c>
      <c r="D66" s="36">
        <f>$B$52*1000</f>
        <v>13636.363636363636</v>
      </c>
      <c r="E66" s="36">
        <f>1000*(1000/220)</f>
        <v>4545.454545454546</v>
      </c>
      <c r="F66" s="36"/>
      <c r="G66" s="109">
        <f>B66/E66</f>
        <v>4.1799999999999997E-3</v>
      </c>
      <c r="I66" s="83"/>
    </row>
    <row r="67" spans="1:9" x14ac:dyDescent="0.25">
      <c r="A67" s="36" t="s">
        <v>85</v>
      </c>
      <c r="B67" s="36">
        <v>7</v>
      </c>
      <c r="C67" s="36" t="s">
        <v>86</v>
      </c>
      <c r="D67" s="36">
        <f>$B$52*1000</f>
        <v>13636.363636363636</v>
      </c>
      <c r="E67" s="36">
        <f>1000*(1000/220)</f>
        <v>4545.454545454546</v>
      </c>
      <c r="F67" s="36"/>
      <c r="G67" s="109">
        <f>B67/E67</f>
        <v>1.5399999999999999E-3</v>
      </c>
      <c r="I67" s="83"/>
    </row>
    <row r="68" spans="1:9" x14ac:dyDescent="0.25">
      <c r="A68" s="23" t="s">
        <v>455</v>
      </c>
      <c r="G68" s="26">
        <f>SUM(G64:G67)</f>
        <v>4.7079999999999997E-2</v>
      </c>
    </row>
    <row r="72" spans="1:9" ht="21" x14ac:dyDescent="0.35">
      <c r="A72" s="91" t="s">
        <v>96</v>
      </c>
    </row>
    <row r="73" spans="1:9" x14ac:dyDescent="0.25">
      <c r="A73" s="23" t="s">
        <v>22</v>
      </c>
      <c r="B73" s="77" t="s">
        <v>94</v>
      </c>
    </row>
    <row r="74" spans="1:9" x14ac:dyDescent="0.25">
      <c r="A74" s="23" t="s">
        <v>46</v>
      </c>
      <c r="B74" s="78" t="s">
        <v>603</v>
      </c>
      <c r="C74" s="23" t="s">
        <v>24</v>
      </c>
    </row>
    <row r="75" spans="1:9" x14ac:dyDescent="0.25">
      <c r="A75" s="23" t="s">
        <v>604</v>
      </c>
      <c r="B75" s="30">
        <v>3</v>
      </c>
      <c r="C75" s="23" t="s">
        <v>89</v>
      </c>
    </row>
    <row r="76" spans="1:9" x14ac:dyDescent="0.25">
      <c r="A76" s="23" t="s">
        <v>47</v>
      </c>
      <c r="B76" s="135" t="s">
        <v>80</v>
      </c>
    </row>
    <row r="77" spans="1:9" x14ac:dyDescent="0.25">
      <c r="B77" s="47">
        <f>B75/0.75</f>
        <v>4</v>
      </c>
      <c r="C77" s="23" t="s">
        <v>89</v>
      </c>
    </row>
    <row r="78" spans="1:9" x14ac:dyDescent="0.25">
      <c r="A78" s="23" t="s">
        <v>449</v>
      </c>
      <c r="B78" s="47">
        <f>B77*6*300</f>
        <v>7200</v>
      </c>
      <c r="C78" s="23" t="s">
        <v>89</v>
      </c>
    </row>
    <row r="79" spans="1:9" x14ac:dyDescent="0.25">
      <c r="A79" s="23" t="s">
        <v>464</v>
      </c>
      <c r="B79" s="30">
        <v>0.75</v>
      </c>
    </row>
    <row r="80" spans="1:9" x14ac:dyDescent="0.25">
      <c r="A80" s="23" t="s">
        <v>442</v>
      </c>
      <c r="B80" s="47" t="s">
        <v>606</v>
      </c>
    </row>
    <row r="81" spans="1:9" ht="60" x14ac:dyDescent="0.25">
      <c r="A81" s="23" t="s">
        <v>452</v>
      </c>
      <c r="B81" s="41" t="s">
        <v>605</v>
      </c>
    </row>
    <row r="82" spans="1:9" x14ac:dyDescent="0.25">
      <c r="A82" s="23" t="s">
        <v>0</v>
      </c>
      <c r="B82" s="30" t="s">
        <v>93</v>
      </c>
    </row>
    <row r="83" spans="1:9" x14ac:dyDescent="0.25">
      <c r="A83" s="23" t="s">
        <v>5</v>
      </c>
      <c r="B83" s="36" t="s">
        <v>88</v>
      </c>
    </row>
    <row r="84" spans="1:9" x14ac:dyDescent="0.25">
      <c r="A84" s="23" t="s">
        <v>6</v>
      </c>
      <c r="B84" s="36" t="s">
        <v>77</v>
      </c>
    </row>
    <row r="85" spans="1:9" x14ac:dyDescent="0.25">
      <c r="A85" s="23" t="s">
        <v>446</v>
      </c>
      <c r="B85" s="36" t="s">
        <v>607</v>
      </c>
    </row>
    <row r="87" spans="1:9" ht="30" x14ac:dyDescent="0.25">
      <c r="A87" s="31" t="s">
        <v>8</v>
      </c>
      <c r="B87" s="31" t="s">
        <v>20</v>
      </c>
      <c r="C87" s="31" t="s">
        <v>17</v>
      </c>
      <c r="D87" s="31" t="s">
        <v>45</v>
      </c>
      <c r="E87" s="31" t="s">
        <v>92</v>
      </c>
      <c r="F87" s="31" t="s">
        <v>18</v>
      </c>
      <c r="G87" s="31" t="s">
        <v>41</v>
      </c>
      <c r="H87" s="31"/>
      <c r="I87" s="31"/>
    </row>
    <row r="88" spans="1:9" x14ac:dyDescent="0.25">
      <c r="A88" s="36" t="s">
        <v>84</v>
      </c>
      <c r="B88" s="36">
        <f>34.45*0.4</f>
        <v>13.780000000000001</v>
      </c>
      <c r="C88" s="36" t="s">
        <v>90</v>
      </c>
      <c r="D88" s="36">
        <f>$B$77*1000</f>
        <v>4000</v>
      </c>
      <c r="E88" s="36">
        <f>0.24/1000</f>
        <v>2.3999999999999998E-4</v>
      </c>
      <c r="F88" s="36">
        <v>3.6</v>
      </c>
      <c r="G88" s="109">
        <f>B88*E88*F88</f>
        <v>1.190592E-2</v>
      </c>
    </row>
    <row r="89" spans="1:9" x14ac:dyDescent="0.25">
      <c r="A89" s="36" t="s">
        <v>83</v>
      </c>
      <c r="B89" s="36">
        <f>34.45*0.6</f>
        <v>20.67</v>
      </c>
      <c r="C89" s="36" t="s">
        <v>90</v>
      </c>
      <c r="D89" s="36">
        <f>$B$77*1000</f>
        <v>4000</v>
      </c>
      <c r="E89" s="36">
        <f>0.24/1000</f>
        <v>2.3999999999999998E-4</v>
      </c>
      <c r="F89" s="36">
        <v>3.6</v>
      </c>
      <c r="G89" s="109">
        <f>B89*E89*F89</f>
        <v>1.7858880000000001E-2</v>
      </c>
      <c r="I89" s="83"/>
    </row>
    <row r="90" spans="1:9" x14ac:dyDescent="0.25">
      <c r="A90" s="23" t="s">
        <v>455</v>
      </c>
      <c r="G90" s="26">
        <f>SUM(G88:G89)</f>
        <v>2.9764800000000001E-2</v>
      </c>
      <c r="I90" s="83"/>
    </row>
    <row r="91" spans="1:9" x14ac:dyDescent="0.25">
      <c r="I91" s="83"/>
    </row>
    <row r="92" spans="1:9" x14ac:dyDescent="0.25">
      <c r="I92" s="83"/>
    </row>
    <row r="93" spans="1:9" x14ac:dyDescent="0.25">
      <c r="I93" s="83"/>
    </row>
    <row r="94" spans="1:9" ht="21" x14ac:dyDescent="0.35">
      <c r="A94" s="91" t="s">
        <v>157</v>
      </c>
      <c r="I94" s="83"/>
    </row>
    <row r="95" spans="1:9" x14ac:dyDescent="0.25">
      <c r="A95" s="23" t="s">
        <v>22</v>
      </c>
      <c r="B95" s="77" t="s">
        <v>383</v>
      </c>
      <c r="I95" s="83"/>
    </row>
    <row r="96" spans="1:9" x14ac:dyDescent="0.25">
      <c r="A96" s="23" t="s">
        <v>46</v>
      </c>
      <c r="B96" s="136" t="s">
        <v>384</v>
      </c>
      <c r="C96" s="23" t="s">
        <v>24</v>
      </c>
    </row>
    <row r="97" spans="1:6" x14ac:dyDescent="0.25">
      <c r="A97" s="23" t="s">
        <v>47</v>
      </c>
      <c r="B97" s="104">
        <f>B96/(220/1000)</f>
        <v>909.09090909090912</v>
      </c>
      <c r="C97" s="23" t="s">
        <v>608</v>
      </c>
    </row>
    <row r="98" spans="1:6" x14ac:dyDescent="0.25">
      <c r="A98" s="23" t="s">
        <v>449</v>
      </c>
      <c r="B98" s="106">
        <f>B97*6*300</f>
        <v>1636363.6363636365</v>
      </c>
      <c r="C98" s="23" t="s">
        <v>89</v>
      </c>
    </row>
    <row r="99" spans="1:6" x14ac:dyDescent="0.25">
      <c r="A99" s="23" t="s">
        <v>464</v>
      </c>
      <c r="B99" s="47">
        <v>0.75</v>
      </c>
    </row>
    <row r="100" spans="1:6" x14ac:dyDescent="0.25">
      <c r="A100" s="23" t="s">
        <v>442</v>
      </c>
      <c r="B100" s="30" t="s">
        <v>208</v>
      </c>
    </row>
    <row r="101" spans="1:6" x14ac:dyDescent="0.25">
      <c r="A101" s="23" t="s">
        <v>451</v>
      </c>
      <c r="B101" s="47" t="s">
        <v>609</v>
      </c>
    </row>
    <row r="102" spans="1:6" x14ac:dyDescent="0.25">
      <c r="A102" s="23" t="s">
        <v>0</v>
      </c>
      <c r="B102" s="30" t="s">
        <v>385</v>
      </c>
    </row>
    <row r="103" spans="1:6" x14ac:dyDescent="0.25">
      <c r="A103" s="23" t="s">
        <v>5</v>
      </c>
      <c r="B103" s="36" t="s">
        <v>88</v>
      </c>
    </row>
    <row r="104" spans="1:6" x14ac:dyDescent="0.25">
      <c r="A104" s="23" t="s">
        <v>6</v>
      </c>
      <c r="B104" s="36" t="s">
        <v>77</v>
      </c>
    </row>
    <row r="105" spans="1:6" x14ac:dyDescent="0.25">
      <c r="A105" s="23" t="s">
        <v>446</v>
      </c>
      <c r="B105" s="36" t="s">
        <v>610</v>
      </c>
    </row>
    <row r="107" spans="1:6" ht="30" x14ac:dyDescent="0.25">
      <c r="A107" s="31" t="s">
        <v>8</v>
      </c>
      <c r="B107" s="31" t="s">
        <v>20</v>
      </c>
      <c r="C107" s="31" t="s">
        <v>17</v>
      </c>
      <c r="D107" s="31" t="s">
        <v>45</v>
      </c>
      <c r="E107" s="31" t="s">
        <v>92</v>
      </c>
      <c r="F107" s="31" t="s">
        <v>41</v>
      </c>
    </row>
    <row r="108" spans="1:6" x14ac:dyDescent="0.25">
      <c r="A108" s="36" t="s">
        <v>84</v>
      </c>
      <c r="B108" s="36">
        <v>756</v>
      </c>
      <c r="C108" s="36" t="s">
        <v>386</v>
      </c>
      <c r="D108" s="36"/>
      <c r="E108" s="134">
        <f>B96/B97/1000</f>
        <v>2.2000000000000001E-4</v>
      </c>
      <c r="F108" s="109">
        <f>B108*E108</f>
        <v>0.16632</v>
      </c>
    </row>
    <row r="109" spans="1:6" x14ac:dyDescent="0.25">
      <c r="A109" s="23" t="s">
        <v>455</v>
      </c>
      <c r="F109" s="26">
        <f>SUM(F108:F108)</f>
        <v>0.16632</v>
      </c>
    </row>
    <row r="113" spans="1:8" ht="21" x14ac:dyDescent="0.35">
      <c r="A113" s="91" t="s">
        <v>494</v>
      </c>
      <c r="C113" s="24"/>
      <c r="D113" s="24"/>
      <c r="E113" s="24"/>
      <c r="F113" s="24"/>
      <c r="G113" s="24"/>
      <c r="H113" s="24"/>
    </row>
    <row r="114" spans="1:8" x14ac:dyDescent="0.25">
      <c r="A114" s="23" t="s">
        <v>495</v>
      </c>
      <c r="B114" s="82">
        <f>Z41</f>
        <v>1.1169999999999999E-2</v>
      </c>
      <c r="C114" s="24"/>
      <c r="D114" s="24"/>
      <c r="E114" s="24"/>
      <c r="F114" s="24"/>
      <c r="G114" s="24"/>
      <c r="H114" s="24"/>
    </row>
    <row r="115" spans="1:8" x14ac:dyDescent="0.25">
      <c r="A115" s="23" t="s">
        <v>496</v>
      </c>
      <c r="B115" s="82">
        <f>G68</f>
        <v>4.7079999999999997E-2</v>
      </c>
      <c r="C115" s="24"/>
      <c r="D115" s="24"/>
      <c r="E115" s="24"/>
      <c r="F115" s="24"/>
      <c r="G115" s="24"/>
      <c r="H115" s="24"/>
    </row>
    <row r="116" spans="1:8" x14ac:dyDescent="0.25">
      <c r="A116" s="23" t="s">
        <v>497</v>
      </c>
      <c r="B116" s="82">
        <f>G90</f>
        <v>2.9764800000000001E-2</v>
      </c>
      <c r="C116" s="24"/>
      <c r="D116" s="24"/>
      <c r="E116" s="24"/>
      <c r="F116" s="24"/>
      <c r="G116" s="24"/>
      <c r="H116" s="24"/>
    </row>
    <row r="117" spans="1:8" x14ac:dyDescent="0.25">
      <c r="A117" s="23" t="s">
        <v>514</v>
      </c>
      <c r="B117" s="83">
        <f>F109</f>
        <v>0.16632</v>
      </c>
      <c r="C117" s="24"/>
      <c r="D117" s="24"/>
      <c r="E117" s="24"/>
      <c r="F117" s="24"/>
      <c r="G117" s="24"/>
      <c r="H117" s="24"/>
    </row>
    <row r="118" spans="1:8" x14ac:dyDescent="0.25">
      <c r="B118" s="83"/>
      <c r="C118" s="24"/>
      <c r="D118" s="24"/>
      <c r="E118" s="24"/>
      <c r="F118" s="24"/>
      <c r="G118" s="24"/>
      <c r="H118" s="24"/>
    </row>
    <row r="119" spans="1:8" x14ac:dyDescent="0.25">
      <c r="A119" s="23" t="s">
        <v>491</v>
      </c>
      <c r="B119" s="83">
        <f>AVERAGE(B114:B117)</f>
        <v>6.3583699999999993E-2</v>
      </c>
      <c r="C119" s="24"/>
      <c r="D119" s="24"/>
      <c r="E119" s="24"/>
      <c r="F119" s="24"/>
      <c r="G119" s="24"/>
      <c r="H119" s="24"/>
    </row>
    <row r="120" spans="1:8" x14ac:dyDescent="0.25">
      <c r="A120" s="23" t="s">
        <v>492</v>
      </c>
      <c r="B120" s="83">
        <f>MAX(B114:B117)</f>
        <v>0.16632</v>
      </c>
      <c r="C120" s="24"/>
      <c r="D120" s="24"/>
      <c r="E120" s="24"/>
      <c r="F120" s="24"/>
      <c r="G120" s="24"/>
      <c r="H120" s="24"/>
    </row>
    <row r="121" spans="1:8" x14ac:dyDescent="0.25">
      <c r="A121" s="23" t="s">
        <v>493</v>
      </c>
      <c r="B121" s="83">
        <f>MIN(B114:B117)</f>
        <v>1.1169999999999999E-2</v>
      </c>
      <c r="C121" s="24"/>
      <c r="D121" s="24"/>
      <c r="E121" s="24"/>
      <c r="F121" s="24"/>
      <c r="G121" s="24"/>
      <c r="H121" s="24"/>
    </row>
    <row r="122" spans="1:8" x14ac:dyDescent="0.25">
      <c r="C122" s="24"/>
      <c r="D122" s="24"/>
      <c r="E122" s="24"/>
      <c r="F122" s="24"/>
      <c r="G122" s="24"/>
      <c r="H122" s="24"/>
    </row>
    <row r="123" spans="1:8" x14ac:dyDescent="0.25">
      <c r="A123" s="24"/>
      <c r="B123" s="24"/>
      <c r="C123" s="24"/>
      <c r="D123" s="24"/>
      <c r="E123" s="24"/>
      <c r="F123" s="24"/>
      <c r="G123" s="24"/>
      <c r="H123" s="24"/>
    </row>
  </sheetData>
  <mergeCells count="1">
    <mergeCell ref="F1:L1"/>
  </mergeCells>
  <phoneticPr fontId="9" type="noConversion"/>
  <pageMargins left="0.7" right="0.7" top="0.78740157499999996" bottom="0.78740157499999996"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7AAFA-5100-498D-BA91-E01EB8FB5698}">
  <dimension ref="A1:L99"/>
  <sheetViews>
    <sheetView topLeftCell="A89" zoomScale="85" workbookViewId="0">
      <selection activeCell="B4" sqref="B4"/>
    </sheetView>
  </sheetViews>
  <sheetFormatPr defaultColWidth="11.42578125" defaultRowHeight="15" x14ac:dyDescent="0.25"/>
  <cols>
    <col min="1" max="1" width="27.7109375" style="23" customWidth="1"/>
    <col min="2" max="2" width="25.7109375" style="23" customWidth="1"/>
    <col min="3" max="3" width="13.42578125" style="23" customWidth="1"/>
    <col min="4" max="4" width="24.28515625" style="23" customWidth="1"/>
    <col min="5" max="5" width="11.42578125" style="23"/>
    <col min="6" max="6" width="16.28515625" style="23" customWidth="1"/>
    <col min="7" max="8" width="11.42578125" style="23"/>
    <col min="9" max="9" width="22.140625" style="23" customWidth="1"/>
    <col min="10" max="16384" width="11.42578125" style="23"/>
  </cols>
  <sheetData>
    <row r="1" spans="1:12" ht="15.75" x14ac:dyDescent="0.25">
      <c r="A1" s="75"/>
      <c r="B1" s="75"/>
      <c r="C1" s="88" t="s">
        <v>35</v>
      </c>
      <c r="D1" s="88" t="s">
        <v>34</v>
      </c>
      <c r="E1" s="75"/>
      <c r="F1" s="172" t="s">
        <v>97</v>
      </c>
      <c r="G1" s="172"/>
      <c r="H1" s="172"/>
      <c r="I1" s="172"/>
      <c r="J1" s="172"/>
      <c r="K1" s="172"/>
      <c r="L1" s="172"/>
    </row>
    <row r="2" spans="1:12" ht="21" x14ac:dyDescent="0.35">
      <c r="A2" s="89" t="s">
        <v>39</v>
      </c>
      <c r="B2" s="75"/>
      <c r="C2" s="88"/>
      <c r="D2" s="88"/>
      <c r="E2" s="75"/>
      <c r="F2" s="90"/>
      <c r="G2" s="90"/>
      <c r="H2" s="90"/>
      <c r="I2" s="90"/>
      <c r="J2" s="90"/>
      <c r="K2" s="90"/>
      <c r="L2" s="90"/>
    </row>
    <row r="3" spans="1:12" x14ac:dyDescent="0.25">
      <c r="A3" s="23" t="s">
        <v>1</v>
      </c>
      <c r="B3" s="36" t="s">
        <v>343</v>
      </c>
      <c r="D3" s="36" t="s">
        <v>667</v>
      </c>
    </row>
    <row r="4" spans="1:12" x14ac:dyDescent="0.25">
      <c r="A4" s="23" t="s">
        <v>7</v>
      </c>
      <c r="B4" s="36" t="s">
        <v>669</v>
      </c>
      <c r="D4" s="36" t="s">
        <v>668</v>
      </c>
    </row>
    <row r="5" spans="1:12" x14ac:dyDescent="0.25">
      <c r="A5" s="23" t="s">
        <v>27</v>
      </c>
      <c r="B5" s="85"/>
      <c r="C5" s="141"/>
      <c r="D5" s="36"/>
    </row>
    <row r="6" spans="1:12" x14ac:dyDescent="0.25">
      <c r="A6" s="23" t="s">
        <v>28</v>
      </c>
      <c r="B6" s="130" t="s">
        <v>345</v>
      </c>
      <c r="C6" s="36" t="s">
        <v>32</v>
      </c>
      <c r="D6" s="36" t="s">
        <v>344</v>
      </c>
    </row>
    <row r="8" spans="1:12" ht="21" x14ac:dyDescent="0.35">
      <c r="A8" s="91" t="s">
        <v>38</v>
      </c>
    </row>
    <row r="9" spans="1:12" x14ac:dyDescent="0.25">
      <c r="A9" s="23" t="s">
        <v>36</v>
      </c>
      <c r="B9" s="23">
        <v>100000</v>
      </c>
      <c r="C9" s="23" t="s">
        <v>37</v>
      </c>
    </row>
    <row r="10" spans="1:12" x14ac:dyDescent="0.25">
      <c r="A10" s="23" t="s">
        <v>102</v>
      </c>
      <c r="B10" s="23">
        <f>B9/0.32</f>
        <v>312500</v>
      </c>
      <c r="C10" s="23" t="s">
        <v>33</v>
      </c>
    </row>
    <row r="11" spans="1:12" x14ac:dyDescent="0.25">
      <c r="A11" s="23" t="s">
        <v>102</v>
      </c>
      <c r="B11" s="23">
        <f>B9/0.32/1000</f>
        <v>312.5</v>
      </c>
      <c r="C11" s="23" t="s">
        <v>89</v>
      </c>
    </row>
    <row r="12" spans="1:12" x14ac:dyDescent="0.25">
      <c r="A12" s="23" t="s">
        <v>103</v>
      </c>
      <c r="B12" s="23">
        <f>B10/365</f>
        <v>856.16438356164383</v>
      </c>
      <c r="C12" s="23" t="s">
        <v>33</v>
      </c>
    </row>
    <row r="14" spans="1:12" ht="21" x14ac:dyDescent="0.35">
      <c r="A14" s="9" t="s">
        <v>437</v>
      </c>
      <c r="B14">
        <v>0.14399999999999999</v>
      </c>
      <c r="C14" t="s">
        <v>433</v>
      </c>
    </row>
    <row r="16" spans="1:12" ht="21" x14ac:dyDescent="0.35">
      <c r="A16" s="163" t="s">
        <v>648</v>
      </c>
      <c r="D16" s="92"/>
    </row>
    <row r="17" spans="1:9" x14ac:dyDescent="0.25">
      <c r="A17" s="23" t="s">
        <v>22</v>
      </c>
      <c r="B17" s="77" t="s">
        <v>342</v>
      </c>
    </row>
    <row r="18" spans="1:9" x14ac:dyDescent="0.25">
      <c r="A18" s="23" t="s">
        <v>48</v>
      </c>
      <c r="B18" s="35" t="s">
        <v>331</v>
      </c>
    </row>
    <row r="19" spans="1:9" x14ac:dyDescent="0.25">
      <c r="A19" s="23" t="s">
        <v>246</v>
      </c>
      <c r="B19" s="30" t="s">
        <v>346</v>
      </c>
      <c r="C19" s="23" t="s">
        <v>33</v>
      </c>
    </row>
    <row r="20" spans="1:9" x14ac:dyDescent="0.25">
      <c r="A20" s="23" t="s">
        <v>352</v>
      </c>
      <c r="B20" s="30">
        <v>2</v>
      </c>
      <c r="C20" s="23" t="s">
        <v>89</v>
      </c>
    </row>
    <row r="21" spans="1:9" x14ac:dyDescent="0.25">
      <c r="A21" s="23" t="s">
        <v>449</v>
      </c>
      <c r="B21" s="30"/>
    </row>
    <row r="22" spans="1:9" x14ac:dyDescent="0.25">
      <c r="A22" s="23" t="s">
        <v>442</v>
      </c>
      <c r="B22" s="30" t="s">
        <v>332</v>
      </c>
    </row>
    <row r="23" spans="1:9" x14ac:dyDescent="0.25">
      <c r="A23" s="23" t="s">
        <v>19</v>
      </c>
      <c r="B23" s="30" t="s">
        <v>350</v>
      </c>
    </row>
    <row r="24" spans="1:9" x14ac:dyDescent="0.25">
      <c r="A24" s="23" t="s">
        <v>0</v>
      </c>
      <c r="B24" s="30" t="s">
        <v>349</v>
      </c>
    </row>
    <row r="25" spans="1:9" x14ac:dyDescent="0.25">
      <c r="A25" s="23" t="s">
        <v>5</v>
      </c>
      <c r="B25" s="30" t="s">
        <v>88</v>
      </c>
    </row>
    <row r="26" spans="1:9" x14ac:dyDescent="0.25">
      <c r="A26" s="23" t="s">
        <v>6</v>
      </c>
      <c r="B26" s="30" t="s">
        <v>343</v>
      </c>
    </row>
    <row r="27" spans="1:9" x14ac:dyDescent="0.25">
      <c r="A27" s="23" t="s">
        <v>446</v>
      </c>
      <c r="B27" s="30" t="s">
        <v>647</v>
      </c>
    </row>
    <row r="29" spans="1:9" ht="30" x14ac:dyDescent="0.25">
      <c r="A29" s="98" t="s">
        <v>323</v>
      </c>
      <c r="B29" s="98" t="s">
        <v>20</v>
      </c>
      <c r="C29" s="98" t="s">
        <v>17</v>
      </c>
      <c r="D29" s="98" t="s">
        <v>358</v>
      </c>
      <c r="E29" s="31"/>
      <c r="F29" s="23" t="s">
        <v>614</v>
      </c>
      <c r="G29" s="23">
        <v>8.1700000000000002E-4</v>
      </c>
      <c r="H29" s="23" t="s">
        <v>615</v>
      </c>
    </row>
    <row r="30" spans="1:9" x14ac:dyDescent="0.25">
      <c r="A30" s="52" t="s">
        <v>347</v>
      </c>
      <c r="B30" s="52">
        <v>1.08</v>
      </c>
      <c r="C30" s="52" t="s">
        <v>351</v>
      </c>
      <c r="D30" s="52">
        <f>B30/B20/1000</f>
        <v>5.4000000000000001E-4</v>
      </c>
      <c r="G30" s="23">
        <f>G29*1000</f>
        <v>0.81700000000000006</v>
      </c>
      <c r="H30" s="23" t="s">
        <v>616</v>
      </c>
      <c r="I30" s="138" t="s">
        <v>617</v>
      </c>
    </row>
    <row r="31" spans="1:9" x14ac:dyDescent="0.25">
      <c r="A31" s="23" t="s">
        <v>455</v>
      </c>
      <c r="B31" s="23">
        <f>SUM(B30:B30)</f>
        <v>1.08</v>
      </c>
      <c r="D31" s="23">
        <f>SUM(D30:D30)</f>
        <v>5.4000000000000001E-4</v>
      </c>
      <c r="F31" s="23" t="s">
        <v>635</v>
      </c>
      <c r="G31" s="23">
        <v>0.66</v>
      </c>
      <c r="H31" s="23" t="s">
        <v>89</v>
      </c>
    </row>
    <row r="32" spans="1:9" x14ac:dyDescent="0.25">
      <c r="F32" s="23" t="s">
        <v>314</v>
      </c>
      <c r="G32" s="23">
        <f>G31/B20</f>
        <v>0.33</v>
      </c>
    </row>
    <row r="35" spans="1:12" ht="21" x14ac:dyDescent="0.35">
      <c r="A35" s="91" t="s">
        <v>95</v>
      </c>
      <c r="D35" s="92"/>
    </row>
    <row r="36" spans="1:12" x14ac:dyDescent="0.25">
      <c r="A36" s="23" t="s">
        <v>22</v>
      </c>
      <c r="B36" s="77" t="s">
        <v>353</v>
      </c>
    </row>
    <row r="37" spans="1:12" x14ac:dyDescent="0.25">
      <c r="A37" s="23" t="s">
        <v>48</v>
      </c>
      <c r="B37" s="35"/>
    </row>
    <row r="38" spans="1:12" x14ac:dyDescent="0.25">
      <c r="A38" s="23" t="s">
        <v>246</v>
      </c>
      <c r="B38" s="35"/>
    </row>
    <row r="39" spans="1:12" x14ac:dyDescent="0.25">
      <c r="A39" s="23" t="s">
        <v>352</v>
      </c>
      <c r="B39" s="35"/>
    </row>
    <row r="40" spans="1:12" x14ac:dyDescent="0.25">
      <c r="A40" s="23" t="s">
        <v>442</v>
      </c>
      <c r="B40" s="30" t="s">
        <v>332</v>
      </c>
    </row>
    <row r="41" spans="1:12" ht="30" x14ac:dyDescent="0.25">
      <c r="A41" s="23" t="s">
        <v>19</v>
      </c>
      <c r="B41" s="41" t="s">
        <v>355</v>
      </c>
    </row>
    <row r="42" spans="1:12" x14ac:dyDescent="0.25">
      <c r="A42" s="23" t="s">
        <v>0</v>
      </c>
      <c r="B42" s="30" t="s">
        <v>354</v>
      </c>
    </row>
    <row r="43" spans="1:12" x14ac:dyDescent="0.25">
      <c r="A43" s="23" t="s">
        <v>5</v>
      </c>
      <c r="B43" s="30" t="s">
        <v>88</v>
      </c>
    </row>
    <row r="44" spans="1:12" x14ac:dyDescent="0.25">
      <c r="A44" s="23" t="s">
        <v>6</v>
      </c>
      <c r="B44" s="30" t="s">
        <v>343</v>
      </c>
    </row>
    <row r="45" spans="1:12" ht="30" x14ac:dyDescent="0.25">
      <c r="A45" s="23" t="s">
        <v>446</v>
      </c>
      <c r="B45" s="41" t="s">
        <v>630</v>
      </c>
    </row>
    <row r="47" spans="1:12" ht="45" x14ac:dyDescent="0.25">
      <c r="A47" s="31" t="s">
        <v>356</v>
      </c>
      <c r="B47" s="31" t="s">
        <v>20</v>
      </c>
      <c r="C47" s="31" t="s">
        <v>17</v>
      </c>
      <c r="D47" s="31" t="s">
        <v>358</v>
      </c>
      <c r="G47" s="131" t="s">
        <v>357</v>
      </c>
      <c r="H47" s="131" t="s">
        <v>20</v>
      </c>
      <c r="I47" s="131" t="s">
        <v>17</v>
      </c>
      <c r="J47" s="131" t="s">
        <v>348</v>
      </c>
      <c r="K47" s="131" t="s">
        <v>106</v>
      </c>
      <c r="L47" s="131" t="s">
        <v>41</v>
      </c>
    </row>
    <row r="48" spans="1:12" x14ac:dyDescent="0.25">
      <c r="A48" s="36" t="s">
        <v>347</v>
      </c>
      <c r="B48" s="36">
        <v>113</v>
      </c>
      <c r="C48" s="36" t="s">
        <v>360</v>
      </c>
      <c r="D48" s="36">
        <f>B48*3.6/2.11/1000</f>
        <v>0.1927962085308057</v>
      </c>
      <c r="G48" s="85" t="s">
        <v>347</v>
      </c>
      <c r="H48" s="85">
        <v>424</v>
      </c>
      <c r="I48" s="85" t="s">
        <v>359</v>
      </c>
      <c r="J48" s="85"/>
      <c r="K48" s="85"/>
      <c r="L48" s="85"/>
    </row>
    <row r="49" spans="1:12" x14ac:dyDescent="0.25">
      <c r="A49" s="23" t="s">
        <v>455</v>
      </c>
      <c r="B49" s="23">
        <f>SUM(B48:B48)</f>
        <v>113</v>
      </c>
      <c r="D49" s="137">
        <f>SUM(D48:D48)</f>
        <v>0.1927962085308057</v>
      </c>
      <c r="G49" s="23" t="s">
        <v>455</v>
      </c>
      <c r="H49" s="23">
        <f>SUM(H48:H48)</f>
        <v>424</v>
      </c>
      <c r="J49" s="23">
        <f>SUM(J48:J48)</f>
        <v>0</v>
      </c>
      <c r="L49" s="26">
        <f>SUM(L48:L48)</f>
        <v>0</v>
      </c>
    </row>
    <row r="53" spans="1:12" ht="21" x14ac:dyDescent="0.35">
      <c r="A53" s="91" t="s">
        <v>96</v>
      </c>
      <c r="D53" s="92"/>
    </row>
    <row r="54" spans="1:12" x14ac:dyDescent="0.25">
      <c r="A54" s="23" t="s">
        <v>22</v>
      </c>
      <c r="B54" s="77" t="s">
        <v>361</v>
      </c>
    </row>
    <row r="55" spans="1:12" x14ac:dyDescent="0.25">
      <c r="A55" s="23" t="s">
        <v>48</v>
      </c>
      <c r="B55" s="30">
        <v>800</v>
      </c>
      <c r="C55" s="23" t="s">
        <v>89</v>
      </c>
    </row>
    <row r="56" spans="1:12" x14ac:dyDescent="0.25">
      <c r="A56" s="23" t="s">
        <v>362</v>
      </c>
      <c r="B56" s="30">
        <v>104700</v>
      </c>
      <c r="C56" s="23" t="s">
        <v>89</v>
      </c>
    </row>
    <row r="57" spans="1:12" x14ac:dyDescent="0.25">
      <c r="A57" s="23" t="s">
        <v>246</v>
      </c>
      <c r="B57" s="50">
        <f>B55/(B56/B58)</f>
        <v>2017.1919770773638</v>
      </c>
    </row>
    <row r="58" spans="1:12" x14ac:dyDescent="0.25">
      <c r="A58" s="23" t="s">
        <v>352</v>
      </c>
      <c r="B58" s="30">
        <v>264000</v>
      </c>
    </row>
    <row r="59" spans="1:12" x14ac:dyDescent="0.25">
      <c r="A59" s="23" t="s">
        <v>464</v>
      </c>
      <c r="B59" s="53">
        <f>(B56/B58)</f>
        <v>0.39659090909090911</v>
      </c>
    </row>
    <row r="60" spans="1:12" x14ac:dyDescent="0.25">
      <c r="A60" s="23" t="s">
        <v>442</v>
      </c>
      <c r="B60" s="30" t="s">
        <v>208</v>
      </c>
    </row>
    <row r="61" spans="1:12" ht="45" x14ac:dyDescent="0.25">
      <c r="A61" s="23" t="s">
        <v>19</v>
      </c>
      <c r="B61" s="41" t="s">
        <v>363</v>
      </c>
    </row>
    <row r="62" spans="1:12" x14ac:dyDescent="0.25">
      <c r="A62" s="23" t="s">
        <v>0</v>
      </c>
      <c r="B62" s="52"/>
    </row>
    <row r="63" spans="1:12" x14ac:dyDescent="0.25">
      <c r="A63" s="23" t="s">
        <v>5</v>
      </c>
      <c r="B63" s="30" t="s">
        <v>235</v>
      </c>
    </row>
    <row r="64" spans="1:12" ht="30" x14ac:dyDescent="0.25">
      <c r="A64" s="23" t="s">
        <v>6</v>
      </c>
      <c r="B64" s="41" t="s">
        <v>631</v>
      </c>
    </row>
    <row r="65" spans="1:6" ht="60" x14ac:dyDescent="0.25">
      <c r="A65" s="23" t="s">
        <v>446</v>
      </c>
      <c r="B65" s="41" t="s">
        <v>632</v>
      </c>
    </row>
    <row r="67" spans="1:6" ht="30" x14ac:dyDescent="0.25">
      <c r="A67" s="31" t="s">
        <v>323</v>
      </c>
      <c r="B67" s="31" t="s">
        <v>20</v>
      </c>
      <c r="C67" s="31" t="s">
        <v>17</v>
      </c>
      <c r="D67" s="31" t="s">
        <v>348</v>
      </c>
      <c r="E67" s="31" t="s">
        <v>106</v>
      </c>
      <c r="F67" s="31" t="s">
        <v>41</v>
      </c>
    </row>
    <row r="68" spans="1:6" x14ac:dyDescent="0.25">
      <c r="A68" s="36" t="s">
        <v>347</v>
      </c>
      <c r="B68" s="36">
        <v>42.3</v>
      </c>
      <c r="C68" s="36" t="s">
        <v>90</v>
      </c>
      <c r="D68" s="36">
        <f>B68*3.6/1000</f>
        <v>0.15228</v>
      </c>
      <c r="E68" s="30">
        <f>(B56/B58)</f>
        <v>0.39659090909090911</v>
      </c>
      <c r="F68" s="36">
        <f>D68*E68</f>
        <v>6.039286363636364E-2</v>
      </c>
    </row>
    <row r="69" spans="1:6" x14ac:dyDescent="0.25">
      <c r="A69" s="23" t="s">
        <v>455</v>
      </c>
      <c r="B69" s="23">
        <f>SUM(B68:B68)</f>
        <v>42.3</v>
      </c>
      <c r="D69" s="23">
        <f>SUM(D68:D68)</f>
        <v>0.15228</v>
      </c>
      <c r="F69" s="26">
        <f>SUM(F68:F68)</f>
        <v>6.039286363636364E-2</v>
      </c>
    </row>
    <row r="72" spans="1:6" ht="21" x14ac:dyDescent="0.35">
      <c r="A72" s="91" t="s">
        <v>157</v>
      </c>
      <c r="D72" s="92"/>
    </row>
    <row r="73" spans="1:6" x14ac:dyDescent="0.25">
      <c r="A73" s="23" t="s">
        <v>22</v>
      </c>
      <c r="B73" s="77" t="s">
        <v>365</v>
      </c>
    </row>
    <row r="74" spans="1:6" x14ac:dyDescent="0.25">
      <c r="A74" s="23" t="s">
        <v>48</v>
      </c>
      <c r="B74" s="35"/>
    </row>
    <row r="75" spans="1:6" x14ac:dyDescent="0.25">
      <c r="A75" s="23" t="s">
        <v>47</v>
      </c>
      <c r="B75" s="30" t="s">
        <v>366</v>
      </c>
      <c r="C75" s="23" t="s">
        <v>89</v>
      </c>
      <c r="D75" s="23" t="s">
        <v>368</v>
      </c>
    </row>
    <row r="76" spans="1:6" x14ac:dyDescent="0.25">
      <c r="A76" s="23" t="s">
        <v>352</v>
      </c>
      <c r="B76" s="35"/>
    </row>
    <row r="77" spans="1:6" x14ac:dyDescent="0.25">
      <c r="A77" s="23" t="s">
        <v>442</v>
      </c>
      <c r="B77" s="30" t="s">
        <v>208</v>
      </c>
    </row>
    <row r="78" spans="1:6" ht="30" x14ac:dyDescent="0.25">
      <c r="A78" s="23" t="s">
        <v>19</v>
      </c>
      <c r="B78" s="41" t="s">
        <v>355</v>
      </c>
    </row>
    <row r="79" spans="1:6" x14ac:dyDescent="0.25">
      <c r="A79" s="23" t="s">
        <v>0</v>
      </c>
      <c r="B79" s="30" t="s">
        <v>634</v>
      </c>
    </row>
    <row r="80" spans="1:6" ht="30" x14ac:dyDescent="0.25">
      <c r="A80" s="23" t="s">
        <v>5</v>
      </c>
      <c r="B80" s="41" t="s">
        <v>370</v>
      </c>
    </row>
    <row r="81" spans="1:8" x14ac:dyDescent="0.25">
      <c r="A81" s="23" t="s">
        <v>6</v>
      </c>
      <c r="B81" s="30" t="s">
        <v>343</v>
      </c>
    </row>
    <row r="82" spans="1:8" x14ac:dyDescent="0.25">
      <c r="A82" s="23" t="s">
        <v>446</v>
      </c>
      <c r="B82" s="149" t="s">
        <v>633</v>
      </c>
    </row>
    <row r="83" spans="1:8" x14ac:dyDescent="0.25">
      <c r="B83" s="80"/>
    </row>
    <row r="84" spans="1:8" ht="30" x14ac:dyDescent="0.25">
      <c r="A84" s="31" t="s">
        <v>356</v>
      </c>
      <c r="B84" s="31" t="s">
        <v>20</v>
      </c>
      <c r="C84" s="31" t="s">
        <v>17</v>
      </c>
      <c r="D84" s="31" t="s">
        <v>358</v>
      </c>
    </row>
    <row r="85" spans="1:8" x14ac:dyDescent="0.25">
      <c r="A85" s="36" t="s">
        <v>347</v>
      </c>
      <c r="B85" s="36" t="s">
        <v>367</v>
      </c>
      <c r="C85" s="36" t="s">
        <v>369</v>
      </c>
      <c r="D85" s="36">
        <f>30*3.6/1000</f>
        <v>0.108</v>
      </c>
    </row>
    <row r="86" spans="1:8" x14ac:dyDescent="0.25">
      <c r="A86" s="23" t="s">
        <v>455</v>
      </c>
      <c r="B86" s="23">
        <f>SUM(B85:B85)</f>
        <v>0</v>
      </c>
      <c r="D86" s="137">
        <f>SUM(D85:D85)</f>
        <v>0.108</v>
      </c>
    </row>
    <row r="90" spans="1:8" ht="21" x14ac:dyDescent="0.35">
      <c r="A90" s="91" t="s">
        <v>494</v>
      </c>
      <c r="C90" s="24"/>
      <c r="D90" s="24"/>
      <c r="E90" s="24"/>
      <c r="F90" s="24"/>
      <c r="G90" s="24"/>
      <c r="H90" s="24"/>
    </row>
    <row r="91" spans="1:8" x14ac:dyDescent="0.25">
      <c r="A91" s="23" t="s">
        <v>496</v>
      </c>
      <c r="B91" s="82">
        <f>D49</f>
        <v>0.1927962085308057</v>
      </c>
      <c r="C91" s="24"/>
      <c r="D91" s="24"/>
      <c r="E91" s="24"/>
      <c r="F91" s="24"/>
      <c r="G91" s="24"/>
      <c r="H91" s="24"/>
    </row>
    <row r="92" spans="1:8" x14ac:dyDescent="0.25">
      <c r="A92" s="23" t="s">
        <v>497</v>
      </c>
      <c r="B92" s="83">
        <f>F69</f>
        <v>6.039286363636364E-2</v>
      </c>
      <c r="C92" s="24"/>
      <c r="D92" s="24"/>
      <c r="E92" s="24"/>
      <c r="F92" s="24"/>
      <c r="G92" s="24"/>
      <c r="H92" s="24"/>
    </row>
    <row r="93" spans="1:8" x14ac:dyDescent="0.25">
      <c r="A93" s="23" t="s">
        <v>514</v>
      </c>
      <c r="B93" s="83">
        <f>D86</f>
        <v>0.108</v>
      </c>
      <c r="C93" s="24"/>
      <c r="D93" s="24"/>
      <c r="E93" s="24"/>
      <c r="F93" s="24"/>
      <c r="G93" s="24"/>
      <c r="H93" s="24"/>
    </row>
    <row r="94" spans="1:8" x14ac:dyDescent="0.25">
      <c r="B94" s="83"/>
      <c r="C94" s="24"/>
      <c r="D94" s="24"/>
      <c r="E94" s="24"/>
      <c r="F94" s="24"/>
      <c r="G94" s="24"/>
      <c r="H94" s="24"/>
    </row>
    <row r="95" spans="1:8" x14ac:dyDescent="0.25">
      <c r="A95" s="23" t="s">
        <v>491</v>
      </c>
      <c r="B95" s="83">
        <f>AVERAGE(B91:B93)</f>
        <v>0.12039635738905645</v>
      </c>
      <c r="C95" s="24"/>
      <c r="D95" s="24"/>
      <c r="E95" s="24"/>
      <c r="F95" s="24"/>
      <c r="G95" s="24"/>
      <c r="H95" s="24"/>
    </row>
    <row r="96" spans="1:8" x14ac:dyDescent="0.25">
      <c r="A96" s="23" t="s">
        <v>492</v>
      </c>
      <c r="B96" s="83">
        <f>MAX(B91:B93)</f>
        <v>0.1927962085308057</v>
      </c>
      <c r="C96" s="24"/>
      <c r="D96" s="24"/>
      <c r="E96" s="24"/>
      <c r="F96" s="24"/>
      <c r="G96" s="24"/>
      <c r="H96" s="24"/>
    </row>
    <row r="97" spans="1:8" x14ac:dyDescent="0.25">
      <c r="A97" s="23" t="s">
        <v>493</v>
      </c>
      <c r="B97" s="83">
        <f>MIN(B91:B93)</f>
        <v>6.039286363636364E-2</v>
      </c>
      <c r="C97" s="24"/>
      <c r="D97" s="24"/>
      <c r="E97" s="24"/>
      <c r="F97" s="24"/>
      <c r="G97" s="24"/>
      <c r="H97" s="24"/>
    </row>
    <row r="98" spans="1:8" x14ac:dyDescent="0.25">
      <c r="C98" s="24"/>
      <c r="D98" s="24"/>
      <c r="E98" s="24"/>
      <c r="F98" s="24"/>
      <c r="G98" s="24"/>
      <c r="H98" s="24"/>
    </row>
    <row r="99" spans="1:8" x14ac:dyDescent="0.25">
      <c r="A99" s="24"/>
      <c r="B99" s="24"/>
      <c r="C99" s="24"/>
      <c r="D99" s="24"/>
      <c r="E99" s="24"/>
      <c r="F99" s="24"/>
      <c r="G99" s="24"/>
      <c r="H99" s="24"/>
    </row>
  </sheetData>
  <mergeCells count="1">
    <mergeCell ref="F1:L1"/>
  </mergeCells>
  <phoneticPr fontId="9" type="noConversion"/>
  <pageMargins left="0.7" right="0.7" top="0.78740157499999996" bottom="0.78740157499999996"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840D748AD4F0642AEF7C31C01CA29D5" ma:contentTypeVersion="13" ma:contentTypeDescription="Creare un nuovo documento." ma:contentTypeScope="" ma:versionID="b4a9293d3f15e1484d9872a35499aae0">
  <xsd:schema xmlns:xsd="http://www.w3.org/2001/XMLSchema" xmlns:xs="http://www.w3.org/2001/XMLSchema" xmlns:p="http://schemas.microsoft.com/office/2006/metadata/properties" xmlns:ns3="1ab63d28-3f01-42fe-9389-79e270076006" xmlns:ns4="e2f19914-7c65-48de-b2e3-9bc5945a537d" targetNamespace="http://schemas.microsoft.com/office/2006/metadata/properties" ma:root="true" ma:fieldsID="ce00cd707ed51a07044d964c33c5a9ec" ns3:_="" ns4:_="">
    <xsd:import namespace="1ab63d28-3f01-42fe-9389-79e270076006"/>
    <xsd:import namespace="e2f19914-7c65-48de-b2e3-9bc5945a537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b63d28-3f01-42fe-9389-79e2700760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f19914-7c65-48de-b2e3-9bc5945a537d" elementFormDefault="qualified">
    <xsd:import namespace="http://schemas.microsoft.com/office/2006/documentManagement/types"/>
    <xsd:import namespace="http://schemas.microsoft.com/office/infopath/2007/PartnerControls"/>
    <xsd:element name="SharedWithUsers" ma:index="16"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Condiviso con dettagli" ma:internalName="SharedWithDetails" ma:readOnly="true">
      <xsd:simpleType>
        <xsd:restriction base="dms:Note">
          <xsd:maxLength value="255"/>
        </xsd:restriction>
      </xsd:simpleType>
    </xsd:element>
    <xsd:element name="SharingHintHash" ma:index="18"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87CC3C-556F-44B2-A6B8-F520A24384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b63d28-3f01-42fe-9389-79e270076006"/>
    <ds:schemaRef ds:uri="e2f19914-7c65-48de-b2e3-9bc5945a53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45E6ED-876C-41A8-85D2-9B635D894D62}">
  <ds:schemaRefs>
    <ds:schemaRef ds:uri="http://schemas.microsoft.com/sharepoint/v3/contenttype/forms"/>
  </ds:schemaRefs>
</ds:datastoreItem>
</file>

<file path=customXml/itemProps3.xml><?xml version="1.0" encoding="utf-8"?>
<ds:datastoreItem xmlns:ds="http://schemas.openxmlformats.org/officeDocument/2006/customXml" ds:itemID="{C2179CFA-7663-4C2E-BD9B-843D5112674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Wheat</vt:lpstr>
      <vt:lpstr>Rice</vt:lpstr>
      <vt:lpstr>Maize</vt:lpstr>
      <vt:lpstr>Millet</vt:lpstr>
      <vt:lpstr>Field Peas</vt:lpstr>
      <vt:lpstr>Sugar Beet</vt:lpstr>
      <vt:lpstr>Cassava</vt:lpstr>
      <vt:lpstr>Sunflower</vt:lpstr>
      <vt:lpstr>Soybean</vt:lpstr>
      <vt:lpstr>Groundnut</vt:lpstr>
      <vt:lpstr>Rapeseed</vt:lpstr>
      <vt:lpstr>Sugar Cane</vt:lpstr>
      <vt:lpstr>Reading the table</vt:lpstr>
      <vt:lpstr>World Bank 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Su-Min Choi</dc:creator>
  <cp:lastModifiedBy>Giacomo Falchetta</cp:lastModifiedBy>
  <dcterms:created xsi:type="dcterms:W3CDTF">2020-03-10T09:30:23Z</dcterms:created>
  <dcterms:modified xsi:type="dcterms:W3CDTF">2020-04-20T07:23:00Z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0x010100D840D748AD4F0642AEF7C31C01CA29D5</vt:lpwstr>
  </property>
</Properties>
</file>