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a1" sheetId="1" r:id="rId4"/>
    <sheet state="visible" name="Tabella2" sheetId="2" r:id="rId5"/>
    <sheet state="visible" name="Tabella3" sheetId="3" r:id="rId6"/>
  </sheets>
  <definedNames/>
  <calcPr/>
  <extLst>
    <ext uri="GoogleSheetsCustomDataVersion2">
      <go:sheetsCustomData xmlns:go="http://customooxmlschemas.google.com/" r:id="rId7" roundtripDataChecksum="IUcDcsvHz3Kw7lro/AYXy6jkX7n9OiB02oSUc7sUxb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ID#AAAAKwLSEBE
    (2020-11-16 13:05:10)
lunghezza fibra</t>
      </text>
    </comment>
    <comment authorId="0" ref="A3">
      <text>
        <t xml:space="preserve">======
ID#AAAAKwLSEA8
    (2020-11-16 13:05:10)
frequenza di modulazione</t>
      </text>
    </comment>
    <comment authorId="0" ref="A4">
      <text>
        <t xml:space="preserve">======
ID#AAAAKwLSEBA
    (2020-11-16 13:05:10)
velocita' della luce nel vuoto</t>
      </text>
    </comment>
    <comment authorId="0" ref="A1">
      <text>
        <t xml:space="preserve">======
ID#AAAAKwLSEA4
    (2020-11-16 13:05:10)
indice di rifrazione</t>
      </text>
    </comment>
  </commentList>
  <extLst>
    <ext uri="GoogleSheetsCustomDataVersion2">
      <go:sheetsCustomData xmlns:go="http://customooxmlschemas.google.com/" r:id="rId1" roundtripDataSignature="AMtx7mjAhZepcKDqJ5CYuAJ7rktIumcaKw=="/>
    </ext>
  </extLst>
</comments>
</file>

<file path=xl/sharedStrings.xml><?xml version="1.0" encoding="utf-8"?>
<sst xmlns="http://schemas.openxmlformats.org/spreadsheetml/2006/main" count="30" uniqueCount="19">
  <si>
    <t>n=</t>
  </si>
  <si>
    <t>L=</t>
  </si>
  <si>
    <t>km</t>
  </si>
  <si>
    <t>f=</t>
  </si>
  <si>
    <t>MHz</t>
  </si>
  <si>
    <t>c=</t>
  </si>
  <si>
    <t>m/s</t>
  </si>
  <si>
    <t>Meas. No.</t>
  </si>
  <si>
    <t>λ (nm)</t>
  </si>
  <si>
    <t>φ (degrees)</t>
  </si>
  <si>
    <t>φ (rad)</t>
  </si>
  <si>
    <r>
      <rPr>
        <rFont val="Calibri"/>
        <color rgb="FF000000"/>
        <sz val="11.0"/>
      </rPr>
      <t>τ</t>
    </r>
    <r>
      <rPr>
        <rFont val="Calibri"/>
        <color rgb="FF000000"/>
        <sz val="6.0"/>
      </rPr>
      <t>g</t>
    </r>
    <r>
      <rPr>
        <rFont val="Calibri"/>
        <color rgb="FF000000"/>
        <sz val="11.0"/>
      </rPr>
      <t xml:space="preserve"> (ps)</t>
    </r>
  </si>
  <si>
    <r>
      <rPr>
        <rFont val="Calibri"/>
        <color rgb="FF000000"/>
        <sz val="11.0"/>
      </rPr>
      <t>D</t>
    </r>
    <r>
      <rPr>
        <rFont val="Calibri"/>
        <color rgb="FF000000"/>
        <sz val="6.0"/>
      </rPr>
      <t>TOT</t>
    </r>
    <r>
      <rPr>
        <rFont val="Calibri"/>
        <color rgb="FF000000"/>
        <sz val="11.0"/>
      </rPr>
      <t xml:space="preserve"> (ps/nm)</t>
    </r>
  </si>
  <si>
    <t>delta fm (Hz)</t>
  </si>
  <si>
    <t>L (m)</t>
  </si>
  <si>
    <t>1560nm</t>
  </si>
  <si>
    <t>delta F (Hz)</t>
  </si>
  <si>
    <t>L from fit</t>
  </si>
  <si>
    <t>mean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</si>
</sst>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1" xfId="0" applyFont="1" applyNumberFormat="1"/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4" xfId="0" applyAlignment="1" applyBorder="1" applyFont="1" applyNumberFormat="1">
      <alignment readingOrder="0"/>
    </xf>
    <xf borderId="1" fillId="0" fontId="1" numFmtId="11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2" xfId="0" applyAlignment="1" applyBorder="1" applyFont="1" applyNumberFormat="1">
      <alignment readingOrder="0"/>
    </xf>
    <xf borderId="0" fillId="0" fontId="3" numFmtId="0" xfId="0" applyFont="1"/>
    <xf borderId="1" fillId="0" fontId="1" numFmtId="11" xfId="0" applyBorder="1" applyFont="1" applyNumberFormat="1"/>
    <xf borderId="2" fillId="0" fontId="1" numFmtId="2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τg (ps)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Tabella1!$B$7:$B$57</c:f>
            </c:numRef>
          </c:xVal>
          <c:yVal>
            <c:numRef>
              <c:f>Tabella1!$E$7:$E$57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67649"/>
        <c:axId val="693497635"/>
      </c:scatterChart>
      <c:valAx>
        <c:axId val="492967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497635"/>
      </c:valAx>
      <c:valAx>
        <c:axId val="69349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τg (ps)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967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DTOT (ps/nm)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Tabella1!$F$6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Tabella1!$F$7:$F$57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7397"/>
        <c:axId val="949115723"/>
      </c:scatterChart>
      <c:valAx>
        <c:axId val="1058527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115723"/>
      </c:valAx>
      <c:valAx>
        <c:axId val="94911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DTOT (ps/nm)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527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Dtot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Tabella2!$B$8:$B$27</c:f>
            </c:numRef>
          </c:xVal>
          <c:yVal>
            <c:numRef>
              <c:f>Tabella2!$E$8:$E$28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8790"/>
        <c:axId val="1336613322"/>
      </c:scatterChart>
      <c:valAx>
        <c:axId val="1799987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36613322"/>
      </c:valAx>
      <c:valAx>
        <c:axId val="1336613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99987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704850</xdr:colOff>
      <xdr:row>5</xdr:row>
      <xdr:rowOff>19050</xdr:rowOff>
    </xdr:from>
    <xdr:ext cx="7943850" cy="4914900"/>
    <xdr:graphicFrame>
      <xdr:nvGraphicFramePr>
        <xdr:cNvPr id="1299601647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704850</xdr:colOff>
      <xdr:row>32</xdr:row>
      <xdr:rowOff>171450</xdr:rowOff>
    </xdr:from>
    <xdr:ext cx="7943850" cy="4914900"/>
    <xdr:graphicFrame>
      <xdr:nvGraphicFramePr>
        <xdr:cNvPr id="984970520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400050</xdr:colOff>
      <xdr:row>4</xdr:row>
      <xdr:rowOff>114300</xdr:rowOff>
    </xdr:from>
    <xdr:ext cx="4562475" cy="2838450"/>
    <xdr:graphicFrame>
      <xdr:nvGraphicFramePr>
        <xdr:cNvPr id="824923340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75"/>
    <col customWidth="1" min="3" max="5" width="10.75"/>
    <col customWidth="1" min="6" max="6" width="11.63"/>
    <col customWidth="1" min="7" max="26" width="14.38"/>
  </cols>
  <sheetData>
    <row r="1" ht="14.25" customHeight="1">
      <c r="A1" s="1" t="s">
        <v>0</v>
      </c>
      <c r="B1" s="2">
        <v>1.469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1</v>
      </c>
      <c r="B2" s="4">
        <v>20.7</v>
      </c>
      <c r="C2" s="4" t="s">
        <v>2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 t="s">
        <v>3</v>
      </c>
      <c r="B3" s="5">
        <v>980.0</v>
      </c>
      <c r="C3" s="4" t="s">
        <v>4</v>
      </c>
      <c r="D3" s="4"/>
      <c r="E3" s="6">
        <v>9060.0</v>
      </c>
      <c r="F3" s="2">
        <f>299792458/B1*1/E3</f>
        <v>22525.30652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" t="s">
        <v>5</v>
      </c>
      <c r="B4" s="7">
        <v>3.0E8</v>
      </c>
      <c r="C4" s="4" t="s">
        <v>6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7</v>
      </c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8">
        <v>1.0</v>
      </c>
      <c r="B7" s="8">
        <v>1560.0</v>
      </c>
      <c r="C7" s="9">
        <v>56.0</v>
      </c>
      <c r="D7" s="10">
        <f t="shared" ref="D7:D57" si="1">C7*PI()/180</f>
        <v>0.9773843811</v>
      </c>
      <c r="E7" s="11">
        <f t="shared" ref="E7:E57" si="2">D7/($B$3*2*PI())*10^6</f>
        <v>158.7301587</v>
      </c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>
        <v>2.0</v>
      </c>
      <c r="B8" s="8">
        <v>1561.0</v>
      </c>
      <c r="C8" s="9">
        <v>68.0</v>
      </c>
      <c r="D8" s="10">
        <f t="shared" si="1"/>
        <v>1.186823891</v>
      </c>
      <c r="E8" s="11">
        <f t="shared" si="2"/>
        <v>192.7437642</v>
      </c>
      <c r="F8" s="12">
        <f t="shared" ref="F8:F57" si="3">E8-E7</f>
        <v>34.01360544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>
        <v>3.0</v>
      </c>
      <c r="B9" s="8">
        <v>1562.0</v>
      </c>
      <c r="C9" s="9">
        <v>78.0</v>
      </c>
      <c r="D9" s="10">
        <f t="shared" si="1"/>
        <v>1.361356817</v>
      </c>
      <c r="E9" s="11">
        <f t="shared" si="2"/>
        <v>221.0884354</v>
      </c>
      <c r="F9" s="12">
        <f t="shared" si="3"/>
        <v>28.3446712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>
        <v>4.0</v>
      </c>
      <c r="B10" s="8">
        <v>1563.0</v>
      </c>
      <c r="C10" s="9">
        <v>88.0</v>
      </c>
      <c r="D10" s="10">
        <f t="shared" si="1"/>
        <v>1.535889742</v>
      </c>
      <c r="E10" s="11">
        <f t="shared" si="2"/>
        <v>249.4331066</v>
      </c>
      <c r="F10" s="12">
        <f t="shared" si="3"/>
        <v>28.3446712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>
        <v>5.0</v>
      </c>
      <c r="B11" s="8">
        <v>1564.0</v>
      </c>
      <c r="C11" s="9">
        <v>96.0</v>
      </c>
      <c r="D11" s="10">
        <f t="shared" si="1"/>
        <v>1.675516082</v>
      </c>
      <c r="E11" s="11">
        <f t="shared" si="2"/>
        <v>272.1088435</v>
      </c>
      <c r="F11" s="12">
        <f t="shared" si="3"/>
        <v>22.67573696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>
        <v>6.0</v>
      </c>
      <c r="B12" s="8">
        <v>1565.0</v>
      </c>
      <c r="C12" s="9">
        <v>105.0</v>
      </c>
      <c r="D12" s="10">
        <f t="shared" si="1"/>
        <v>1.832595715</v>
      </c>
      <c r="E12" s="11">
        <f t="shared" si="2"/>
        <v>297.6190476</v>
      </c>
      <c r="F12" s="12">
        <f t="shared" si="3"/>
        <v>25.51020408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>
        <v>7.0</v>
      </c>
      <c r="B13" s="8">
        <v>1566.0</v>
      </c>
      <c r="C13" s="9">
        <v>113.0</v>
      </c>
      <c r="D13" s="10">
        <f t="shared" si="1"/>
        <v>1.972222055</v>
      </c>
      <c r="E13" s="11">
        <f t="shared" si="2"/>
        <v>320.2947846</v>
      </c>
      <c r="F13" s="12">
        <f t="shared" si="3"/>
        <v>22.67573696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8">
        <v>8.0</v>
      </c>
      <c r="B14" s="8">
        <v>1567.0</v>
      </c>
      <c r="C14" s="9">
        <v>120.0</v>
      </c>
      <c r="D14" s="10">
        <f t="shared" si="1"/>
        <v>2.094395102</v>
      </c>
      <c r="E14" s="11">
        <f t="shared" si="2"/>
        <v>340.1360544</v>
      </c>
      <c r="F14" s="12">
        <f t="shared" si="3"/>
        <v>19.84126984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>
        <v>9.0</v>
      </c>
      <c r="B15" s="8">
        <v>1568.0</v>
      </c>
      <c r="C15" s="9">
        <v>128.0</v>
      </c>
      <c r="D15" s="10">
        <f t="shared" si="1"/>
        <v>2.234021443</v>
      </c>
      <c r="E15" s="11">
        <f t="shared" si="2"/>
        <v>362.8117914</v>
      </c>
      <c r="F15" s="12">
        <f t="shared" si="3"/>
        <v>22.67573696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8">
        <v>10.0</v>
      </c>
      <c r="B16" s="8">
        <v>1569.0</v>
      </c>
      <c r="C16" s="9">
        <v>134.0</v>
      </c>
      <c r="D16" s="10">
        <f t="shared" si="1"/>
        <v>2.338741198</v>
      </c>
      <c r="E16" s="11">
        <f t="shared" si="2"/>
        <v>379.8185941</v>
      </c>
      <c r="F16" s="12">
        <f t="shared" si="3"/>
        <v>17.00680272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8">
        <v>11.0</v>
      </c>
      <c r="B17" s="8">
        <v>1570.0</v>
      </c>
      <c r="C17" s="9">
        <v>140.0</v>
      </c>
      <c r="D17" s="10">
        <f t="shared" si="1"/>
        <v>2.443460953</v>
      </c>
      <c r="E17" s="11">
        <f t="shared" si="2"/>
        <v>396.8253968</v>
      </c>
      <c r="F17" s="12">
        <f t="shared" si="3"/>
        <v>17.00680272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>
        <v>12.0</v>
      </c>
      <c r="B18" s="8">
        <v>1571.0</v>
      </c>
      <c r="C18" s="9">
        <v>145.0</v>
      </c>
      <c r="D18" s="10">
        <f t="shared" si="1"/>
        <v>2.530727415</v>
      </c>
      <c r="E18" s="11">
        <f t="shared" si="2"/>
        <v>410.9977324</v>
      </c>
      <c r="F18" s="12">
        <f t="shared" si="3"/>
        <v>14.1723356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8">
        <v>13.0</v>
      </c>
      <c r="B19" s="8">
        <v>1572.0</v>
      </c>
      <c r="C19" s="9">
        <v>150.0</v>
      </c>
      <c r="D19" s="10">
        <f t="shared" si="1"/>
        <v>2.617993878</v>
      </c>
      <c r="E19" s="11">
        <f t="shared" si="2"/>
        <v>425.170068</v>
      </c>
      <c r="F19" s="12">
        <f t="shared" si="3"/>
        <v>14.1723356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>
        <v>14.0</v>
      </c>
      <c r="B20" s="8">
        <v>1573.0</v>
      </c>
      <c r="C20" s="9">
        <v>154.0</v>
      </c>
      <c r="D20" s="10">
        <f t="shared" si="1"/>
        <v>2.687807048</v>
      </c>
      <c r="E20" s="11">
        <f t="shared" si="2"/>
        <v>436.5079365</v>
      </c>
      <c r="F20" s="12">
        <f t="shared" si="3"/>
        <v>11.33786848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8">
        <v>15.0</v>
      </c>
      <c r="B21" s="8">
        <v>1574.0</v>
      </c>
      <c r="C21" s="9">
        <v>156.0</v>
      </c>
      <c r="D21" s="10">
        <f t="shared" si="1"/>
        <v>2.722713633</v>
      </c>
      <c r="E21" s="11">
        <f t="shared" si="2"/>
        <v>442.1768707</v>
      </c>
      <c r="F21" s="12">
        <f t="shared" si="3"/>
        <v>5.66893424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8">
        <v>16.0</v>
      </c>
      <c r="B22" s="8">
        <v>1575.0</v>
      </c>
      <c r="C22" s="9">
        <v>156.5</v>
      </c>
      <c r="D22" s="10">
        <f t="shared" si="1"/>
        <v>2.731440279</v>
      </c>
      <c r="E22" s="11">
        <f t="shared" si="2"/>
        <v>443.5941043</v>
      </c>
      <c r="F22" s="12">
        <f t="shared" si="3"/>
        <v>1.41723356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>
        <v>17.0</v>
      </c>
      <c r="B23" s="8">
        <v>1576.0</v>
      </c>
      <c r="C23" s="9">
        <v>159.0</v>
      </c>
      <c r="D23" s="10">
        <f t="shared" si="1"/>
        <v>2.775073511</v>
      </c>
      <c r="E23" s="11">
        <f t="shared" si="2"/>
        <v>450.6802721</v>
      </c>
      <c r="F23" s="12">
        <f t="shared" si="3"/>
        <v>7.0861678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>
        <v>18.0</v>
      </c>
      <c r="B24" s="8">
        <v>1577.0</v>
      </c>
      <c r="C24" s="9">
        <v>160.5</v>
      </c>
      <c r="D24" s="10">
        <f t="shared" si="1"/>
        <v>2.801253449</v>
      </c>
      <c r="E24" s="11">
        <f t="shared" si="2"/>
        <v>454.9319728</v>
      </c>
      <c r="F24" s="12">
        <f t="shared" si="3"/>
        <v>4.25170068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>
        <v>19.0</v>
      </c>
      <c r="B25" s="8">
        <v>1578.0</v>
      </c>
      <c r="C25" s="9">
        <v>162.0</v>
      </c>
      <c r="D25" s="10">
        <f t="shared" si="1"/>
        <v>2.827433388</v>
      </c>
      <c r="E25" s="11">
        <f t="shared" si="2"/>
        <v>459.1836735</v>
      </c>
      <c r="F25" s="12">
        <f t="shared" si="3"/>
        <v>4.25170068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>
        <v>20.0</v>
      </c>
      <c r="B26" s="8">
        <v>1579.0</v>
      </c>
      <c r="C26" s="9">
        <v>163.0</v>
      </c>
      <c r="D26" s="10">
        <f t="shared" si="1"/>
        <v>2.844886681</v>
      </c>
      <c r="E26" s="11">
        <f t="shared" si="2"/>
        <v>462.0181406</v>
      </c>
      <c r="F26" s="12">
        <f t="shared" si="3"/>
        <v>2.83446712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8">
        <v>21.0</v>
      </c>
      <c r="B27" s="8">
        <v>1580.0</v>
      </c>
      <c r="C27" s="9">
        <v>163.5</v>
      </c>
      <c r="D27" s="10">
        <f t="shared" si="1"/>
        <v>2.853613327</v>
      </c>
      <c r="E27" s="11">
        <f t="shared" si="2"/>
        <v>463.4353741</v>
      </c>
      <c r="F27" s="12">
        <f t="shared" si="3"/>
        <v>1.41723356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8">
        <v>22.0</v>
      </c>
      <c r="B28" s="8">
        <v>1581.0</v>
      </c>
      <c r="C28" s="9">
        <v>164.0</v>
      </c>
      <c r="D28" s="10">
        <f t="shared" si="1"/>
        <v>2.862339973</v>
      </c>
      <c r="E28" s="11">
        <f t="shared" si="2"/>
        <v>464.8526077</v>
      </c>
      <c r="F28" s="12">
        <f t="shared" si="3"/>
        <v>1.41723356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>
        <v>23.0</v>
      </c>
      <c r="B29" s="8">
        <v>1582.0</v>
      </c>
      <c r="C29" s="9">
        <v>162.0</v>
      </c>
      <c r="D29" s="10">
        <f t="shared" si="1"/>
        <v>2.827433388</v>
      </c>
      <c r="E29" s="11">
        <f t="shared" si="2"/>
        <v>459.1836735</v>
      </c>
      <c r="F29" s="12">
        <f t="shared" si="3"/>
        <v>-5.66893424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>
        <v>24.0</v>
      </c>
      <c r="B30" s="8">
        <v>1583.0</v>
      </c>
      <c r="C30" s="9">
        <v>161.2</v>
      </c>
      <c r="D30" s="10">
        <f t="shared" si="1"/>
        <v>2.813470754</v>
      </c>
      <c r="E30" s="11">
        <f t="shared" si="2"/>
        <v>456.9160998</v>
      </c>
      <c r="F30" s="12">
        <f t="shared" si="3"/>
        <v>-2.267573696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>
        <v>25.0</v>
      </c>
      <c r="B31" s="8">
        <v>1584.0</v>
      </c>
      <c r="C31" s="9">
        <v>159.0</v>
      </c>
      <c r="D31" s="10">
        <f t="shared" si="1"/>
        <v>2.775073511</v>
      </c>
      <c r="E31" s="11">
        <f t="shared" si="2"/>
        <v>450.6802721</v>
      </c>
      <c r="F31" s="12">
        <f t="shared" si="3"/>
        <v>-6.235827664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8">
        <v>26.0</v>
      </c>
      <c r="B32" s="8">
        <v>1585.0</v>
      </c>
      <c r="C32" s="9">
        <v>157.8</v>
      </c>
      <c r="D32" s="10">
        <f t="shared" si="1"/>
        <v>2.75412956</v>
      </c>
      <c r="E32" s="11">
        <f t="shared" si="2"/>
        <v>447.2789116</v>
      </c>
      <c r="F32" s="12">
        <f t="shared" si="3"/>
        <v>-3.401360544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8">
        <v>27.0</v>
      </c>
      <c r="B33" s="8">
        <v>1586.0</v>
      </c>
      <c r="C33" s="9">
        <v>156.0</v>
      </c>
      <c r="D33" s="10">
        <f t="shared" si="1"/>
        <v>2.722713633</v>
      </c>
      <c r="E33" s="11">
        <f t="shared" si="2"/>
        <v>442.1768707</v>
      </c>
      <c r="F33" s="12">
        <f t="shared" si="3"/>
        <v>-5.102040816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>
        <v>28.0</v>
      </c>
      <c r="B34" s="8">
        <v>1587.0</v>
      </c>
      <c r="C34" s="9">
        <v>152.5</v>
      </c>
      <c r="D34" s="10">
        <f t="shared" si="1"/>
        <v>2.661627109</v>
      </c>
      <c r="E34" s="11">
        <f t="shared" si="2"/>
        <v>432.2562358</v>
      </c>
      <c r="F34" s="12">
        <f t="shared" si="3"/>
        <v>-9.920634921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8">
        <v>29.0</v>
      </c>
      <c r="B35" s="8">
        <v>1588.0</v>
      </c>
      <c r="C35" s="9">
        <v>148.0</v>
      </c>
      <c r="D35" s="10">
        <f t="shared" si="1"/>
        <v>2.583087293</v>
      </c>
      <c r="E35" s="11">
        <f t="shared" si="2"/>
        <v>419.5011338</v>
      </c>
      <c r="F35" s="12">
        <f t="shared" si="3"/>
        <v>-12.75510204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8">
        <v>30.0</v>
      </c>
      <c r="B36" s="8">
        <v>1589.0</v>
      </c>
      <c r="C36" s="9">
        <v>140.0</v>
      </c>
      <c r="D36" s="10">
        <f t="shared" si="1"/>
        <v>2.443460953</v>
      </c>
      <c r="E36" s="11">
        <f t="shared" si="2"/>
        <v>396.8253968</v>
      </c>
      <c r="F36" s="12">
        <f t="shared" si="3"/>
        <v>-22.67573696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8">
        <v>31.0</v>
      </c>
      <c r="B37" s="8">
        <v>1590.0</v>
      </c>
      <c r="C37" s="9">
        <v>136.0</v>
      </c>
      <c r="D37" s="10">
        <f t="shared" si="1"/>
        <v>2.373647783</v>
      </c>
      <c r="E37" s="11">
        <f t="shared" si="2"/>
        <v>385.4875283</v>
      </c>
      <c r="F37" s="12">
        <f t="shared" si="3"/>
        <v>-11.33786848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8">
        <v>32.0</v>
      </c>
      <c r="B38" s="8">
        <v>1591.0</v>
      </c>
      <c r="C38" s="9">
        <v>130.0</v>
      </c>
      <c r="D38" s="10">
        <f t="shared" si="1"/>
        <v>2.268928028</v>
      </c>
      <c r="E38" s="11">
        <f t="shared" si="2"/>
        <v>368.4807256</v>
      </c>
      <c r="F38" s="12">
        <f t="shared" si="3"/>
        <v>-17.00680272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8">
        <v>33.0</v>
      </c>
      <c r="B39" s="8">
        <v>1592.0</v>
      </c>
      <c r="C39" s="9">
        <v>122.0</v>
      </c>
      <c r="D39" s="10">
        <f t="shared" si="1"/>
        <v>2.129301687</v>
      </c>
      <c r="E39" s="11">
        <f t="shared" si="2"/>
        <v>345.8049887</v>
      </c>
      <c r="F39" s="12">
        <f t="shared" si="3"/>
        <v>-22.67573696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8">
        <v>34.0</v>
      </c>
      <c r="B40" s="8">
        <v>1593.0</v>
      </c>
      <c r="C40" s="10">
        <f>160-44</f>
        <v>116</v>
      </c>
      <c r="D40" s="10">
        <f t="shared" si="1"/>
        <v>2.024581932</v>
      </c>
      <c r="E40" s="11">
        <f t="shared" si="2"/>
        <v>328.7981859</v>
      </c>
      <c r="F40" s="12">
        <f t="shared" si="3"/>
        <v>-17.00680272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8">
        <v>35.0</v>
      </c>
      <c r="B41" s="8">
        <v>1594.0</v>
      </c>
      <c r="C41" s="9">
        <v>110.0</v>
      </c>
      <c r="D41" s="10">
        <f t="shared" si="1"/>
        <v>1.919862177</v>
      </c>
      <c r="E41" s="11">
        <f t="shared" si="2"/>
        <v>311.7913832</v>
      </c>
      <c r="F41" s="12">
        <f t="shared" si="3"/>
        <v>-17.00680272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8">
        <v>36.0</v>
      </c>
      <c r="B42" s="8">
        <v>1595.0</v>
      </c>
      <c r="C42" s="9">
        <v>102.0</v>
      </c>
      <c r="D42" s="10">
        <f t="shared" si="1"/>
        <v>1.780235837</v>
      </c>
      <c r="E42" s="11">
        <f t="shared" si="2"/>
        <v>289.1156463</v>
      </c>
      <c r="F42" s="12">
        <f t="shared" si="3"/>
        <v>-22.67573696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8">
        <v>37.0</v>
      </c>
      <c r="B43" s="8">
        <v>1596.0</v>
      </c>
      <c r="C43" s="9">
        <v>94.0</v>
      </c>
      <c r="D43" s="10">
        <f t="shared" si="1"/>
        <v>1.640609497</v>
      </c>
      <c r="E43" s="11">
        <f t="shared" si="2"/>
        <v>266.4399093</v>
      </c>
      <c r="F43" s="12">
        <f t="shared" si="3"/>
        <v>-22.67573696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8">
        <v>38.0</v>
      </c>
      <c r="B44" s="8">
        <v>1597.0</v>
      </c>
      <c r="C44" s="9">
        <v>84.0</v>
      </c>
      <c r="D44" s="10">
        <f t="shared" si="1"/>
        <v>1.466076572</v>
      </c>
      <c r="E44" s="11">
        <f t="shared" si="2"/>
        <v>238.0952381</v>
      </c>
      <c r="F44" s="12">
        <f t="shared" si="3"/>
        <v>-28.3446712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>
        <v>39.0</v>
      </c>
      <c r="B45" s="8">
        <v>1598.0</v>
      </c>
      <c r="C45" s="9">
        <v>74.0</v>
      </c>
      <c r="D45" s="10">
        <f t="shared" si="1"/>
        <v>1.291543646</v>
      </c>
      <c r="E45" s="11">
        <f t="shared" si="2"/>
        <v>209.7505669</v>
      </c>
      <c r="F45" s="12">
        <f t="shared" si="3"/>
        <v>-28.3446712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>
        <v>40.0</v>
      </c>
      <c r="B46" s="8">
        <v>1599.0</v>
      </c>
      <c r="C46" s="9">
        <v>64.0</v>
      </c>
      <c r="D46" s="10">
        <f t="shared" si="1"/>
        <v>1.117010721</v>
      </c>
      <c r="E46" s="11">
        <f t="shared" si="2"/>
        <v>181.4058957</v>
      </c>
      <c r="F46" s="12">
        <f t="shared" si="3"/>
        <v>-28.3446712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8">
        <v>41.0</v>
      </c>
      <c r="B47" s="8">
        <v>1600.0</v>
      </c>
      <c r="C47" s="9">
        <f>100-48</f>
        <v>52</v>
      </c>
      <c r="D47" s="10">
        <f t="shared" si="1"/>
        <v>0.907571211</v>
      </c>
      <c r="E47" s="11">
        <f t="shared" si="2"/>
        <v>147.3922902</v>
      </c>
      <c r="F47" s="12">
        <f t="shared" si="3"/>
        <v>-34.01360544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8">
        <v>42.0</v>
      </c>
      <c r="B48" s="8">
        <v>1601.0</v>
      </c>
      <c r="C48" s="9">
        <v>40.0</v>
      </c>
      <c r="D48" s="10">
        <f t="shared" si="1"/>
        <v>0.6981317008</v>
      </c>
      <c r="E48" s="11">
        <f t="shared" si="2"/>
        <v>113.3786848</v>
      </c>
      <c r="F48" s="12">
        <f t="shared" si="3"/>
        <v>-34.01360544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>
        <v>43.0</v>
      </c>
      <c r="B49" s="8">
        <v>1602.0</v>
      </c>
      <c r="C49" s="9">
        <v>28.0</v>
      </c>
      <c r="D49" s="10">
        <f t="shared" si="1"/>
        <v>0.4886921906</v>
      </c>
      <c r="E49" s="11">
        <f t="shared" si="2"/>
        <v>79.36507937</v>
      </c>
      <c r="F49" s="12">
        <f t="shared" si="3"/>
        <v>-34.01360544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8">
        <v>44.0</v>
      </c>
      <c r="B50" s="8">
        <v>1603.0</v>
      </c>
      <c r="C50" s="10">
        <f>50-36</f>
        <v>14</v>
      </c>
      <c r="D50" s="10">
        <f t="shared" si="1"/>
        <v>0.2443460953</v>
      </c>
      <c r="E50" s="11">
        <f t="shared" si="2"/>
        <v>39.68253968</v>
      </c>
      <c r="F50" s="12">
        <f t="shared" si="3"/>
        <v>-39.68253968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8">
        <v>45.0</v>
      </c>
      <c r="B51" s="8">
        <v>1604.0</v>
      </c>
      <c r="C51" s="10">
        <f>50-52</f>
        <v>-2</v>
      </c>
      <c r="D51" s="10">
        <f t="shared" si="1"/>
        <v>-0.03490658504</v>
      </c>
      <c r="E51" s="11">
        <f t="shared" si="2"/>
        <v>-5.66893424</v>
      </c>
      <c r="F51" s="12">
        <f t="shared" si="3"/>
        <v>-45.35147392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>
        <v>46.0</v>
      </c>
      <c r="B52" s="8">
        <v>1605.0</v>
      </c>
      <c r="C52" s="9">
        <v>-4.0</v>
      </c>
      <c r="D52" s="10">
        <f t="shared" si="1"/>
        <v>-0.06981317008</v>
      </c>
      <c r="E52" s="11">
        <f t="shared" si="2"/>
        <v>-11.33786848</v>
      </c>
      <c r="F52" s="12">
        <f t="shared" si="3"/>
        <v>-5.66893424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8">
        <v>47.0</v>
      </c>
      <c r="B53" s="8">
        <v>1606.0</v>
      </c>
      <c r="C53" s="9">
        <v>-20.0</v>
      </c>
      <c r="D53" s="10">
        <f t="shared" si="1"/>
        <v>-0.3490658504</v>
      </c>
      <c r="E53" s="11">
        <f t="shared" si="2"/>
        <v>-56.6893424</v>
      </c>
      <c r="F53" s="12">
        <f t="shared" si="3"/>
        <v>-45.35147392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8">
        <v>48.0</v>
      </c>
      <c r="B54" s="8">
        <v>1607.0</v>
      </c>
      <c r="C54" s="9">
        <v>-37.0</v>
      </c>
      <c r="D54" s="10">
        <f t="shared" si="1"/>
        <v>-0.6457718232</v>
      </c>
      <c r="E54" s="11">
        <f t="shared" si="2"/>
        <v>-104.8752834</v>
      </c>
      <c r="F54" s="12">
        <f t="shared" si="3"/>
        <v>-48.18594104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>
        <v>49.0</v>
      </c>
      <c r="B55" s="8">
        <v>1608.0</v>
      </c>
      <c r="C55" s="9">
        <v>-54.0</v>
      </c>
      <c r="D55" s="10">
        <f t="shared" si="1"/>
        <v>-0.9424777961</v>
      </c>
      <c r="E55" s="11">
        <f t="shared" si="2"/>
        <v>-153.0612245</v>
      </c>
      <c r="F55" s="12">
        <f t="shared" si="3"/>
        <v>-48.18594104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3">
        <v>50.0</v>
      </c>
      <c r="B56" s="8">
        <v>1609.0</v>
      </c>
      <c r="C56" s="14">
        <v>-72.0</v>
      </c>
      <c r="D56" s="10">
        <f t="shared" si="1"/>
        <v>-1.256637061</v>
      </c>
      <c r="E56" s="11">
        <f t="shared" si="2"/>
        <v>-204.0816327</v>
      </c>
      <c r="F56" s="12">
        <f t="shared" si="3"/>
        <v>-51.02040816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8">
        <v>51.0</v>
      </c>
      <c r="B57" s="8">
        <v>1610.0</v>
      </c>
      <c r="C57" s="9">
        <v>-92.0</v>
      </c>
      <c r="D57" s="10">
        <f t="shared" si="1"/>
        <v>-1.605702912</v>
      </c>
      <c r="E57" s="11">
        <f t="shared" si="2"/>
        <v>-260.7709751</v>
      </c>
      <c r="F57" s="12">
        <f t="shared" si="3"/>
        <v>-56.6893424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"/>
      <c r="B58" s="3"/>
      <c r="C58" s="3"/>
      <c r="D58" s="3"/>
      <c r="E58" s="3"/>
      <c r="F58" s="1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0.3940944881889764" footer="0.0" header="0.0" left="0.0" right="0.0" top="0.3940944881889764"/>
  <pageSetup orientation="portrait"/>
  <headerFooter>
    <oddHeader>&amp;C&amp;A</oddHeader>
    <oddFooter>&amp;CPagina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75"/>
    <col customWidth="1" min="3" max="6" width="10.75"/>
    <col customWidth="1" min="7" max="7" width="11.63"/>
    <col customWidth="1" min="8" max="8" width="11.88"/>
    <col customWidth="1" min="9" max="28" width="14.38"/>
  </cols>
  <sheetData>
    <row r="1" ht="14.25" customHeight="1">
      <c r="A1" s="1" t="s">
        <v>0</v>
      </c>
      <c r="B1" s="2">
        <v>1.469</v>
      </c>
      <c r="C1" s="3"/>
      <c r="D1" s="3"/>
      <c r="E1" s="3"/>
      <c r="F1" s="3" t="s">
        <v>13</v>
      </c>
      <c r="G1" s="3" t="s">
        <v>14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1" t="s">
        <v>1</v>
      </c>
      <c r="B2" s="4">
        <v>20.7</v>
      </c>
      <c r="C2" s="4" t="s">
        <v>2</v>
      </c>
      <c r="D2" s="4" t="s">
        <v>15</v>
      </c>
      <c r="E2" s="4"/>
      <c r="F2" s="7">
        <v>9850.0</v>
      </c>
      <c r="G2" s="7">
        <f>B4/B1/F2</f>
        <v>20733.05159</v>
      </c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4.25" customHeight="1">
      <c r="A3" s="1" t="s">
        <v>3</v>
      </c>
      <c r="B3" s="4">
        <v>940.0</v>
      </c>
      <c r="C3" s="4" t="s">
        <v>4</v>
      </c>
      <c r="D3" s="4"/>
      <c r="E3" s="4"/>
      <c r="F3" s="7">
        <v>19690.0</v>
      </c>
      <c r="G3" s="7">
        <f>B4/B1/F3*2</f>
        <v>20743.58133</v>
      </c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4.25" customHeight="1">
      <c r="A4" s="1" t="s">
        <v>5</v>
      </c>
      <c r="B4" s="7">
        <v>3.0E8</v>
      </c>
      <c r="C4" s="4" t="s">
        <v>6</v>
      </c>
      <c r="D4" s="4"/>
      <c r="E4" s="4"/>
      <c r="F4" s="3"/>
      <c r="G4" s="3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4.25" customHeight="1">
      <c r="A5" s="3"/>
      <c r="B5" s="3"/>
      <c r="C5" s="3"/>
      <c r="D5" s="3"/>
      <c r="E5" s="3"/>
      <c r="F5" s="3"/>
      <c r="G5" s="3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4.25" customHeight="1">
      <c r="A6" s="8" t="s">
        <v>7</v>
      </c>
      <c r="B6" s="8" t="s">
        <v>16</v>
      </c>
      <c r="C6" s="8" t="s">
        <v>9</v>
      </c>
      <c r="D6" s="10" t="str">
        <f>C6</f>
        <v>φ (degrees)</v>
      </c>
      <c r="E6" s="8" t="s">
        <v>10</v>
      </c>
      <c r="F6" s="8" t="s">
        <v>14</v>
      </c>
      <c r="G6" s="8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4.25" customHeight="1">
      <c r="A7" s="8">
        <v>1.0</v>
      </c>
      <c r="B7" s="8">
        <v>0.0</v>
      </c>
      <c r="C7" s="10">
        <f>360-164</f>
        <v>196</v>
      </c>
      <c r="D7" s="10">
        <f t="shared" ref="D7:D17" si="1">360-C7</f>
        <v>164</v>
      </c>
      <c r="E7" s="10">
        <f t="shared" ref="E7:E27" si="2">D7/180*PI()</f>
        <v>2.862339973</v>
      </c>
      <c r="F7" s="16"/>
      <c r="G7" s="12"/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4.25" customHeight="1">
      <c r="A8" s="8">
        <v>2.0</v>
      </c>
      <c r="B8" s="8">
        <f t="shared" ref="B8:B26" si="3">B7+1000</f>
        <v>1000</v>
      </c>
      <c r="C8" s="10">
        <f>170-4</f>
        <v>166</v>
      </c>
      <c r="D8" s="10">
        <f t="shared" si="1"/>
        <v>194</v>
      </c>
      <c r="E8" s="10">
        <f t="shared" si="2"/>
        <v>3.385938749</v>
      </c>
      <c r="F8" s="16">
        <f t="shared" ref="F8:F27" si="4">(E8-E7)/2/PI()/(B8-B7)*$B$4/$B$1</f>
        <v>17018.37985</v>
      </c>
      <c r="G8" s="12"/>
      <c r="H8" s="1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4.25" customHeight="1">
      <c r="A9" s="8">
        <v>3.0</v>
      </c>
      <c r="B9" s="8">
        <f t="shared" si="3"/>
        <v>2000</v>
      </c>
      <c r="C9" s="10">
        <f>130+2</f>
        <v>132</v>
      </c>
      <c r="D9" s="10">
        <f t="shared" si="1"/>
        <v>228</v>
      </c>
      <c r="E9" s="10">
        <f t="shared" si="2"/>
        <v>3.979350695</v>
      </c>
      <c r="F9" s="16">
        <f t="shared" si="4"/>
        <v>19287.49716</v>
      </c>
      <c r="G9" s="12"/>
      <c r="H9" s="12"/>
      <c r="I9" s="3" t="s">
        <v>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4.25" customHeight="1">
      <c r="A10" s="8">
        <v>4.0</v>
      </c>
      <c r="B10" s="8">
        <f t="shared" si="3"/>
        <v>3000</v>
      </c>
      <c r="C10" s="10">
        <f>100-5</f>
        <v>95</v>
      </c>
      <c r="D10" s="10">
        <f t="shared" si="1"/>
        <v>265</v>
      </c>
      <c r="E10" s="10">
        <f t="shared" si="2"/>
        <v>4.625122518</v>
      </c>
      <c r="F10" s="16">
        <f t="shared" si="4"/>
        <v>20989.33515</v>
      </c>
      <c r="G10" s="12"/>
      <c r="H10" s="12"/>
      <c r="I10" s="7">
        <f>0.648/2/PI()*B4/B1/B8</f>
        <v>21061.75693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4.25" customHeight="1">
      <c r="A11" s="8">
        <v>5.0</v>
      </c>
      <c r="B11" s="8">
        <f t="shared" si="3"/>
        <v>4000</v>
      </c>
      <c r="C11" s="10">
        <f>50-1</f>
        <v>49</v>
      </c>
      <c r="D11" s="10">
        <f t="shared" si="1"/>
        <v>311</v>
      </c>
      <c r="E11" s="10">
        <f t="shared" si="2"/>
        <v>5.427973974</v>
      </c>
      <c r="F11" s="16">
        <f t="shared" si="4"/>
        <v>26094.8491</v>
      </c>
      <c r="G11" s="12"/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4.25" customHeight="1">
      <c r="A12" s="8">
        <v>6.0</v>
      </c>
      <c r="B12" s="8">
        <f t="shared" si="3"/>
        <v>5000</v>
      </c>
      <c r="C12" s="10">
        <f>0+5</f>
        <v>5</v>
      </c>
      <c r="D12" s="10">
        <f t="shared" si="1"/>
        <v>355</v>
      </c>
      <c r="E12" s="10">
        <f t="shared" si="2"/>
        <v>6.195918845</v>
      </c>
      <c r="F12" s="16">
        <f t="shared" si="4"/>
        <v>24960.29045</v>
      </c>
      <c r="G12" s="12"/>
      <c r="H12" s="1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4.25" customHeight="1">
      <c r="A13" s="8">
        <v>7.0</v>
      </c>
      <c r="B13" s="8">
        <f t="shared" si="3"/>
        <v>6000</v>
      </c>
      <c r="C13" s="10">
        <f>-40+2</f>
        <v>-38</v>
      </c>
      <c r="D13" s="10">
        <f t="shared" si="1"/>
        <v>398</v>
      </c>
      <c r="E13" s="10">
        <f t="shared" si="2"/>
        <v>6.946410423</v>
      </c>
      <c r="F13" s="16">
        <f t="shared" si="4"/>
        <v>24393.01112</v>
      </c>
      <c r="G13" s="12"/>
      <c r="H13" s="1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4.25" customHeight="1">
      <c r="A14" s="8">
        <v>8.0</v>
      </c>
      <c r="B14" s="8">
        <f t="shared" si="3"/>
        <v>7000</v>
      </c>
      <c r="C14" s="10">
        <f>-80+3</f>
        <v>-77</v>
      </c>
      <c r="D14" s="10">
        <f t="shared" si="1"/>
        <v>437</v>
      </c>
      <c r="E14" s="10">
        <f t="shared" si="2"/>
        <v>7.627088831</v>
      </c>
      <c r="F14" s="16">
        <f t="shared" si="4"/>
        <v>22123.89381</v>
      </c>
      <c r="G14" s="12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4.25" customHeight="1">
      <c r="A15" s="8">
        <v>9.0</v>
      </c>
      <c r="B15" s="8">
        <f t="shared" si="3"/>
        <v>8000</v>
      </c>
      <c r="C15" s="10">
        <f>-110+1</f>
        <v>-109</v>
      </c>
      <c r="D15" s="10">
        <f t="shared" si="1"/>
        <v>469</v>
      </c>
      <c r="E15" s="10">
        <f t="shared" si="2"/>
        <v>8.185594192</v>
      </c>
      <c r="F15" s="16">
        <f t="shared" si="4"/>
        <v>18152.93851</v>
      </c>
      <c r="G15" s="12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4.25" customHeight="1">
      <c r="A16" s="8">
        <v>10.0</v>
      </c>
      <c r="B16" s="8">
        <f t="shared" si="3"/>
        <v>9000</v>
      </c>
      <c r="C16" s="10">
        <f>-140+1</f>
        <v>-139</v>
      </c>
      <c r="D16" s="10">
        <f t="shared" si="1"/>
        <v>499</v>
      </c>
      <c r="E16" s="10">
        <f t="shared" si="2"/>
        <v>8.709192967</v>
      </c>
      <c r="F16" s="16">
        <f t="shared" si="4"/>
        <v>17018.37985</v>
      </c>
      <c r="G16" s="12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4.25" customHeight="1">
      <c r="A17" s="8">
        <v>11.0</v>
      </c>
      <c r="B17" s="8">
        <f t="shared" si="3"/>
        <v>10000</v>
      </c>
      <c r="C17" s="10">
        <f>-170+1</f>
        <v>-169</v>
      </c>
      <c r="D17" s="10">
        <f t="shared" si="1"/>
        <v>529</v>
      </c>
      <c r="E17" s="10">
        <f t="shared" si="2"/>
        <v>9.232791743</v>
      </c>
      <c r="F17" s="16">
        <f t="shared" si="4"/>
        <v>17018.37985</v>
      </c>
      <c r="G17" s="12"/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4.25" customHeight="1">
      <c r="A18" s="8">
        <v>12.0</v>
      </c>
      <c r="B18" s="8">
        <f t="shared" si="3"/>
        <v>11000</v>
      </c>
      <c r="C18" s="10">
        <f>160-1</f>
        <v>159</v>
      </c>
      <c r="D18" s="10">
        <f t="shared" ref="D18:D27" si="5">720-C18</f>
        <v>561</v>
      </c>
      <c r="E18" s="10">
        <f t="shared" si="2"/>
        <v>9.791297104</v>
      </c>
      <c r="F18" s="16">
        <f t="shared" si="4"/>
        <v>18152.93851</v>
      </c>
      <c r="G18" s="12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4.25" customHeight="1">
      <c r="A19" s="8">
        <v>13.0</v>
      </c>
      <c r="B19" s="8">
        <f t="shared" si="3"/>
        <v>12000</v>
      </c>
      <c r="C19" s="10">
        <f>130-4</f>
        <v>126</v>
      </c>
      <c r="D19" s="10">
        <f t="shared" si="5"/>
        <v>594</v>
      </c>
      <c r="E19" s="10">
        <f t="shared" si="2"/>
        <v>10.36725576</v>
      </c>
      <c r="F19" s="16">
        <f t="shared" si="4"/>
        <v>18720.21784</v>
      </c>
      <c r="G19" s="12"/>
      <c r="H19" s="1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4.25" customHeight="1">
      <c r="A20" s="8">
        <v>14.0</v>
      </c>
      <c r="B20" s="8">
        <f t="shared" si="3"/>
        <v>13000</v>
      </c>
      <c r="C20" s="10">
        <f>90-3</f>
        <v>87</v>
      </c>
      <c r="D20" s="10">
        <f t="shared" si="5"/>
        <v>633</v>
      </c>
      <c r="E20" s="10">
        <f t="shared" si="2"/>
        <v>11.04793417</v>
      </c>
      <c r="F20" s="16">
        <f t="shared" si="4"/>
        <v>22123.89381</v>
      </c>
      <c r="G20" s="12"/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4.25" customHeight="1">
      <c r="A21" s="8">
        <v>15.0</v>
      </c>
      <c r="B21" s="8">
        <f t="shared" si="3"/>
        <v>14000</v>
      </c>
      <c r="C21" s="10">
        <f>40+3</f>
        <v>43</v>
      </c>
      <c r="D21" s="10">
        <f t="shared" si="5"/>
        <v>677</v>
      </c>
      <c r="E21" s="10">
        <f t="shared" si="2"/>
        <v>11.81587904</v>
      </c>
      <c r="F21" s="16">
        <f t="shared" si="4"/>
        <v>24960.29045</v>
      </c>
      <c r="G21" s="12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4.25" customHeight="1">
      <c r="A22" s="8">
        <v>16.0</v>
      </c>
      <c r="B22" s="8">
        <f t="shared" si="3"/>
        <v>15000</v>
      </c>
      <c r="C22" s="10">
        <f>0-4</f>
        <v>-4</v>
      </c>
      <c r="D22" s="10">
        <f t="shared" si="5"/>
        <v>724</v>
      </c>
      <c r="E22" s="10">
        <f t="shared" si="2"/>
        <v>12.63618378</v>
      </c>
      <c r="F22" s="16">
        <f t="shared" si="4"/>
        <v>26662.12843</v>
      </c>
      <c r="G22" s="12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4.25" customHeight="1">
      <c r="A23" s="8">
        <v>17.0</v>
      </c>
      <c r="B23" s="8">
        <f t="shared" si="3"/>
        <v>16000</v>
      </c>
      <c r="C23" s="10">
        <f>-50+4</f>
        <v>-46</v>
      </c>
      <c r="D23" s="10">
        <f t="shared" si="5"/>
        <v>766</v>
      </c>
      <c r="E23" s="10">
        <f t="shared" si="2"/>
        <v>13.36922207</v>
      </c>
      <c r="F23" s="16">
        <f t="shared" si="4"/>
        <v>23825.73179</v>
      </c>
      <c r="G23" s="12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4.25" customHeight="1">
      <c r="A24" s="8">
        <v>18.0</v>
      </c>
      <c r="B24" s="8">
        <f t="shared" si="3"/>
        <v>17000</v>
      </c>
      <c r="C24" s="10">
        <f>-80-1.5</f>
        <v>-81.5</v>
      </c>
      <c r="D24" s="10">
        <f t="shared" si="5"/>
        <v>801.5</v>
      </c>
      <c r="E24" s="10">
        <f t="shared" si="2"/>
        <v>13.98881395</v>
      </c>
      <c r="F24" s="16">
        <f t="shared" si="4"/>
        <v>20138.41616</v>
      </c>
      <c r="G24" s="12"/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4.25" customHeight="1">
      <c r="A25" s="8">
        <v>19.0</v>
      </c>
      <c r="B25" s="8">
        <f t="shared" si="3"/>
        <v>18000</v>
      </c>
      <c r="C25" s="10">
        <f>-120+5</f>
        <v>-115</v>
      </c>
      <c r="D25" s="10">
        <f t="shared" si="5"/>
        <v>835</v>
      </c>
      <c r="E25" s="10">
        <f t="shared" si="2"/>
        <v>14.57349925</v>
      </c>
      <c r="F25" s="16">
        <f t="shared" si="4"/>
        <v>19003.8575</v>
      </c>
      <c r="G25" s="12"/>
      <c r="H25" s="1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4.25" customHeight="1">
      <c r="A26" s="8">
        <v>20.0</v>
      </c>
      <c r="B26" s="8">
        <f t="shared" si="3"/>
        <v>19000</v>
      </c>
      <c r="C26" s="10">
        <f>-150+4</f>
        <v>-146</v>
      </c>
      <c r="D26" s="10">
        <f t="shared" si="5"/>
        <v>866</v>
      </c>
      <c r="E26" s="10">
        <f t="shared" si="2"/>
        <v>15.11455132</v>
      </c>
      <c r="F26" s="16">
        <f t="shared" si="4"/>
        <v>17585.65918</v>
      </c>
      <c r="G26" s="12"/>
      <c r="H26" s="1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4.25" customHeight="1">
      <c r="A27" s="8">
        <v>21.0</v>
      </c>
      <c r="B27" s="8">
        <v>20000.0</v>
      </c>
      <c r="C27" s="10">
        <f>-170-5</f>
        <v>-175</v>
      </c>
      <c r="D27" s="10">
        <f t="shared" si="5"/>
        <v>895</v>
      </c>
      <c r="E27" s="10">
        <f t="shared" si="2"/>
        <v>15.62069681</v>
      </c>
      <c r="F27" s="16">
        <f t="shared" si="4"/>
        <v>16451.10052</v>
      </c>
      <c r="G27" s="12"/>
      <c r="H27" s="1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4.25" customHeight="1">
      <c r="A28" s="8">
        <v>22.0</v>
      </c>
      <c r="B28" s="8"/>
      <c r="C28" s="10"/>
      <c r="D28" s="10"/>
      <c r="E28" s="10" t="s">
        <v>18</v>
      </c>
      <c r="F28" s="16">
        <f>AVERAGEA(F8:F27)</f>
        <v>20734.05945</v>
      </c>
      <c r="G28" s="12"/>
      <c r="H28" s="1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4.25" customHeight="1">
      <c r="A29" s="8">
        <v>23.0</v>
      </c>
      <c r="B29" s="8"/>
      <c r="C29" s="10"/>
      <c r="D29" s="10"/>
      <c r="E29" s="10"/>
      <c r="F29" s="16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4.25" customHeight="1">
      <c r="A30" s="8">
        <v>24.0</v>
      </c>
      <c r="B30" s="8"/>
      <c r="C30" s="10"/>
      <c r="D30" s="10"/>
      <c r="E30" s="10"/>
      <c r="F30" s="16"/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4.25" customHeight="1">
      <c r="A31" s="8">
        <v>25.0</v>
      </c>
      <c r="B31" s="8"/>
      <c r="C31" s="10"/>
      <c r="D31" s="10"/>
      <c r="E31" s="10"/>
      <c r="F31" s="16"/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4.25" customHeight="1">
      <c r="A32" s="8">
        <v>26.0</v>
      </c>
      <c r="B32" s="8"/>
      <c r="C32" s="10"/>
      <c r="D32" s="10"/>
      <c r="E32" s="10"/>
      <c r="F32" s="16"/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4.25" customHeight="1">
      <c r="A33" s="8">
        <v>27.0</v>
      </c>
      <c r="B33" s="8"/>
      <c r="C33" s="10"/>
      <c r="D33" s="10"/>
      <c r="E33" s="10"/>
      <c r="F33" s="16"/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4.25" customHeight="1">
      <c r="A34" s="8">
        <v>28.0</v>
      </c>
      <c r="B34" s="8"/>
      <c r="C34" s="10"/>
      <c r="D34" s="10"/>
      <c r="E34" s="10"/>
      <c r="F34" s="16"/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4.25" customHeight="1">
      <c r="A35" s="8">
        <v>29.0</v>
      </c>
      <c r="B35" s="8"/>
      <c r="C35" s="10"/>
      <c r="D35" s="10"/>
      <c r="E35" s="10"/>
      <c r="F35" s="16"/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4.25" customHeight="1">
      <c r="A36" s="8">
        <v>30.0</v>
      </c>
      <c r="B36" s="8"/>
      <c r="C36" s="10"/>
      <c r="D36" s="10"/>
      <c r="E36" s="10"/>
      <c r="F36" s="16"/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4.25" customHeight="1">
      <c r="A37" s="8">
        <v>31.0</v>
      </c>
      <c r="B37" s="8"/>
      <c r="C37" s="10"/>
      <c r="D37" s="10"/>
      <c r="E37" s="10"/>
      <c r="F37" s="16"/>
      <c r="G37" s="12"/>
      <c r="H37" s="1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4.25" customHeight="1">
      <c r="A38" s="8">
        <v>32.0</v>
      </c>
      <c r="B38" s="8"/>
      <c r="C38" s="10"/>
      <c r="D38" s="10"/>
      <c r="E38" s="10"/>
      <c r="F38" s="16"/>
      <c r="G38" s="12"/>
      <c r="H38" s="1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4.25" customHeight="1">
      <c r="A39" s="8">
        <v>33.0</v>
      </c>
      <c r="B39" s="8"/>
      <c r="C39" s="10"/>
      <c r="D39" s="10"/>
      <c r="E39" s="10"/>
      <c r="F39" s="16"/>
      <c r="G39" s="12"/>
      <c r="H39" s="1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4.25" customHeight="1">
      <c r="A40" s="8">
        <v>34.0</v>
      </c>
      <c r="B40" s="8"/>
      <c r="C40" s="10"/>
      <c r="D40" s="10"/>
      <c r="E40" s="10"/>
      <c r="F40" s="16"/>
      <c r="G40" s="12"/>
      <c r="H40" s="1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4.25" customHeight="1">
      <c r="A41" s="8">
        <v>35.0</v>
      </c>
      <c r="B41" s="8"/>
      <c r="C41" s="10"/>
      <c r="D41" s="10"/>
      <c r="E41" s="10"/>
      <c r="F41" s="16"/>
      <c r="G41" s="12"/>
      <c r="H41" s="1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4.25" customHeight="1">
      <c r="A42" s="8">
        <v>36.0</v>
      </c>
      <c r="B42" s="8"/>
      <c r="C42" s="10"/>
      <c r="D42" s="10"/>
      <c r="E42" s="10"/>
      <c r="F42" s="16"/>
      <c r="G42" s="12"/>
      <c r="H42" s="1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4.25" customHeight="1">
      <c r="A43" s="8">
        <v>37.0</v>
      </c>
      <c r="B43" s="8"/>
      <c r="C43" s="10"/>
      <c r="D43" s="10"/>
      <c r="E43" s="10"/>
      <c r="F43" s="16"/>
      <c r="G43" s="12"/>
      <c r="H43" s="1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4.25" customHeight="1">
      <c r="A44" s="8">
        <v>38.0</v>
      </c>
      <c r="B44" s="8"/>
      <c r="C44" s="10"/>
      <c r="D44" s="10"/>
      <c r="E44" s="10"/>
      <c r="F44" s="16"/>
      <c r="G44" s="12"/>
      <c r="H44" s="1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4.25" customHeight="1">
      <c r="A45" s="8">
        <v>39.0</v>
      </c>
      <c r="B45" s="8"/>
      <c r="C45" s="10"/>
      <c r="D45" s="10"/>
      <c r="E45" s="10"/>
      <c r="F45" s="16"/>
      <c r="G45" s="12"/>
      <c r="H45" s="1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4.25" customHeight="1">
      <c r="A46" s="8">
        <v>40.0</v>
      </c>
      <c r="B46" s="8"/>
      <c r="C46" s="10"/>
      <c r="D46" s="10"/>
      <c r="E46" s="10"/>
      <c r="F46" s="16"/>
      <c r="G46" s="12"/>
      <c r="H46" s="1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4.25" customHeight="1">
      <c r="A47" s="8">
        <v>41.0</v>
      </c>
      <c r="B47" s="8"/>
      <c r="C47" s="10"/>
      <c r="D47" s="10"/>
      <c r="E47" s="10"/>
      <c r="F47" s="16"/>
      <c r="G47" s="12"/>
      <c r="H47" s="1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4.25" customHeight="1">
      <c r="A48" s="8">
        <v>42.0</v>
      </c>
      <c r="B48" s="8"/>
      <c r="C48" s="10"/>
      <c r="D48" s="10"/>
      <c r="E48" s="10"/>
      <c r="F48" s="16"/>
      <c r="G48" s="12"/>
      <c r="H48" s="1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4.25" customHeight="1">
      <c r="A49" s="8">
        <v>43.0</v>
      </c>
      <c r="B49" s="8"/>
      <c r="C49" s="10"/>
      <c r="D49" s="10"/>
      <c r="E49" s="10"/>
      <c r="F49" s="16"/>
      <c r="G49" s="12"/>
      <c r="H49" s="1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4.25" customHeight="1">
      <c r="A50" s="8">
        <v>44.0</v>
      </c>
      <c r="B50" s="8"/>
      <c r="C50" s="10"/>
      <c r="D50" s="10"/>
      <c r="E50" s="10"/>
      <c r="F50" s="16"/>
      <c r="G50" s="12"/>
      <c r="H50" s="1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4.25" customHeight="1">
      <c r="A51" s="8">
        <v>45.0</v>
      </c>
      <c r="B51" s="8"/>
      <c r="C51" s="10"/>
      <c r="D51" s="10"/>
      <c r="E51" s="10"/>
      <c r="F51" s="16"/>
      <c r="G51" s="12"/>
      <c r="H51" s="1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4.25" customHeight="1">
      <c r="A52" s="8">
        <v>46.0</v>
      </c>
      <c r="B52" s="8"/>
      <c r="C52" s="10"/>
      <c r="D52" s="10"/>
      <c r="E52" s="10"/>
      <c r="F52" s="16"/>
      <c r="G52" s="12"/>
      <c r="H52" s="1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4.25" customHeight="1">
      <c r="A53" s="8">
        <v>47.0</v>
      </c>
      <c r="B53" s="8"/>
      <c r="C53" s="10"/>
      <c r="D53" s="10"/>
      <c r="E53" s="10"/>
      <c r="F53" s="16"/>
      <c r="G53" s="12"/>
      <c r="H53" s="1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4.25" customHeight="1">
      <c r="A54" s="8">
        <v>48.0</v>
      </c>
      <c r="B54" s="8"/>
      <c r="C54" s="10"/>
      <c r="D54" s="10"/>
      <c r="E54" s="10"/>
      <c r="F54" s="16"/>
      <c r="G54" s="12"/>
      <c r="H54" s="1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4.25" customHeight="1">
      <c r="A55" s="8">
        <v>49.0</v>
      </c>
      <c r="B55" s="8"/>
      <c r="C55" s="10"/>
      <c r="D55" s="10"/>
      <c r="E55" s="10"/>
      <c r="F55" s="16"/>
      <c r="G55" s="12"/>
      <c r="H55" s="1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4.25" customHeight="1">
      <c r="A56" s="13">
        <v>50.0</v>
      </c>
      <c r="B56" s="8"/>
      <c r="C56" s="17"/>
      <c r="D56" s="10"/>
      <c r="E56" s="10"/>
      <c r="F56" s="16"/>
      <c r="G56" s="12"/>
      <c r="H56" s="1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4.25" customHeight="1">
      <c r="A57" s="8">
        <v>51.0</v>
      </c>
      <c r="B57" s="8"/>
      <c r="C57" s="10"/>
      <c r="D57" s="10"/>
      <c r="E57" s="10"/>
      <c r="F57" s="16"/>
      <c r="G57" s="12"/>
      <c r="H57" s="1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4.25" customHeight="1">
      <c r="A58" s="1"/>
      <c r="B58" s="3"/>
      <c r="C58" s="3"/>
      <c r="D58" s="3"/>
      <c r="E58" s="3"/>
      <c r="F58" s="3"/>
      <c r="G58" s="3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4.25" customHeight="1">
      <c r="A59" s="3"/>
      <c r="B59" s="3"/>
      <c r="C59" s="3"/>
      <c r="D59" s="3"/>
      <c r="E59" s="3"/>
      <c r="F59" s="3"/>
      <c r="G59" s="3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4.25" customHeight="1">
      <c r="A60" s="3"/>
      <c r="B60" s="3"/>
      <c r="C60" s="3"/>
      <c r="D60" s="3"/>
      <c r="E60" s="3"/>
      <c r="F60" s="3"/>
      <c r="G60" s="3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4.25" customHeight="1">
      <c r="A61" s="3"/>
      <c r="B61" s="3"/>
      <c r="C61" s="3"/>
      <c r="D61" s="3"/>
      <c r="E61" s="3"/>
      <c r="F61" s="3"/>
      <c r="G61" s="3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4.25" customHeight="1">
      <c r="A62" s="3"/>
      <c r="B62" s="3"/>
      <c r="C62" s="3"/>
      <c r="D62" s="3"/>
      <c r="E62" s="3"/>
      <c r="F62" s="3"/>
      <c r="G62" s="3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4.25" customHeight="1">
      <c r="A63" s="3"/>
      <c r="B63" s="3"/>
      <c r="C63" s="3"/>
      <c r="D63" s="3"/>
      <c r="E63" s="3"/>
      <c r="F63" s="3"/>
      <c r="G63" s="3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4.25" customHeight="1">
      <c r="A64" s="3"/>
      <c r="B64" s="3"/>
      <c r="C64" s="3"/>
      <c r="D64" s="3"/>
      <c r="E64" s="3"/>
      <c r="F64" s="3"/>
      <c r="G64" s="3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4.25" customHeight="1">
      <c r="A65" s="3"/>
      <c r="B65" s="3"/>
      <c r="C65" s="3"/>
      <c r="D65" s="3"/>
      <c r="E65" s="3"/>
      <c r="F65" s="3"/>
      <c r="G65" s="3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4.25" customHeight="1">
      <c r="A66" s="3"/>
      <c r="B66" s="3"/>
      <c r="C66" s="3"/>
      <c r="D66" s="3"/>
      <c r="E66" s="3"/>
      <c r="F66" s="3"/>
      <c r="G66" s="3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4.25" customHeight="1">
      <c r="A67" s="3"/>
      <c r="B67" s="3"/>
      <c r="C67" s="3"/>
      <c r="D67" s="3"/>
      <c r="E67" s="3"/>
      <c r="F67" s="3"/>
      <c r="G67" s="3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4.25" customHeight="1">
      <c r="A68" s="3"/>
      <c r="B68" s="3"/>
      <c r="C68" s="3"/>
      <c r="D68" s="3"/>
      <c r="E68" s="3"/>
      <c r="F68" s="3"/>
      <c r="G68" s="3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4.25" customHeight="1">
      <c r="A69" s="3"/>
      <c r="B69" s="3"/>
      <c r="C69" s="3"/>
      <c r="D69" s="3"/>
      <c r="E69" s="3"/>
      <c r="F69" s="3"/>
      <c r="G69" s="3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4.25" customHeight="1">
      <c r="A70" s="3"/>
      <c r="B70" s="3"/>
      <c r="C70" s="3"/>
      <c r="D70" s="3"/>
      <c r="E70" s="3"/>
      <c r="F70" s="3"/>
      <c r="G70" s="3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4.25" customHeight="1">
      <c r="A71" s="3"/>
      <c r="B71" s="3"/>
      <c r="C71" s="3"/>
      <c r="D71" s="3"/>
      <c r="E71" s="3"/>
      <c r="F71" s="3"/>
      <c r="G71" s="3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4.25" customHeight="1">
      <c r="A72" s="3"/>
      <c r="B72" s="3"/>
      <c r="C72" s="3"/>
      <c r="D72" s="3"/>
      <c r="E72" s="3"/>
      <c r="F72" s="3"/>
      <c r="G72" s="3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4.25" customHeight="1">
      <c r="A73" s="3"/>
      <c r="B73" s="3"/>
      <c r="C73" s="3"/>
      <c r="D73" s="3"/>
      <c r="E73" s="3"/>
      <c r="F73" s="3"/>
      <c r="G73" s="3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4.25" customHeight="1">
      <c r="A74" s="3"/>
      <c r="B74" s="3"/>
      <c r="C74" s="3"/>
      <c r="D74" s="3"/>
      <c r="E74" s="3"/>
      <c r="F74" s="3"/>
      <c r="G74" s="3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4.25" customHeight="1">
      <c r="A75" s="3"/>
      <c r="B75" s="3"/>
      <c r="C75" s="3"/>
      <c r="D75" s="3"/>
      <c r="E75" s="3"/>
      <c r="F75" s="3"/>
      <c r="G75" s="3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4.25" customHeight="1">
      <c r="A76" s="3"/>
      <c r="B76" s="3"/>
      <c r="C76" s="3"/>
      <c r="D76" s="3"/>
      <c r="E76" s="3"/>
      <c r="F76" s="3"/>
      <c r="G76" s="3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4.25" customHeight="1">
      <c r="A77" s="3"/>
      <c r="B77" s="3"/>
      <c r="C77" s="3"/>
      <c r="D77" s="3"/>
      <c r="E77" s="3"/>
      <c r="F77" s="3"/>
      <c r="G77" s="3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4.25" customHeight="1">
      <c r="A78" s="3"/>
      <c r="B78" s="3"/>
      <c r="C78" s="3"/>
      <c r="D78" s="3"/>
      <c r="E78" s="3"/>
      <c r="F78" s="3"/>
      <c r="G78" s="3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4.25" customHeight="1">
      <c r="A79" s="3"/>
      <c r="B79" s="3"/>
      <c r="C79" s="3"/>
      <c r="D79" s="3"/>
      <c r="E79" s="3"/>
      <c r="F79" s="3"/>
      <c r="G79" s="3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4.25" customHeight="1">
      <c r="A80" s="3"/>
      <c r="B80" s="3"/>
      <c r="C80" s="3"/>
      <c r="D80" s="3"/>
      <c r="E80" s="3"/>
      <c r="F80" s="3"/>
      <c r="G80" s="3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4.25" customHeight="1">
      <c r="A81" s="3"/>
      <c r="B81" s="3"/>
      <c r="C81" s="3"/>
      <c r="D81" s="3"/>
      <c r="E81" s="3"/>
      <c r="F81" s="3"/>
      <c r="G81" s="3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4.25" customHeight="1">
      <c r="A82" s="3"/>
      <c r="B82" s="3"/>
      <c r="C82" s="3"/>
      <c r="D82" s="3"/>
      <c r="E82" s="3"/>
      <c r="F82" s="3"/>
      <c r="G82" s="3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4.25" customHeight="1">
      <c r="A83" s="3"/>
      <c r="B83" s="3"/>
      <c r="C83" s="3"/>
      <c r="D83" s="3"/>
      <c r="E83" s="3"/>
      <c r="F83" s="3"/>
      <c r="G83" s="3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4.25" customHeight="1">
      <c r="A84" s="3"/>
      <c r="B84" s="3"/>
      <c r="C84" s="3"/>
      <c r="D84" s="3"/>
      <c r="E84" s="3"/>
      <c r="F84" s="3"/>
      <c r="G84" s="3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4.25" customHeight="1">
      <c r="A85" s="3"/>
      <c r="B85" s="3"/>
      <c r="C85" s="3"/>
      <c r="D85" s="3"/>
      <c r="E85" s="3"/>
      <c r="F85" s="3"/>
      <c r="G85" s="3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4.25" customHeight="1">
      <c r="A86" s="3"/>
      <c r="B86" s="3"/>
      <c r="C86" s="3"/>
      <c r="D86" s="3"/>
      <c r="E86" s="3"/>
      <c r="F86" s="3"/>
      <c r="G86" s="3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4.25" customHeight="1">
      <c r="A87" s="3"/>
      <c r="B87" s="3"/>
      <c r="C87" s="3"/>
      <c r="D87" s="3"/>
      <c r="E87" s="3"/>
      <c r="F87" s="3"/>
      <c r="G87" s="3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4.25" customHeight="1">
      <c r="A88" s="3"/>
      <c r="B88" s="3"/>
      <c r="C88" s="3"/>
      <c r="D88" s="3"/>
      <c r="E88" s="3"/>
      <c r="F88" s="3"/>
      <c r="G88" s="3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4.25" customHeight="1">
      <c r="A89" s="3"/>
      <c r="B89" s="3"/>
      <c r="C89" s="3"/>
      <c r="D89" s="3"/>
      <c r="E89" s="3"/>
      <c r="F89" s="3"/>
      <c r="G89" s="3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4.25" customHeight="1">
      <c r="A90" s="3"/>
      <c r="B90" s="3"/>
      <c r="C90" s="3"/>
      <c r="D90" s="3"/>
      <c r="E90" s="3"/>
      <c r="F90" s="3"/>
      <c r="G90" s="3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4.25" customHeight="1">
      <c r="A91" s="3"/>
      <c r="B91" s="3"/>
      <c r="C91" s="3"/>
      <c r="D91" s="3"/>
      <c r="E91" s="3"/>
      <c r="F91" s="3"/>
      <c r="G91" s="3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4.25" customHeight="1">
      <c r="A92" s="3"/>
      <c r="B92" s="3"/>
      <c r="C92" s="3"/>
      <c r="D92" s="3"/>
      <c r="E92" s="3"/>
      <c r="F92" s="3"/>
      <c r="G92" s="3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4.25" customHeight="1">
      <c r="A93" s="3"/>
      <c r="B93" s="3"/>
      <c r="C93" s="3"/>
      <c r="D93" s="3"/>
      <c r="E93" s="3"/>
      <c r="F93" s="3"/>
      <c r="G93" s="3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4.25" customHeight="1">
      <c r="A94" s="3"/>
      <c r="B94" s="3"/>
      <c r="C94" s="3"/>
      <c r="D94" s="3"/>
      <c r="E94" s="3"/>
      <c r="F94" s="3"/>
      <c r="G94" s="3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4.25" customHeight="1">
      <c r="A95" s="3"/>
      <c r="B95" s="3"/>
      <c r="C95" s="3"/>
      <c r="D95" s="3"/>
      <c r="E95" s="3"/>
      <c r="F95" s="3"/>
      <c r="G95" s="3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4.25" customHeight="1">
      <c r="A96" s="3"/>
      <c r="B96" s="3"/>
      <c r="C96" s="3"/>
      <c r="D96" s="3"/>
      <c r="E96" s="3"/>
      <c r="F96" s="3"/>
      <c r="G96" s="3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4.25" customHeight="1">
      <c r="A97" s="3"/>
      <c r="B97" s="3"/>
      <c r="C97" s="3"/>
      <c r="D97" s="3"/>
      <c r="E97" s="3"/>
      <c r="F97" s="3"/>
      <c r="G97" s="3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4.25" customHeight="1">
      <c r="A98" s="3"/>
      <c r="B98" s="3"/>
      <c r="C98" s="3"/>
      <c r="D98" s="3"/>
      <c r="E98" s="3"/>
      <c r="F98" s="3"/>
      <c r="G98" s="3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4.25" customHeight="1">
      <c r="A99" s="3"/>
      <c r="B99" s="3"/>
      <c r="C99" s="3"/>
      <c r="D99" s="3"/>
      <c r="E99" s="3"/>
      <c r="F99" s="3"/>
      <c r="G99" s="3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4.25" customHeight="1">
      <c r="A100" s="3"/>
      <c r="B100" s="3"/>
      <c r="C100" s="3"/>
      <c r="D100" s="3"/>
      <c r="E100" s="3"/>
      <c r="F100" s="3"/>
      <c r="G100" s="3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rintOptions/>
  <pageMargins bottom="0.3940944881889764" footer="0.0" header="0.0" left="0.0" right="0.0" top="0.3940944881889764"/>
  <pageSetup orientation="landscape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6" width="8.75"/>
    <col customWidth="1" min="7" max="26" width="14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940944881889764" footer="0.0" header="0.0" left="0.0" right="0.0" top="0.3940944881889764"/>
  <pageSetup orientation="landscape"/>
  <headerFooter>
    <oddHeader>&amp;C&amp;A</oddHeader>
    <oddFooter>&amp;CPagina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2007-03-22T10:13:25Z</dcterms:created>
  <dc:creator>studenti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