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drawings/drawing4.xml" ContentType="application/vnd.openxmlformats-officedocument.drawingml.chartshapes+xml"/>
  <Override PartName="/xl/charts/chart7.xml" ContentType="application/vnd.openxmlformats-officedocument.drawingml.chart+xml"/>
  <Override PartName="/xl/drawings/drawing5.xml" ContentType="application/vnd.openxmlformats-officedocument.drawingml.chartshapes+xml"/>
  <Override PartName="/xl/charts/chart8.xml" ContentType="application/vnd.openxmlformats-officedocument.drawingml.chart+xml"/>
  <Override PartName="/xl/drawings/drawing6.xml" ContentType="application/vnd.openxmlformats-officedocument.drawingml.chartshapes+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giang\Desktop\"/>
    </mc:Choice>
  </mc:AlternateContent>
  <xr:revisionPtr revIDLastSave="0" documentId="13_ncr:1_{3F0E53C6-6D27-4CCC-9BDC-C7F932FC80E7}" xr6:coauthVersionLast="47" xr6:coauthVersionMax="47" xr10:uidLastSave="{00000000-0000-0000-0000-000000000000}"/>
  <bookViews>
    <workbookView xWindow="-108" yWindow="-108" windowWidth="23256" windowHeight="12456" xr2:uid="{0842825B-D2B9-43E3-B709-9980BF65195B}"/>
  </bookViews>
  <sheets>
    <sheet name="DCF" sheetId="1" r:id="rId1"/>
    <sheet name="WACC" sheetId="9" r:id="rId2"/>
    <sheet name="Dashboard" sheetId="15" r:id="rId3"/>
    <sheet name="Pivot Table" sheetId="14" r:id="rId4"/>
    <sheet name="Table2" sheetId="12" r:id="rId5"/>
    <sheet name="Table" sheetId="11" r:id="rId6"/>
    <sheet name="Data" sheetId="3" r:id="rId7"/>
  </sheets>
  <definedNames>
    <definedName name="_xlcn.WorksheetConnection_Book3.xlsxTable10_1131" hidden="1">Table10_113[]</definedName>
    <definedName name="_xlcn.WorksheetConnection_Book3.xlsxTable13__21" hidden="1">Table13__2[]</definedName>
    <definedName name="_xlcn.WorksheetConnection_Book3.xlsxTable171" hidden="1">Table17[]</definedName>
    <definedName name="_xlcn.WorksheetConnection_Book3.xlsxTable2_11" hidden="1">Table2_1[]</definedName>
    <definedName name="_xlcn.WorksheetConnection_Book3.xlsxTable4_11" hidden="1">Table4_1[]</definedName>
    <definedName name="_xlcn.WorksheetConnection_Book3.xlsxTable6_11" hidden="1">Table6_1[]</definedName>
    <definedName name="_xlcn.WorksheetConnection_Book3.xlsxTable8_11" hidden="1">Table8_1[]</definedName>
    <definedName name="ExternalData_1" localSheetId="4" hidden="1">Table2!$A$1:$C$51</definedName>
    <definedName name="ExternalData_2" localSheetId="4" hidden="1">Table2!$F$1:$H$61</definedName>
    <definedName name="ExternalData_3" localSheetId="4" hidden="1">Table2!$K$1:$M$31</definedName>
    <definedName name="ExternalData_4" localSheetId="4" hidden="1">Table2!$P$1:$R$11</definedName>
    <definedName name="ExternalData_5" localSheetId="4" hidden="1">Table2!$T$1:$V$21</definedName>
    <definedName name="ExternalData_6" localSheetId="4" hidden="1">Table2!#REF!</definedName>
    <definedName name="ExternalData_7" localSheetId="5" hidden="1">Table!#REF!</definedName>
    <definedName name="ExternalData_7" localSheetId="4" hidden="1">Table2!$P$14:$P$30</definedName>
    <definedName name="ExternalData_8" localSheetId="4" hidden="1">Table2!$Z$1:$AB$81</definedName>
    <definedName name="Slicer_Data_per_Share">#N/A</definedName>
    <definedName name="Slicer_Free_Cash_Flows">#N/A</definedName>
    <definedName name="Slicer_Year">#N/A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pivotCache cacheId="11" r:id="rId19"/>
        <pivotCache cacheId="12"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_1" name="Balance" connection="WorksheetConnection_Book3.xlsx!Table8_1"/>
          <x15:modelTable id="Table6_1" name="Share" connection="WorksheetConnection_Book3.xlsx!Table6_1"/>
          <x15:modelTable id="Table4_1" name="Ratio" connection="WorksheetConnection_Book3.xlsx!Table4_1"/>
          <x15:modelTable id="Table2_1" name="Income Statement" connection="WorksheetConnection_Book3.xlsx!Table2_1"/>
          <x15:modelTable id="Table17" name="Year" connection="WorksheetConnection_Book3.xlsx!Table17"/>
          <x15:modelTable id="Table13__2" name="FCF" connection="WorksheetConnection_Book3.xlsx!Table13__2"/>
          <x15:modelTable id="Table10_113" name="Accounts" connection="WorksheetConnection_Book3.xlsx!Table10_113"/>
        </x15:modelTables>
        <x15:modelRelationships>
          <x15:modelRelationship fromTable="Income Statement" fromColumn="Year" toTable="Year" toColumn="Year"/>
          <x15:modelRelationship fromTable="Ratio" fromColumn="Year" toTable="Year" toColumn="Year"/>
          <x15:modelRelationship fromTable="Share" fromColumn="Year" toTable="Year" toColumn="Year"/>
          <x15:modelRelationship fromTable="Balance" fromColumn="Year" toTable="Year" toColumn="Year"/>
          <x15:modelRelationship fromTable="Accounts" fromColumn="Year" toTable="Year" toColumn="Year"/>
          <x15:modelRelationship fromTable="FCF" fromColumn="Year" toTable="Year"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 l="1"/>
  <c r="N46" i="1" l="1"/>
  <c r="G5" i="1"/>
  <c r="K5" i="9"/>
  <c r="N19" i="1"/>
  <c r="J5" i="9"/>
  <c r="I5" i="9"/>
  <c r="H5" i="9"/>
  <c r="G5" i="9"/>
  <c r="F5" i="9"/>
  <c r="E5" i="9"/>
  <c r="D5" i="9"/>
  <c r="B20" i="9" s="1"/>
  <c r="C5" i="9"/>
  <c r="B5" i="9"/>
  <c r="M19" i="1"/>
  <c r="L19" i="1"/>
  <c r="K19" i="1"/>
  <c r="J19" i="1"/>
  <c r="I19" i="1"/>
  <c r="H19" i="1"/>
  <c r="G19" i="1"/>
  <c r="F19" i="1"/>
  <c r="E19" i="1"/>
  <c r="E63" i="1" l="1"/>
  <c r="N63" i="1" l="1"/>
  <c r="M63" i="1"/>
  <c r="L63" i="1"/>
  <c r="K63" i="1"/>
  <c r="J63" i="1"/>
  <c r="I63" i="1"/>
  <c r="H63" i="1"/>
  <c r="G63" i="1"/>
  <c r="F63" i="1"/>
  <c r="F56" i="1"/>
  <c r="G56" i="1" s="1"/>
  <c r="I56" i="1"/>
  <c r="J56" i="1" s="1"/>
  <c r="K56" i="1" s="1"/>
  <c r="L56" i="1" s="1"/>
  <c r="M56" i="1" s="1"/>
  <c r="N56" i="1" l="1"/>
  <c r="N49" i="1"/>
  <c r="M49" i="1"/>
  <c r="L49" i="1"/>
  <c r="K49" i="1"/>
  <c r="J49" i="1"/>
  <c r="I49" i="1"/>
  <c r="H49" i="1"/>
  <c r="G49" i="1"/>
  <c r="F49" i="1"/>
  <c r="E49" i="1"/>
  <c r="N48" i="1"/>
  <c r="M48" i="1"/>
  <c r="L48" i="1"/>
  <c r="K48" i="1"/>
  <c r="J48" i="1"/>
  <c r="I48" i="1"/>
  <c r="H48" i="1"/>
  <c r="G48" i="1"/>
  <c r="F48" i="1"/>
  <c r="E48" i="1"/>
  <c r="N47" i="1"/>
  <c r="M47" i="1"/>
  <c r="L47" i="1"/>
  <c r="K47" i="1"/>
  <c r="J47" i="1"/>
  <c r="I47" i="1"/>
  <c r="H47" i="1"/>
  <c r="G47" i="1"/>
  <c r="F47" i="1"/>
  <c r="E47" i="1"/>
  <c r="M46" i="1"/>
  <c r="L46" i="1"/>
  <c r="K46" i="1"/>
  <c r="J46" i="1"/>
  <c r="I46" i="1"/>
  <c r="H46" i="1"/>
  <c r="G46" i="1"/>
  <c r="F46" i="1"/>
  <c r="E46" i="1"/>
  <c r="I45" i="1"/>
  <c r="J45" i="1" s="1"/>
  <c r="K45" i="1" s="1"/>
  <c r="L45" i="1" s="1"/>
  <c r="M45" i="1" s="1"/>
  <c r="N45" i="1" s="1"/>
  <c r="O45" i="1" s="1"/>
  <c r="P45" i="1" s="1"/>
  <c r="Q45" i="1" s="1"/>
  <c r="R45" i="1" s="1"/>
  <c r="S45" i="1" s="1"/>
  <c r="F45" i="1"/>
  <c r="G45" i="1" s="1"/>
  <c r="N31" i="1"/>
  <c r="M31" i="1"/>
  <c r="L31" i="1"/>
  <c r="K31" i="1"/>
  <c r="J31" i="1"/>
  <c r="I31" i="1"/>
  <c r="H31" i="1"/>
  <c r="G31" i="1"/>
  <c r="F31" i="1"/>
  <c r="E31" i="1"/>
  <c r="N28" i="1"/>
  <c r="M28" i="1"/>
  <c r="L28" i="1"/>
  <c r="K28" i="1"/>
  <c r="J28" i="1"/>
  <c r="I28" i="1"/>
  <c r="H28" i="1"/>
  <c r="G28" i="1"/>
  <c r="F28" i="1"/>
  <c r="E28" i="1"/>
  <c r="N25" i="1"/>
  <c r="M25" i="1"/>
  <c r="L25" i="1"/>
  <c r="K25" i="1"/>
  <c r="J25" i="1"/>
  <c r="I25" i="1"/>
  <c r="H25" i="1"/>
  <c r="G25" i="1"/>
  <c r="F25" i="1"/>
  <c r="E25" i="1"/>
  <c r="F23" i="1"/>
  <c r="E16" i="1"/>
  <c r="N16" i="1"/>
  <c r="M16" i="1"/>
  <c r="L16" i="1"/>
  <c r="K16" i="1"/>
  <c r="J16" i="1"/>
  <c r="I16" i="1"/>
  <c r="H16" i="1"/>
  <c r="G16" i="1"/>
  <c r="F16" i="1"/>
  <c r="H151" i="14"/>
  <c r="J151" i="14" s="1"/>
  <c r="L151" i="14" s="1"/>
  <c r="H152" i="14"/>
  <c r="J152" i="14" s="1"/>
  <c r="L152" i="14" s="1"/>
  <c r="H153" i="14"/>
  <c r="J153" i="14" s="1"/>
  <c r="L153" i="14" s="1"/>
  <c r="H154" i="14"/>
  <c r="J154" i="14" s="1"/>
  <c r="L154" i="14" s="1"/>
  <c r="H155" i="14"/>
  <c r="J155" i="14" s="1"/>
  <c r="L155" i="14" s="1"/>
  <c r="H156" i="14"/>
  <c r="J156" i="14" s="1"/>
  <c r="L156" i="14" s="1"/>
  <c r="H157" i="14"/>
  <c r="J157" i="14" s="1"/>
  <c r="L157" i="14" s="1"/>
  <c r="H158" i="14"/>
  <c r="J158" i="14" s="1"/>
  <c r="L158" i="14" s="1"/>
  <c r="H159" i="14"/>
  <c r="J159" i="14" s="1"/>
  <c r="L159" i="14" s="1"/>
  <c r="H160" i="14"/>
  <c r="K160" i="14" s="1"/>
  <c r="H161" i="14"/>
  <c r="K161" i="14" s="1"/>
  <c r="L161" i="14" s="1"/>
  <c r="H162" i="14"/>
  <c r="K162" i="14" s="1"/>
  <c r="L162" i="14" s="1"/>
  <c r="H163" i="14"/>
  <c r="K163" i="14" s="1"/>
  <c r="L163" i="14" s="1"/>
  <c r="H164" i="14"/>
  <c r="K164" i="14" s="1"/>
  <c r="L164" i="14" s="1"/>
  <c r="H165" i="14"/>
  <c r="K165" i="14" s="1"/>
  <c r="L165" i="14" s="1"/>
  <c r="H150" i="14"/>
  <c r="H98" i="14"/>
  <c r="H99" i="14"/>
  <c r="H100" i="14"/>
  <c r="H101" i="14"/>
  <c r="H102" i="14"/>
  <c r="H103" i="14"/>
  <c r="H104" i="14"/>
  <c r="H105" i="14"/>
  <c r="H106" i="14"/>
  <c r="H97" i="14"/>
  <c r="G98" i="14"/>
  <c r="G99" i="14"/>
  <c r="G100" i="14"/>
  <c r="G101" i="14"/>
  <c r="G102" i="14"/>
  <c r="G103" i="14"/>
  <c r="G104" i="14"/>
  <c r="G105" i="14"/>
  <c r="G106" i="14"/>
  <c r="G97" i="14"/>
  <c r="F98" i="14"/>
  <c r="F99" i="14"/>
  <c r="F100" i="14"/>
  <c r="F101" i="14"/>
  <c r="F102" i="14"/>
  <c r="F103" i="14"/>
  <c r="F104" i="14"/>
  <c r="F105" i="14"/>
  <c r="F106" i="14"/>
  <c r="F97" i="14"/>
  <c r="E98" i="14"/>
  <c r="E99" i="14"/>
  <c r="E100" i="14"/>
  <c r="E101" i="14"/>
  <c r="E102" i="14"/>
  <c r="E103" i="14"/>
  <c r="E104" i="14"/>
  <c r="E105" i="14"/>
  <c r="E106" i="14"/>
  <c r="E97" i="14"/>
  <c r="M80" i="14"/>
  <c r="J80" i="14"/>
  <c r="K80" i="14"/>
  <c r="L80" i="14"/>
  <c r="N80" i="14"/>
  <c r="J79" i="14"/>
  <c r="K79" i="14"/>
  <c r="L79" i="14"/>
  <c r="M79" i="14"/>
  <c r="N79" i="14"/>
  <c r="I79" i="14"/>
  <c r="I80" i="14"/>
  <c r="E51" i="14"/>
  <c r="F51" i="14" s="1"/>
  <c r="E52" i="14"/>
  <c r="F52" i="14" s="1"/>
  <c r="E53" i="14"/>
  <c r="F53" i="14" s="1"/>
  <c r="E54" i="14"/>
  <c r="F54" i="14" s="1"/>
  <c r="E55" i="14"/>
  <c r="F55" i="14" s="1"/>
  <c r="E56" i="14"/>
  <c r="F56" i="14" s="1"/>
  <c r="E57" i="14"/>
  <c r="F57" i="14" s="1"/>
  <c r="E58" i="14"/>
  <c r="F58" i="14" s="1"/>
  <c r="E59" i="14"/>
  <c r="F59" i="14" s="1"/>
  <c r="E50" i="14"/>
  <c r="F50" i="14" s="1"/>
  <c r="F34" i="14"/>
  <c r="E35" i="14"/>
  <c r="F35" i="14" s="1"/>
  <c r="E36" i="14"/>
  <c r="F36" i="14" s="1"/>
  <c r="E37" i="14"/>
  <c r="F37" i="14" s="1"/>
  <c r="E38" i="14"/>
  <c r="F38" i="14" s="1"/>
  <c r="E39" i="14"/>
  <c r="F39" i="14" s="1"/>
  <c r="E40" i="14"/>
  <c r="F40" i="14" s="1"/>
  <c r="E41" i="14"/>
  <c r="F41" i="14" s="1"/>
  <c r="E42" i="14"/>
  <c r="F42" i="14" s="1"/>
  <c r="E43" i="14"/>
  <c r="F43" i="14" s="1"/>
  <c r="E34" i="14"/>
  <c r="D35" i="14"/>
  <c r="D36" i="14"/>
  <c r="D37" i="14"/>
  <c r="D38" i="14"/>
  <c r="D39" i="14"/>
  <c r="D40" i="14"/>
  <c r="D41" i="14"/>
  <c r="D42" i="14"/>
  <c r="D43" i="14"/>
  <c r="D34" i="14"/>
  <c r="C48" i="11"/>
  <c r="D48" i="11"/>
  <c r="E48" i="11"/>
  <c r="F48" i="11"/>
  <c r="G48" i="11"/>
  <c r="H48" i="11"/>
  <c r="I48" i="11"/>
  <c r="J48" i="11"/>
  <c r="K48" i="11"/>
  <c r="B48" i="11"/>
  <c r="B47" i="11"/>
  <c r="C47" i="11"/>
  <c r="D47" i="11"/>
  <c r="E47" i="11"/>
  <c r="F47" i="11"/>
  <c r="G47" i="11"/>
  <c r="H47" i="11"/>
  <c r="I47" i="11"/>
  <c r="J47" i="11"/>
  <c r="K47" i="11"/>
  <c r="C109" i="3"/>
  <c r="D109" i="3"/>
  <c r="E109" i="3"/>
  <c r="F109" i="3"/>
  <c r="G109" i="3"/>
  <c r="H109" i="3"/>
  <c r="I109" i="3"/>
  <c r="J109" i="3"/>
  <c r="K109" i="3"/>
  <c r="B109" i="3"/>
  <c r="L111" i="3"/>
  <c r="C111" i="3"/>
  <c r="D111" i="3"/>
  <c r="E111" i="3"/>
  <c r="F111" i="3"/>
  <c r="G111" i="3"/>
  <c r="H111" i="3"/>
  <c r="I111" i="3"/>
  <c r="J111" i="3"/>
  <c r="K111" i="3"/>
  <c r="B111" i="3"/>
  <c r="O47" i="1"/>
  <c r="O48" i="1"/>
  <c r="O49" i="1"/>
  <c r="O46" i="1"/>
  <c r="P46" i="1"/>
  <c r="Q46" i="1"/>
  <c r="R46" i="1"/>
  <c r="S46" i="1"/>
  <c r="T46" i="1"/>
  <c r="P47" i="1"/>
  <c r="P48" i="1"/>
  <c r="P49" i="1"/>
  <c r="Q47" i="1"/>
  <c r="R47" i="1"/>
  <c r="S47" i="1"/>
  <c r="T47" i="1"/>
  <c r="Q48" i="1"/>
  <c r="R48" i="1"/>
  <c r="S48" i="1"/>
  <c r="T48" i="1"/>
  <c r="Q49" i="1"/>
  <c r="R49" i="1"/>
  <c r="S49" i="1"/>
  <c r="T49" i="1"/>
  <c r="O56" i="1" l="1"/>
  <c r="G23" i="1"/>
  <c r="I50" i="1"/>
  <c r="C67" i="1"/>
  <c r="C68" i="1"/>
  <c r="E50" i="1"/>
  <c r="O50" i="1"/>
  <c r="K50" i="1"/>
  <c r="J50" i="1"/>
  <c r="L50" i="1"/>
  <c r="T50" i="1"/>
  <c r="T53" i="1" s="1"/>
  <c r="S50" i="1"/>
  <c r="R50" i="1"/>
  <c r="Q50" i="1"/>
  <c r="P50" i="1"/>
  <c r="G50" i="1"/>
  <c r="H50" i="1"/>
  <c r="M50" i="1"/>
  <c r="N50" i="1"/>
  <c r="F50" i="1"/>
  <c r="F34" i="1"/>
  <c r="L34" i="1"/>
  <c r="G34" i="1"/>
  <c r="K34" i="1"/>
  <c r="I34" i="1"/>
  <c r="N34" i="1"/>
  <c r="J34" i="1"/>
  <c r="E34" i="1"/>
  <c r="M34" i="1"/>
  <c r="H34" i="1"/>
  <c r="J160" i="14"/>
  <c r="L160" i="14" s="1"/>
  <c r="J150" i="14"/>
  <c r="L150" i="14" s="1"/>
  <c r="M23" i="3"/>
  <c r="G80" i="3"/>
  <c r="B80" i="3"/>
  <c r="C80" i="3"/>
  <c r="D80" i="3"/>
  <c r="E80" i="3"/>
  <c r="F80" i="3"/>
  <c r="H80" i="3"/>
  <c r="I80" i="3"/>
  <c r="J80" i="3"/>
  <c r="L80" i="3"/>
  <c r="L66" i="3" s="1"/>
  <c r="K80" i="3"/>
  <c r="K66" i="3"/>
  <c r="K81" i="3"/>
  <c r="K103" i="3"/>
  <c r="D81" i="3"/>
  <c r="E66" i="3"/>
  <c r="F66" i="3"/>
  <c r="B66" i="3"/>
  <c r="H66" i="3"/>
  <c r="G103" i="3"/>
  <c r="J66" i="3"/>
  <c r="B103" i="3"/>
  <c r="E103" i="3"/>
  <c r="F103" i="3"/>
  <c r="H103" i="3"/>
  <c r="I103" i="3"/>
  <c r="J103" i="3"/>
  <c r="D103" i="3"/>
  <c r="C103" i="3"/>
  <c r="C98" i="3"/>
  <c r="D98" i="3"/>
  <c r="E98" i="3"/>
  <c r="F98" i="3"/>
  <c r="G98" i="3"/>
  <c r="H98" i="3"/>
  <c r="I98" i="3"/>
  <c r="J98" i="3"/>
  <c r="B98" i="3"/>
  <c r="K33" i="9"/>
  <c r="J33" i="9"/>
  <c r="I33" i="9"/>
  <c r="H33" i="9"/>
  <c r="G33" i="9"/>
  <c r="F33" i="9"/>
  <c r="E33" i="9"/>
  <c r="D33" i="9"/>
  <c r="C33" i="9"/>
  <c r="B33" i="9"/>
  <c r="C25" i="9"/>
  <c r="D40" i="1" s="1"/>
  <c r="C24" i="9"/>
  <c r="D41" i="1" s="1"/>
  <c r="B25" i="9"/>
  <c r="C40" i="1" s="1"/>
  <c r="B24" i="9"/>
  <c r="C41" i="1" s="1"/>
  <c r="C18" i="9"/>
  <c r="D39" i="1" s="1"/>
  <c r="B18" i="9"/>
  <c r="C39" i="1" s="1"/>
  <c r="K70" i="3"/>
  <c r="C70" i="3"/>
  <c r="D70" i="3"/>
  <c r="E70" i="3"/>
  <c r="F70" i="3"/>
  <c r="G70" i="3"/>
  <c r="H70" i="3"/>
  <c r="I70" i="3"/>
  <c r="J70" i="3"/>
  <c r="B70" i="3"/>
  <c r="C94" i="3"/>
  <c r="D94" i="3"/>
  <c r="E94" i="3"/>
  <c r="F94" i="3"/>
  <c r="G94" i="3"/>
  <c r="H94" i="3"/>
  <c r="I94" i="3"/>
  <c r="J94" i="3"/>
  <c r="K94" i="3"/>
  <c r="B94" i="3"/>
  <c r="B84" i="3"/>
  <c r="C84" i="3"/>
  <c r="D84" i="3"/>
  <c r="E84" i="3"/>
  <c r="F84" i="3"/>
  <c r="G84" i="3"/>
  <c r="H84" i="3"/>
  <c r="I84" i="3"/>
  <c r="J84" i="3"/>
  <c r="K84" i="3"/>
  <c r="C2" i="9"/>
  <c r="D2" i="9" s="1"/>
  <c r="E2" i="9" s="1"/>
  <c r="F2" i="9" s="1"/>
  <c r="G2" i="9" s="1"/>
  <c r="H2" i="9" s="1"/>
  <c r="I2" i="9" s="1"/>
  <c r="J2" i="9" s="1"/>
  <c r="K2" i="9" s="1"/>
  <c r="N13" i="1"/>
  <c r="M13" i="1"/>
  <c r="L13" i="1"/>
  <c r="K13" i="1"/>
  <c r="J13" i="1"/>
  <c r="I13" i="1"/>
  <c r="H13" i="1"/>
  <c r="G13" i="1"/>
  <c r="F13" i="1"/>
  <c r="E13" i="1"/>
  <c r="O63" i="1"/>
  <c r="P56" i="1" l="1"/>
  <c r="H23" i="1"/>
  <c r="J32" i="1"/>
  <c r="M32" i="1"/>
  <c r="N26" i="1"/>
  <c r="E32" i="1"/>
  <c r="G32" i="1"/>
  <c r="H26" i="1"/>
  <c r="L32" i="1"/>
  <c r="G26" i="1"/>
  <c r="K32" i="1"/>
  <c r="F32" i="1"/>
  <c r="I32" i="1"/>
  <c r="H32" i="1"/>
  <c r="I26" i="1"/>
  <c r="N29" i="1"/>
  <c r="N32" i="1"/>
  <c r="K26" i="1"/>
  <c r="J29" i="1"/>
  <c r="J26" i="1"/>
  <c r="F26" i="1"/>
  <c r="E26" i="1"/>
  <c r="E29" i="1"/>
  <c r="G29" i="1"/>
  <c r="H29" i="1"/>
  <c r="L26" i="1"/>
  <c r="M29" i="1"/>
  <c r="M26" i="1"/>
  <c r="L29" i="1"/>
  <c r="I29" i="1"/>
  <c r="F29" i="1"/>
  <c r="K29" i="1"/>
  <c r="I17" i="1"/>
  <c r="E17" i="1"/>
  <c r="F17" i="1"/>
  <c r="H17" i="1"/>
  <c r="N17" i="1"/>
  <c r="J17" i="1"/>
  <c r="K17" i="1"/>
  <c r="M17" i="1"/>
  <c r="L17" i="1"/>
  <c r="G17" i="1"/>
  <c r="N14" i="1"/>
  <c r="E81" i="3"/>
  <c r="D66" i="3"/>
  <c r="G81" i="3"/>
  <c r="I81" i="3"/>
  <c r="C81" i="3"/>
  <c r="J81" i="3"/>
  <c r="I66" i="3"/>
  <c r="H81" i="3"/>
  <c r="C66" i="3"/>
  <c r="B81" i="3"/>
  <c r="G66" i="3"/>
  <c r="F81" i="3"/>
  <c r="H14" i="1"/>
  <c r="G14" i="1"/>
  <c r="J14" i="1"/>
  <c r="I14" i="1"/>
  <c r="M14" i="1"/>
  <c r="F14" i="1"/>
  <c r="L14" i="1"/>
  <c r="K14" i="1"/>
  <c r="F12" i="1"/>
  <c r="P63" i="1"/>
  <c r="Q56" i="1" l="1"/>
  <c r="I23" i="1"/>
  <c r="G12" i="1"/>
  <c r="Q63" i="1"/>
  <c r="R56" i="1" l="1"/>
  <c r="J23" i="1"/>
  <c r="B26" i="9"/>
  <c r="C20" i="9"/>
  <c r="C26" i="9" s="1"/>
  <c r="H12" i="1"/>
  <c r="R63" i="1"/>
  <c r="S56" i="1" l="1"/>
  <c r="K23" i="1"/>
  <c r="B28" i="9"/>
  <c r="I12" i="1"/>
  <c r="S63" i="1"/>
  <c r="T63" i="1"/>
  <c r="C70" i="1" l="1"/>
  <c r="L23" i="1"/>
  <c r="C43" i="1"/>
  <c r="C8" i="1" s="1"/>
  <c r="J12" i="1"/>
  <c r="M23" i="1" l="1"/>
  <c r="O57" i="1"/>
  <c r="Q57" i="1"/>
  <c r="P57" i="1"/>
  <c r="R57" i="1"/>
  <c r="S57" i="1"/>
  <c r="T57" i="1"/>
  <c r="K12" i="1"/>
  <c r="N23" i="1" l="1"/>
  <c r="L12" i="1"/>
  <c r="O23" i="1" l="1"/>
  <c r="M12" i="1"/>
  <c r="O31" i="1"/>
  <c r="O28" i="1"/>
  <c r="O25" i="1"/>
  <c r="P23" i="1" l="1"/>
  <c r="N12" i="1"/>
  <c r="P28" i="1"/>
  <c r="P31" i="1"/>
  <c r="P25" i="1"/>
  <c r="Q23" i="1" l="1"/>
  <c r="O12" i="1"/>
  <c r="O19" i="1"/>
  <c r="Q31" i="1"/>
  <c r="Q28" i="1"/>
  <c r="Q25" i="1"/>
  <c r="O16" i="1"/>
  <c r="O21" i="1" l="1"/>
  <c r="R23" i="1"/>
  <c r="O34" i="1"/>
  <c r="O35" i="1" s="1"/>
  <c r="P12" i="1"/>
  <c r="P19" i="1"/>
  <c r="R28" i="1"/>
  <c r="R31" i="1"/>
  <c r="R25" i="1"/>
  <c r="O13" i="1"/>
  <c r="P13" i="1"/>
  <c r="S23" i="1" l="1"/>
  <c r="O58" i="1"/>
  <c r="O17" i="1"/>
  <c r="O32" i="1"/>
  <c r="O14" i="1"/>
  <c r="O29" i="1"/>
  <c r="O26" i="1"/>
  <c r="P32" i="1"/>
  <c r="P29" i="1"/>
  <c r="P26" i="1"/>
  <c r="P14" i="1"/>
  <c r="Q12" i="1"/>
  <c r="Q19" i="1"/>
  <c r="S31" i="1"/>
  <c r="T31" i="1"/>
  <c r="S28" i="1"/>
  <c r="T28" i="1" s="1"/>
  <c r="S25" i="1"/>
  <c r="T25" i="1" s="1"/>
  <c r="P16" i="1"/>
  <c r="Q13" i="1"/>
  <c r="P34" i="1" l="1"/>
  <c r="P35" i="1" s="1"/>
  <c r="P21" i="1"/>
  <c r="P17" i="1"/>
  <c r="Q32" i="1"/>
  <c r="Q29" i="1"/>
  <c r="Q26" i="1"/>
  <c r="Q14" i="1"/>
  <c r="R12" i="1"/>
  <c r="R19" i="1"/>
  <c r="Q16" i="1"/>
  <c r="R13" i="1"/>
  <c r="P58" i="1" l="1"/>
  <c r="Q34" i="1"/>
  <c r="Q21" i="1"/>
  <c r="Q17" i="1"/>
  <c r="R32" i="1"/>
  <c r="R29" i="1"/>
  <c r="R26" i="1"/>
  <c r="R14" i="1"/>
  <c r="S12" i="1"/>
  <c r="S19" i="1"/>
  <c r="T19" i="1" s="1"/>
  <c r="R16" i="1"/>
  <c r="S16" i="1"/>
  <c r="T16" i="1"/>
  <c r="Q58" i="1" l="1"/>
  <c r="R34" i="1"/>
  <c r="R21" i="1"/>
  <c r="R17" i="1"/>
  <c r="Q35" i="1"/>
  <c r="T34" i="1"/>
  <c r="T52" i="1" s="1"/>
  <c r="E54" i="1" s="1"/>
  <c r="S34" i="1"/>
  <c r="T21" i="1"/>
  <c r="S21" i="1"/>
  <c r="S13" i="1"/>
  <c r="T13" i="1"/>
  <c r="S58" i="1" l="1"/>
  <c r="T58" i="1"/>
  <c r="R58" i="1"/>
  <c r="T59" i="1"/>
  <c r="S29" i="1"/>
  <c r="S26" i="1"/>
  <c r="S17" i="1"/>
  <c r="S14" i="1"/>
  <c r="S32" i="1"/>
  <c r="S35" i="1"/>
  <c r="T35" i="1"/>
  <c r="R35" i="1"/>
  <c r="T32" i="1"/>
  <c r="T29" i="1"/>
  <c r="T26" i="1"/>
  <c r="T14" i="1"/>
  <c r="T17" i="1"/>
  <c r="C61" i="1" l="1"/>
  <c r="C66" i="1" s="1"/>
  <c r="C69" i="1" s="1"/>
  <c r="C71" i="1" s="1"/>
  <c r="G4" i="1" s="1"/>
  <c r="K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EDA3F6-2070-45C2-B794-661E5BFE39CB}" keepAlive="1" name="Query - Table10" description="Connection to the 'Table10' query in the workbook." type="5" refreshedVersion="0" background="1" saveData="1">
    <dbPr connection="Provider=Microsoft.Mashup.OleDb.1;Data Source=$Workbook$;Location=Table10;Extended Properties=&quot;&quot;" command="SELECT * FROM [Table10]"/>
  </connection>
  <connection id="2" xr16:uid="{A8C430FD-1F13-4DF2-ADAA-03C8ADCB628E}" keepAlive="1" name="Query - Table10 (2)" description="Connection to the 'Table10 (2)' query in the workbook." type="5" refreshedVersion="8" background="1" saveData="1">
    <dbPr connection="Provider=Microsoft.Mashup.OleDb.1;Data Source=$Workbook$;Location=&quot;Table10 (2)&quot;;Extended Properties=&quot;&quot;" command="SELECT * FROM [Table10 (2)]"/>
  </connection>
  <connection id="3" xr16:uid="{A3BF0B3D-2C89-4749-B468-AC3E706B6835}" keepAlive="1" name="Query - Table13" description="Connection to the 'Table13' query in the workbook." type="5" refreshedVersion="0" background="1" saveData="1">
    <dbPr connection="Provider=Microsoft.Mashup.OleDb.1;Data Source=$Workbook$;Location=Table13;Extended Properties=&quot;&quot;" command="SELECT * FROM [Table13]"/>
  </connection>
  <connection id="4" xr16:uid="{A324C46A-1313-40B7-A788-E9F20E0F4173}" keepAlive="1" name="Query - Table13 (2)" description="Connection to the 'Table13 (2)' query in the workbook." type="5" refreshedVersion="8" background="1" saveData="1">
    <dbPr connection="Provider=Microsoft.Mashup.OleDb.1;Data Source=$Workbook$;Location=&quot;Table13 (2)&quot;;Extended Properties=&quot;&quot;" command="SELECT * FROM [Table13 (2)]"/>
  </connection>
  <connection id="5" xr16:uid="{F513A28C-666B-4C54-BEB4-B6B06AC7A0A3}" keepAlive="1" name="Query - Table17" description="Connection to the 'Table17' query in the workbook." type="5" refreshedVersion="0" background="1">
    <dbPr connection="Provider=Microsoft.Mashup.OleDb.1;Data Source=$Workbook$;Location=Table17;Extended Properties=&quot;&quot;" command="SELECT * FROM [Table17]"/>
  </connection>
  <connection id="6" xr16:uid="{D5BD2B40-5034-4160-BD51-FE457B0C58DD}" keepAlive="1" name="Query - Table17 (2)" description="Connection to the 'Table17 (2)' query in the workbook." type="5" refreshedVersion="8" background="1" saveData="1">
    <dbPr connection="Provider=Microsoft.Mashup.OleDb.1;Data Source=$Workbook$;Location=&quot;Table17 (2)&quot;;Extended Properties=&quot;&quot;" command="SELECT * FROM [Table17 (2)]"/>
  </connection>
  <connection id="7" xr16:uid="{5CDEE18F-6202-42F1-BE11-7ED2F045F7AF}"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8" xr16:uid="{9D519692-A781-4284-872B-FA2D12AD97E7}"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9" xr16:uid="{4D984FD0-00EB-43CC-A491-E7F11BB61C15}"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 id="10" xr16:uid="{11EDC1A0-0D46-4528-9EB2-3D6BEBD358CA}" keepAlive="1" name="Query - Table8" description="Connection to the 'Table8' query in the workbook." type="5" refreshedVersion="8" background="1" saveData="1">
    <dbPr connection="Provider=Microsoft.Mashup.OleDb.1;Data Source=$Workbook$;Location=Table8;Extended Properties=&quot;&quot;" command="SELECT * FROM [Table8]"/>
  </connection>
  <connection id="11" xr16:uid="{DA0DE76E-9541-42CC-90E1-A8DEF1E779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87C3CFB6-3DFA-4F93-BAD1-AABE1DA42519}" name="WorksheetConnection_Book3.xlsx!Table10_113" type="102" refreshedVersion="8" minRefreshableVersion="5">
    <extLst>
      <ext xmlns:x15="http://schemas.microsoft.com/office/spreadsheetml/2010/11/main" uri="{DE250136-89BD-433C-8126-D09CA5730AF9}">
        <x15:connection id="Table10_113">
          <x15:rangePr sourceName="_xlcn.WorksheetConnection_Book3.xlsxTable10_1131"/>
        </x15:connection>
      </ext>
    </extLst>
  </connection>
  <connection id="13" xr16:uid="{F21B7853-20BB-4567-9221-7B27B3C8ADAD}" name="WorksheetConnection_Book3.xlsx!Table13__2" type="102" refreshedVersion="8" minRefreshableVersion="5">
    <extLst>
      <ext xmlns:x15="http://schemas.microsoft.com/office/spreadsheetml/2010/11/main" uri="{DE250136-89BD-433C-8126-D09CA5730AF9}">
        <x15:connection id="Table13__2">
          <x15:rangePr sourceName="_xlcn.WorksheetConnection_Book3.xlsxTable13__21"/>
        </x15:connection>
      </ext>
    </extLst>
  </connection>
  <connection id="14" xr16:uid="{3B18CF21-2B87-49F3-B76D-73F521905DD6}" name="WorksheetConnection_Book3.xlsx!Table17" type="102" refreshedVersion="8" minRefreshableVersion="5">
    <extLst>
      <ext xmlns:x15="http://schemas.microsoft.com/office/spreadsheetml/2010/11/main" uri="{DE250136-89BD-433C-8126-D09CA5730AF9}">
        <x15:connection id="Table17">
          <x15:rangePr sourceName="_xlcn.WorksheetConnection_Book3.xlsxTable171"/>
        </x15:connection>
      </ext>
    </extLst>
  </connection>
  <connection id="15" xr16:uid="{E09A9A1C-50EE-4730-9DF3-0EA33A5CBCC6}" name="WorksheetConnection_Book3.xlsx!Table2_1" type="102" refreshedVersion="8" minRefreshableVersion="5">
    <extLst>
      <ext xmlns:x15="http://schemas.microsoft.com/office/spreadsheetml/2010/11/main" uri="{DE250136-89BD-433C-8126-D09CA5730AF9}">
        <x15:connection id="Table2_1">
          <x15:rangePr sourceName="_xlcn.WorksheetConnection_Book3.xlsxTable2_11"/>
        </x15:connection>
      </ext>
    </extLst>
  </connection>
  <connection id="16" xr16:uid="{91887CC7-0A0C-427C-A5C9-F8BC83B6BE9F}" name="WorksheetConnection_Book3.xlsx!Table4_1" type="102" refreshedVersion="8" minRefreshableVersion="5">
    <extLst>
      <ext xmlns:x15="http://schemas.microsoft.com/office/spreadsheetml/2010/11/main" uri="{DE250136-89BD-433C-8126-D09CA5730AF9}">
        <x15:connection id="Table4_1">
          <x15:rangePr sourceName="_xlcn.WorksheetConnection_Book3.xlsxTable4_11"/>
        </x15:connection>
      </ext>
    </extLst>
  </connection>
  <connection id="17" xr16:uid="{DD3BEC83-0C83-45D5-B7CD-447919A1CD57}" name="WorksheetConnection_Book3.xlsx!Table6_1" type="102" refreshedVersion="8" minRefreshableVersion="5">
    <extLst>
      <ext xmlns:x15="http://schemas.microsoft.com/office/spreadsheetml/2010/11/main" uri="{DE250136-89BD-433C-8126-D09CA5730AF9}">
        <x15:connection id="Table6_1">
          <x15:rangePr sourceName="_xlcn.WorksheetConnection_Book3.xlsxTable6_11"/>
        </x15:connection>
      </ext>
    </extLst>
  </connection>
  <connection id="18" xr16:uid="{3EEA88A0-73ED-4915-8797-3F35B05FFE82}" name="WorksheetConnection_Book3.xlsx!Table8_1" type="102" refreshedVersion="8" minRefreshableVersion="5">
    <extLst>
      <ext xmlns:x15="http://schemas.microsoft.com/office/spreadsheetml/2010/11/main" uri="{DE250136-89BD-433C-8126-D09CA5730AF9}">
        <x15:connection id="Table8_1">
          <x15:rangePr sourceName="_xlcn.WorksheetConnection_Book3.xlsxTable8_11"/>
        </x15:connection>
      </ext>
    </extLst>
  </connection>
</connections>
</file>

<file path=xl/sharedStrings.xml><?xml version="1.0" encoding="utf-8"?>
<sst xmlns="http://schemas.openxmlformats.org/spreadsheetml/2006/main" count="1018" uniqueCount="200">
  <si>
    <t>ADIDAS AG</t>
  </si>
  <si>
    <t>Ticker</t>
  </si>
  <si>
    <t>Implied Share Price</t>
  </si>
  <si>
    <t>Date</t>
  </si>
  <si>
    <t>Today's Share Price</t>
  </si>
  <si>
    <t>Upside (Downside)</t>
  </si>
  <si>
    <t>Valuation Assumptions</t>
  </si>
  <si>
    <t>WACC</t>
  </si>
  <si>
    <t>TGR</t>
  </si>
  <si>
    <t>Income Statement</t>
  </si>
  <si>
    <t>Revenue</t>
  </si>
  <si>
    <t>% growth</t>
  </si>
  <si>
    <t>EBIT</t>
  </si>
  <si>
    <t>% of sales</t>
  </si>
  <si>
    <t>Cash Flow Items</t>
  </si>
  <si>
    <t>D&amp;A</t>
  </si>
  <si>
    <t>CapEx</t>
  </si>
  <si>
    <t>Change in NWC</t>
  </si>
  <si>
    <t>EBIAT</t>
  </si>
  <si>
    <t>Present Value of FCF</t>
  </si>
  <si>
    <t>Terminal Value</t>
  </si>
  <si>
    <t>Enterprise Value</t>
  </si>
  <si>
    <t>+ Cash</t>
  </si>
  <si>
    <t>- Debt</t>
  </si>
  <si>
    <t>Share Price</t>
  </si>
  <si>
    <t/>
  </si>
  <si>
    <t>2024</t>
  </si>
  <si>
    <t>2023</t>
  </si>
  <si>
    <t>Change</t>
  </si>
  <si>
    <t>Net sales</t>
  </si>
  <si>
    <t>Gross profit</t>
  </si>
  <si>
    <t>EBITDA</t>
  </si>
  <si>
    <t>Operating profit</t>
  </si>
  <si>
    <t>n.a.</t>
  </si>
  <si>
    <t>Net income/(loss) attributable to shareholders</t>
  </si>
  <si>
    <t>Gross margin</t>
  </si>
  <si>
    <t>Operating margin</t>
  </si>
  <si>
    <t>Effective tax rate</t>
  </si>
  <si>
    <t>Total assets</t>
  </si>
  <si>
    <t>Inventories</t>
  </si>
  <si>
    <t>Shareholders’ equity</t>
  </si>
  <si>
    <t>Capital expenditure</t>
  </si>
  <si>
    <t>2022</t>
  </si>
  <si>
    <t>2021</t>
  </si>
  <si>
    <t>2020</t>
  </si>
  <si>
    <t>2019</t>
  </si>
  <si>
    <t>2016</t>
  </si>
  <si>
    <t>2015</t>
  </si>
  <si>
    <t> </t>
  </si>
  <si>
    <t>Income Statement Data (€ in millions)</t>
  </si>
  <si>
    <t>Income Statement Ratios</t>
  </si>
  <si>
    <t>Net Sales by Product Category (€ in millions)</t>
  </si>
  <si>
    <t>Balance Sheet Data (€ in millions)</t>
  </si>
  <si>
    <t>Receivables and other current assets</t>
  </si>
  <si>
    <t>Working capital</t>
  </si>
  <si>
    <t>Balance Sheet Ratios</t>
  </si>
  <si>
    <t>Data per Share</t>
  </si>
  <si>
    <t>Share price at year-end (in €)</t>
  </si>
  <si>
    <t>Market capitalization at year-end (€ in millions)</t>
  </si>
  <si>
    <t>Dividend (in €)</t>
  </si>
  <si>
    <t>Number of shares outstanding at year-end (in thousands)</t>
  </si>
  <si>
    <t>Employees</t>
  </si>
  <si>
    <t>Net sales3,4</t>
  </si>
  <si>
    <t>Gross profit3,4</t>
  </si>
  <si>
    <t>Royalty and commission income3,4</t>
  </si>
  <si>
    <t>Other operating income3,4,5</t>
  </si>
  <si>
    <t>Other operating expenses3,4,5</t>
  </si>
  <si>
    <t>Operating profit3,4,6</t>
  </si>
  <si>
    <t>Net financial result3,4</t>
  </si>
  <si>
    <t>Income before taxes3,4,6</t>
  </si>
  <si>
    <t>Income taxes3,4,7</t>
  </si>
  <si>
    <t>Net income/(loss) attributable to shareholders6,7,8</t>
  </si>
  <si>
    <t>Gross margin3,4</t>
  </si>
  <si>
    <t>Operating margin3,4,6</t>
  </si>
  <si>
    <t>Effective tax rate3,4,6,7</t>
  </si>
  <si>
    <t>Net income/(loss) attributable to shareholders in % of net sales3,4,6,7,8</t>
  </si>
  <si>
    <t>Footwear3,4</t>
  </si>
  <si>
    <t>Apparel3,4</t>
  </si>
  <si>
    <t>Accessories and gear3,4</t>
  </si>
  <si>
    <t>Adjusted (net borrowings)/ net cash9,10</t>
  </si>
  <si>
    <t>Adjusted net borrowings/ EBITDA3,4,9,10</t>
  </si>
  <si>
    <t>Average operating working capital in % of net sales3,4,10</t>
  </si>
  <si>
    <t>Financial leverage9,10,11</t>
  </si>
  <si>
    <t>Equity ratio11</t>
  </si>
  <si>
    <t>Return on equity8,11</t>
  </si>
  <si>
    <t>Return on capital employed3,4,8</t>
  </si>
  <si>
    <t>Basic earnings (in €)3,4,6,7</t>
  </si>
  <si>
    <t>Diluted earnings (in €)3,4,6,7</t>
  </si>
  <si>
    <t>Price/earnings ratio at year-end3,4,6,7</t>
  </si>
  <si>
    <t>Net cash generated from/(used in) operating activities3,4,12,13</t>
  </si>
  <si>
    <t>2.0014</t>
  </si>
  <si>
    <t>Number of employees at year-end3,4,15</t>
  </si>
  <si>
    <t>Personnel expenses (€ in millions)3,4</t>
  </si>
  <si>
    <t>Depreciation and amortization</t>
  </si>
  <si>
    <t>Current Assets</t>
  </si>
  <si>
    <t>Current Liabilities</t>
  </si>
  <si>
    <t>Assumptions pt1</t>
  </si>
  <si>
    <t>Growth rate</t>
  </si>
  <si>
    <t>EV/EBITDA Multiple</t>
  </si>
  <si>
    <t>Cost of Debt</t>
  </si>
  <si>
    <t>Tax Rate</t>
  </si>
  <si>
    <t>Free Cash Flows</t>
  </si>
  <si>
    <t>FCF</t>
  </si>
  <si>
    <t>Cost of Equity</t>
  </si>
  <si>
    <t>D/D+E</t>
  </si>
  <si>
    <t>E/D+E</t>
  </si>
  <si>
    <t>Exit Multiple (EV/EBITDA)</t>
  </si>
  <si>
    <t>Perpetuity Growth</t>
  </si>
  <si>
    <t>Average</t>
  </si>
  <si>
    <t>Discounting</t>
  </si>
  <si>
    <t>PV of FCF</t>
  </si>
  <si>
    <t>PV of TV</t>
  </si>
  <si>
    <t>Enterprise Value to Equity Value</t>
  </si>
  <si>
    <t>operating working capital</t>
  </si>
  <si>
    <t>Discount  Factor</t>
  </si>
  <si>
    <t>Accounts receivable</t>
  </si>
  <si>
    <t>Other Assets</t>
  </si>
  <si>
    <t>Accounts Payable</t>
  </si>
  <si>
    <t>Other Liabilities</t>
  </si>
  <si>
    <t>Balance</t>
  </si>
  <si>
    <t>Non Cash Working Capital</t>
  </si>
  <si>
    <t>Cash and Cash Equivalents</t>
  </si>
  <si>
    <t>Net Debt</t>
  </si>
  <si>
    <t>Interest Expense</t>
  </si>
  <si>
    <t>Effective Tax Rate</t>
  </si>
  <si>
    <t>Cost of equity</t>
  </si>
  <si>
    <t xml:space="preserve">Range </t>
  </si>
  <si>
    <t>7.6% - 9.9%</t>
  </si>
  <si>
    <t>Selected</t>
  </si>
  <si>
    <t>Cost of debt</t>
  </si>
  <si>
    <t>4.0% - 4.5%</t>
  </si>
  <si>
    <t>Change in (Non Cash Working Capital)</t>
  </si>
  <si>
    <t>change</t>
  </si>
  <si>
    <t>Operating Cash Flow</t>
  </si>
  <si>
    <t>Category</t>
  </si>
  <si>
    <t>Low</t>
  </si>
  <si>
    <t>High</t>
  </si>
  <si>
    <t>Long-term bond rate</t>
  </si>
  <si>
    <t>Equity market risk premium</t>
  </si>
  <si>
    <t>Adjusted beta</t>
  </si>
  <si>
    <t>Additional risk adjustments</t>
  </si>
  <si>
    <t>Tax rate</t>
  </si>
  <si>
    <t>Debt/Equity ratio</t>
  </si>
  <si>
    <t>After-tax WACC</t>
  </si>
  <si>
    <t>E/(D+E)</t>
  </si>
  <si>
    <t>D/(D+E)</t>
  </si>
  <si>
    <t>Selected WACC</t>
  </si>
  <si>
    <t>Equity</t>
  </si>
  <si>
    <t>Current Other Liabilities</t>
  </si>
  <si>
    <t>Cash and cash equivalents</t>
  </si>
  <si>
    <t>Current Other Assets</t>
  </si>
  <si>
    <t>short term borrowings</t>
  </si>
  <si>
    <t>EV</t>
  </si>
  <si>
    <t>Market Capitalization</t>
  </si>
  <si>
    <t>Total Debt</t>
  </si>
  <si>
    <t>Long-term Borrowings</t>
  </si>
  <si>
    <t>CAGR</t>
  </si>
  <si>
    <t>Total Cash</t>
  </si>
  <si>
    <t>Equity Value (in Mio)</t>
  </si>
  <si>
    <t>Shares (in thousand)</t>
  </si>
  <si>
    <t>EV/EBITDA TV</t>
  </si>
  <si>
    <t>Year</t>
  </si>
  <si>
    <t>Financial leverage</t>
  </si>
  <si>
    <t>Equity ratio</t>
  </si>
  <si>
    <t>Return on equity</t>
  </si>
  <si>
    <t>Diluted earnings (in €)</t>
  </si>
  <si>
    <t>Basic earnings (in €)</t>
  </si>
  <si>
    <t>Column1</t>
  </si>
  <si>
    <t>2018</t>
  </si>
  <si>
    <t>2017</t>
  </si>
  <si>
    <t>Value</t>
  </si>
  <si>
    <t>Column4</t>
  </si>
  <si>
    <t>Column5</t>
  </si>
  <si>
    <t>Column6</t>
  </si>
  <si>
    <t>Column7</t>
  </si>
  <si>
    <t>Column8</t>
  </si>
  <si>
    <t>Column9</t>
  </si>
  <si>
    <t>Column10</t>
  </si>
  <si>
    <t>Column11</t>
  </si>
  <si>
    <t>Column12</t>
  </si>
  <si>
    <t>Column13</t>
  </si>
  <si>
    <t>Column14</t>
  </si>
  <si>
    <t>Column15</t>
  </si>
  <si>
    <t>Column16</t>
  </si>
  <si>
    <t>Column17</t>
  </si>
  <si>
    <t>Column18</t>
  </si>
  <si>
    <t>Column19</t>
  </si>
  <si>
    <t>2025</t>
  </si>
  <si>
    <t>2026</t>
  </si>
  <si>
    <t>2027</t>
  </si>
  <si>
    <t>2028</t>
  </si>
  <si>
    <t>2029</t>
  </si>
  <si>
    <t>2030</t>
  </si>
  <si>
    <t>Row Labels</t>
  </si>
  <si>
    <t>Column Labels</t>
  </si>
  <si>
    <t>Sum of Value</t>
  </si>
  <si>
    <t>MAX</t>
  </si>
  <si>
    <t>Income Statement Data</t>
  </si>
  <si>
    <t>Forecast</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</si>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</sst>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_(&quot;$&quot;* \(#,##0.00\);_(&quot;$&quot;* &quot;-&quot;??_);_(@_)"/>
    <numFmt numFmtId="164" formatCode="&quot;$&quot;#,##0.00"/>
    <numFmt numFmtId="165" formatCode="_([$$-409]* #,##0.00_);_([$$-409]* \(#,##0.00\);_([$$-409]* &quot;-&quot;??_);_(@_)"/>
    <numFmt numFmtId="166" formatCode="0.0%;\(0.0%\)"/>
    <numFmt numFmtId="167" formatCode="0.0%"/>
    <numFmt numFmtId="168" formatCode="#,##0;\(#,##0\)"/>
    <numFmt numFmtId="169" formatCode="0.0"/>
    <numFmt numFmtId="170" formatCode="0.00\x"/>
    <numFmt numFmtId="171" formatCode="0.0000"/>
  </numFmts>
  <fonts count="22"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b/>
      <sz val="16"/>
      <color theme="1"/>
      <name val="Aptos Narrow"/>
      <family val="2"/>
      <scheme val="minor"/>
    </font>
    <font>
      <sz val="11"/>
      <name val="Aptos Narrow"/>
      <family val="2"/>
      <scheme val="minor"/>
    </font>
    <font>
      <sz val="11"/>
      <color theme="9" tint="-0.249977111117893"/>
      <name val="Aptos Narrow"/>
      <family val="2"/>
      <scheme val="minor"/>
    </font>
    <font>
      <i/>
      <sz val="11"/>
      <name val="Aptos Narrow"/>
      <family val="2"/>
      <scheme val="minor"/>
    </font>
    <font>
      <i/>
      <sz val="11"/>
      <color theme="1"/>
      <name val="Aptos Narrow"/>
      <family val="2"/>
      <scheme val="minor"/>
    </font>
    <font>
      <sz val="11"/>
      <color rgb="FF7030A0"/>
      <name val="Aptos Narrow"/>
      <family val="2"/>
      <scheme val="minor"/>
    </font>
    <font>
      <sz val="11"/>
      <color indexed="8"/>
      <name val="Aptos Narrow"/>
      <family val="2"/>
      <scheme val="minor"/>
    </font>
    <font>
      <sz val="10"/>
      <color rgb="FF000000"/>
      <name val="Arial"/>
      <family val="2"/>
    </font>
    <font>
      <sz val="12"/>
      <color theme="1"/>
      <name val="Calibri"/>
      <family val="2"/>
    </font>
    <font>
      <sz val="12"/>
      <color rgb="FF0432FF"/>
      <name val="Calibri"/>
      <family val="2"/>
    </font>
    <font>
      <sz val="12"/>
      <color rgb="FF000000"/>
      <name val="Calibri"/>
      <family val="2"/>
    </font>
    <font>
      <sz val="10"/>
      <name val="Trebuchet MS"/>
      <family val="2"/>
    </font>
    <font>
      <b/>
      <sz val="10"/>
      <name val="Trebuchet MS"/>
      <family val="2"/>
    </font>
    <font>
      <b/>
      <sz val="14"/>
      <color theme="0"/>
      <name val="Aptos Narrow"/>
      <family val="2"/>
      <scheme val="minor"/>
    </font>
    <font>
      <sz val="11"/>
      <name val="Abadi Extra Light"/>
      <family val="2"/>
    </font>
    <font>
      <b/>
      <sz val="14"/>
      <name val="Abadi Extra Light"/>
      <family val="2"/>
    </font>
    <font>
      <sz val="11"/>
      <color theme="6"/>
      <name val="Aptos Narrow"/>
      <family val="2"/>
      <scheme val="minor"/>
    </font>
    <font>
      <i/>
      <sz val="11"/>
      <color theme="6"/>
      <name val="Aptos Narrow"/>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3"/>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2"/>
        <bgColor indexed="64"/>
      </patternFill>
    </fill>
  </fills>
  <borders count="18">
    <border>
      <left/>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dotted">
        <color indexed="64"/>
      </left>
      <right style="dotted">
        <color indexed="64"/>
      </right>
      <top style="dotted">
        <color indexed="64"/>
      </top>
      <bottom style="dotted">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rgb="FF000000"/>
      </bottom>
      <diagonal/>
    </border>
    <border>
      <left/>
      <right/>
      <top/>
      <bottom style="medium">
        <color rgb="FFEA8436"/>
      </bottom>
      <diagonal/>
    </border>
    <border>
      <left/>
      <right/>
      <top/>
      <bottom style="thin">
        <color theme="5"/>
      </bottom>
      <diagonal/>
    </border>
    <border>
      <left style="thin">
        <color theme="5"/>
      </left>
      <right style="thin">
        <color theme="5"/>
      </right>
      <top style="thin">
        <color theme="5"/>
      </top>
      <bottom style="thin">
        <color theme="5"/>
      </bottom>
      <diagonal/>
    </border>
    <border>
      <left/>
      <right style="thin">
        <color indexed="64"/>
      </right>
      <top style="thin">
        <color indexed="64"/>
      </top>
      <bottom/>
      <diagonal/>
    </border>
    <border>
      <left/>
      <right/>
      <top/>
      <bottom style="thin">
        <color theme="4" tint="0.3999755851924192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10" fillId="0" borderId="0"/>
    <xf numFmtId="44" fontId="1" fillId="0" borderId="0" applyFont="0" applyFill="0" applyBorder="0" applyAlignment="0" applyProtection="0"/>
  </cellStyleXfs>
  <cellXfs count="163">
    <xf numFmtId="0" fontId="0" fillId="0" borderId="0" xfId="0"/>
    <xf numFmtId="0" fontId="4" fillId="0" borderId="1" xfId="0" applyFont="1" applyBorder="1"/>
    <xf numFmtId="0" fontId="0" fillId="0" borderId="1" xfId="0" applyBorder="1"/>
    <xf numFmtId="0" fontId="0" fillId="2" borderId="2" xfId="0" applyFill="1" applyBorder="1" applyAlignment="1">
      <alignment horizontal="center"/>
    </xf>
    <xf numFmtId="164" fontId="0" fillId="0" borderId="3" xfId="0" applyNumberFormat="1" applyBorder="1" applyAlignment="1">
      <alignment horizontal="center"/>
    </xf>
    <xf numFmtId="165" fontId="0" fillId="0" borderId="0" xfId="0" applyNumberFormat="1"/>
    <xf numFmtId="14" fontId="0" fillId="2" borderId="2" xfId="0" applyNumberFormat="1" applyFill="1" applyBorder="1" applyAlignment="1">
      <alignment horizontal="center"/>
    </xf>
    <xf numFmtId="166" fontId="0" fillId="0" borderId="3" xfId="0" applyNumberFormat="1" applyBorder="1" applyAlignment="1">
      <alignment horizontal="center"/>
    </xf>
    <xf numFmtId="0" fontId="2" fillId="3" borderId="0" xfId="0" applyFont="1" applyFill="1"/>
    <xf numFmtId="0" fontId="0" fillId="3" borderId="0" xfId="0" applyFill="1"/>
    <xf numFmtId="0" fontId="3" fillId="0" borderId="0" xfId="0" applyFont="1"/>
    <xf numFmtId="0" fontId="2" fillId="3" borderId="4" xfId="0" applyFont="1" applyFill="1" applyBorder="1"/>
    <xf numFmtId="0" fontId="5" fillId="4" borderId="0" xfId="0" applyFont="1" applyFill="1"/>
    <xf numFmtId="3" fontId="6" fillId="4" borderId="0" xfId="0" applyNumberFormat="1" applyFont="1" applyFill="1"/>
    <xf numFmtId="3" fontId="6" fillId="4" borderId="4" xfId="0" applyNumberFormat="1" applyFont="1" applyFill="1" applyBorder="1"/>
    <xf numFmtId="0" fontId="7" fillId="4" borderId="0" xfId="0" applyFont="1" applyFill="1"/>
    <xf numFmtId="167" fontId="7" fillId="4" borderId="0" xfId="1" applyNumberFormat="1" applyFont="1" applyFill="1"/>
    <xf numFmtId="0" fontId="0" fillId="0" borderId="4" xfId="0" applyBorder="1"/>
    <xf numFmtId="3" fontId="9" fillId="0" borderId="0" xfId="0" applyNumberFormat="1" applyFont="1"/>
    <xf numFmtId="3" fontId="9" fillId="0" borderId="4" xfId="0" applyNumberFormat="1" applyFont="1" applyBorder="1"/>
    <xf numFmtId="167" fontId="0" fillId="0" borderId="0" xfId="0" applyNumberFormat="1"/>
    <xf numFmtId="0" fontId="3" fillId="0" borderId="5" xfId="0" applyFont="1" applyBorder="1"/>
    <xf numFmtId="0" fontId="3" fillId="0" borderId="6" xfId="0" applyFont="1" applyBorder="1"/>
    <xf numFmtId="3" fontId="3" fillId="0" borderId="6" xfId="0" applyNumberFormat="1" applyFont="1" applyBorder="1"/>
    <xf numFmtId="3" fontId="0" fillId="0" borderId="0" xfId="0" applyNumberFormat="1"/>
    <xf numFmtId="37" fontId="3" fillId="0" borderId="6" xfId="0" applyNumberFormat="1" applyFont="1" applyBorder="1"/>
    <xf numFmtId="37" fontId="3" fillId="0" borderId="7" xfId="0" applyNumberFormat="1" applyFont="1" applyBorder="1"/>
    <xf numFmtId="0" fontId="0" fillId="0" borderId="0" xfId="0" quotePrefix="1"/>
    <xf numFmtId="0" fontId="0" fillId="0" borderId="1" xfId="0" quotePrefix="1" applyBorder="1"/>
    <xf numFmtId="0" fontId="0" fillId="5" borderId="0" xfId="0" applyFill="1"/>
    <xf numFmtId="0" fontId="0" fillId="5" borderId="0" xfId="0" applyFill="1" applyAlignment="1">
      <alignment wrapText="1"/>
    </xf>
    <xf numFmtId="3" fontId="0" fillId="5" borderId="0" xfId="0" applyNumberFormat="1" applyFill="1"/>
    <xf numFmtId="37" fontId="3" fillId="0" borderId="8" xfId="0" applyNumberFormat="1" applyFont="1" applyBorder="1"/>
    <xf numFmtId="0" fontId="0" fillId="6" borderId="0" xfId="0" applyFill="1"/>
    <xf numFmtId="9" fontId="0" fillId="0" borderId="0" xfId="0" applyNumberFormat="1"/>
    <xf numFmtId="3" fontId="11" fillId="0" borderId="0" xfId="0" applyNumberFormat="1" applyFont="1"/>
    <xf numFmtId="0" fontId="0" fillId="7" borderId="0" xfId="0" applyFill="1"/>
    <xf numFmtId="3" fontId="0" fillId="7" borderId="0" xfId="0" applyNumberFormat="1" applyFill="1"/>
    <xf numFmtId="0" fontId="0" fillId="4" borderId="0" xfId="0" applyFill="1"/>
    <xf numFmtId="0" fontId="3" fillId="4" borderId="0" xfId="0" applyFont="1" applyFill="1"/>
    <xf numFmtId="167" fontId="0" fillId="4" borderId="3" xfId="0" applyNumberFormat="1" applyFill="1" applyBorder="1" applyAlignment="1">
      <alignment horizontal="center"/>
    </xf>
    <xf numFmtId="0" fontId="12" fillId="4" borderId="9" xfId="0" applyFont="1" applyFill="1" applyBorder="1"/>
    <xf numFmtId="0" fontId="12" fillId="4" borderId="0" xfId="0" applyFont="1" applyFill="1"/>
    <xf numFmtId="170" fontId="13" fillId="4" borderId="0" xfId="0" applyNumberFormat="1" applyFont="1" applyFill="1"/>
    <xf numFmtId="9" fontId="13" fillId="4" borderId="0" xfId="0" applyNumberFormat="1" applyFont="1" applyFill="1"/>
    <xf numFmtId="0" fontId="14" fillId="4" borderId="0" xfId="0" applyFont="1" applyFill="1"/>
    <xf numFmtId="168" fontId="13" fillId="4" borderId="0" xfId="0" applyNumberFormat="1" applyFont="1" applyFill="1"/>
    <xf numFmtId="0" fontId="0" fillId="8" borderId="0" xfId="0" applyFill="1"/>
    <xf numFmtId="0" fontId="0" fillId="9" borderId="0" xfId="0" applyFill="1"/>
    <xf numFmtId="0" fontId="0" fillId="2" borderId="0" xfId="0" applyFill="1"/>
    <xf numFmtId="0" fontId="0" fillId="10" borderId="0" xfId="0" applyFill="1"/>
    <xf numFmtId="10" fontId="0" fillId="0" borderId="0" xfId="0" applyNumberFormat="1"/>
    <xf numFmtId="10" fontId="0" fillId="0" borderId="0" xfId="0" applyNumberFormat="1" applyAlignment="1">
      <alignment vertical="center" wrapText="1"/>
    </xf>
    <xf numFmtId="10" fontId="0" fillId="9" borderId="0" xfId="0" applyNumberFormat="1" applyFill="1"/>
    <xf numFmtId="9" fontId="0" fillId="2" borderId="0" xfId="1" applyFont="1" applyFill="1"/>
    <xf numFmtId="10" fontId="0" fillId="2" borderId="0" xfId="0" applyNumberFormat="1" applyFill="1"/>
    <xf numFmtId="3" fontId="0" fillId="10" borderId="0" xfId="0" applyNumberFormat="1" applyFill="1"/>
    <xf numFmtId="37" fontId="0" fillId="0" borderId="0" xfId="0" applyNumberFormat="1"/>
    <xf numFmtId="0" fontId="0" fillId="11" borderId="0" xfId="0" applyFill="1"/>
    <xf numFmtId="10" fontId="15" fillId="0" borderId="0" xfId="0" applyNumberFormat="1" applyFont="1"/>
    <xf numFmtId="0" fontId="15" fillId="0" borderId="0" xfId="0" applyFont="1"/>
    <xf numFmtId="0" fontId="5" fillId="0" borderId="0" xfId="0" applyFont="1"/>
    <xf numFmtId="167" fontId="0" fillId="5" borderId="0" xfId="1" applyNumberFormat="1" applyFont="1" applyFill="1"/>
    <xf numFmtId="9" fontId="0" fillId="0" borderId="0" xfId="1" applyFont="1"/>
    <xf numFmtId="167" fontId="0" fillId="0" borderId="0" xfId="1" applyNumberFormat="1" applyFont="1"/>
    <xf numFmtId="167" fontId="9" fillId="0" borderId="0" xfId="1" applyNumberFormat="1" applyFont="1"/>
    <xf numFmtId="167" fontId="0" fillId="12" borderId="0" xfId="0" applyNumberFormat="1" applyFill="1"/>
    <xf numFmtId="1" fontId="0" fillId="10" borderId="0" xfId="3" applyNumberFormat="1" applyFont="1" applyFill="1"/>
    <xf numFmtId="0" fontId="16" fillId="0" borderId="10" xfId="0" applyFont="1" applyBorder="1" applyAlignment="1">
      <alignment horizontal="left" vertical="top"/>
    </xf>
    <xf numFmtId="0" fontId="16" fillId="0" borderId="10" xfId="0" applyFont="1" applyBorder="1" applyAlignment="1">
      <alignment horizontal="right" vertical="top"/>
    </xf>
    <xf numFmtId="0" fontId="15" fillId="0" borderId="0" xfId="0" applyFont="1" applyAlignment="1">
      <alignment vertical="top"/>
    </xf>
    <xf numFmtId="0" fontId="15" fillId="0" borderId="0" xfId="0" applyFont="1" applyAlignment="1">
      <alignment horizontal="left" vertical="top"/>
    </xf>
    <xf numFmtId="10" fontId="15" fillId="0" borderId="0" xfId="0" applyNumberFormat="1" applyFont="1" applyAlignment="1">
      <alignment horizontal="right" vertical="top"/>
    </xf>
    <xf numFmtId="0" fontId="15" fillId="0" borderId="0" xfId="0" applyFont="1" applyAlignment="1">
      <alignment horizontal="right" vertical="top"/>
    </xf>
    <xf numFmtId="0" fontId="15" fillId="0" borderId="10" xfId="0" applyFont="1" applyBorder="1" applyAlignment="1">
      <alignment horizontal="left" vertical="top"/>
    </xf>
    <xf numFmtId="10" fontId="15" fillId="0" borderId="10" xfId="0" applyNumberFormat="1" applyFont="1" applyBorder="1" applyAlignment="1">
      <alignment horizontal="right" vertical="top"/>
    </xf>
    <xf numFmtId="0" fontId="15" fillId="7" borderId="0" xfId="0" applyFont="1" applyFill="1" applyAlignment="1">
      <alignment horizontal="left" vertical="top"/>
    </xf>
    <xf numFmtId="10" fontId="15" fillId="7" borderId="0" xfId="0" applyNumberFormat="1" applyFont="1" applyFill="1" applyAlignment="1">
      <alignment horizontal="right" vertical="top"/>
    </xf>
    <xf numFmtId="10" fontId="16" fillId="0" borderId="0" xfId="0" applyNumberFormat="1" applyFont="1" applyAlignment="1">
      <alignment horizontal="right" vertical="top"/>
    </xf>
    <xf numFmtId="0" fontId="15" fillId="0" borderId="11" xfId="0" applyFont="1" applyBorder="1" applyAlignment="1">
      <alignment horizontal="left" vertical="top"/>
    </xf>
    <xf numFmtId="171" fontId="0" fillId="0" borderId="0" xfId="0" applyNumberFormat="1"/>
    <xf numFmtId="171" fontId="0" fillId="0" borderId="11" xfId="0" applyNumberFormat="1" applyBorder="1"/>
    <xf numFmtId="171" fontId="0" fillId="0" borderId="0" xfId="1" applyNumberFormat="1" applyFont="1"/>
    <xf numFmtId="2" fontId="0" fillId="0" borderId="12" xfId="0" applyNumberFormat="1" applyBorder="1"/>
    <xf numFmtId="3" fontId="0" fillId="0" borderId="12" xfId="0" applyNumberFormat="1" applyBorder="1"/>
    <xf numFmtId="3" fontId="0" fillId="0" borderId="12" xfId="3" applyNumberFormat="1" applyFont="1" applyFill="1" applyBorder="1"/>
    <xf numFmtId="1" fontId="0" fillId="0" borderId="12" xfId="0" applyNumberFormat="1" applyBorder="1" applyAlignment="1">
      <alignment horizontal="right" vertical="center"/>
    </xf>
    <xf numFmtId="10" fontId="0" fillId="5" borderId="0" xfId="0" applyNumberFormat="1" applyFill="1"/>
    <xf numFmtId="0" fontId="0" fillId="13" borderId="0" xfId="0" applyFill="1"/>
    <xf numFmtId="3" fontId="0" fillId="13" borderId="0" xfId="1" applyNumberFormat="1" applyFont="1" applyFill="1"/>
    <xf numFmtId="10" fontId="0" fillId="11" borderId="0" xfId="0" applyNumberFormat="1" applyFill="1"/>
    <xf numFmtId="9" fontId="0" fillId="11" borderId="0" xfId="0" applyNumberFormat="1" applyFill="1"/>
    <xf numFmtId="0" fontId="2" fillId="0" borderId="0" xfId="0" applyFont="1"/>
    <xf numFmtId="10" fontId="0" fillId="4" borderId="3" xfId="0" applyNumberFormat="1" applyFill="1" applyBorder="1" applyAlignment="1">
      <alignment horizontal="center"/>
    </xf>
    <xf numFmtId="10" fontId="0" fillId="4" borderId="0" xfId="1" applyNumberFormat="1" applyFont="1" applyFill="1"/>
    <xf numFmtId="167" fontId="7" fillId="4" borderId="4" xfId="1" applyNumberFormat="1" applyFont="1" applyFill="1" applyBorder="1"/>
    <xf numFmtId="1" fontId="0" fillId="0" borderId="0" xfId="0" applyNumberFormat="1"/>
    <xf numFmtId="167" fontId="0" fillId="0" borderId="0" xfId="1" applyNumberFormat="1" applyFont="1" applyBorder="1"/>
    <xf numFmtId="167" fontId="9" fillId="0" borderId="4" xfId="1" applyNumberFormat="1" applyFont="1" applyBorder="1"/>
    <xf numFmtId="3" fontId="3" fillId="0" borderId="7" xfId="0" applyNumberFormat="1" applyFont="1" applyBorder="1"/>
    <xf numFmtId="166" fontId="8" fillId="0" borderId="0" xfId="1" applyNumberFormat="1" applyFont="1" applyBorder="1"/>
    <xf numFmtId="37" fontId="0" fillId="0" borderId="4" xfId="0" applyNumberFormat="1" applyBorder="1"/>
    <xf numFmtId="3" fontId="0" fillId="0" borderId="6" xfId="0" applyNumberFormat="1" applyBorder="1"/>
    <xf numFmtId="3" fontId="0" fillId="0" borderId="7" xfId="0" applyNumberFormat="1" applyBorder="1"/>
    <xf numFmtId="3" fontId="0" fillId="0" borderId="1" xfId="0" applyNumberFormat="1" applyBorder="1"/>
    <xf numFmtId="3" fontId="0" fillId="9" borderId="0" xfId="0" applyNumberFormat="1" applyFill="1"/>
    <xf numFmtId="10" fontId="0" fillId="6" borderId="0" xfId="0" applyNumberFormat="1" applyFill="1"/>
    <xf numFmtId="9" fontId="0" fillId="6" borderId="0" xfId="0" applyNumberFormat="1" applyFill="1"/>
    <xf numFmtId="0" fontId="17" fillId="3" borderId="0" xfId="0" applyFont="1" applyFill="1" applyAlignment="1">
      <alignment horizontal="right" vertical="center"/>
    </xf>
    <xf numFmtId="2" fontId="0" fillId="0" borderId="0" xfId="0" applyNumberFormat="1"/>
    <xf numFmtId="3" fontId="0" fillId="0" borderId="4" xfId="0" applyNumberFormat="1" applyBorder="1"/>
    <xf numFmtId="1" fontId="0" fillId="0" borderId="1" xfId="0" applyNumberFormat="1" applyBorder="1"/>
    <xf numFmtId="3" fontId="3" fillId="0" borderId="0" xfId="0" applyNumberFormat="1" applyFont="1"/>
    <xf numFmtId="4" fontId="3" fillId="0" borderId="0" xfId="0" applyNumberFormat="1" applyFont="1"/>
    <xf numFmtId="4" fontId="0" fillId="0" borderId="0" xfId="0" applyNumberFormat="1"/>
    <xf numFmtId="0" fontId="18" fillId="0" borderId="0" xfId="0" applyFont="1"/>
    <xf numFmtId="0" fontId="19" fillId="0" borderId="0" xfId="0" applyFont="1" applyAlignment="1">
      <alignment horizontal="right" vertical="center"/>
    </xf>
    <xf numFmtId="167" fontId="18" fillId="0" borderId="0" xfId="1" applyNumberFormat="1" applyFont="1" applyFill="1" applyBorder="1"/>
    <xf numFmtId="3" fontId="18" fillId="0" borderId="0" xfId="0" applyNumberFormat="1" applyFont="1"/>
    <xf numFmtId="10" fontId="18" fillId="0" borderId="0" xfId="0" applyNumberFormat="1" applyFont="1"/>
    <xf numFmtId="10" fontId="18" fillId="0" borderId="0" xfId="0" applyNumberFormat="1" applyFont="1" applyAlignment="1">
      <alignment vertical="center" wrapText="1"/>
    </xf>
    <xf numFmtId="0" fontId="0" fillId="15" borderId="0" xfId="0" applyFill="1"/>
    <xf numFmtId="0" fontId="0" fillId="0" borderId="0" xfId="0" pivotButton="1"/>
    <xf numFmtId="0" fontId="0" fillId="0" borderId="0" xfId="0" applyAlignment="1">
      <alignment horizontal="left"/>
    </xf>
    <xf numFmtId="0" fontId="3" fillId="14" borderId="14" xfId="0" applyFont="1" applyFill="1" applyBorder="1"/>
    <xf numFmtId="9" fontId="0" fillId="0" borderId="0" xfId="0" pivotButton="1" applyNumberFormat="1"/>
    <xf numFmtId="9" fontId="3" fillId="14" borderId="14" xfId="0" applyNumberFormat="1" applyFont="1" applyFill="1" applyBorder="1"/>
    <xf numFmtId="0" fontId="3" fillId="14" borderId="0" xfId="0" applyFont="1" applyFill="1"/>
    <xf numFmtId="3" fontId="20" fillId="0" borderId="0" xfId="0" applyNumberFormat="1" applyFont="1"/>
    <xf numFmtId="3" fontId="20" fillId="4" borderId="0" xfId="0" applyNumberFormat="1" applyFont="1" applyFill="1"/>
    <xf numFmtId="3" fontId="20" fillId="4" borderId="4" xfId="0" applyNumberFormat="1" applyFont="1" applyFill="1" applyBorder="1"/>
    <xf numFmtId="167" fontId="8" fillId="4" borderId="0" xfId="1" applyNumberFormat="1" applyFont="1" applyFill="1"/>
    <xf numFmtId="3" fontId="21" fillId="4" borderId="0" xfId="1" applyNumberFormat="1" applyFont="1" applyFill="1"/>
    <xf numFmtId="0" fontId="7" fillId="4" borderId="5" xfId="0" applyFont="1" applyFill="1" applyBorder="1"/>
    <xf numFmtId="0" fontId="5" fillId="4" borderId="6" xfId="0" applyFont="1" applyFill="1" applyBorder="1"/>
    <xf numFmtId="37" fontId="3" fillId="0" borderId="0" xfId="0" applyNumberFormat="1" applyFont="1"/>
    <xf numFmtId="2" fontId="3" fillId="0" borderId="0" xfId="0" applyNumberFormat="1" applyFont="1"/>
    <xf numFmtId="0" fontId="8" fillId="0" borderId="15" xfId="0" applyFont="1" applyBorder="1"/>
    <xf numFmtId="0" fontId="3" fillId="0" borderId="8" xfId="0" applyFont="1" applyBorder="1"/>
    <xf numFmtId="3" fontId="0" fillId="0" borderId="8" xfId="0" applyNumberFormat="1" applyBorder="1"/>
    <xf numFmtId="3" fontId="0" fillId="0" borderId="13" xfId="0" applyNumberFormat="1" applyBorder="1"/>
    <xf numFmtId="0" fontId="0" fillId="0" borderId="16" xfId="0" applyBorder="1"/>
    <xf numFmtId="0" fontId="3" fillId="0" borderId="1" xfId="0" applyFont="1" applyBorder="1"/>
    <xf numFmtId="37" fontId="3" fillId="0" borderId="1" xfId="0" applyNumberFormat="1" applyFont="1" applyBorder="1"/>
    <xf numFmtId="3" fontId="0" fillId="0" borderId="17" xfId="0" applyNumberFormat="1" applyBorder="1"/>
    <xf numFmtId="1" fontId="0" fillId="0" borderId="4" xfId="0" applyNumberFormat="1" applyBorder="1"/>
    <xf numFmtId="2" fontId="3" fillId="0" borderId="4" xfId="0" applyNumberFormat="1" applyFont="1" applyBorder="1"/>
    <xf numFmtId="2" fontId="3" fillId="0" borderId="17" xfId="0" applyNumberFormat="1" applyFont="1" applyBorder="1"/>
    <xf numFmtId="167" fontId="8" fillId="4" borderId="4" xfId="1" applyNumberFormat="1" applyFont="1" applyFill="1" applyBorder="1"/>
    <xf numFmtId="0" fontId="0" fillId="0" borderId="5" xfId="0" applyBorder="1"/>
    <xf numFmtId="0" fontId="0" fillId="0" borderId="6" xfId="0" applyBorder="1"/>
    <xf numFmtId="167" fontId="8" fillId="0" borderId="6" xfId="1" applyNumberFormat="1" applyFont="1" applyBorder="1"/>
    <xf numFmtId="167" fontId="8" fillId="0" borderId="7" xfId="1" applyNumberFormat="1" applyFont="1" applyBorder="1"/>
    <xf numFmtId="169" fontId="13" fillId="4" borderId="0" xfId="0" applyNumberFormat="1" applyFont="1" applyFill="1"/>
    <xf numFmtId="167" fontId="7" fillId="4" borderId="0" xfId="1" applyNumberFormat="1" applyFont="1" applyFill="1" applyBorder="1"/>
    <xf numFmtId="3" fontId="0" fillId="8" borderId="8" xfId="0" applyNumberFormat="1" applyFill="1" applyBorder="1"/>
    <xf numFmtId="3" fontId="0" fillId="8" borderId="13" xfId="0" applyNumberFormat="1" applyFill="1" applyBorder="1"/>
    <xf numFmtId="3" fontId="0" fillId="8" borderId="5" xfId="0" applyNumberFormat="1" applyFill="1" applyBorder="1"/>
    <xf numFmtId="3" fontId="0" fillId="8" borderId="6" xfId="0" applyNumberFormat="1" applyFill="1" applyBorder="1"/>
    <xf numFmtId="3" fontId="0" fillId="8" borderId="7" xfId="0" applyNumberFormat="1" applyFill="1" applyBorder="1"/>
    <xf numFmtId="0" fontId="3" fillId="8" borderId="0" xfId="0" applyFont="1" applyFill="1"/>
    <xf numFmtId="4" fontId="3" fillId="8" borderId="0" xfId="0" applyNumberFormat="1" applyFont="1" applyFill="1"/>
    <xf numFmtId="0" fontId="15" fillId="0" borderId="10" xfId="0" applyFont="1" applyBorder="1" applyAlignment="1">
      <alignment vertical="top"/>
    </xf>
  </cellXfs>
  <cellStyles count="4">
    <cellStyle name="Currency" xfId="3" builtinId="4"/>
    <cellStyle name="Normal" xfId="0" builtinId="0"/>
    <cellStyle name="Normal 2" xfId="2" xr:uid="{7C04F546-CDE6-4BCB-939C-ADC75BFD2560}"/>
    <cellStyle name="Percent" xfId="1" builtinId="5"/>
  </cellStyles>
  <dxfs count="96">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i val="0"/>
        <strike val="0"/>
        <condense val="0"/>
        <extend val="0"/>
        <outline val="0"/>
        <shadow val="0"/>
        <u val="none"/>
        <vertAlign val="baseline"/>
        <sz val="14"/>
        <color auto="1"/>
        <name val="Abadi Extra Light"/>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3" formatCode="#,##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i val="0"/>
        <strike val="0"/>
        <condense val="0"/>
        <extend val="0"/>
        <outline val="0"/>
        <shadow val="0"/>
        <u val="none"/>
        <vertAlign val="baseline"/>
        <sz val="14"/>
        <color auto="1"/>
        <name val="Abadi Extra Light"/>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i val="0"/>
        <strike val="0"/>
        <condense val="0"/>
        <extend val="0"/>
        <outline val="0"/>
        <shadow val="0"/>
        <u val="none"/>
        <vertAlign val="baseline"/>
        <sz val="14"/>
        <color auto="1"/>
        <name val="Abadi Extra Light"/>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numFmt numFmtId="167" formatCode="0.0%"/>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i val="0"/>
        <strike val="0"/>
        <condense val="0"/>
        <extend val="0"/>
        <outline val="0"/>
        <shadow val="0"/>
        <u val="none"/>
        <vertAlign val="baseline"/>
        <sz val="14"/>
        <color auto="1"/>
        <name val="Abadi Extra Light"/>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val="0"/>
        <i val="0"/>
        <strike val="0"/>
        <condense val="0"/>
        <extend val="0"/>
        <outline val="0"/>
        <shadow val="0"/>
        <u val="none"/>
        <vertAlign val="baseline"/>
        <sz val="11"/>
        <color auto="1"/>
        <name val="Abadi Extra Light"/>
        <family val="2"/>
        <scheme val="none"/>
      </font>
      <fill>
        <patternFill patternType="none">
          <fgColor indexed="64"/>
          <bgColor indexed="65"/>
        </patternFill>
      </fill>
    </dxf>
    <dxf>
      <font>
        <b/>
        <i val="0"/>
        <strike val="0"/>
        <condense val="0"/>
        <extend val="0"/>
        <outline val="0"/>
        <shadow val="0"/>
        <u val="none"/>
        <vertAlign val="baseline"/>
        <sz val="14"/>
        <color auto="1"/>
        <name val="Abadi Extra Light"/>
        <family val="2"/>
        <scheme val="none"/>
      </font>
      <fill>
        <patternFill patternType="none">
          <fgColor indexed="64"/>
          <bgColor indexed="65"/>
        </patternFill>
      </fill>
      <alignment horizontal="righ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13" formatCode="0%"/>
    </dxf>
    <dxf>
      <numFmt numFmtId="13" formatCode="0%"/>
    </dxf>
    <dxf>
      <numFmt numFmtId="13" formatCode="0%"/>
    </dxf>
    <dxf>
      <numFmt numFmtId="13" formatCode="0%"/>
    </dxf>
    <dxf>
      <numFmt numFmtId="3" formatCode="#,##0"/>
    </dxf>
    <dxf>
      <numFmt numFmtId="13" formatCode="0%"/>
    </dxf>
    <dxf>
      <numFmt numFmtId="3" formatCode="#,##0"/>
    </dxf>
    <dxf>
      <numFmt numFmtId="13" formatCode="0%"/>
    </dxf>
    <dxf>
      <numFmt numFmtId="3" formatCode="#,##0"/>
    </dxf>
    <dxf>
      <numFmt numFmtId="3" formatCode="#,##0"/>
    </dxf>
    <dxf>
      <numFmt numFmtId="13" formatCode="0%"/>
    </dxf>
    <dxf>
      <numFmt numFmtId="3" formatCode="#,##0"/>
    </dxf>
    <dxf>
      <numFmt numFmtId="3" formatCode="#,##0"/>
    </dxf>
    <dxf>
      <numFmt numFmtId="3" formatCode="#,##0"/>
    </dxf>
    <dxf>
      <numFmt numFmtId="3" formatCode="#,##0"/>
    </dxf>
    <dxf>
      <numFmt numFmtId="13" formatCode="0%"/>
    </dxf>
    <dxf>
      <font>
        <b/>
        <i val="0"/>
        <sz val="16"/>
        <color theme="0"/>
        <name val="Aptos Display"/>
        <family val="2"/>
        <scheme val="major"/>
      </font>
      <border>
        <bottom style="thin">
          <color theme="4"/>
        </bottom>
        <vertical/>
        <horizontal/>
      </border>
    </dxf>
    <dxf>
      <font>
        <color theme="1"/>
      </font>
      <fill>
        <patternFill>
          <bgColor theme="9"/>
        </patternFill>
      </fill>
      <border diagonalUp="0" diagonalDown="0">
        <left/>
        <right/>
        <top/>
        <bottom/>
        <vertical/>
        <horizontal/>
      </border>
    </dxf>
  </dxfs>
  <tableStyles count="1" defaultTableStyle="TableStyleMedium2" defaultPivotStyle="PivotStyleLight16">
    <tableStyle name="SlicerStyleLight1 2" pivot="0" table="0" count="10" xr9:uid="{2D6BAA25-6D96-4175-A287-4A4FE4D47615}">
      <tableStyleElement type="wholeTable" dxfId="95"/>
      <tableStyleElement type="headerRow" dxfId="94"/>
    </tableStyle>
  </tableStyles>
  <colors>
    <mruColors>
      <color rgb="FFBAEE9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4"/>
            <color theme="5" tint="-0.499984740745262"/>
            <name val="Aptos Display"/>
            <family val="2"/>
            <scheme val="major"/>
          </font>
          <fill>
            <patternFill patternType="none">
              <fgColor indexed="64"/>
              <bgColor auto="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4"/>
            <color theme="0"/>
            <name val="Aptos Display"/>
            <family val="2"/>
            <scheme val="major"/>
          </font>
          <fill>
            <patternFill patternType="solid">
              <fgColor rgb="FFFFFFFF"/>
              <bgColor theme="9"/>
            </patternFill>
          </fill>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1.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3.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472839152865656E-2"/>
          <c:y val="0.21836443877391684"/>
          <c:w val="0.97212037823774311"/>
          <c:h val="0.67861091723942157"/>
        </c:manualLayout>
      </c:layout>
      <c:areaChart>
        <c:grouping val="standard"/>
        <c:varyColors val="0"/>
        <c:ser>
          <c:idx val="1"/>
          <c:order val="1"/>
          <c:tx>
            <c:strRef>
              <c:f>'Pivot Table'!$E$33</c:f>
              <c:strCache>
                <c:ptCount val="1"/>
                <c:pt idx="0">
                  <c:v>Value</c:v>
                </c:pt>
              </c:strCache>
            </c:strRef>
          </c:tx>
          <c:spPr>
            <a:gradFill>
              <a:gsLst>
                <a:gs pos="100000">
                  <a:schemeClr val="accent6">
                    <a:lumMod val="75000"/>
                  </a:schemeClr>
                </a:gs>
                <a:gs pos="50000">
                  <a:schemeClr val="accent6">
                    <a:lumMod val="40000"/>
                    <a:lumOff val="60000"/>
                  </a:schemeClr>
                </a:gs>
                <a:gs pos="23000">
                  <a:schemeClr val="accent6">
                    <a:lumMod val="20000"/>
                    <a:lumOff val="80000"/>
                  </a:schemeClr>
                </a:gs>
              </a:gsLst>
              <a:lin ang="8100000" scaled="1"/>
            </a:gradFill>
            <a:ln>
              <a:noFill/>
            </a:ln>
            <a:effectLst/>
          </c:spPr>
          <c:dLbls>
            <c:delete val="1"/>
          </c:dLbls>
          <c:val>
            <c:numRef>
              <c:f>'Pivot Table'!$E$34:$E$43</c:f>
              <c:numCache>
                <c:formatCode>#,##0</c:formatCode>
                <c:ptCount val="10"/>
                <c:pt idx="0">
                  <c:v>13343</c:v>
                </c:pt>
                <c:pt idx="1">
                  <c:v>15176</c:v>
                </c:pt>
                <c:pt idx="2">
                  <c:v>14019</c:v>
                </c:pt>
                <c:pt idx="3">
                  <c:v>15612</c:v>
                </c:pt>
                <c:pt idx="4">
                  <c:v>20680</c:v>
                </c:pt>
                <c:pt idx="5">
                  <c:v>21053</c:v>
                </c:pt>
                <c:pt idx="6">
                  <c:v>22137</c:v>
                </c:pt>
                <c:pt idx="7">
                  <c:v>20296</c:v>
                </c:pt>
                <c:pt idx="8">
                  <c:v>18020</c:v>
                </c:pt>
                <c:pt idx="9">
                  <c:v>20655</c:v>
                </c:pt>
              </c:numCache>
            </c:numRef>
          </c:val>
          <c:extLst>
            <c:ext xmlns:c16="http://schemas.microsoft.com/office/drawing/2014/chart" uri="{C3380CC4-5D6E-409C-BE32-E72D297353CC}">
              <c16:uniqueId val="{00000000-F9E6-4C59-822F-F69AD6C1BDC5}"/>
            </c:ext>
          </c:extLst>
        </c:ser>
        <c:dLbls>
          <c:showLegendKey val="0"/>
          <c:showVal val="1"/>
          <c:showCatName val="0"/>
          <c:showSerName val="0"/>
          <c:showPercent val="0"/>
          <c:showBubbleSize val="0"/>
        </c:dLbls>
        <c:axId val="39776128"/>
        <c:axId val="39778048"/>
      </c:areaChart>
      <c:lineChart>
        <c:grouping val="standard"/>
        <c:varyColors val="0"/>
        <c:ser>
          <c:idx val="0"/>
          <c:order val="0"/>
          <c:tx>
            <c:strRef>
              <c:f>'Pivot Table'!$D$33</c:f>
              <c:strCache>
                <c:ptCount val="1"/>
                <c:pt idx="0">
                  <c:v>Value</c:v>
                </c:pt>
              </c:strCache>
            </c:strRef>
          </c:tx>
          <c:spPr>
            <a:ln w="41275" cap="rnd">
              <a:solidFill>
                <a:schemeClr val="accent2">
                  <a:lumMod val="75000"/>
                </a:schemeClr>
              </a:solidFill>
              <a:round/>
            </a:ln>
            <a:effectLst/>
          </c:spPr>
          <c:marker>
            <c:symbol val="none"/>
          </c:marker>
          <c:dLbls>
            <c:delete val="1"/>
          </c:dLbls>
          <c:cat>
            <c:numRef>
              <c:f>'Pivot Table'!$H$3:$H$12</c:f>
              <c:numCache>
                <c:formatCode>General</c:formatCode>
                <c:ptCount val="10"/>
                <c:pt idx="0" formatCode="0">
                  <c:v>2015</c:v>
                </c:pt>
                <c:pt idx="1">
                  <c:v>2016</c:v>
                </c:pt>
                <c:pt idx="2" formatCode="0">
                  <c:v>2017</c:v>
                </c:pt>
                <c:pt idx="3">
                  <c:v>2018</c:v>
                </c:pt>
                <c:pt idx="4" formatCode="0">
                  <c:v>2019</c:v>
                </c:pt>
                <c:pt idx="5">
                  <c:v>2020</c:v>
                </c:pt>
                <c:pt idx="6" formatCode="0">
                  <c:v>2021</c:v>
                </c:pt>
                <c:pt idx="7" formatCode="0">
                  <c:v>2022</c:v>
                </c:pt>
                <c:pt idx="8" formatCode="0">
                  <c:v>2023</c:v>
                </c:pt>
                <c:pt idx="9">
                  <c:v>2024</c:v>
                </c:pt>
              </c:numCache>
            </c:numRef>
          </c:cat>
          <c:val>
            <c:numRef>
              <c:f>'Pivot Table'!$D$34:$D$43</c:f>
              <c:numCache>
                <c:formatCode>#,##0</c:formatCode>
                <c:ptCount val="10"/>
                <c:pt idx="0">
                  <c:v>13343</c:v>
                </c:pt>
                <c:pt idx="1">
                  <c:v>15176</c:v>
                </c:pt>
                <c:pt idx="2">
                  <c:v>14019</c:v>
                </c:pt>
                <c:pt idx="3">
                  <c:v>15612</c:v>
                </c:pt>
                <c:pt idx="4">
                  <c:v>20680</c:v>
                </c:pt>
                <c:pt idx="5">
                  <c:v>21053</c:v>
                </c:pt>
                <c:pt idx="6">
                  <c:v>22137</c:v>
                </c:pt>
                <c:pt idx="7">
                  <c:v>20296</c:v>
                </c:pt>
                <c:pt idx="8">
                  <c:v>18020</c:v>
                </c:pt>
                <c:pt idx="9">
                  <c:v>20655</c:v>
                </c:pt>
              </c:numCache>
            </c:numRef>
          </c:val>
          <c:smooth val="1"/>
          <c:extLst>
            <c:ext xmlns:c16="http://schemas.microsoft.com/office/drawing/2014/chart" uri="{C3380CC4-5D6E-409C-BE32-E72D297353CC}">
              <c16:uniqueId val="{00000001-F9E6-4C59-822F-F69AD6C1BDC5}"/>
            </c:ext>
          </c:extLst>
        </c:ser>
        <c:dLbls>
          <c:showLegendKey val="0"/>
          <c:showVal val="1"/>
          <c:showCatName val="0"/>
          <c:showSerName val="0"/>
          <c:showPercent val="0"/>
          <c:showBubbleSize val="0"/>
        </c:dLbls>
        <c:marker val="1"/>
        <c:smooth val="0"/>
        <c:axId val="39776128"/>
        <c:axId val="39778048"/>
      </c:lineChart>
      <c:scatterChart>
        <c:scatterStyle val="lineMarker"/>
        <c:varyColors val="0"/>
        <c:ser>
          <c:idx val="2"/>
          <c:order val="2"/>
          <c:tx>
            <c:strRef>
              <c:f>'Pivot Table'!$F$33</c:f>
              <c:strCache>
                <c:ptCount val="1"/>
                <c:pt idx="0">
                  <c:v>MAX</c:v>
                </c:pt>
              </c:strCache>
            </c:strRef>
          </c:tx>
          <c:spPr>
            <a:ln w="25400" cap="rnd">
              <a:noFill/>
              <a:round/>
            </a:ln>
            <a:effectLst/>
          </c:spPr>
          <c:marker>
            <c:symbol val="circle"/>
            <c:size val="13"/>
            <c:spPr>
              <a:solidFill>
                <a:schemeClr val="bg1"/>
              </a:solidFill>
              <a:ln w="34925">
                <a:solidFill>
                  <a:schemeClr val="accent6">
                    <a:lumMod val="75000"/>
                  </a:schemeClr>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'Pivot Table'!$F$34:$F$43</c:f>
              <c:numCache>
                <c:formatCode>#,##0</c:formatCode>
                <c:ptCount val="10"/>
                <c:pt idx="0">
                  <c:v>#N/A</c:v>
                </c:pt>
                <c:pt idx="1">
                  <c:v>#N/A</c:v>
                </c:pt>
                <c:pt idx="2">
                  <c:v>#N/A</c:v>
                </c:pt>
                <c:pt idx="3">
                  <c:v>15612</c:v>
                </c:pt>
                <c:pt idx="4">
                  <c:v>#N/A</c:v>
                </c:pt>
                <c:pt idx="5">
                  <c:v>#N/A</c:v>
                </c:pt>
                <c:pt idx="6">
                  <c:v>#N/A</c:v>
                </c:pt>
                <c:pt idx="7">
                  <c:v>#N/A</c:v>
                </c:pt>
                <c:pt idx="8">
                  <c:v>#N/A</c:v>
                </c:pt>
                <c:pt idx="9">
                  <c:v>#N/A</c:v>
                </c:pt>
              </c:numCache>
            </c:numRef>
          </c:yVal>
          <c:smooth val="0"/>
          <c:extLst>
            <c:ext xmlns:c16="http://schemas.microsoft.com/office/drawing/2014/chart" uri="{C3380CC4-5D6E-409C-BE32-E72D297353CC}">
              <c16:uniqueId val="{00000002-F9E6-4C59-822F-F69AD6C1BDC5}"/>
            </c:ext>
          </c:extLst>
        </c:ser>
        <c:dLbls>
          <c:showLegendKey val="0"/>
          <c:showVal val="1"/>
          <c:showCatName val="0"/>
          <c:showSerName val="0"/>
          <c:showPercent val="0"/>
          <c:showBubbleSize val="0"/>
        </c:dLbls>
        <c:axId val="39776128"/>
        <c:axId val="39778048"/>
      </c:scatterChart>
      <c:catAx>
        <c:axId val="39776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LID4096"/>
          </a:p>
        </c:txPr>
        <c:crossAx val="39778048"/>
        <c:crosses val="autoZero"/>
        <c:auto val="1"/>
        <c:lblAlgn val="ctr"/>
        <c:lblOffset val="100"/>
        <c:noMultiLvlLbl val="0"/>
      </c:catAx>
      <c:valAx>
        <c:axId val="39778048"/>
        <c:scaling>
          <c:orientation val="minMax"/>
        </c:scaling>
        <c:delete val="1"/>
        <c:axPos val="l"/>
        <c:numFmt formatCode="#,##0" sourceLinked="1"/>
        <c:majorTickMark val="none"/>
        <c:minorTickMark val="none"/>
        <c:tickLblPos val="nextTo"/>
        <c:crossAx val="39776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LID4096"/>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18969692888266"/>
          <c:y val="2.9132714259166449E-2"/>
          <c:w val="0.91332247277404333"/>
          <c:h val="0.92431849321837034"/>
        </c:manualLayout>
      </c:layout>
      <c:doughnutChart>
        <c:varyColors val="1"/>
        <c:ser>
          <c:idx val="1"/>
          <c:order val="0"/>
          <c:tx>
            <c:strRef>
              <c:f>'Pivot Table'!$N$78</c:f>
              <c:strCache>
                <c:ptCount val="1"/>
                <c:pt idx="0">
                  <c:v>Return on equity</c:v>
                </c:pt>
              </c:strCache>
            </c:strRef>
          </c:tx>
          <c:dPt>
            <c:idx val="0"/>
            <c:bubble3D val="0"/>
            <c:spPr>
              <a:noFill/>
            </c:spPr>
            <c:extLst>
              <c:ext xmlns:c16="http://schemas.microsoft.com/office/drawing/2014/chart" uri="{C3380CC4-5D6E-409C-BE32-E72D297353CC}">
                <c16:uniqueId val="{0000000C-8A89-46D1-9CB9-BC5C5888A2B7}"/>
              </c:ext>
            </c:extLst>
          </c:dPt>
          <c:dPt>
            <c:idx val="1"/>
            <c:bubble3D val="0"/>
            <c:spPr>
              <a:solidFill>
                <a:schemeClr val="accent2">
                  <a:lumMod val="60000"/>
                  <a:lumOff val="40000"/>
                </a:schemeClr>
              </a:solidFill>
            </c:spPr>
            <c:extLst>
              <c:ext xmlns:c16="http://schemas.microsoft.com/office/drawing/2014/chart" uri="{C3380CC4-5D6E-409C-BE32-E72D297353CC}">
                <c16:uniqueId val="{0000000D-8A89-46D1-9CB9-BC5C5888A2B7}"/>
              </c:ext>
            </c:extLst>
          </c:dPt>
          <c:val>
            <c:numRef>
              <c:f>'Pivot Table'!$N$79:$N$80</c:f>
              <c:numCache>
                <c:formatCode>0%</c:formatCode>
                <c:ptCount val="2"/>
                <c:pt idx="0">
                  <c:v>0.26700000000000002</c:v>
                </c:pt>
                <c:pt idx="1">
                  <c:v>0.73299999999999998</c:v>
                </c:pt>
              </c:numCache>
            </c:numRef>
          </c:val>
          <c:extLst>
            <c:ext xmlns:c16="http://schemas.microsoft.com/office/drawing/2014/chart" uri="{C3380CC4-5D6E-409C-BE32-E72D297353CC}">
              <c16:uniqueId val="{0000000B-8A89-46D1-9CB9-BC5C5888A2B7}"/>
            </c:ext>
          </c:extLst>
        </c:ser>
        <c:ser>
          <c:idx val="0"/>
          <c:order val="1"/>
          <c:tx>
            <c:strRef>
              <c:f>'Pivot Table'!$N$78</c:f>
              <c:strCache>
                <c:ptCount val="1"/>
                <c:pt idx="0">
                  <c:v>Return on equity</c:v>
                </c:pt>
              </c:strCache>
            </c:strRef>
          </c:tx>
          <c:explosion val="3"/>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7-8A89-46D1-9CB9-BC5C5888A2B7}"/>
              </c:ext>
            </c:extLst>
          </c:dPt>
          <c:dPt>
            <c:idx val="1"/>
            <c:bubble3D val="0"/>
            <c:spPr>
              <a:noFill/>
              <a:ln w="19050">
                <a:solidFill>
                  <a:schemeClr val="lt1"/>
                </a:solidFill>
              </a:ln>
              <a:effectLst/>
            </c:spPr>
            <c:extLst>
              <c:ext xmlns:c16="http://schemas.microsoft.com/office/drawing/2014/chart" uri="{C3380CC4-5D6E-409C-BE32-E72D297353CC}">
                <c16:uniqueId val="{00000009-8A89-46D1-9CB9-BC5C5888A2B7}"/>
              </c:ext>
            </c:extLst>
          </c:dPt>
          <c:val>
            <c:numRef>
              <c:f>'Pivot Table'!$N$79:$N$80</c:f>
              <c:numCache>
                <c:formatCode>0%</c:formatCode>
                <c:ptCount val="2"/>
                <c:pt idx="0">
                  <c:v>0.26700000000000002</c:v>
                </c:pt>
                <c:pt idx="1">
                  <c:v>0.73299999999999998</c:v>
                </c:pt>
              </c:numCache>
            </c:numRef>
          </c:val>
          <c:extLst>
            <c:ext xmlns:c16="http://schemas.microsoft.com/office/drawing/2014/chart" uri="{C3380CC4-5D6E-409C-BE32-E72D297353CC}">
              <c16:uniqueId val="{0000000A-8A89-46D1-9CB9-BC5C5888A2B7}"/>
            </c:ext>
          </c:extLst>
        </c:ser>
        <c:dLbls>
          <c:showLegendKey val="0"/>
          <c:showVal val="0"/>
          <c:showCatName val="0"/>
          <c:showSerName val="0"/>
          <c:showPercent val="0"/>
          <c:showBubbleSize val="0"/>
          <c:showLeaderLines val="1"/>
        </c:dLbls>
        <c:firstSliceAng val="0"/>
        <c:holeSize val="75"/>
      </c:doughnutChart>
      <c:spPr>
        <a:ln>
          <a:noFill/>
        </a:ln>
      </c:spPr>
    </c:plotArea>
    <c:plotVisOnly val="1"/>
    <c:dispBlanksAs val="gap"/>
    <c:showDLblsOverMax val="0"/>
    <c:extLst/>
  </c:chart>
  <c:spPr>
    <a:ln>
      <a:noFill/>
    </a:ln>
  </c:spPr>
  <c:txPr>
    <a:bodyPr/>
    <a:lstStyle/>
    <a:p>
      <a:pPr>
        <a:defRPr/>
      </a:pPr>
      <a:endParaRPr lang="LID4096"/>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387203391053633E-2"/>
          <c:y val="0.29131655873713125"/>
          <c:w val="0.96122565650936109"/>
          <c:h val="0.55847334066403553"/>
        </c:manualLayout>
      </c:layout>
      <c:lineChart>
        <c:grouping val="standard"/>
        <c:varyColors val="0"/>
        <c:ser>
          <c:idx val="0"/>
          <c:order val="0"/>
          <c:tx>
            <c:strRef>
              <c:f>'Pivot Table'!$J$149</c:f>
              <c:strCache>
                <c:ptCount val="1"/>
                <c:pt idx="0">
                  <c:v>CapEx</c:v>
                </c:pt>
              </c:strCache>
            </c:strRef>
          </c:tx>
          <c:spPr>
            <a:ln w="31750" cap="rnd">
              <a:solidFill>
                <a:schemeClr val="accent6">
                  <a:lumMod val="50000"/>
                </a:schemeClr>
              </a:solidFill>
              <a:round/>
            </a:ln>
            <a:effectLst/>
          </c:spPr>
          <c:marker>
            <c:symbol val="none"/>
          </c:marker>
          <c:dLbls>
            <c:delete val="1"/>
          </c:dLbls>
          <c:cat>
            <c:numRef>
              <c:f>'Pivot Table'!$H$3:$H$18</c:f>
              <c:numCache>
                <c:formatCode>General</c:formatCode>
                <c:ptCount val="16"/>
                <c:pt idx="0" formatCode="0">
                  <c:v>2015</c:v>
                </c:pt>
                <c:pt idx="1">
                  <c:v>2016</c:v>
                </c:pt>
                <c:pt idx="2" formatCode="0">
                  <c:v>2017</c:v>
                </c:pt>
                <c:pt idx="3">
                  <c:v>2018</c:v>
                </c:pt>
                <c:pt idx="4" formatCode="0">
                  <c:v>2019</c:v>
                </c:pt>
                <c:pt idx="5">
                  <c:v>2020</c:v>
                </c:pt>
                <c:pt idx="6" formatCode="0">
                  <c:v>2021</c:v>
                </c:pt>
                <c:pt idx="7" formatCode="0">
                  <c:v>2022</c:v>
                </c:pt>
                <c:pt idx="8" formatCode="0">
                  <c:v>2023</c:v>
                </c:pt>
                <c:pt idx="9">
                  <c:v>2024</c:v>
                </c:pt>
                <c:pt idx="10" formatCode="0">
                  <c:v>2025</c:v>
                </c:pt>
                <c:pt idx="11">
                  <c:v>2026</c:v>
                </c:pt>
                <c:pt idx="12" formatCode="0">
                  <c:v>2027</c:v>
                </c:pt>
                <c:pt idx="13">
                  <c:v>2028</c:v>
                </c:pt>
                <c:pt idx="14" formatCode="0">
                  <c:v>2029</c:v>
                </c:pt>
                <c:pt idx="15">
                  <c:v>2030</c:v>
                </c:pt>
              </c:numCache>
            </c:numRef>
          </c:cat>
          <c:val>
            <c:numRef>
              <c:f>'Pivot Table'!$J$150:$J$165</c:f>
              <c:numCache>
                <c:formatCode>#,##0</c:formatCode>
                <c:ptCount val="16"/>
                <c:pt idx="0">
                  <c:v>1021.530999999999</c:v>
                </c:pt>
                <c:pt idx="1">
                  <c:v>710.62700000000063</c:v>
                </c:pt>
                <c:pt idx="2">
                  <c:v>1506.5740000000005</c:v>
                </c:pt>
                <c:pt idx="3">
                  <c:v>1887.62</c:v>
                </c:pt>
                <c:pt idx="4">
                  <c:v>2710.5319999999992</c:v>
                </c:pt>
                <c:pt idx="5">
                  <c:v>1227.9090000000003</c:v>
                </c:pt>
                <c:pt idx="6">
                  <c:v>754.54299999999876</c:v>
                </c:pt>
                <c:pt idx="7">
                  <c:v>-324.39599999999837</c:v>
                </c:pt>
                <c:pt idx="8">
                  <c:v>1949.4525555555551</c:v>
                </c:pt>
                <c:pt idx="9">
                  <c:v>1863.85</c:v>
                </c:pt>
                <c:pt idx="10">
                  <c:v>1499.6971607930691</c:v>
                </c:pt>
              </c:numCache>
            </c:numRef>
          </c:val>
          <c:smooth val="1"/>
          <c:extLst>
            <c:ext xmlns:c16="http://schemas.microsoft.com/office/drawing/2014/chart" uri="{C3380CC4-5D6E-409C-BE32-E72D297353CC}">
              <c16:uniqueId val="{00000000-9CB0-421D-94B6-CE9707AC31D1}"/>
            </c:ext>
          </c:extLst>
        </c:ser>
        <c:ser>
          <c:idx val="1"/>
          <c:order val="1"/>
          <c:tx>
            <c:strRef>
              <c:f>'Pivot Table'!$K$149</c:f>
              <c:strCache>
                <c:ptCount val="1"/>
                <c:pt idx="0">
                  <c:v>Forecast</c:v>
                </c:pt>
              </c:strCache>
            </c:strRef>
          </c:tx>
          <c:spPr>
            <a:ln w="31750" cap="rnd">
              <a:solidFill>
                <a:schemeClr val="accent2"/>
              </a:solidFill>
              <a:round/>
            </a:ln>
            <a:effectLst/>
          </c:spPr>
          <c:marker>
            <c:symbol val="none"/>
          </c:marker>
          <c:dLbls>
            <c:delete val="1"/>
          </c:dLbls>
          <c:cat>
            <c:numRef>
              <c:f>'Pivot Table'!$H$3:$H$18</c:f>
              <c:numCache>
                <c:formatCode>General</c:formatCode>
                <c:ptCount val="16"/>
                <c:pt idx="0" formatCode="0">
                  <c:v>2015</c:v>
                </c:pt>
                <c:pt idx="1">
                  <c:v>2016</c:v>
                </c:pt>
                <c:pt idx="2" formatCode="0">
                  <c:v>2017</c:v>
                </c:pt>
                <c:pt idx="3">
                  <c:v>2018</c:v>
                </c:pt>
                <c:pt idx="4" formatCode="0">
                  <c:v>2019</c:v>
                </c:pt>
                <c:pt idx="5">
                  <c:v>2020</c:v>
                </c:pt>
                <c:pt idx="6" formatCode="0">
                  <c:v>2021</c:v>
                </c:pt>
                <c:pt idx="7" formatCode="0">
                  <c:v>2022</c:v>
                </c:pt>
                <c:pt idx="8" formatCode="0">
                  <c:v>2023</c:v>
                </c:pt>
                <c:pt idx="9">
                  <c:v>2024</c:v>
                </c:pt>
                <c:pt idx="10" formatCode="0">
                  <c:v>2025</c:v>
                </c:pt>
                <c:pt idx="11">
                  <c:v>2026</c:v>
                </c:pt>
                <c:pt idx="12" formatCode="0">
                  <c:v>2027</c:v>
                </c:pt>
                <c:pt idx="13">
                  <c:v>2028</c:v>
                </c:pt>
                <c:pt idx="14" formatCode="0">
                  <c:v>2029</c:v>
                </c:pt>
                <c:pt idx="15">
                  <c:v>2030</c:v>
                </c:pt>
              </c:numCache>
            </c:numRef>
          </c:cat>
          <c:val>
            <c:numRef>
              <c:f>'Pivot Table'!$K$150:$K$165</c:f>
              <c:numCache>
                <c:formatCode>General</c:formatCode>
                <c:ptCount val="16"/>
                <c:pt idx="10" formatCode="#,##0">
                  <c:v>1499.6971607930691</c:v>
                </c:pt>
                <c:pt idx="11" formatCode="#,##0">
                  <c:v>1431.9259480140222</c:v>
                </c:pt>
                <c:pt idx="12" formatCode="#,##0">
                  <c:v>1531.2526211877303</c:v>
                </c:pt>
                <c:pt idx="13" formatCode="#,##0">
                  <c:v>1719.3630673869311</c:v>
                </c:pt>
                <c:pt idx="14" formatCode="#,##0">
                  <c:v>1719.0509180302133</c:v>
                </c:pt>
                <c:pt idx="15" formatCode="#,##0">
                  <c:v>1756.7943350420405</c:v>
                </c:pt>
              </c:numCache>
            </c:numRef>
          </c:val>
          <c:smooth val="1"/>
          <c:extLst>
            <c:ext xmlns:c16="http://schemas.microsoft.com/office/drawing/2014/chart" uri="{C3380CC4-5D6E-409C-BE32-E72D297353CC}">
              <c16:uniqueId val="{00000001-9CB0-421D-94B6-CE9707AC31D1}"/>
            </c:ext>
          </c:extLst>
        </c:ser>
        <c:dLbls>
          <c:showLegendKey val="0"/>
          <c:showVal val="1"/>
          <c:showCatName val="0"/>
          <c:showSerName val="0"/>
          <c:showPercent val="0"/>
          <c:showBubbleSize val="0"/>
        </c:dLbls>
        <c:marker val="1"/>
        <c:smooth val="0"/>
        <c:axId val="34469088"/>
        <c:axId val="34470528"/>
      </c:lineChart>
      <c:scatterChart>
        <c:scatterStyle val="lineMarker"/>
        <c:varyColors val="0"/>
        <c:ser>
          <c:idx val="2"/>
          <c:order val="2"/>
          <c:tx>
            <c:strRef>
              <c:f>'Pivot Table'!$L$149</c:f>
              <c:strCache>
                <c:ptCount val="1"/>
                <c:pt idx="0">
                  <c:v>max</c:v>
                </c:pt>
              </c:strCache>
            </c:strRef>
          </c:tx>
          <c:spPr>
            <a:ln w="25400" cap="rnd">
              <a:noFill/>
              <a:round/>
            </a:ln>
            <a:effectLst/>
          </c:spPr>
          <c:marker>
            <c:symbol val="circle"/>
            <c:size val="12"/>
            <c:spPr>
              <a:solidFill>
                <a:schemeClr val="accent6">
                  <a:lumMod val="40000"/>
                  <a:lumOff val="60000"/>
                </a:schemeClr>
              </a:solidFill>
              <a:ln w="28575">
                <a:solidFill>
                  <a:schemeClr val="accent2">
                    <a:lumMod val="75000"/>
                  </a:schemeClr>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'Pivot Table'!$L$150:$L$165</c:f>
              <c:numCache>
                <c:formatCode>General</c:formatCode>
                <c:ptCount val="16"/>
                <c:pt idx="0">
                  <c:v>#N/A</c:v>
                </c:pt>
                <c:pt idx="1">
                  <c:v>#N/A</c:v>
                </c:pt>
                <c:pt idx="2">
                  <c:v>#N/A</c:v>
                </c:pt>
                <c:pt idx="3">
                  <c:v>1887.62</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2-9CB0-421D-94B6-CE9707AC31D1}"/>
            </c:ext>
          </c:extLst>
        </c:ser>
        <c:dLbls>
          <c:showLegendKey val="0"/>
          <c:showVal val="1"/>
          <c:showCatName val="0"/>
          <c:showSerName val="0"/>
          <c:showPercent val="0"/>
          <c:showBubbleSize val="0"/>
        </c:dLbls>
        <c:axId val="34469088"/>
        <c:axId val="34470528"/>
      </c:scatterChart>
      <c:catAx>
        <c:axId val="3446908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LID4096"/>
          </a:p>
        </c:txPr>
        <c:crossAx val="34470528"/>
        <c:crosses val="autoZero"/>
        <c:auto val="1"/>
        <c:lblAlgn val="ctr"/>
        <c:lblOffset val="100"/>
        <c:noMultiLvlLbl val="0"/>
      </c:catAx>
      <c:valAx>
        <c:axId val="34470528"/>
        <c:scaling>
          <c:orientation val="minMax"/>
        </c:scaling>
        <c:delete val="1"/>
        <c:axPos val="l"/>
        <c:numFmt formatCode="#,##0" sourceLinked="1"/>
        <c:majorTickMark val="none"/>
        <c:minorTickMark val="none"/>
        <c:tickLblPos val="nextTo"/>
        <c:crossAx val="34469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713087938303259E-2"/>
          <c:y val="0.2002800783911928"/>
          <c:w val="0.87269371937971096"/>
          <c:h val="0.74964983233527793"/>
        </c:manualLayout>
      </c:layout>
      <c:barChart>
        <c:barDir val="bar"/>
        <c:grouping val="stacked"/>
        <c:varyColors val="0"/>
        <c:ser>
          <c:idx val="0"/>
          <c:order val="0"/>
          <c:tx>
            <c:strRef>
              <c:f>'Pivot Table'!$E$96</c:f>
              <c:strCache>
                <c:ptCount val="1"/>
                <c:pt idx="0">
                  <c:v>Value</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Table'!$H$3:$H$12</c:f>
              <c:numCache>
                <c:formatCode>General</c:formatCode>
                <c:ptCount val="10"/>
                <c:pt idx="0" formatCode="0">
                  <c:v>2015</c:v>
                </c:pt>
                <c:pt idx="1">
                  <c:v>2016</c:v>
                </c:pt>
                <c:pt idx="2" formatCode="0">
                  <c:v>2017</c:v>
                </c:pt>
                <c:pt idx="3">
                  <c:v>2018</c:v>
                </c:pt>
                <c:pt idx="4" formatCode="0">
                  <c:v>2019</c:v>
                </c:pt>
                <c:pt idx="5">
                  <c:v>2020</c:v>
                </c:pt>
                <c:pt idx="6" formatCode="0">
                  <c:v>2021</c:v>
                </c:pt>
                <c:pt idx="7" formatCode="0">
                  <c:v>2022</c:v>
                </c:pt>
                <c:pt idx="8" formatCode="0">
                  <c:v>2023</c:v>
                </c:pt>
                <c:pt idx="9">
                  <c:v>2024</c:v>
                </c:pt>
              </c:numCache>
            </c:numRef>
          </c:cat>
          <c:val>
            <c:numRef>
              <c:f>'Pivot Table'!$E$97:$E$106</c:f>
              <c:numCache>
                <c:formatCode>#,##0</c:formatCode>
                <c:ptCount val="10"/>
                <c:pt idx="0">
                  <c:v>#N/A</c:v>
                </c:pt>
                <c:pt idx="1">
                  <c:v>#N/A</c:v>
                </c:pt>
                <c:pt idx="2">
                  <c:v>#N/A</c:v>
                </c:pt>
                <c:pt idx="3">
                  <c:v>2294.9639999999999</c:v>
                </c:pt>
                <c:pt idx="4">
                  <c:v>#N/A</c:v>
                </c:pt>
                <c:pt idx="5">
                  <c:v>#N/A</c:v>
                </c:pt>
                <c:pt idx="6">
                  <c:v>#N/A</c:v>
                </c:pt>
                <c:pt idx="7">
                  <c:v>#N/A</c:v>
                </c:pt>
                <c:pt idx="8">
                  <c:v>#N/A</c:v>
                </c:pt>
                <c:pt idx="9">
                  <c:v>#N/A</c:v>
                </c:pt>
              </c:numCache>
            </c:numRef>
          </c:val>
          <c:extLst>
            <c:ext xmlns:c16="http://schemas.microsoft.com/office/drawing/2014/chart" uri="{C3380CC4-5D6E-409C-BE32-E72D297353CC}">
              <c16:uniqueId val="{00000000-8070-463B-9D16-802BF5B6949F}"/>
            </c:ext>
          </c:extLst>
        </c:ser>
        <c:ser>
          <c:idx val="1"/>
          <c:order val="1"/>
          <c:tx>
            <c:strRef>
              <c:f>'Pivot Table'!$F$96</c:f>
              <c:strCache>
                <c:ptCount val="1"/>
                <c:pt idx="0">
                  <c:v>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Table'!$H$3:$H$12</c:f>
              <c:numCache>
                <c:formatCode>General</c:formatCode>
                <c:ptCount val="10"/>
                <c:pt idx="0" formatCode="0">
                  <c:v>2015</c:v>
                </c:pt>
                <c:pt idx="1">
                  <c:v>2016</c:v>
                </c:pt>
                <c:pt idx="2" formatCode="0">
                  <c:v>2017</c:v>
                </c:pt>
                <c:pt idx="3">
                  <c:v>2018</c:v>
                </c:pt>
                <c:pt idx="4" formatCode="0">
                  <c:v>2019</c:v>
                </c:pt>
                <c:pt idx="5">
                  <c:v>2020</c:v>
                </c:pt>
                <c:pt idx="6" formatCode="0">
                  <c:v>2021</c:v>
                </c:pt>
                <c:pt idx="7" formatCode="0">
                  <c:v>2022</c:v>
                </c:pt>
                <c:pt idx="8" formatCode="0">
                  <c:v>2023</c:v>
                </c:pt>
                <c:pt idx="9">
                  <c:v>2024</c:v>
                </c:pt>
              </c:numCache>
            </c:numRef>
          </c:cat>
          <c:val>
            <c:numRef>
              <c:f>'Pivot Table'!$F$97:$F$106</c:f>
              <c:numCache>
                <c:formatCode>#,##0</c:formatCode>
                <c:ptCount val="10"/>
                <c:pt idx="0">
                  <c:v>#N/A</c:v>
                </c:pt>
                <c:pt idx="1">
                  <c:v>#N/A</c:v>
                </c:pt>
                <c:pt idx="2">
                  <c:v>#N/A</c:v>
                </c:pt>
                <c:pt idx="3">
                  <c:v>2419.86</c:v>
                </c:pt>
                <c:pt idx="4">
                  <c:v>#N/A</c:v>
                </c:pt>
                <c:pt idx="5">
                  <c:v>#N/A</c:v>
                </c:pt>
                <c:pt idx="6">
                  <c:v>#N/A</c:v>
                </c:pt>
                <c:pt idx="7">
                  <c:v>#N/A</c:v>
                </c:pt>
                <c:pt idx="8">
                  <c:v>#N/A</c:v>
                </c:pt>
                <c:pt idx="9">
                  <c:v>#N/A</c:v>
                </c:pt>
              </c:numCache>
            </c:numRef>
          </c:val>
          <c:extLst>
            <c:ext xmlns:c16="http://schemas.microsoft.com/office/drawing/2014/chart" uri="{C3380CC4-5D6E-409C-BE32-E72D297353CC}">
              <c16:uniqueId val="{00000001-8070-463B-9D16-802BF5B6949F}"/>
            </c:ext>
          </c:extLst>
        </c:ser>
        <c:ser>
          <c:idx val="2"/>
          <c:order val="2"/>
          <c:tx>
            <c:strRef>
              <c:f>'Pivot Table'!$G$96</c:f>
              <c:strCache>
                <c:ptCount val="1"/>
                <c:pt idx="0">
                  <c:v>Value</c:v>
                </c:pt>
              </c:strCache>
            </c:strRef>
          </c:tx>
          <c:spPr>
            <a:solidFill>
              <a:schemeClr val="accent6">
                <a:lumMod val="40000"/>
                <a:lumOff val="60000"/>
              </a:schemeClr>
            </a:solidFill>
            <a:ln>
              <a:noFill/>
            </a:ln>
            <a:effectLst/>
          </c:spPr>
          <c:invertIfNegative val="0"/>
          <c:dLbls>
            <c:delete val="1"/>
          </c:dLbls>
          <c:cat>
            <c:numRef>
              <c:f>'Pivot Table'!$H$3:$H$12</c:f>
              <c:numCache>
                <c:formatCode>General</c:formatCode>
                <c:ptCount val="10"/>
                <c:pt idx="0" formatCode="0">
                  <c:v>2015</c:v>
                </c:pt>
                <c:pt idx="1">
                  <c:v>2016</c:v>
                </c:pt>
                <c:pt idx="2" formatCode="0">
                  <c:v>2017</c:v>
                </c:pt>
                <c:pt idx="3">
                  <c:v>2018</c:v>
                </c:pt>
                <c:pt idx="4" formatCode="0">
                  <c:v>2019</c:v>
                </c:pt>
                <c:pt idx="5">
                  <c:v>2020</c:v>
                </c:pt>
                <c:pt idx="6" formatCode="0">
                  <c:v>2021</c:v>
                </c:pt>
                <c:pt idx="7" formatCode="0">
                  <c:v>2022</c:v>
                </c:pt>
                <c:pt idx="8" formatCode="0">
                  <c:v>2023</c:v>
                </c:pt>
                <c:pt idx="9">
                  <c:v>2024</c:v>
                </c:pt>
              </c:numCache>
            </c:numRef>
          </c:cat>
          <c:val>
            <c:numRef>
              <c:f>'Pivot Table'!$G$97:$G$106</c:f>
              <c:numCache>
                <c:formatCode>#,##0</c:formatCode>
                <c:ptCount val="10"/>
                <c:pt idx="0">
                  <c:v>2028.136</c:v>
                </c:pt>
                <c:pt idx="1">
                  <c:v>2488.864</c:v>
                </c:pt>
                <c:pt idx="2">
                  <c:v>1976.6789999999999</c:v>
                </c:pt>
                <c:pt idx="3">
                  <c:v>#N/A</c:v>
                </c:pt>
                <c:pt idx="4">
                  <c:v>2709.08</c:v>
                </c:pt>
                <c:pt idx="5">
                  <c:v>2400.0419999999999</c:v>
                </c:pt>
                <c:pt idx="6">
                  <c:v>2302.248</c:v>
                </c:pt>
                <c:pt idx="7">
                  <c:v>2902.328</c:v>
                </c:pt>
                <c:pt idx="8">
                  <c:v>2270.52</c:v>
                </c:pt>
                <c:pt idx="9">
                  <c:v>3098.25</c:v>
                </c:pt>
              </c:numCache>
            </c:numRef>
          </c:val>
          <c:extLst>
            <c:ext xmlns:c16="http://schemas.microsoft.com/office/drawing/2014/chart" uri="{C3380CC4-5D6E-409C-BE32-E72D297353CC}">
              <c16:uniqueId val="{00000002-8070-463B-9D16-802BF5B6949F}"/>
            </c:ext>
          </c:extLst>
        </c:ser>
        <c:ser>
          <c:idx val="3"/>
          <c:order val="3"/>
          <c:tx>
            <c:strRef>
              <c:f>'Pivot Table'!$H$96</c:f>
              <c:strCache>
                <c:ptCount val="1"/>
                <c:pt idx="0">
                  <c:v>Value</c:v>
                </c:pt>
              </c:strCache>
            </c:strRef>
          </c:tx>
          <c:spPr>
            <a:solidFill>
              <a:schemeClr val="accent2">
                <a:lumMod val="40000"/>
                <a:lumOff val="60000"/>
              </a:schemeClr>
            </a:solidFill>
            <a:ln>
              <a:noFill/>
            </a:ln>
            <a:effectLst/>
          </c:spPr>
          <c:invertIfNegative val="0"/>
          <c:dLbls>
            <c:delete val="1"/>
          </c:dLbls>
          <c:cat>
            <c:numRef>
              <c:f>'Pivot Table'!$H$3:$H$12</c:f>
              <c:numCache>
                <c:formatCode>General</c:formatCode>
                <c:ptCount val="10"/>
                <c:pt idx="0" formatCode="0">
                  <c:v>2015</c:v>
                </c:pt>
                <c:pt idx="1">
                  <c:v>2016</c:v>
                </c:pt>
                <c:pt idx="2" formatCode="0">
                  <c:v>2017</c:v>
                </c:pt>
                <c:pt idx="3">
                  <c:v>2018</c:v>
                </c:pt>
                <c:pt idx="4" formatCode="0">
                  <c:v>2019</c:v>
                </c:pt>
                <c:pt idx="5">
                  <c:v>2020</c:v>
                </c:pt>
                <c:pt idx="6" formatCode="0">
                  <c:v>2021</c:v>
                </c:pt>
                <c:pt idx="7" formatCode="0">
                  <c:v>2022</c:v>
                </c:pt>
                <c:pt idx="8" formatCode="0">
                  <c:v>2023</c:v>
                </c:pt>
                <c:pt idx="9">
                  <c:v>2024</c:v>
                </c:pt>
              </c:numCache>
            </c:numRef>
          </c:cat>
          <c:val>
            <c:numRef>
              <c:f>'Pivot Table'!$H$97:$H$106</c:f>
              <c:numCache>
                <c:formatCode>#,##0</c:formatCode>
                <c:ptCount val="10"/>
                <c:pt idx="0">
                  <c:v>2054.8220000000001</c:v>
                </c:pt>
                <c:pt idx="1">
                  <c:v>2200.52</c:v>
                </c:pt>
                <c:pt idx="2">
                  <c:v>2313.1350000000002</c:v>
                </c:pt>
                <c:pt idx="3">
                  <c:v>#N/A</c:v>
                </c:pt>
                <c:pt idx="4">
                  <c:v>2626.36</c:v>
                </c:pt>
                <c:pt idx="5">
                  <c:v>1957.9290000000001</c:v>
                </c:pt>
                <c:pt idx="6">
                  <c:v>2169.4259999999999</c:v>
                </c:pt>
                <c:pt idx="7">
                  <c:v>2537</c:v>
                </c:pt>
                <c:pt idx="8">
                  <c:v>1910.12</c:v>
                </c:pt>
                <c:pt idx="9">
                  <c:v>2416.6350000000002</c:v>
                </c:pt>
              </c:numCache>
            </c:numRef>
          </c:val>
          <c:extLst>
            <c:ext xmlns:c16="http://schemas.microsoft.com/office/drawing/2014/chart" uri="{C3380CC4-5D6E-409C-BE32-E72D297353CC}">
              <c16:uniqueId val="{00000003-8070-463B-9D16-802BF5B6949F}"/>
            </c:ext>
          </c:extLst>
        </c:ser>
        <c:dLbls>
          <c:dLblPos val="ctr"/>
          <c:showLegendKey val="0"/>
          <c:showVal val="1"/>
          <c:showCatName val="0"/>
          <c:showSerName val="0"/>
          <c:showPercent val="0"/>
          <c:showBubbleSize val="0"/>
        </c:dLbls>
        <c:gapWidth val="88"/>
        <c:overlap val="100"/>
        <c:axId val="523032944"/>
        <c:axId val="523043984"/>
      </c:barChart>
      <c:catAx>
        <c:axId val="523032944"/>
        <c:scaling>
          <c:orientation val="minMax"/>
        </c:scaling>
        <c:delete val="0"/>
        <c:axPos val="l"/>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LID4096"/>
          </a:p>
        </c:txPr>
        <c:crossAx val="523043984"/>
        <c:crosses val="autoZero"/>
        <c:auto val="1"/>
        <c:lblAlgn val="ctr"/>
        <c:lblOffset val="100"/>
        <c:noMultiLvlLbl val="0"/>
      </c:catAx>
      <c:valAx>
        <c:axId val="523043984"/>
        <c:scaling>
          <c:orientation val="minMax"/>
        </c:scaling>
        <c:delete val="1"/>
        <c:axPos val="b"/>
        <c:numFmt formatCode="#,##0" sourceLinked="1"/>
        <c:majorTickMark val="none"/>
        <c:minorTickMark val="none"/>
        <c:tickLblPos val="nextTo"/>
        <c:crossAx val="523032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LID4096"/>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3736127746099456E-2"/>
          <c:y val="5.4461410952084482E-2"/>
          <c:w val="0.95743501080334725"/>
          <c:h val="0.87622406601798986"/>
        </c:manualLayout>
      </c:layout>
      <c:barChart>
        <c:barDir val="col"/>
        <c:grouping val="clustered"/>
        <c:varyColors val="0"/>
        <c:ser>
          <c:idx val="0"/>
          <c:order val="0"/>
          <c:tx>
            <c:strRef>
              <c:f>'Pivot Table'!$E$49</c:f>
              <c:strCache>
                <c:ptCount val="1"/>
                <c:pt idx="0">
                  <c:v>Value</c:v>
                </c:pt>
              </c:strCache>
            </c:strRef>
          </c:tx>
          <c:spPr>
            <a:solidFill>
              <a:srgbClr val="BAEE9A"/>
            </a:solidFill>
            <a:ln>
              <a:noFill/>
            </a:ln>
            <a:effectLst/>
          </c:spPr>
          <c:invertIfNegative val="0"/>
          <c:dLbls>
            <c:delete val="1"/>
          </c:dLbls>
          <c:cat>
            <c:numRef>
              <c:f>'Pivot Table'!$H$3:$H$12</c:f>
              <c:numCache>
                <c:formatCode>General</c:formatCode>
                <c:ptCount val="10"/>
                <c:pt idx="0" formatCode="0">
                  <c:v>2015</c:v>
                </c:pt>
                <c:pt idx="1">
                  <c:v>2016</c:v>
                </c:pt>
                <c:pt idx="2" formatCode="0">
                  <c:v>2017</c:v>
                </c:pt>
                <c:pt idx="3">
                  <c:v>2018</c:v>
                </c:pt>
                <c:pt idx="4" formatCode="0">
                  <c:v>2019</c:v>
                </c:pt>
                <c:pt idx="5">
                  <c:v>2020</c:v>
                </c:pt>
                <c:pt idx="6" formatCode="0">
                  <c:v>2021</c:v>
                </c:pt>
                <c:pt idx="7" formatCode="0">
                  <c:v>2022</c:v>
                </c:pt>
                <c:pt idx="8" formatCode="0">
                  <c:v>2023</c:v>
                </c:pt>
                <c:pt idx="9">
                  <c:v>2024</c:v>
                </c:pt>
              </c:numCache>
            </c:numRef>
          </c:cat>
          <c:val>
            <c:numRef>
              <c:f>'Pivot Table'!$E$50:$E$59</c:f>
              <c:numCache>
                <c:formatCode>#,##0</c:formatCode>
                <c:ptCount val="10"/>
                <c:pt idx="0">
                  <c:v>3.54</c:v>
                </c:pt>
                <c:pt idx="1">
                  <c:v>5.39</c:v>
                </c:pt>
                <c:pt idx="2">
                  <c:v>7.05</c:v>
                </c:pt>
                <c:pt idx="3">
                  <c:v>8.4600000000000009</c:v>
                </c:pt>
                <c:pt idx="4">
                  <c:v>9.6999999999999993</c:v>
                </c:pt>
                <c:pt idx="5">
                  <c:v>2.31</c:v>
                </c:pt>
                <c:pt idx="6">
                  <c:v>7.47</c:v>
                </c:pt>
                <c:pt idx="7">
                  <c:v>1.25</c:v>
                </c:pt>
                <c:pt idx="8">
                  <c:v>-0.67</c:v>
                </c:pt>
                <c:pt idx="9">
                  <c:v>4.24</c:v>
                </c:pt>
              </c:numCache>
            </c:numRef>
          </c:val>
          <c:extLst>
            <c:ext xmlns:c16="http://schemas.microsoft.com/office/drawing/2014/chart" uri="{C3380CC4-5D6E-409C-BE32-E72D297353CC}">
              <c16:uniqueId val="{00000000-AE76-4257-AF48-F6FBE2AA3C2A}"/>
            </c:ext>
          </c:extLst>
        </c:ser>
        <c:ser>
          <c:idx val="1"/>
          <c:order val="1"/>
          <c:tx>
            <c:strRef>
              <c:f>'Pivot Table'!$F$49</c:f>
              <c:strCache>
                <c:ptCount val="1"/>
                <c:pt idx="0">
                  <c:v>MAX</c:v>
                </c:pt>
              </c:strCache>
            </c:strRef>
          </c:tx>
          <c:spPr>
            <a:solidFill>
              <a:schemeClr val="accent2">
                <a:lumMod val="7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Table'!$H$3:$H$12</c:f>
              <c:numCache>
                <c:formatCode>General</c:formatCode>
                <c:ptCount val="10"/>
                <c:pt idx="0" formatCode="0">
                  <c:v>2015</c:v>
                </c:pt>
                <c:pt idx="1">
                  <c:v>2016</c:v>
                </c:pt>
                <c:pt idx="2" formatCode="0">
                  <c:v>2017</c:v>
                </c:pt>
                <c:pt idx="3">
                  <c:v>2018</c:v>
                </c:pt>
                <c:pt idx="4" formatCode="0">
                  <c:v>2019</c:v>
                </c:pt>
                <c:pt idx="5">
                  <c:v>2020</c:v>
                </c:pt>
                <c:pt idx="6" formatCode="0">
                  <c:v>2021</c:v>
                </c:pt>
                <c:pt idx="7" formatCode="0">
                  <c:v>2022</c:v>
                </c:pt>
                <c:pt idx="8" formatCode="0">
                  <c:v>2023</c:v>
                </c:pt>
                <c:pt idx="9">
                  <c:v>2024</c:v>
                </c:pt>
              </c:numCache>
            </c:numRef>
          </c:cat>
          <c:val>
            <c:numRef>
              <c:f>'Pivot Table'!$F$50:$F$59</c:f>
              <c:numCache>
                <c:formatCode>0</c:formatCode>
                <c:ptCount val="10"/>
                <c:pt idx="0">
                  <c:v>#N/A</c:v>
                </c:pt>
                <c:pt idx="1">
                  <c:v>#N/A</c:v>
                </c:pt>
                <c:pt idx="2">
                  <c:v>#N/A</c:v>
                </c:pt>
                <c:pt idx="3">
                  <c:v>8.4600000000000009</c:v>
                </c:pt>
                <c:pt idx="4">
                  <c:v>#N/A</c:v>
                </c:pt>
                <c:pt idx="5">
                  <c:v>#N/A</c:v>
                </c:pt>
                <c:pt idx="6">
                  <c:v>#N/A</c:v>
                </c:pt>
                <c:pt idx="7">
                  <c:v>#N/A</c:v>
                </c:pt>
                <c:pt idx="8">
                  <c:v>#N/A</c:v>
                </c:pt>
                <c:pt idx="9">
                  <c:v>#N/A</c:v>
                </c:pt>
              </c:numCache>
            </c:numRef>
          </c:val>
          <c:extLst>
            <c:ext xmlns:c16="http://schemas.microsoft.com/office/drawing/2014/chart" uri="{C3380CC4-5D6E-409C-BE32-E72D297353CC}">
              <c16:uniqueId val="{00000001-AE76-4257-AF48-F6FBE2AA3C2A}"/>
            </c:ext>
          </c:extLst>
        </c:ser>
        <c:dLbls>
          <c:dLblPos val="outEnd"/>
          <c:showLegendKey val="0"/>
          <c:showVal val="1"/>
          <c:showCatName val="0"/>
          <c:showSerName val="0"/>
          <c:showPercent val="0"/>
          <c:showBubbleSize val="0"/>
        </c:dLbls>
        <c:gapWidth val="142"/>
        <c:overlap val="100"/>
        <c:axId val="39562528"/>
        <c:axId val="39563488"/>
      </c:barChart>
      <c:catAx>
        <c:axId val="3956252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LID4096"/>
          </a:p>
        </c:txPr>
        <c:crossAx val="39563488"/>
        <c:crosses val="autoZero"/>
        <c:auto val="1"/>
        <c:lblAlgn val="ctr"/>
        <c:lblOffset val="100"/>
        <c:noMultiLvlLbl val="0"/>
      </c:catAx>
      <c:valAx>
        <c:axId val="39563488"/>
        <c:scaling>
          <c:orientation val="minMax"/>
        </c:scaling>
        <c:delete val="1"/>
        <c:axPos val="l"/>
        <c:numFmt formatCode="#,##0" sourceLinked="1"/>
        <c:majorTickMark val="none"/>
        <c:minorTickMark val="none"/>
        <c:tickLblPos val="nextTo"/>
        <c:crossAx val="39562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59953455840644E-2"/>
          <c:y val="5.2000735668351963E-2"/>
          <c:w val="0.83013471851136456"/>
          <c:h val="0.79092743363979345"/>
        </c:manualLayout>
      </c:layout>
      <c:doughnutChart>
        <c:varyColors val="1"/>
        <c:ser>
          <c:idx val="1"/>
          <c:order val="0"/>
          <c:tx>
            <c:strRef>
              <c:f>'Pivot Table'!$I$78</c:f>
              <c:strCache>
                <c:ptCount val="1"/>
                <c:pt idx="0">
                  <c:v>Effective tax rate</c:v>
                </c:pt>
              </c:strCache>
            </c:strRef>
          </c:tx>
          <c:dPt>
            <c:idx val="0"/>
            <c:bubble3D val="0"/>
            <c:spPr>
              <a:noFill/>
            </c:spPr>
            <c:extLst>
              <c:ext xmlns:c16="http://schemas.microsoft.com/office/drawing/2014/chart" uri="{C3380CC4-5D6E-409C-BE32-E72D297353CC}">
                <c16:uniqueId val="{00000000-A00F-404B-8A85-DCEFD265FA8F}"/>
              </c:ext>
            </c:extLst>
          </c:dPt>
          <c:dPt>
            <c:idx val="1"/>
            <c:bubble3D val="0"/>
            <c:spPr>
              <a:solidFill>
                <a:schemeClr val="accent2">
                  <a:lumMod val="40000"/>
                  <a:lumOff val="60000"/>
                </a:schemeClr>
              </a:solidFill>
            </c:spPr>
            <c:extLst>
              <c:ext xmlns:c16="http://schemas.microsoft.com/office/drawing/2014/chart" uri="{C3380CC4-5D6E-409C-BE32-E72D297353CC}">
                <c16:uniqueId val="{00000001-A00F-404B-8A85-DCEFD265FA8F}"/>
              </c:ext>
            </c:extLst>
          </c:dPt>
          <c:val>
            <c:numRef>
              <c:f>'Pivot Table'!$I$79:$I$80</c:f>
              <c:numCache>
                <c:formatCode>0%</c:formatCode>
                <c:ptCount val="2"/>
                <c:pt idx="0">
                  <c:v>0.28100000000000003</c:v>
                </c:pt>
                <c:pt idx="1">
                  <c:v>0.71899999999999997</c:v>
                </c:pt>
              </c:numCache>
            </c:numRef>
          </c:val>
          <c:extLst>
            <c:ext xmlns:c16="http://schemas.microsoft.com/office/drawing/2014/chart" uri="{C3380CC4-5D6E-409C-BE32-E72D297353CC}">
              <c16:uniqueId val="{00000002-A00F-404B-8A85-DCEFD265FA8F}"/>
            </c:ext>
          </c:extLst>
        </c:ser>
        <c:ser>
          <c:idx val="0"/>
          <c:order val="1"/>
          <c:tx>
            <c:strRef>
              <c:f>'Pivot Table'!$I$78</c:f>
              <c:strCache>
                <c:ptCount val="1"/>
                <c:pt idx="0">
                  <c:v>Effective tax rate</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4-A00F-404B-8A85-DCEFD265FA8F}"/>
              </c:ext>
            </c:extLst>
          </c:dPt>
          <c:dPt>
            <c:idx val="1"/>
            <c:bubble3D val="0"/>
            <c:spPr>
              <a:noFill/>
              <a:ln w="19050">
                <a:solidFill>
                  <a:schemeClr val="lt1"/>
                </a:solidFill>
              </a:ln>
              <a:effectLst/>
            </c:spPr>
            <c:extLst>
              <c:ext xmlns:c16="http://schemas.microsoft.com/office/drawing/2014/chart" uri="{C3380CC4-5D6E-409C-BE32-E72D297353CC}">
                <c16:uniqueId val="{00000006-A00F-404B-8A85-DCEFD265FA8F}"/>
              </c:ext>
            </c:extLst>
          </c:dPt>
          <c:val>
            <c:numRef>
              <c:f>'Pivot Table'!$I$79:$I$80</c:f>
              <c:numCache>
                <c:formatCode>0%</c:formatCode>
                <c:ptCount val="2"/>
                <c:pt idx="0">
                  <c:v>0.28100000000000003</c:v>
                </c:pt>
                <c:pt idx="1">
                  <c:v>0.71899999999999997</c:v>
                </c:pt>
              </c:numCache>
            </c:numRef>
          </c:val>
          <c:extLst>
            <c:ext xmlns:c16="http://schemas.microsoft.com/office/drawing/2014/chart" uri="{C3380CC4-5D6E-409C-BE32-E72D297353CC}">
              <c16:uniqueId val="{00000007-A00F-404B-8A85-DCEFD265FA8F}"/>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ln>
      <a:noFill/>
    </a:ln>
  </c:spPr>
  <c:txPr>
    <a:bodyPr/>
    <a:lstStyle/>
    <a:p>
      <a:pPr>
        <a:defRPr/>
      </a:pPr>
      <a:endParaRPr lang="LID4096"/>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tx>
            <c:strRef>
              <c:f>'Pivot Table'!$L$78</c:f>
              <c:strCache>
                <c:ptCount val="1"/>
                <c:pt idx="0">
                  <c:v>Gross margin</c:v>
                </c:pt>
              </c:strCache>
            </c:strRef>
          </c:tx>
          <c:dPt>
            <c:idx val="0"/>
            <c:bubble3D val="0"/>
            <c:spPr>
              <a:noFill/>
            </c:spPr>
            <c:extLst>
              <c:ext xmlns:c16="http://schemas.microsoft.com/office/drawing/2014/chart" uri="{C3380CC4-5D6E-409C-BE32-E72D297353CC}">
                <c16:uniqueId val="{0000000C-F965-4E01-B7EF-B926C784AC82}"/>
              </c:ext>
            </c:extLst>
          </c:dPt>
          <c:dPt>
            <c:idx val="1"/>
            <c:bubble3D val="0"/>
            <c:spPr>
              <a:solidFill>
                <a:schemeClr val="accent6">
                  <a:lumMod val="40000"/>
                  <a:lumOff val="60000"/>
                </a:schemeClr>
              </a:solidFill>
            </c:spPr>
            <c:extLst>
              <c:ext xmlns:c16="http://schemas.microsoft.com/office/drawing/2014/chart" uri="{C3380CC4-5D6E-409C-BE32-E72D297353CC}">
                <c16:uniqueId val="{0000000D-F965-4E01-B7EF-B926C784AC82}"/>
              </c:ext>
            </c:extLst>
          </c:dPt>
          <c:val>
            <c:numRef>
              <c:f>'Pivot Table'!$L$79:$L$80</c:f>
              <c:numCache>
                <c:formatCode>0%</c:formatCode>
                <c:ptCount val="2"/>
                <c:pt idx="0">
                  <c:v>0.51800000000000002</c:v>
                </c:pt>
                <c:pt idx="1">
                  <c:v>0.48199999999999998</c:v>
                </c:pt>
              </c:numCache>
            </c:numRef>
          </c:val>
          <c:extLst>
            <c:ext xmlns:c16="http://schemas.microsoft.com/office/drawing/2014/chart" uri="{C3380CC4-5D6E-409C-BE32-E72D297353CC}">
              <c16:uniqueId val="{0000000B-F965-4E01-B7EF-B926C784AC82}"/>
            </c:ext>
          </c:extLst>
        </c:ser>
        <c:ser>
          <c:idx val="0"/>
          <c:order val="1"/>
          <c:tx>
            <c:strRef>
              <c:f>'Pivot Table'!$L$78</c:f>
              <c:strCache>
                <c:ptCount val="1"/>
                <c:pt idx="0">
                  <c:v>Gross margin</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7-F965-4E01-B7EF-B926C784AC82}"/>
              </c:ext>
            </c:extLst>
          </c:dPt>
          <c:dPt>
            <c:idx val="1"/>
            <c:bubble3D val="0"/>
            <c:spPr>
              <a:noFill/>
              <a:ln w="19050">
                <a:solidFill>
                  <a:schemeClr val="lt1"/>
                </a:solidFill>
              </a:ln>
              <a:effectLst/>
            </c:spPr>
            <c:extLst>
              <c:ext xmlns:c16="http://schemas.microsoft.com/office/drawing/2014/chart" uri="{C3380CC4-5D6E-409C-BE32-E72D297353CC}">
                <c16:uniqueId val="{00000009-F965-4E01-B7EF-B926C784AC82}"/>
              </c:ext>
            </c:extLst>
          </c:dPt>
          <c:val>
            <c:numRef>
              <c:f>'Pivot Table'!$L$79:$L$80</c:f>
              <c:numCache>
                <c:formatCode>0%</c:formatCode>
                <c:ptCount val="2"/>
                <c:pt idx="0">
                  <c:v>0.51800000000000002</c:v>
                </c:pt>
                <c:pt idx="1">
                  <c:v>0.48199999999999998</c:v>
                </c:pt>
              </c:numCache>
            </c:numRef>
          </c:val>
          <c:extLst>
            <c:ext xmlns:c16="http://schemas.microsoft.com/office/drawing/2014/chart" uri="{C3380CC4-5D6E-409C-BE32-E72D297353CC}">
              <c16:uniqueId val="{0000000A-F965-4E01-B7EF-B926C784AC82}"/>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ln>
      <a:noFill/>
    </a:ln>
  </c:spPr>
  <c:txPr>
    <a:bodyPr/>
    <a:lstStyle/>
    <a:p>
      <a:pPr>
        <a:defRPr/>
      </a:pPr>
      <a:endParaRPr lang="LID4096"/>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55491341952585"/>
          <c:y val="7.6315236006369622E-2"/>
          <c:w val="0.78855100229690644"/>
          <c:h val="0.86008873398832242"/>
        </c:manualLayout>
      </c:layout>
      <c:doughnutChart>
        <c:varyColors val="1"/>
        <c:ser>
          <c:idx val="1"/>
          <c:order val="0"/>
          <c:tx>
            <c:strRef>
              <c:f>'Pivot Table'!$J$78</c:f>
              <c:strCache>
                <c:ptCount val="1"/>
                <c:pt idx="0">
                  <c:v>Equity ratio</c:v>
                </c:pt>
              </c:strCache>
            </c:strRef>
          </c:tx>
          <c:dPt>
            <c:idx val="0"/>
            <c:bubble3D val="0"/>
            <c:spPr>
              <a:noFill/>
            </c:spPr>
            <c:extLst>
              <c:ext xmlns:c16="http://schemas.microsoft.com/office/drawing/2014/chart" uri="{C3380CC4-5D6E-409C-BE32-E72D297353CC}">
                <c16:uniqueId val="{0000000C-0427-4D10-BDE4-2561932D0DAE}"/>
              </c:ext>
            </c:extLst>
          </c:dPt>
          <c:dPt>
            <c:idx val="1"/>
            <c:bubble3D val="0"/>
            <c:spPr>
              <a:solidFill>
                <a:schemeClr val="accent2">
                  <a:lumMod val="20000"/>
                  <a:lumOff val="80000"/>
                </a:schemeClr>
              </a:solidFill>
            </c:spPr>
            <c:extLst>
              <c:ext xmlns:c16="http://schemas.microsoft.com/office/drawing/2014/chart" uri="{C3380CC4-5D6E-409C-BE32-E72D297353CC}">
                <c16:uniqueId val="{0000000D-0427-4D10-BDE4-2561932D0DAE}"/>
              </c:ext>
            </c:extLst>
          </c:dPt>
          <c:val>
            <c:numRef>
              <c:f>'Pivot Table'!$J$79:$J$80</c:f>
              <c:numCache>
                <c:formatCode>0%</c:formatCode>
                <c:ptCount val="2"/>
                <c:pt idx="0">
                  <c:v>0.40799999999999997</c:v>
                </c:pt>
                <c:pt idx="1">
                  <c:v>0.59200000000000008</c:v>
                </c:pt>
              </c:numCache>
            </c:numRef>
          </c:val>
          <c:extLst>
            <c:ext xmlns:c16="http://schemas.microsoft.com/office/drawing/2014/chart" uri="{C3380CC4-5D6E-409C-BE32-E72D297353CC}">
              <c16:uniqueId val="{0000000B-0427-4D10-BDE4-2561932D0DAE}"/>
            </c:ext>
          </c:extLst>
        </c:ser>
        <c:ser>
          <c:idx val="0"/>
          <c:order val="1"/>
          <c:tx>
            <c:strRef>
              <c:f>'Pivot Table'!$J$78</c:f>
              <c:strCache>
                <c:ptCount val="1"/>
                <c:pt idx="0">
                  <c:v>Equity ratio</c:v>
                </c:pt>
              </c:strCache>
            </c:strRef>
          </c:tx>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7-0427-4D10-BDE4-2561932D0DAE}"/>
              </c:ext>
            </c:extLst>
          </c:dPt>
          <c:dPt>
            <c:idx val="1"/>
            <c:bubble3D val="0"/>
            <c:spPr>
              <a:noFill/>
              <a:ln w="19050">
                <a:solidFill>
                  <a:schemeClr val="lt1"/>
                </a:solidFill>
              </a:ln>
              <a:effectLst/>
            </c:spPr>
            <c:extLst>
              <c:ext xmlns:c16="http://schemas.microsoft.com/office/drawing/2014/chart" uri="{C3380CC4-5D6E-409C-BE32-E72D297353CC}">
                <c16:uniqueId val="{00000009-0427-4D10-BDE4-2561932D0DAE}"/>
              </c:ext>
            </c:extLst>
          </c:dPt>
          <c:val>
            <c:numRef>
              <c:f>'Pivot Table'!$J$79:$J$80</c:f>
              <c:numCache>
                <c:formatCode>0%</c:formatCode>
                <c:ptCount val="2"/>
                <c:pt idx="0">
                  <c:v>0.40799999999999997</c:v>
                </c:pt>
                <c:pt idx="1">
                  <c:v>0.59200000000000008</c:v>
                </c:pt>
              </c:numCache>
            </c:numRef>
          </c:val>
          <c:extLst>
            <c:ext xmlns:c16="http://schemas.microsoft.com/office/drawing/2014/chart" uri="{C3380CC4-5D6E-409C-BE32-E72D297353CC}">
              <c16:uniqueId val="{0000000A-0427-4D10-BDE4-2561932D0DAE}"/>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ln>
      <a:noFill/>
    </a:ln>
  </c:spPr>
  <c:txPr>
    <a:bodyPr/>
    <a:lstStyle/>
    <a:p>
      <a:pPr>
        <a:defRPr/>
      </a:pPr>
      <a:endParaRPr lang="LID4096"/>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610256654086374E-2"/>
          <c:y val="5.5454398581764673E-2"/>
          <c:w val="0.83877948669182723"/>
          <c:h val="0.86444480346679742"/>
        </c:manualLayout>
      </c:layout>
      <c:doughnutChart>
        <c:varyColors val="1"/>
        <c:ser>
          <c:idx val="1"/>
          <c:order val="0"/>
          <c:tx>
            <c:strRef>
              <c:f>'Pivot Table'!$M$78</c:f>
              <c:strCache>
                <c:ptCount val="1"/>
                <c:pt idx="0">
                  <c:v>Operating margin</c:v>
                </c:pt>
              </c:strCache>
            </c:strRef>
          </c:tx>
          <c:spPr>
            <a:solidFill>
              <a:schemeClr val="accent2">
                <a:lumMod val="40000"/>
                <a:lumOff val="60000"/>
              </a:schemeClr>
            </a:solidFill>
          </c:spPr>
          <c:dPt>
            <c:idx val="0"/>
            <c:bubble3D val="0"/>
            <c:spPr>
              <a:noFill/>
            </c:spPr>
            <c:extLst>
              <c:ext xmlns:c16="http://schemas.microsoft.com/office/drawing/2014/chart" uri="{C3380CC4-5D6E-409C-BE32-E72D297353CC}">
                <c16:uniqueId val="{0000000C-AB14-4082-9BFA-1151D2AA9B0E}"/>
              </c:ext>
            </c:extLst>
          </c:dPt>
          <c:dPt>
            <c:idx val="1"/>
            <c:bubble3D val="0"/>
            <c:extLst>
              <c:ext xmlns:c16="http://schemas.microsoft.com/office/drawing/2014/chart" uri="{C3380CC4-5D6E-409C-BE32-E72D297353CC}">
                <c16:uniqueId val="{0000000D-AB14-4082-9BFA-1151D2AA9B0E}"/>
              </c:ext>
            </c:extLst>
          </c:dPt>
          <c:val>
            <c:numRef>
              <c:f>'Pivot Table'!$M$79:$M$80</c:f>
              <c:numCache>
                <c:formatCode>0%</c:formatCode>
                <c:ptCount val="2"/>
                <c:pt idx="0">
                  <c:v>0.108</c:v>
                </c:pt>
                <c:pt idx="1">
                  <c:v>0.89200000000000002</c:v>
                </c:pt>
              </c:numCache>
            </c:numRef>
          </c:val>
          <c:extLst>
            <c:ext xmlns:c16="http://schemas.microsoft.com/office/drawing/2014/chart" uri="{C3380CC4-5D6E-409C-BE32-E72D297353CC}">
              <c16:uniqueId val="{0000000B-AB14-4082-9BFA-1151D2AA9B0E}"/>
            </c:ext>
          </c:extLst>
        </c:ser>
        <c:ser>
          <c:idx val="0"/>
          <c:order val="1"/>
          <c:tx>
            <c:strRef>
              <c:f>'Pivot Table'!$M$78</c:f>
              <c:strCache>
                <c:ptCount val="1"/>
                <c:pt idx="0">
                  <c:v>Operating margin</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AB14-4082-9BFA-1151D2AA9B0E}"/>
              </c:ext>
            </c:extLst>
          </c:dPt>
          <c:dPt>
            <c:idx val="1"/>
            <c:bubble3D val="0"/>
            <c:spPr>
              <a:noFill/>
              <a:ln w="19050">
                <a:solidFill>
                  <a:schemeClr val="lt1"/>
                </a:solidFill>
              </a:ln>
              <a:effectLst/>
            </c:spPr>
            <c:extLst>
              <c:ext xmlns:c16="http://schemas.microsoft.com/office/drawing/2014/chart" uri="{C3380CC4-5D6E-409C-BE32-E72D297353CC}">
                <c16:uniqueId val="{00000009-AB14-4082-9BFA-1151D2AA9B0E}"/>
              </c:ext>
            </c:extLst>
          </c:dPt>
          <c:val>
            <c:numRef>
              <c:f>'Pivot Table'!$M$79:$M$80</c:f>
              <c:numCache>
                <c:formatCode>0%</c:formatCode>
                <c:ptCount val="2"/>
                <c:pt idx="0">
                  <c:v>0.108</c:v>
                </c:pt>
                <c:pt idx="1">
                  <c:v>0.89200000000000002</c:v>
                </c:pt>
              </c:numCache>
            </c:numRef>
          </c:val>
          <c:extLst>
            <c:ext xmlns:c16="http://schemas.microsoft.com/office/drawing/2014/chart" uri="{C3380CC4-5D6E-409C-BE32-E72D297353CC}">
              <c16:uniqueId val="{0000000A-AB14-4082-9BFA-1151D2AA9B0E}"/>
            </c:ext>
          </c:extLst>
        </c:ser>
        <c:dLbls>
          <c:showLegendKey val="0"/>
          <c:showVal val="0"/>
          <c:showCatName val="0"/>
          <c:showSerName val="0"/>
          <c:showPercent val="0"/>
          <c:showBubbleSize val="0"/>
          <c:showLeaderLines val="1"/>
        </c:dLbls>
        <c:firstSliceAng val="0"/>
        <c:holeSize val="75"/>
      </c:doughnutChart>
      <c:spPr>
        <a:ln>
          <a:noFill/>
        </a:ln>
      </c:spPr>
    </c:plotArea>
    <c:plotVisOnly val="1"/>
    <c:dispBlanksAs val="gap"/>
    <c:showDLblsOverMax val="0"/>
    <c:extLst/>
  </c:chart>
  <c:spPr>
    <a:ln>
      <a:noFill/>
    </a:ln>
  </c:spPr>
  <c:txPr>
    <a:bodyPr/>
    <a:lstStyle/>
    <a:p>
      <a:pPr>
        <a:defRPr/>
      </a:pPr>
      <a:endParaRPr lang="LID4096"/>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14540682414698"/>
          <c:y val="8.8496338533085903E-2"/>
          <c:w val="0.83314313997090805"/>
          <c:h val="0.85739979707286795"/>
        </c:manualLayout>
      </c:layout>
      <c:doughnutChart>
        <c:varyColors val="1"/>
        <c:ser>
          <c:idx val="1"/>
          <c:order val="0"/>
          <c:tx>
            <c:strRef>
              <c:f>'Pivot Table'!$K$78</c:f>
              <c:strCache>
                <c:ptCount val="1"/>
                <c:pt idx="0">
                  <c:v>Financial leverage</c:v>
                </c:pt>
              </c:strCache>
            </c:strRef>
          </c:tx>
          <c:spPr>
            <a:solidFill>
              <a:schemeClr val="accent6">
                <a:lumMod val="20000"/>
                <a:lumOff val="80000"/>
              </a:schemeClr>
            </a:solidFill>
          </c:spPr>
          <c:dPt>
            <c:idx val="0"/>
            <c:bubble3D val="0"/>
            <c:spPr>
              <a:noFill/>
              <a:ln>
                <a:noFill/>
              </a:ln>
            </c:spPr>
            <c:extLst>
              <c:ext xmlns:c16="http://schemas.microsoft.com/office/drawing/2014/chart" uri="{C3380CC4-5D6E-409C-BE32-E72D297353CC}">
                <c16:uniqueId val="{0000000C-193F-4416-9D41-09EA74BE109B}"/>
              </c:ext>
            </c:extLst>
          </c:dPt>
          <c:dPt>
            <c:idx val="1"/>
            <c:bubble3D val="0"/>
            <c:extLst>
              <c:ext xmlns:c16="http://schemas.microsoft.com/office/drawing/2014/chart" uri="{C3380CC4-5D6E-409C-BE32-E72D297353CC}">
                <c16:uniqueId val="{0000000D-193F-4416-9D41-09EA74BE109B}"/>
              </c:ext>
            </c:extLst>
          </c:dPt>
          <c:val>
            <c:numRef>
              <c:f>'Pivot Table'!$K$79:$K$80</c:f>
              <c:numCache>
                <c:formatCode>0%</c:formatCode>
                <c:ptCount val="2"/>
                <c:pt idx="0">
                  <c:v>-0.15</c:v>
                </c:pt>
                <c:pt idx="1">
                  <c:v>1.1499999999999999</c:v>
                </c:pt>
              </c:numCache>
            </c:numRef>
          </c:val>
          <c:extLst>
            <c:ext xmlns:c16="http://schemas.microsoft.com/office/drawing/2014/chart" uri="{C3380CC4-5D6E-409C-BE32-E72D297353CC}">
              <c16:uniqueId val="{0000000B-193F-4416-9D41-09EA74BE109B}"/>
            </c:ext>
          </c:extLst>
        </c:ser>
        <c:ser>
          <c:idx val="0"/>
          <c:order val="1"/>
          <c:tx>
            <c:strRef>
              <c:f>'Pivot Table'!$K$78</c:f>
              <c:strCache>
                <c:ptCount val="1"/>
                <c:pt idx="0">
                  <c:v>Financial leverage</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7-193F-4416-9D41-09EA74BE109B}"/>
              </c:ext>
            </c:extLst>
          </c:dPt>
          <c:dPt>
            <c:idx val="1"/>
            <c:bubble3D val="0"/>
            <c:spPr>
              <a:noFill/>
              <a:ln w="19050">
                <a:solidFill>
                  <a:schemeClr val="lt1"/>
                </a:solidFill>
              </a:ln>
              <a:effectLst/>
            </c:spPr>
            <c:extLst>
              <c:ext xmlns:c16="http://schemas.microsoft.com/office/drawing/2014/chart" uri="{C3380CC4-5D6E-409C-BE32-E72D297353CC}">
                <c16:uniqueId val="{00000009-193F-4416-9D41-09EA74BE109B}"/>
              </c:ext>
            </c:extLst>
          </c:dPt>
          <c:val>
            <c:numRef>
              <c:f>'Pivot Table'!$K$79:$K$80</c:f>
              <c:numCache>
                <c:formatCode>0%</c:formatCode>
                <c:ptCount val="2"/>
                <c:pt idx="0">
                  <c:v>-0.15</c:v>
                </c:pt>
                <c:pt idx="1">
                  <c:v>1.1499999999999999</c:v>
                </c:pt>
              </c:numCache>
            </c:numRef>
          </c:val>
          <c:extLst>
            <c:ext xmlns:c16="http://schemas.microsoft.com/office/drawing/2014/chart" uri="{C3380CC4-5D6E-409C-BE32-E72D297353CC}">
              <c16:uniqueId val="{0000000A-193F-4416-9D41-09EA74BE109B}"/>
            </c:ext>
          </c:extLst>
        </c:ser>
        <c:dLbls>
          <c:showLegendKey val="0"/>
          <c:showVal val="0"/>
          <c:showCatName val="0"/>
          <c:showSerName val="0"/>
          <c:showPercent val="0"/>
          <c:showBubbleSize val="0"/>
          <c:showLeaderLines val="1"/>
        </c:dLbls>
        <c:firstSliceAng val="0"/>
        <c:holeSize val="75"/>
      </c:doughnutChart>
    </c:plotArea>
    <c:plotVisOnly val="1"/>
    <c:dispBlanksAs val="gap"/>
    <c:showDLblsOverMax val="0"/>
    <c:extLst/>
  </c:chart>
  <c:spPr>
    <a:ln>
      <a:noFill/>
    </a:ln>
  </c:spPr>
  <c:txPr>
    <a:bodyPr/>
    <a:lstStyle/>
    <a:p>
      <a:pPr>
        <a:defRPr/>
      </a:pPr>
      <a:endParaRPr lang="LID4096"/>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svg"/><Relationship Id="rId1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png"/><Relationship Id="rId17" Type="http://schemas.openxmlformats.org/officeDocument/2006/relationships/hyperlink" Target="#Data!A1"/><Relationship Id="rId2" Type="http://schemas.openxmlformats.org/officeDocument/2006/relationships/chart" Target="../charts/chart2.xml"/><Relationship Id="rId16" Type="http://schemas.openxmlformats.org/officeDocument/2006/relationships/image" Target="../media/image4.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DCF!A1"/><Relationship Id="rId5" Type="http://schemas.openxmlformats.org/officeDocument/2006/relationships/chart" Target="../charts/chart5.xml"/><Relationship Id="rId15" Type="http://schemas.openxmlformats.org/officeDocument/2006/relationships/image" Target="../media/image3.png"/><Relationship Id="rId10" Type="http://schemas.openxmlformats.org/officeDocument/2006/relationships/chart" Target="../charts/chart10.xml"/><Relationship Id="rId19"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hyperlink" Target="#Table!A1"/></Relationships>
</file>

<file path=xl/drawings/drawing1.xml><?xml version="1.0" encoding="utf-8"?>
<xdr:wsDr xmlns:xdr="http://schemas.openxmlformats.org/drawingml/2006/spreadsheetDrawing" xmlns:a="http://schemas.openxmlformats.org/drawingml/2006/main">
  <xdr:twoCellAnchor>
    <xdr:from>
      <xdr:col>0</xdr:col>
      <xdr:colOff>119743</xdr:colOff>
      <xdr:row>0</xdr:row>
      <xdr:rowOff>23446</xdr:rowOff>
    </xdr:from>
    <xdr:to>
      <xdr:col>27</xdr:col>
      <xdr:colOff>103909</xdr:colOff>
      <xdr:row>2</xdr:row>
      <xdr:rowOff>129540</xdr:rowOff>
    </xdr:to>
    <xdr:sp macro="" textlink="">
      <xdr:nvSpPr>
        <xdr:cNvPr id="2" name="Rectangle: Rounded Corners 1">
          <a:extLst>
            <a:ext uri="{FF2B5EF4-FFF2-40B4-BE49-F238E27FC236}">
              <a16:creationId xmlns:a16="http://schemas.microsoft.com/office/drawing/2014/main" id="{23AF501A-DC1C-4B40-DBB5-A3D67FECC217}"/>
            </a:ext>
          </a:extLst>
        </xdr:cNvPr>
        <xdr:cNvSpPr/>
      </xdr:nvSpPr>
      <xdr:spPr>
        <a:xfrm>
          <a:off x="119743" y="23446"/>
          <a:ext cx="21296720" cy="457786"/>
        </a:xfrm>
        <a:prstGeom prst="round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accent2">
                <a:lumMod val="20000"/>
                <a:lumOff val="80000"/>
              </a:schemeClr>
            </a:solidFill>
          </a:endParaRPr>
        </a:p>
      </xdr:txBody>
    </xdr:sp>
    <xdr:clientData/>
  </xdr:twoCellAnchor>
  <xdr:twoCellAnchor>
    <xdr:from>
      <xdr:col>1</xdr:col>
      <xdr:colOff>135468</xdr:colOff>
      <xdr:row>3</xdr:row>
      <xdr:rowOff>126517</xdr:rowOff>
    </xdr:from>
    <xdr:to>
      <xdr:col>1</xdr:col>
      <xdr:colOff>2987523</xdr:colOff>
      <xdr:row>11</xdr:row>
      <xdr:rowOff>84668</xdr:rowOff>
    </xdr:to>
    <xdr:sp macro="" textlink="">
      <xdr:nvSpPr>
        <xdr:cNvPr id="13" name="Rectangle: Rounded Corners 12">
          <a:extLst>
            <a:ext uri="{FF2B5EF4-FFF2-40B4-BE49-F238E27FC236}">
              <a16:creationId xmlns:a16="http://schemas.microsoft.com/office/drawing/2014/main" id="{AF42337D-EB34-4ECD-8548-4C71EC69F209}"/>
            </a:ext>
          </a:extLst>
        </xdr:cNvPr>
        <xdr:cNvSpPr/>
      </xdr:nvSpPr>
      <xdr:spPr>
        <a:xfrm>
          <a:off x="2304237" y="665779"/>
          <a:ext cx="2852055" cy="1458704"/>
        </a:xfrm>
        <a:prstGeom prst="roundRect">
          <a:avLst/>
        </a:prstGeom>
        <a:solidFill>
          <a:schemeClr val="accent3">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LID4096" sz="1600">
            <a:latin typeface="Monstserrat"/>
          </a:endParaRPr>
        </a:p>
      </xdr:txBody>
    </xdr:sp>
    <xdr:clientData/>
  </xdr:twoCellAnchor>
  <xdr:twoCellAnchor>
    <xdr:from>
      <xdr:col>1</xdr:col>
      <xdr:colOff>266239</xdr:colOff>
      <xdr:row>4</xdr:row>
      <xdr:rowOff>96659</xdr:rowOff>
    </xdr:from>
    <xdr:to>
      <xdr:col>1</xdr:col>
      <xdr:colOff>1513753</xdr:colOff>
      <xdr:row>6</xdr:row>
      <xdr:rowOff>46207</xdr:rowOff>
    </xdr:to>
    <xdr:sp macro="" textlink="'Pivot Table'!E2">
      <xdr:nvSpPr>
        <xdr:cNvPr id="14" name="Rectangle: Rounded Corners 13">
          <a:extLst>
            <a:ext uri="{FF2B5EF4-FFF2-40B4-BE49-F238E27FC236}">
              <a16:creationId xmlns:a16="http://schemas.microsoft.com/office/drawing/2014/main" id="{1639A1F1-515C-4666-8A09-7AE810CD0BF5}"/>
            </a:ext>
          </a:extLst>
        </xdr:cNvPr>
        <xdr:cNvSpPr/>
      </xdr:nvSpPr>
      <xdr:spPr>
        <a:xfrm>
          <a:off x="2435008" y="823490"/>
          <a:ext cx="1247514" cy="324686"/>
        </a:xfrm>
        <a:prstGeom prst="roundRect">
          <a:avLst/>
        </a:prstGeom>
        <a:solidFill>
          <a:schemeClr val="accent2">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06BABEA-0525-4B39-B6E8-EE412F0695AB}" type="TxLink">
            <a:rPr lang="en-US" sz="1600" b="0" i="0" u="none" strike="noStrike">
              <a:solidFill>
                <a:srgbClr val="000000"/>
              </a:solidFill>
              <a:latin typeface="Monstserrat"/>
            </a:rPr>
            <a:pPr algn="l"/>
            <a:t>Net sales</a:t>
          </a:fld>
          <a:endParaRPr lang="LID4096" sz="1600">
            <a:latin typeface="Monstserrat"/>
          </a:endParaRPr>
        </a:p>
      </xdr:txBody>
    </xdr:sp>
    <xdr:clientData/>
  </xdr:twoCellAnchor>
  <xdr:twoCellAnchor>
    <xdr:from>
      <xdr:col>1</xdr:col>
      <xdr:colOff>812801</xdr:colOff>
      <xdr:row>7</xdr:row>
      <xdr:rowOff>163172</xdr:rowOff>
    </xdr:from>
    <xdr:to>
      <xdr:col>1</xdr:col>
      <xdr:colOff>2266648</xdr:colOff>
      <xdr:row>9</xdr:row>
      <xdr:rowOff>114067</xdr:rowOff>
    </xdr:to>
    <xdr:sp macro="" textlink="'Pivot Table'!E3">
      <xdr:nvSpPr>
        <xdr:cNvPr id="15" name="Rectangle: Rounded Corners 14">
          <a:extLst>
            <a:ext uri="{FF2B5EF4-FFF2-40B4-BE49-F238E27FC236}">
              <a16:creationId xmlns:a16="http://schemas.microsoft.com/office/drawing/2014/main" id="{4FE4E0E7-3920-47D7-97A0-B2A39584993E}"/>
            </a:ext>
          </a:extLst>
        </xdr:cNvPr>
        <xdr:cNvSpPr/>
      </xdr:nvSpPr>
      <xdr:spPr>
        <a:xfrm>
          <a:off x="2981570" y="1452710"/>
          <a:ext cx="1453847" cy="326034"/>
        </a:xfrm>
        <a:prstGeom prst="roundRect">
          <a:avLst/>
        </a:prstGeom>
        <a:solidFill>
          <a:schemeClr val="accent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6EFA35-F218-4841-80B1-FD5FB921ABF3}" type="TxLink">
            <a:rPr lang="en-US" sz="1800" b="0" i="0" u="none" strike="noStrike">
              <a:solidFill>
                <a:schemeClr val="bg1"/>
              </a:solidFill>
              <a:latin typeface="Aptos Narrow"/>
            </a:rPr>
            <a:pPr algn="ctr"/>
            <a:t>21,915</a:t>
          </a:fld>
          <a:endParaRPr lang="LID4096" sz="1800">
            <a:solidFill>
              <a:schemeClr val="bg1"/>
            </a:solidFill>
          </a:endParaRPr>
        </a:p>
      </xdr:txBody>
    </xdr:sp>
    <xdr:clientData/>
  </xdr:twoCellAnchor>
  <xdr:twoCellAnchor>
    <xdr:from>
      <xdr:col>11</xdr:col>
      <xdr:colOff>561033</xdr:colOff>
      <xdr:row>3</xdr:row>
      <xdr:rowOff>123726</xdr:rowOff>
    </xdr:from>
    <xdr:to>
      <xdr:col>16</xdr:col>
      <xdr:colOff>609415</xdr:colOff>
      <xdr:row>11</xdr:row>
      <xdr:rowOff>81877</xdr:rowOff>
    </xdr:to>
    <xdr:sp macro="" textlink="">
      <xdr:nvSpPr>
        <xdr:cNvPr id="24" name="Rectangle: Rounded Corners 23">
          <a:extLst>
            <a:ext uri="{FF2B5EF4-FFF2-40B4-BE49-F238E27FC236}">
              <a16:creationId xmlns:a16="http://schemas.microsoft.com/office/drawing/2014/main" id="{D48ED2C0-3CE3-E005-C8FD-68C232778C9E}"/>
            </a:ext>
          </a:extLst>
        </xdr:cNvPr>
        <xdr:cNvSpPr/>
      </xdr:nvSpPr>
      <xdr:spPr>
        <a:xfrm>
          <a:off x="12119987" y="662988"/>
          <a:ext cx="3096382" cy="1458704"/>
        </a:xfrm>
        <a:prstGeom prst="roundRect">
          <a:avLst/>
        </a:prstGeom>
        <a:solidFill>
          <a:schemeClr val="accent3">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LID4096" sz="1600">
            <a:latin typeface="Monstserrat"/>
          </a:endParaRPr>
        </a:p>
      </xdr:txBody>
    </xdr:sp>
    <xdr:clientData/>
  </xdr:twoCellAnchor>
  <xdr:twoCellAnchor>
    <xdr:from>
      <xdr:col>12</xdr:col>
      <xdr:colOff>128576</xdr:colOff>
      <xdr:row>4</xdr:row>
      <xdr:rowOff>70422</xdr:rowOff>
    </xdr:from>
    <xdr:to>
      <xdr:col>14</xdr:col>
      <xdr:colOff>263761</xdr:colOff>
      <xdr:row>6</xdr:row>
      <xdr:rowOff>19970</xdr:rowOff>
    </xdr:to>
    <xdr:sp macro="" textlink="'Pivot Table'!B2">
      <xdr:nvSpPr>
        <xdr:cNvPr id="25" name="Rectangle: Rounded Corners 24">
          <a:extLst>
            <a:ext uri="{FF2B5EF4-FFF2-40B4-BE49-F238E27FC236}">
              <a16:creationId xmlns:a16="http://schemas.microsoft.com/office/drawing/2014/main" id="{26526518-ABED-4804-66B9-23833B8FDC85}"/>
            </a:ext>
          </a:extLst>
        </xdr:cNvPr>
        <xdr:cNvSpPr/>
      </xdr:nvSpPr>
      <xdr:spPr>
        <a:xfrm>
          <a:off x="12297130" y="797253"/>
          <a:ext cx="1354385" cy="324686"/>
        </a:xfrm>
        <a:prstGeom prst="roundRect">
          <a:avLst/>
        </a:prstGeom>
        <a:solidFill>
          <a:schemeClr val="accent2">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54C10DA-4763-426B-88CD-5A8C0B4EC886}" type="TxLink">
            <a:rPr lang="en-US" sz="1600" b="0" i="0" u="none" strike="noStrike">
              <a:solidFill>
                <a:srgbClr val="000000"/>
              </a:solidFill>
              <a:latin typeface="Monstserrat"/>
            </a:rPr>
            <a:pPr algn="l"/>
            <a:t>EBITDA</a:t>
          </a:fld>
          <a:endParaRPr lang="LID4096" sz="1600">
            <a:latin typeface="Monstserrat"/>
          </a:endParaRPr>
        </a:p>
      </xdr:txBody>
    </xdr:sp>
    <xdr:clientData/>
  </xdr:twoCellAnchor>
  <xdr:twoCellAnchor>
    <xdr:from>
      <xdr:col>13</xdr:col>
      <xdr:colOff>180871</xdr:colOff>
      <xdr:row>7</xdr:row>
      <xdr:rowOff>155918</xdr:rowOff>
    </xdr:from>
    <xdr:to>
      <xdr:col>15</xdr:col>
      <xdr:colOff>430033</xdr:colOff>
      <xdr:row>9</xdr:row>
      <xdr:rowOff>100671</xdr:rowOff>
    </xdr:to>
    <xdr:sp macro="" textlink="'Pivot Table'!B3">
      <xdr:nvSpPr>
        <xdr:cNvPr id="28" name="Rectangle: Rounded Corners 27">
          <a:extLst>
            <a:ext uri="{FF2B5EF4-FFF2-40B4-BE49-F238E27FC236}">
              <a16:creationId xmlns:a16="http://schemas.microsoft.com/office/drawing/2014/main" id="{3B13E9BD-987F-494F-953B-30FBF8191CE7}"/>
            </a:ext>
          </a:extLst>
        </xdr:cNvPr>
        <xdr:cNvSpPr/>
      </xdr:nvSpPr>
      <xdr:spPr>
        <a:xfrm>
          <a:off x="12959025" y="1445456"/>
          <a:ext cx="1468362" cy="319892"/>
        </a:xfrm>
        <a:prstGeom prst="roundRect">
          <a:avLst/>
        </a:prstGeom>
        <a:solidFill>
          <a:schemeClr val="accent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6219A17-49D4-4803-97D1-37C9921A739D}" type="TxLink">
            <a:rPr lang="en-US" sz="1800" b="0" i="0" u="none" strike="noStrike">
              <a:solidFill>
                <a:schemeClr val="bg1"/>
              </a:solidFill>
              <a:latin typeface="Aptos Narrow"/>
            </a:rPr>
            <a:pPr algn="ctr"/>
            <a:t>2,882</a:t>
          </a:fld>
          <a:endParaRPr lang="LID4096" sz="1800">
            <a:solidFill>
              <a:schemeClr val="bg1"/>
            </a:solidFill>
          </a:endParaRPr>
        </a:p>
      </xdr:txBody>
    </xdr:sp>
    <xdr:clientData/>
  </xdr:twoCellAnchor>
  <xdr:twoCellAnchor>
    <xdr:from>
      <xdr:col>0</xdr:col>
      <xdr:colOff>166914</xdr:colOff>
      <xdr:row>3</xdr:row>
      <xdr:rowOff>133774</xdr:rowOff>
    </xdr:from>
    <xdr:to>
      <xdr:col>0</xdr:col>
      <xdr:colOff>2056189</xdr:colOff>
      <xdr:row>11</xdr:row>
      <xdr:rowOff>91925</xdr:rowOff>
    </xdr:to>
    <xdr:sp macro="" textlink="">
      <xdr:nvSpPr>
        <xdr:cNvPr id="4" name="Rectangle: Rounded Corners 3">
          <a:extLst>
            <a:ext uri="{FF2B5EF4-FFF2-40B4-BE49-F238E27FC236}">
              <a16:creationId xmlns:a16="http://schemas.microsoft.com/office/drawing/2014/main" id="{39FEFDE5-C895-F582-E94B-8BCDF868823C}"/>
            </a:ext>
          </a:extLst>
        </xdr:cNvPr>
        <xdr:cNvSpPr/>
      </xdr:nvSpPr>
      <xdr:spPr>
        <a:xfrm>
          <a:off x="166914" y="673036"/>
          <a:ext cx="1889275" cy="145870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105508</xdr:colOff>
      <xdr:row>12</xdr:row>
      <xdr:rowOff>56364</xdr:rowOff>
    </xdr:from>
    <xdr:to>
      <xdr:col>0</xdr:col>
      <xdr:colOff>2098431</xdr:colOff>
      <xdr:row>28</xdr:row>
      <xdr:rowOff>133047</xdr:rowOff>
    </xdr:to>
    <xdr:sp macro="" textlink="">
      <xdr:nvSpPr>
        <xdr:cNvPr id="7" name="Rectangle: Rounded Corners 6">
          <a:extLst>
            <a:ext uri="{FF2B5EF4-FFF2-40B4-BE49-F238E27FC236}">
              <a16:creationId xmlns:a16="http://schemas.microsoft.com/office/drawing/2014/main" id="{027E8F44-4AE4-E27C-9B90-27C1FBE44DD0}"/>
            </a:ext>
          </a:extLst>
        </xdr:cNvPr>
        <xdr:cNvSpPr/>
      </xdr:nvSpPr>
      <xdr:spPr>
        <a:xfrm>
          <a:off x="105508" y="2283749"/>
          <a:ext cx="1992923" cy="3077790"/>
        </a:xfrm>
        <a:prstGeom prst="roundRect">
          <a:avLst/>
        </a:prstGeom>
        <a:solidFill>
          <a:schemeClr val="accent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oneCell">
    <xdr:from>
      <xdr:col>0</xdr:col>
      <xdr:colOff>199291</xdr:colOff>
      <xdr:row>13</xdr:row>
      <xdr:rowOff>1</xdr:rowOff>
    </xdr:from>
    <xdr:to>
      <xdr:col>0</xdr:col>
      <xdr:colOff>2028092</xdr:colOff>
      <xdr:row>28</xdr:row>
      <xdr:rowOff>35170</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A58A8B24-D6F1-452A-BC96-2CE45E33175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9291" y="2414955"/>
              <a:ext cx="1828801" cy="284870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84669</xdr:colOff>
      <xdr:row>12</xdr:row>
      <xdr:rowOff>72573</xdr:rowOff>
    </xdr:from>
    <xdr:to>
      <xdr:col>5</xdr:col>
      <xdr:colOff>269632</xdr:colOff>
      <xdr:row>25</xdr:row>
      <xdr:rowOff>175847</xdr:rowOff>
    </xdr:to>
    <xdr:graphicFrame macro="">
      <xdr:nvGraphicFramePr>
        <xdr:cNvPr id="10" name="Chart 9">
          <a:extLst>
            <a:ext uri="{FF2B5EF4-FFF2-40B4-BE49-F238E27FC236}">
              <a16:creationId xmlns:a16="http://schemas.microsoft.com/office/drawing/2014/main" id="{4F8A7AA1-AE5E-425B-BEEE-F835E6C6B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84669</xdr:colOff>
      <xdr:row>26</xdr:row>
      <xdr:rowOff>117232</xdr:rowOff>
    </xdr:from>
    <xdr:to>
      <xdr:col>5</xdr:col>
      <xdr:colOff>269631</xdr:colOff>
      <xdr:row>41</xdr:row>
      <xdr:rowOff>93786</xdr:rowOff>
    </xdr:to>
    <xdr:graphicFrame macro="">
      <xdr:nvGraphicFramePr>
        <xdr:cNvPr id="11" name="Chart 10">
          <a:extLst>
            <a:ext uri="{FF2B5EF4-FFF2-40B4-BE49-F238E27FC236}">
              <a16:creationId xmlns:a16="http://schemas.microsoft.com/office/drawing/2014/main" id="{44A21DCF-9614-4DE6-B884-57EDC7B89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117231</xdr:colOff>
      <xdr:row>29</xdr:row>
      <xdr:rowOff>51527</xdr:rowOff>
    </xdr:from>
    <xdr:to>
      <xdr:col>0</xdr:col>
      <xdr:colOff>2110154</xdr:colOff>
      <xdr:row>41</xdr:row>
      <xdr:rowOff>128955</xdr:rowOff>
    </xdr:to>
    <xdr:sp macro="" textlink="">
      <xdr:nvSpPr>
        <xdr:cNvPr id="12" name="Rectangle: Rounded Corners 11">
          <a:extLst>
            <a:ext uri="{FF2B5EF4-FFF2-40B4-BE49-F238E27FC236}">
              <a16:creationId xmlns:a16="http://schemas.microsoft.com/office/drawing/2014/main" id="{3B10ACED-E14D-443F-8388-53ECE21A97FB}"/>
            </a:ext>
          </a:extLst>
        </xdr:cNvPr>
        <xdr:cNvSpPr/>
      </xdr:nvSpPr>
      <xdr:spPr>
        <a:xfrm>
          <a:off x="117231" y="5467589"/>
          <a:ext cx="1992923" cy="2328258"/>
        </a:xfrm>
        <a:prstGeom prst="roundRect">
          <a:avLst/>
        </a:prstGeom>
        <a:solidFill>
          <a:schemeClr val="accent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oneCell">
    <xdr:from>
      <xdr:col>0</xdr:col>
      <xdr:colOff>229066</xdr:colOff>
      <xdr:row>30</xdr:row>
      <xdr:rowOff>35169</xdr:rowOff>
    </xdr:from>
    <xdr:to>
      <xdr:col>0</xdr:col>
      <xdr:colOff>2028092</xdr:colOff>
      <xdr:row>40</xdr:row>
      <xdr:rowOff>150524</xdr:rowOff>
    </xdr:to>
    <mc:AlternateContent xmlns:mc="http://schemas.openxmlformats.org/markup-compatibility/2006" xmlns:a14="http://schemas.microsoft.com/office/drawing/2010/main">
      <mc:Choice Requires="a14">
        <xdr:graphicFrame macro="">
          <xdr:nvGraphicFramePr>
            <xdr:cNvPr id="29" name="Free Cash Flows">
              <a:extLst>
                <a:ext uri="{FF2B5EF4-FFF2-40B4-BE49-F238E27FC236}">
                  <a16:creationId xmlns:a16="http://schemas.microsoft.com/office/drawing/2014/main" id="{FD82D263-7029-4775-B0B0-2EA8D31783BC}"/>
                </a:ext>
              </a:extLst>
            </xdr:cNvPr>
            <xdr:cNvGraphicFramePr/>
          </xdr:nvGraphicFramePr>
          <xdr:xfrm>
            <a:off x="0" y="0"/>
            <a:ext cx="0" cy="0"/>
          </xdr:xfrm>
          <a:graphic>
            <a:graphicData uri="http://schemas.microsoft.com/office/drawing/2010/slicer">
              <sle:slicer xmlns:sle="http://schemas.microsoft.com/office/drawing/2010/slicer" name="Free Cash Flows"/>
            </a:graphicData>
          </a:graphic>
        </xdr:graphicFrame>
      </mc:Choice>
      <mc:Fallback xmlns="">
        <xdr:sp macro="" textlink="">
          <xdr:nvSpPr>
            <xdr:cNvPr id="0" name=""/>
            <xdr:cNvSpPr>
              <a:spLocks noTextEdit="1"/>
            </xdr:cNvSpPr>
          </xdr:nvSpPr>
          <xdr:spPr>
            <a:xfrm>
              <a:off x="229066" y="5638800"/>
              <a:ext cx="1799026" cy="199104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359897</xdr:colOff>
      <xdr:row>3</xdr:row>
      <xdr:rowOff>57443</xdr:rowOff>
    </xdr:from>
    <xdr:to>
      <xdr:col>27</xdr:col>
      <xdr:colOff>219220</xdr:colOff>
      <xdr:row>25</xdr:row>
      <xdr:rowOff>87923</xdr:rowOff>
    </xdr:to>
    <xdr:graphicFrame macro="">
      <xdr:nvGraphicFramePr>
        <xdr:cNvPr id="30" name="Chart 29">
          <a:extLst>
            <a:ext uri="{FF2B5EF4-FFF2-40B4-BE49-F238E27FC236}">
              <a16:creationId xmlns:a16="http://schemas.microsoft.com/office/drawing/2014/main" id="{970B6545-B3D9-4488-AE97-6BCBAF5DC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401564</xdr:colOff>
      <xdr:row>12</xdr:row>
      <xdr:rowOff>72573</xdr:rowOff>
    </xdr:from>
    <xdr:to>
      <xdr:col>13</xdr:col>
      <xdr:colOff>550984</xdr:colOff>
      <xdr:row>26</xdr:row>
      <xdr:rowOff>11723</xdr:rowOff>
    </xdr:to>
    <xdr:graphicFrame macro="">
      <xdr:nvGraphicFramePr>
        <xdr:cNvPr id="31" name="Chart 30">
          <a:extLst>
            <a:ext uri="{FF2B5EF4-FFF2-40B4-BE49-F238E27FC236}">
              <a16:creationId xmlns:a16="http://schemas.microsoft.com/office/drawing/2014/main" id="{6FC5B5B7-8BC2-405F-B1B5-030334198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105508</xdr:colOff>
      <xdr:row>12</xdr:row>
      <xdr:rowOff>72942</xdr:rowOff>
    </xdr:from>
    <xdr:to>
      <xdr:col>17</xdr:col>
      <xdr:colOff>246184</xdr:colOff>
      <xdr:row>25</xdr:row>
      <xdr:rowOff>-1</xdr:rowOff>
    </xdr:to>
    <xdr:sp macro="" textlink="">
      <xdr:nvSpPr>
        <xdr:cNvPr id="32" name="Rectangle: Rounded Corners 31">
          <a:extLst>
            <a:ext uri="{FF2B5EF4-FFF2-40B4-BE49-F238E27FC236}">
              <a16:creationId xmlns:a16="http://schemas.microsoft.com/office/drawing/2014/main" id="{A0A28F28-B863-46F3-8E7E-90BB6B8592FC}"/>
            </a:ext>
          </a:extLst>
        </xdr:cNvPr>
        <xdr:cNvSpPr/>
      </xdr:nvSpPr>
      <xdr:spPr>
        <a:xfrm>
          <a:off x="13493262" y="2300327"/>
          <a:ext cx="1969476" cy="2365457"/>
        </a:xfrm>
        <a:prstGeom prst="roundRect">
          <a:avLst/>
        </a:prstGeom>
        <a:solidFill>
          <a:schemeClr val="accent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editAs="oneCell">
    <xdr:from>
      <xdr:col>14</xdr:col>
      <xdr:colOff>125235</xdr:colOff>
      <xdr:row>13</xdr:row>
      <xdr:rowOff>132843</xdr:rowOff>
    </xdr:from>
    <xdr:to>
      <xdr:col>17</xdr:col>
      <xdr:colOff>199292</xdr:colOff>
      <xdr:row>23</xdr:row>
      <xdr:rowOff>117232</xdr:rowOff>
    </xdr:to>
    <mc:AlternateContent xmlns:mc="http://schemas.openxmlformats.org/markup-compatibility/2006" xmlns:a14="http://schemas.microsoft.com/office/drawing/2010/main">
      <mc:Choice Requires="a14">
        <xdr:graphicFrame macro="">
          <xdr:nvGraphicFramePr>
            <xdr:cNvPr id="33" name="Data per Share">
              <a:extLst>
                <a:ext uri="{FF2B5EF4-FFF2-40B4-BE49-F238E27FC236}">
                  <a16:creationId xmlns:a16="http://schemas.microsoft.com/office/drawing/2014/main" id="{B29186BD-49C8-473D-9382-0BEAFDEA35AB}"/>
                </a:ext>
              </a:extLst>
            </xdr:cNvPr>
            <xdr:cNvGraphicFramePr/>
          </xdr:nvGraphicFramePr>
          <xdr:xfrm>
            <a:off x="0" y="0"/>
            <a:ext cx="0" cy="0"/>
          </xdr:xfrm>
          <a:graphic>
            <a:graphicData uri="http://schemas.microsoft.com/office/drawing/2010/slicer">
              <sle:slicer xmlns:sle="http://schemas.microsoft.com/office/drawing/2010/slicer" name="Data per Share"/>
            </a:graphicData>
          </a:graphic>
        </xdr:graphicFrame>
      </mc:Choice>
      <mc:Fallback xmlns="">
        <xdr:sp macro="" textlink="">
          <xdr:nvSpPr>
            <xdr:cNvPr id="0" name=""/>
            <xdr:cNvSpPr>
              <a:spLocks noTextEdit="1"/>
            </xdr:cNvSpPr>
          </xdr:nvSpPr>
          <xdr:spPr>
            <a:xfrm>
              <a:off x="13512989" y="2547797"/>
              <a:ext cx="1902857" cy="186008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108020</xdr:colOff>
      <xdr:row>0</xdr:row>
      <xdr:rowOff>23446</xdr:rowOff>
    </xdr:from>
    <xdr:to>
      <xdr:col>3</xdr:col>
      <xdr:colOff>240734</xdr:colOff>
      <xdr:row>2</xdr:row>
      <xdr:rowOff>179216</xdr:rowOff>
    </xdr:to>
    <xdr:sp macro="" textlink="">
      <xdr:nvSpPr>
        <xdr:cNvPr id="40" name="TextBox 39">
          <a:extLst>
            <a:ext uri="{FF2B5EF4-FFF2-40B4-BE49-F238E27FC236}">
              <a16:creationId xmlns:a16="http://schemas.microsoft.com/office/drawing/2014/main" id="{E0BF0159-BDC7-419F-ABB3-E5E614A55041}"/>
            </a:ext>
          </a:extLst>
        </xdr:cNvPr>
        <xdr:cNvSpPr txBox="1"/>
      </xdr:nvSpPr>
      <xdr:spPr>
        <a:xfrm>
          <a:off x="2276789" y="23446"/>
          <a:ext cx="3743422" cy="507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3"/>
              </a:solidFill>
              <a:latin typeface="Montserrat" panose="00000500000000000000" pitchFamily="2" charset="0"/>
              <a:cs typeface="Poppins" panose="00000500000000000000" pitchFamily="2" charset="0"/>
            </a:rPr>
            <a:t>FINANCIAL</a:t>
          </a:r>
          <a:r>
            <a:rPr lang="en-US" sz="2400" b="1" baseline="0">
              <a:solidFill>
                <a:schemeClr val="accent3"/>
              </a:solidFill>
              <a:latin typeface="Montserrat" panose="00000500000000000000" pitchFamily="2" charset="0"/>
              <a:cs typeface="Poppins" panose="00000500000000000000" pitchFamily="2" charset="0"/>
            </a:rPr>
            <a:t> REPORT </a:t>
          </a:r>
          <a:endParaRPr lang="LID4096" sz="2400" b="1">
            <a:solidFill>
              <a:schemeClr val="accent3"/>
            </a:solidFill>
            <a:latin typeface="Montserrat" panose="00000500000000000000" pitchFamily="2" charset="0"/>
            <a:cs typeface="Poppins" panose="00000500000000000000" pitchFamily="2" charset="0"/>
          </a:endParaRPr>
        </a:p>
      </xdr:txBody>
    </xdr:sp>
    <xdr:clientData/>
  </xdr:twoCellAnchor>
  <xdr:twoCellAnchor>
    <xdr:from>
      <xdr:col>0</xdr:col>
      <xdr:colOff>108020</xdr:colOff>
      <xdr:row>0</xdr:row>
      <xdr:rowOff>35170</xdr:rowOff>
    </xdr:from>
    <xdr:to>
      <xdr:col>1</xdr:col>
      <xdr:colOff>0</xdr:colOff>
      <xdr:row>2</xdr:row>
      <xdr:rowOff>141264</xdr:rowOff>
    </xdr:to>
    <xdr:sp macro="" textlink="">
      <xdr:nvSpPr>
        <xdr:cNvPr id="41" name="Rectangle: Rounded Corners 40">
          <a:extLst>
            <a:ext uri="{FF2B5EF4-FFF2-40B4-BE49-F238E27FC236}">
              <a16:creationId xmlns:a16="http://schemas.microsoft.com/office/drawing/2014/main" id="{0542DFD1-D5AA-4BD2-BDD1-1187B89A3FBB}"/>
            </a:ext>
          </a:extLst>
        </xdr:cNvPr>
        <xdr:cNvSpPr/>
      </xdr:nvSpPr>
      <xdr:spPr>
        <a:xfrm>
          <a:off x="108020" y="35170"/>
          <a:ext cx="2060749" cy="457786"/>
        </a:xfrm>
        <a:prstGeom prst="roundRect">
          <a:avLst/>
        </a:prstGeom>
        <a:solidFill>
          <a:schemeClr val="accent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chemeClr val="accent2">
                <a:lumMod val="20000"/>
                <a:lumOff val="80000"/>
              </a:schemeClr>
            </a:solidFill>
          </a:endParaRPr>
        </a:p>
      </xdr:txBody>
    </xdr:sp>
    <xdr:clientData/>
  </xdr:twoCellAnchor>
  <xdr:twoCellAnchor>
    <xdr:from>
      <xdr:col>0</xdr:col>
      <xdr:colOff>272144</xdr:colOff>
      <xdr:row>0</xdr:row>
      <xdr:rowOff>82063</xdr:rowOff>
    </xdr:from>
    <xdr:to>
      <xdr:col>0</xdr:col>
      <xdr:colOff>2077237</xdr:colOff>
      <xdr:row>3</xdr:row>
      <xdr:rowOff>50263</xdr:rowOff>
    </xdr:to>
    <xdr:sp macro="" textlink="">
      <xdr:nvSpPr>
        <xdr:cNvPr id="42" name="TextBox 41">
          <a:extLst>
            <a:ext uri="{FF2B5EF4-FFF2-40B4-BE49-F238E27FC236}">
              <a16:creationId xmlns:a16="http://schemas.microsoft.com/office/drawing/2014/main" id="{BDDE2647-CAC7-4CD3-A930-036AEB1C9BA0}"/>
            </a:ext>
          </a:extLst>
        </xdr:cNvPr>
        <xdr:cNvSpPr txBox="1"/>
      </xdr:nvSpPr>
      <xdr:spPr>
        <a:xfrm>
          <a:off x="272144" y="82063"/>
          <a:ext cx="1805093" cy="507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baseline="0">
              <a:solidFill>
                <a:srgbClr val="FFFFFF"/>
              </a:solidFill>
              <a:latin typeface="Montserrat" panose="00000500000000000000" pitchFamily="2" charset="0"/>
              <a:cs typeface="Poppins" panose="00000500000000000000" pitchFamily="2" charset="0"/>
            </a:rPr>
            <a:t>ADIDAS AG</a:t>
          </a:r>
          <a:endParaRPr lang="LID4096" sz="2000" b="1">
            <a:solidFill>
              <a:srgbClr val="FFFFFF"/>
            </a:solidFill>
            <a:latin typeface="Montserrat" panose="00000500000000000000" pitchFamily="2" charset="0"/>
            <a:cs typeface="Poppins" panose="00000500000000000000" pitchFamily="2" charset="0"/>
          </a:endParaRPr>
        </a:p>
      </xdr:txBody>
    </xdr:sp>
    <xdr:clientData/>
  </xdr:twoCellAnchor>
  <xdr:twoCellAnchor>
    <xdr:from>
      <xdr:col>0</xdr:col>
      <xdr:colOff>588946</xdr:colOff>
      <xdr:row>4</xdr:row>
      <xdr:rowOff>39988</xdr:rowOff>
    </xdr:from>
    <xdr:to>
      <xdr:col>0</xdr:col>
      <xdr:colOff>1946032</xdr:colOff>
      <xdr:row>6</xdr:row>
      <xdr:rowOff>59422</xdr:rowOff>
    </xdr:to>
    <xdr:sp macro="" textlink="">
      <xdr:nvSpPr>
        <xdr:cNvPr id="43" name="Rectangle: Rounded Corners 42">
          <a:extLst>
            <a:ext uri="{FF2B5EF4-FFF2-40B4-BE49-F238E27FC236}">
              <a16:creationId xmlns:a16="http://schemas.microsoft.com/office/drawing/2014/main" id="{B3C995FF-519F-4811-AD3C-A00429C42128}"/>
            </a:ext>
          </a:extLst>
        </xdr:cNvPr>
        <xdr:cNvSpPr/>
      </xdr:nvSpPr>
      <xdr:spPr>
        <a:xfrm>
          <a:off x="588946" y="766819"/>
          <a:ext cx="1357086" cy="394572"/>
        </a:xfrm>
        <a:prstGeom prst="roundRect">
          <a:avLst/>
        </a:prstGeom>
        <a:solidFill>
          <a:schemeClr val="accent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rgbClr val="FFFFFF"/>
              </a:solidFill>
              <a:latin typeface="Montserrat" panose="00000500000000000000" pitchFamily="2" charset="0"/>
            </a:rPr>
            <a:t>Dashboard</a:t>
          </a:r>
        </a:p>
        <a:p>
          <a:pPr algn="l"/>
          <a:endParaRPr lang="LID4096" sz="1400" b="0">
            <a:solidFill>
              <a:srgbClr val="FFFFFF"/>
            </a:solidFill>
            <a:latin typeface="Montserrat" panose="00000500000000000000" pitchFamily="2" charset="0"/>
          </a:endParaRPr>
        </a:p>
      </xdr:txBody>
    </xdr:sp>
    <xdr:clientData/>
  </xdr:twoCellAnchor>
  <xdr:twoCellAnchor>
    <xdr:from>
      <xdr:col>0</xdr:col>
      <xdr:colOff>600670</xdr:colOff>
      <xdr:row>6</xdr:row>
      <xdr:rowOff>122052</xdr:rowOff>
    </xdr:from>
    <xdr:to>
      <xdr:col>0</xdr:col>
      <xdr:colOff>1957756</xdr:colOff>
      <xdr:row>8</xdr:row>
      <xdr:rowOff>141485</xdr:rowOff>
    </xdr:to>
    <xdr:sp macro="" textlink="">
      <xdr:nvSpPr>
        <xdr:cNvPr id="44" name="Rectangle: Rounded Corners 43">
          <a:extLst>
            <a:ext uri="{FF2B5EF4-FFF2-40B4-BE49-F238E27FC236}">
              <a16:creationId xmlns:a16="http://schemas.microsoft.com/office/drawing/2014/main" id="{708BF799-D876-44B6-8071-EBAC0ACDB27C}"/>
            </a:ext>
          </a:extLst>
        </xdr:cNvPr>
        <xdr:cNvSpPr/>
      </xdr:nvSpPr>
      <xdr:spPr>
        <a:xfrm>
          <a:off x="600670" y="1224021"/>
          <a:ext cx="1357086" cy="394572"/>
        </a:xfrm>
        <a:prstGeom prst="roundRect">
          <a:avLst/>
        </a:prstGeom>
        <a:solidFill>
          <a:schemeClr val="accent2">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rgbClr val="FFFFFF"/>
              </a:solidFill>
              <a:latin typeface="Montserrat" panose="00000500000000000000" pitchFamily="2" charset="0"/>
            </a:rPr>
            <a:t>Table</a:t>
          </a:r>
        </a:p>
        <a:p>
          <a:pPr algn="l"/>
          <a:endParaRPr lang="LID4096" sz="1400" b="0">
            <a:solidFill>
              <a:srgbClr val="FFFFFF"/>
            </a:solidFill>
            <a:latin typeface="Montserrat" panose="00000500000000000000" pitchFamily="2" charset="0"/>
          </a:endParaRPr>
        </a:p>
      </xdr:txBody>
    </xdr:sp>
    <xdr:clientData/>
  </xdr:twoCellAnchor>
  <xdr:twoCellAnchor>
    <xdr:from>
      <xdr:col>0</xdr:col>
      <xdr:colOff>612391</xdr:colOff>
      <xdr:row>9</xdr:row>
      <xdr:rowOff>4821</xdr:rowOff>
    </xdr:from>
    <xdr:to>
      <xdr:col>0</xdr:col>
      <xdr:colOff>1957754</xdr:colOff>
      <xdr:row>11</xdr:row>
      <xdr:rowOff>24255</xdr:rowOff>
    </xdr:to>
    <xdr:sp macro="" textlink="">
      <xdr:nvSpPr>
        <xdr:cNvPr id="45" name="Rectangle: Rounded Corners 44">
          <a:extLst>
            <a:ext uri="{FF2B5EF4-FFF2-40B4-BE49-F238E27FC236}">
              <a16:creationId xmlns:a16="http://schemas.microsoft.com/office/drawing/2014/main" id="{227ECC8C-6AE3-4004-9D04-6E5B07A6A2E8}"/>
            </a:ext>
          </a:extLst>
        </xdr:cNvPr>
        <xdr:cNvSpPr/>
      </xdr:nvSpPr>
      <xdr:spPr>
        <a:xfrm>
          <a:off x="612391" y="1669498"/>
          <a:ext cx="1345363" cy="394572"/>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rgbClr val="FFFFFF"/>
              </a:solidFill>
              <a:latin typeface="Montserrat" panose="00000500000000000000" pitchFamily="2" charset="0"/>
            </a:rPr>
            <a:t>Data</a:t>
          </a:r>
        </a:p>
        <a:p>
          <a:pPr algn="l"/>
          <a:endParaRPr lang="LID4096" sz="1400" b="0">
            <a:solidFill>
              <a:srgbClr val="FFFFFF"/>
            </a:solidFill>
            <a:latin typeface="Montserrat" panose="00000500000000000000" pitchFamily="2" charset="0"/>
          </a:endParaRPr>
        </a:p>
      </xdr:txBody>
    </xdr:sp>
    <xdr:clientData/>
  </xdr:twoCellAnchor>
  <xdr:twoCellAnchor>
    <xdr:from>
      <xdr:col>1</xdr:col>
      <xdr:colOff>940452</xdr:colOff>
      <xdr:row>9</xdr:row>
      <xdr:rowOff>103171</xdr:rowOff>
    </xdr:from>
    <xdr:to>
      <xdr:col>1</xdr:col>
      <xdr:colOff>2169370</xdr:colOff>
      <xdr:row>11</xdr:row>
      <xdr:rowOff>64892</xdr:rowOff>
    </xdr:to>
    <xdr:sp macro="" textlink="">
      <xdr:nvSpPr>
        <xdr:cNvPr id="46" name="Rectangle: Rounded Corners 45">
          <a:extLst>
            <a:ext uri="{FF2B5EF4-FFF2-40B4-BE49-F238E27FC236}">
              <a16:creationId xmlns:a16="http://schemas.microsoft.com/office/drawing/2014/main" id="{BDF22342-BB59-4D91-803D-5F9073AC27D5}"/>
            </a:ext>
          </a:extLst>
        </xdr:cNvPr>
        <xdr:cNvSpPr/>
      </xdr:nvSpPr>
      <xdr:spPr>
        <a:xfrm>
          <a:off x="3109221" y="1767848"/>
          <a:ext cx="1228918" cy="336859"/>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Montserrat" panose="00000500000000000000" pitchFamily="2" charset="0"/>
              <a:ea typeface="Calibri"/>
              <a:cs typeface="Calibri"/>
            </a:rPr>
            <a:t>Mio. €</a:t>
          </a:r>
        </a:p>
      </xdr:txBody>
    </xdr:sp>
    <xdr:clientData/>
  </xdr:twoCellAnchor>
  <xdr:twoCellAnchor>
    <xdr:from>
      <xdr:col>1</xdr:col>
      <xdr:colOff>3335681</xdr:colOff>
      <xdr:row>3</xdr:row>
      <xdr:rowOff>133029</xdr:rowOff>
    </xdr:from>
    <xdr:to>
      <xdr:col>5</xdr:col>
      <xdr:colOff>590063</xdr:colOff>
      <xdr:row>11</xdr:row>
      <xdr:rowOff>94751</xdr:rowOff>
    </xdr:to>
    <xdr:grpSp>
      <xdr:nvGrpSpPr>
        <xdr:cNvPr id="58" name="Group 57">
          <a:extLst>
            <a:ext uri="{FF2B5EF4-FFF2-40B4-BE49-F238E27FC236}">
              <a16:creationId xmlns:a16="http://schemas.microsoft.com/office/drawing/2014/main" id="{DA3FF423-FA52-2B8B-5035-AA349D489036}"/>
            </a:ext>
          </a:extLst>
        </xdr:cNvPr>
        <xdr:cNvGrpSpPr/>
      </xdr:nvGrpSpPr>
      <xdr:grpSpPr>
        <a:xfrm>
          <a:off x="5504450" y="672291"/>
          <a:ext cx="2986967" cy="1462275"/>
          <a:chOff x="5422388" y="648845"/>
          <a:chExt cx="2986967" cy="1462275"/>
        </a:xfrm>
      </xdr:grpSpPr>
      <xdr:sp macro="" textlink="">
        <xdr:nvSpPr>
          <xdr:cNvPr id="18" name="Rectangle: Rounded Corners 17">
            <a:extLst>
              <a:ext uri="{FF2B5EF4-FFF2-40B4-BE49-F238E27FC236}">
                <a16:creationId xmlns:a16="http://schemas.microsoft.com/office/drawing/2014/main" id="{DE1A1C8C-901B-81E9-32C4-13A8A87DFBF5}"/>
              </a:ext>
            </a:extLst>
          </xdr:cNvPr>
          <xdr:cNvSpPr/>
        </xdr:nvSpPr>
        <xdr:spPr>
          <a:xfrm>
            <a:off x="5422388" y="648845"/>
            <a:ext cx="2986967" cy="1458704"/>
          </a:xfrm>
          <a:prstGeom prst="roundRect">
            <a:avLst/>
          </a:prstGeom>
          <a:solidFill>
            <a:schemeClr val="accent3">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LID4096" sz="1600">
              <a:latin typeface="Monstserrat"/>
            </a:endParaRPr>
          </a:p>
        </xdr:txBody>
      </xdr:sp>
      <xdr:sp macro="" textlink="'Pivot Table'!C2">
        <xdr:nvSpPr>
          <xdr:cNvPr id="19" name="Rectangle: Rounded Corners 18">
            <a:extLst>
              <a:ext uri="{FF2B5EF4-FFF2-40B4-BE49-F238E27FC236}">
                <a16:creationId xmlns:a16="http://schemas.microsoft.com/office/drawing/2014/main" id="{B1923169-F962-9D0B-C23B-3E34B387BD8E}"/>
              </a:ext>
            </a:extLst>
          </xdr:cNvPr>
          <xdr:cNvSpPr/>
        </xdr:nvSpPr>
        <xdr:spPr>
          <a:xfrm>
            <a:off x="5559345" y="806556"/>
            <a:ext cx="1306526" cy="324686"/>
          </a:xfrm>
          <a:prstGeom prst="roundRect">
            <a:avLst/>
          </a:prstGeom>
          <a:solidFill>
            <a:schemeClr val="accent2">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20BEA69-125E-42D6-86FA-AF75099C0C20}" type="TxLink">
              <a:rPr lang="en-US" sz="1600" b="0" i="0" u="none" strike="noStrike">
                <a:solidFill>
                  <a:srgbClr val="000000"/>
                </a:solidFill>
                <a:latin typeface="Monstserrat"/>
              </a:rPr>
              <a:pPr algn="l"/>
              <a:t>Gross profit</a:t>
            </a:fld>
            <a:endParaRPr lang="LID4096" sz="1600">
              <a:latin typeface="Monstserrat"/>
            </a:endParaRPr>
          </a:p>
        </xdr:txBody>
      </xdr:sp>
      <xdr:sp macro="" textlink="'Pivot Table'!C3">
        <xdr:nvSpPr>
          <xdr:cNvPr id="26" name="Rectangle: Rounded Corners 25">
            <a:extLst>
              <a:ext uri="{FF2B5EF4-FFF2-40B4-BE49-F238E27FC236}">
                <a16:creationId xmlns:a16="http://schemas.microsoft.com/office/drawing/2014/main" id="{ECF1A720-6152-4580-82A9-3326F5B85F2D}"/>
              </a:ext>
            </a:extLst>
          </xdr:cNvPr>
          <xdr:cNvSpPr/>
        </xdr:nvSpPr>
        <xdr:spPr>
          <a:xfrm>
            <a:off x="6272963" y="1467601"/>
            <a:ext cx="1455149" cy="326033"/>
          </a:xfrm>
          <a:prstGeom prst="roundRect">
            <a:avLst/>
          </a:prstGeom>
          <a:solidFill>
            <a:schemeClr val="accent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53F83AE-15D0-4733-87A1-F2B68F2DFEA6}" type="TxLink">
              <a:rPr lang="en-US" sz="1800" b="0" i="0" u="none" strike="noStrike">
                <a:solidFill>
                  <a:schemeClr val="bg1"/>
                </a:solidFill>
                <a:latin typeface="Aptos Narrow"/>
              </a:rPr>
              <a:pPr algn="ctr"/>
              <a:t>11,363</a:t>
            </a:fld>
            <a:endParaRPr lang="LID4096" sz="1800">
              <a:solidFill>
                <a:schemeClr val="bg1"/>
              </a:solidFill>
            </a:endParaRPr>
          </a:p>
        </xdr:txBody>
      </xdr:sp>
      <xdr:sp macro="" textlink="">
        <xdr:nvSpPr>
          <xdr:cNvPr id="47" name="Rectangle: Rounded Corners 46">
            <a:extLst>
              <a:ext uri="{FF2B5EF4-FFF2-40B4-BE49-F238E27FC236}">
                <a16:creationId xmlns:a16="http://schemas.microsoft.com/office/drawing/2014/main" id="{4FEACF0A-BF4B-48CE-9D07-39089088987A}"/>
              </a:ext>
            </a:extLst>
          </xdr:cNvPr>
          <xdr:cNvSpPr/>
        </xdr:nvSpPr>
        <xdr:spPr>
          <a:xfrm>
            <a:off x="6430573" y="1774261"/>
            <a:ext cx="1228918" cy="336859"/>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Montserrat" panose="00000500000000000000" pitchFamily="2" charset="0"/>
                <a:ea typeface="Calibri"/>
                <a:cs typeface="Calibri"/>
              </a:rPr>
              <a:t>Mio. €</a:t>
            </a:r>
          </a:p>
        </xdr:txBody>
      </xdr:sp>
    </xdr:grpSp>
    <xdr:clientData/>
  </xdr:twoCellAnchor>
  <xdr:twoCellAnchor>
    <xdr:from>
      <xdr:col>6</xdr:col>
      <xdr:colOff>314479</xdr:colOff>
      <xdr:row>3</xdr:row>
      <xdr:rowOff>128190</xdr:rowOff>
    </xdr:from>
    <xdr:to>
      <xdr:col>11</xdr:col>
      <xdr:colOff>237066</xdr:colOff>
      <xdr:row>11</xdr:row>
      <xdr:rowOff>86341</xdr:rowOff>
    </xdr:to>
    <xdr:grpSp>
      <xdr:nvGrpSpPr>
        <xdr:cNvPr id="57" name="Group 56">
          <a:extLst>
            <a:ext uri="{FF2B5EF4-FFF2-40B4-BE49-F238E27FC236}">
              <a16:creationId xmlns:a16="http://schemas.microsoft.com/office/drawing/2014/main" id="{78939BE0-49F0-5EDC-3EE1-291BAB2F972C}"/>
            </a:ext>
          </a:extLst>
        </xdr:cNvPr>
        <xdr:cNvGrpSpPr/>
      </xdr:nvGrpSpPr>
      <xdr:grpSpPr>
        <a:xfrm>
          <a:off x="8825433" y="667452"/>
          <a:ext cx="2970587" cy="1458704"/>
          <a:chOff x="8673033" y="644006"/>
          <a:chExt cx="2970587" cy="1458704"/>
        </a:xfrm>
      </xdr:grpSpPr>
      <xdr:sp macro="" textlink="">
        <xdr:nvSpPr>
          <xdr:cNvPr id="21" name="Rectangle: Rounded Corners 20">
            <a:extLst>
              <a:ext uri="{FF2B5EF4-FFF2-40B4-BE49-F238E27FC236}">
                <a16:creationId xmlns:a16="http://schemas.microsoft.com/office/drawing/2014/main" id="{7B4350EE-C422-89AA-A60E-CC95FADEC178}"/>
              </a:ext>
            </a:extLst>
          </xdr:cNvPr>
          <xdr:cNvSpPr/>
        </xdr:nvSpPr>
        <xdr:spPr>
          <a:xfrm>
            <a:off x="8673033" y="644006"/>
            <a:ext cx="2970587" cy="1458704"/>
          </a:xfrm>
          <a:prstGeom prst="roundRect">
            <a:avLst/>
          </a:prstGeom>
          <a:solidFill>
            <a:schemeClr val="accent3">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LID4096" sz="1600">
              <a:latin typeface="Monstserrat"/>
            </a:endParaRPr>
          </a:p>
        </xdr:txBody>
      </xdr:sp>
      <xdr:sp macro="" textlink="'Pivot Table'!F2">
        <xdr:nvSpPr>
          <xdr:cNvPr id="22" name="Rectangle: Rounded Corners 21">
            <a:extLst>
              <a:ext uri="{FF2B5EF4-FFF2-40B4-BE49-F238E27FC236}">
                <a16:creationId xmlns:a16="http://schemas.microsoft.com/office/drawing/2014/main" id="{86FF32D5-9F0E-2A42-1607-AF9C44462888}"/>
              </a:ext>
            </a:extLst>
          </xdr:cNvPr>
          <xdr:cNvSpPr/>
        </xdr:nvSpPr>
        <xdr:spPr>
          <a:xfrm>
            <a:off x="8809239" y="801717"/>
            <a:ext cx="1299361" cy="324686"/>
          </a:xfrm>
          <a:prstGeom prst="roundRect">
            <a:avLst/>
          </a:prstGeom>
          <a:solidFill>
            <a:schemeClr val="accent2">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DED56A8-AB6D-496A-BF63-044F3B2D2E51}" type="TxLink">
              <a:rPr lang="en-US" sz="1600" b="0" i="0" u="none" strike="noStrike">
                <a:solidFill>
                  <a:srgbClr val="000000"/>
                </a:solidFill>
                <a:latin typeface="Monstserrat"/>
              </a:rPr>
              <a:pPr algn="l"/>
              <a:t>Operating profit</a:t>
            </a:fld>
            <a:endParaRPr lang="LID4096" sz="1600">
              <a:latin typeface="Monstserrat"/>
            </a:endParaRPr>
          </a:p>
        </xdr:txBody>
      </xdr:sp>
      <xdr:sp macro="" textlink="'Pivot Table'!F3">
        <xdr:nvSpPr>
          <xdr:cNvPr id="27" name="Rectangle: Rounded Corners 26">
            <a:extLst>
              <a:ext uri="{FF2B5EF4-FFF2-40B4-BE49-F238E27FC236}">
                <a16:creationId xmlns:a16="http://schemas.microsoft.com/office/drawing/2014/main" id="{13537FAF-461D-4756-AAC1-84F224F70DDE}"/>
              </a:ext>
            </a:extLst>
          </xdr:cNvPr>
          <xdr:cNvSpPr/>
        </xdr:nvSpPr>
        <xdr:spPr>
          <a:xfrm>
            <a:off x="9478390" y="1473367"/>
            <a:ext cx="1468361" cy="319892"/>
          </a:xfrm>
          <a:prstGeom prst="roundRect">
            <a:avLst/>
          </a:prstGeom>
          <a:solidFill>
            <a:schemeClr val="accent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3DA7E20-6461-4380-A4B1-B834D05BDAE9}" type="TxLink">
              <a:rPr lang="en-US" sz="1800" b="0" i="0" u="none" strike="noStrike">
                <a:solidFill>
                  <a:schemeClr val="bg1"/>
                </a:solidFill>
                <a:latin typeface="Aptos Narrow"/>
              </a:rPr>
              <a:pPr algn="ctr"/>
              <a:t>2,368</a:t>
            </a:fld>
            <a:endParaRPr lang="LID4096" sz="1800">
              <a:solidFill>
                <a:schemeClr val="bg1"/>
              </a:solidFill>
            </a:endParaRPr>
          </a:p>
        </xdr:txBody>
      </xdr:sp>
      <xdr:sp macro="" textlink="">
        <xdr:nvSpPr>
          <xdr:cNvPr id="48" name="Rectangle: Rounded Corners 47">
            <a:extLst>
              <a:ext uri="{FF2B5EF4-FFF2-40B4-BE49-F238E27FC236}">
                <a16:creationId xmlns:a16="http://schemas.microsoft.com/office/drawing/2014/main" id="{388F3CF9-45E8-4777-BDCC-FCF5EBB69D82}"/>
              </a:ext>
            </a:extLst>
          </xdr:cNvPr>
          <xdr:cNvSpPr/>
        </xdr:nvSpPr>
        <xdr:spPr>
          <a:xfrm>
            <a:off x="9681217" y="1757699"/>
            <a:ext cx="1228918" cy="336859"/>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Montserrat" panose="00000500000000000000" pitchFamily="2" charset="0"/>
                <a:ea typeface="Calibri"/>
                <a:cs typeface="Calibri"/>
              </a:rPr>
              <a:t>Mio. €</a:t>
            </a:r>
          </a:p>
        </xdr:txBody>
      </xdr:sp>
    </xdr:grpSp>
    <xdr:clientData/>
  </xdr:twoCellAnchor>
  <xdr:twoCellAnchor>
    <xdr:from>
      <xdr:col>13</xdr:col>
      <xdr:colOff>314479</xdr:colOff>
      <xdr:row>9</xdr:row>
      <xdr:rowOff>104745</xdr:rowOff>
    </xdr:from>
    <xdr:to>
      <xdr:col>15</xdr:col>
      <xdr:colOff>324197</xdr:colOff>
      <xdr:row>11</xdr:row>
      <xdr:rowOff>66466</xdr:rowOff>
    </xdr:to>
    <xdr:sp macro="" textlink="">
      <xdr:nvSpPr>
        <xdr:cNvPr id="49" name="Rectangle: Rounded Corners 48">
          <a:extLst>
            <a:ext uri="{FF2B5EF4-FFF2-40B4-BE49-F238E27FC236}">
              <a16:creationId xmlns:a16="http://schemas.microsoft.com/office/drawing/2014/main" id="{8E609B54-AEC0-4408-A2E5-BA651DAC616A}"/>
            </a:ext>
          </a:extLst>
        </xdr:cNvPr>
        <xdr:cNvSpPr/>
      </xdr:nvSpPr>
      <xdr:spPr>
        <a:xfrm>
          <a:off x="13092633" y="1769422"/>
          <a:ext cx="1228918" cy="336859"/>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Montserrat" panose="00000500000000000000" pitchFamily="2" charset="0"/>
              <a:ea typeface="Calibri"/>
              <a:cs typeface="Calibri"/>
            </a:rPr>
            <a:t>Mio. €</a:t>
          </a:r>
        </a:p>
      </xdr:txBody>
    </xdr:sp>
    <xdr:clientData/>
  </xdr:twoCellAnchor>
  <xdr:twoCellAnchor>
    <xdr:from>
      <xdr:col>1</xdr:col>
      <xdr:colOff>436546</xdr:colOff>
      <xdr:row>13</xdr:row>
      <xdr:rowOff>75160</xdr:rowOff>
    </xdr:from>
    <xdr:to>
      <xdr:col>1</xdr:col>
      <xdr:colOff>1781909</xdr:colOff>
      <xdr:row>15</xdr:row>
      <xdr:rowOff>58616</xdr:rowOff>
    </xdr:to>
    <xdr:sp macro="" textlink="">
      <xdr:nvSpPr>
        <xdr:cNvPr id="50" name="Rectangle: Rounded Corners 49">
          <a:extLst>
            <a:ext uri="{FF2B5EF4-FFF2-40B4-BE49-F238E27FC236}">
              <a16:creationId xmlns:a16="http://schemas.microsoft.com/office/drawing/2014/main" id="{1B70B476-22D9-42AB-BBDD-B72C0F3DADB6}"/>
            </a:ext>
          </a:extLst>
        </xdr:cNvPr>
        <xdr:cNvSpPr/>
      </xdr:nvSpPr>
      <xdr:spPr>
        <a:xfrm>
          <a:off x="2605315" y="2490114"/>
          <a:ext cx="1345363" cy="358594"/>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rgbClr val="FFFFFF"/>
              </a:solidFill>
              <a:latin typeface="Montserrat" panose="00000500000000000000" pitchFamily="2" charset="0"/>
            </a:rPr>
            <a:t>Balance</a:t>
          </a:r>
        </a:p>
        <a:p>
          <a:pPr algn="l"/>
          <a:endParaRPr lang="LID4096" sz="1400" b="0">
            <a:solidFill>
              <a:srgbClr val="FFFFFF"/>
            </a:solidFill>
            <a:latin typeface="Montserrat" panose="00000500000000000000" pitchFamily="2" charset="0"/>
          </a:endParaRPr>
        </a:p>
      </xdr:txBody>
    </xdr:sp>
    <xdr:clientData/>
  </xdr:twoCellAnchor>
  <xdr:twoCellAnchor>
    <xdr:from>
      <xdr:col>1</xdr:col>
      <xdr:colOff>518608</xdr:colOff>
      <xdr:row>27</xdr:row>
      <xdr:rowOff>63435</xdr:rowOff>
    </xdr:from>
    <xdr:to>
      <xdr:col>1</xdr:col>
      <xdr:colOff>2543908</xdr:colOff>
      <xdr:row>29</xdr:row>
      <xdr:rowOff>82868</xdr:rowOff>
    </xdr:to>
    <xdr:sp macro="" textlink="">
      <xdr:nvSpPr>
        <xdr:cNvPr id="51" name="Rectangle: Rounded Corners 50">
          <a:extLst>
            <a:ext uri="{FF2B5EF4-FFF2-40B4-BE49-F238E27FC236}">
              <a16:creationId xmlns:a16="http://schemas.microsoft.com/office/drawing/2014/main" id="{74809E18-C97A-4B07-820A-2749E07DB0F7}"/>
            </a:ext>
          </a:extLst>
        </xdr:cNvPr>
        <xdr:cNvSpPr/>
      </xdr:nvSpPr>
      <xdr:spPr>
        <a:xfrm>
          <a:off x="2687377" y="5104358"/>
          <a:ext cx="2025300" cy="394572"/>
        </a:xfrm>
        <a:prstGeom prst="roundRect">
          <a:avLst/>
        </a:prstGeom>
        <a:solidFill>
          <a:schemeClr val="accent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rgbClr val="FFFFFF"/>
              </a:solidFill>
              <a:latin typeface="Montserrat" panose="00000500000000000000" pitchFamily="2" charset="0"/>
            </a:rPr>
            <a:t>Free Cash Flow</a:t>
          </a:r>
        </a:p>
        <a:p>
          <a:pPr algn="l"/>
          <a:endParaRPr lang="LID4096" sz="1400" b="0">
            <a:solidFill>
              <a:srgbClr val="FFFFFF"/>
            </a:solidFill>
            <a:latin typeface="Montserrat" panose="00000500000000000000" pitchFamily="2" charset="0"/>
          </a:endParaRPr>
        </a:p>
      </xdr:txBody>
    </xdr:sp>
    <xdr:clientData/>
  </xdr:twoCellAnchor>
  <xdr:twoCellAnchor>
    <xdr:from>
      <xdr:col>5</xdr:col>
      <xdr:colOff>600670</xdr:colOff>
      <xdr:row>13</xdr:row>
      <xdr:rowOff>16544</xdr:rowOff>
    </xdr:from>
    <xdr:to>
      <xdr:col>8</xdr:col>
      <xdr:colOff>445476</xdr:colOff>
      <xdr:row>14</xdr:row>
      <xdr:rowOff>152400</xdr:rowOff>
    </xdr:to>
    <xdr:sp macro="" textlink="">
      <xdr:nvSpPr>
        <xdr:cNvPr id="52" name="Rectangle: Rounded Corners 51">
          <a:extLst>
            <a:ext uri="{FF2B5EF4-FFF2-40B4-BE49-F238E27FC236}">
              <a16:creationId xmlns:a16="http://schemas.microsoft.com/office/drawing/2014/main" id="{02182D6E-9820-4491-A7D7-145FB65C1521}"/>
            </a:ext>
          </a:extLst>
        </xdr:cNvPr>
        <xdr:cNvSpPr/>
      </xdr:nvSpPr>
      <xdr:spPr>
        <a:xfrm>
          <a:off x="8502024" y="2431498"/>
          <a:ext cx="1673606" cy="323425"/>
        </a:xfrm>
        <a:prstGeom prst="roundRect">
          <a:avLst/>
        </a:prstGeom>
        <a:solidFill>
          <a:schemeClr val="accent2">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tx1"/>
              </a:solidFill>
              <a:latin typeface="Montserrat" panose="00000500000000000000" pitchFamily="2" charset="0"/>
            </a:rPr>
            <a:t>Data</a:t>
          </a:r>
          <a:r>
            <a:rPr lang="en-US" sz="1400" b="0" baseline="0">
              <a:solidFill>
                <a:schemeClr val="tx1"/>
              </a:solidFill>
              <a:latin typeface="Montserrat" panose="00000500000000000000" pitchFamily="2" charset="0"/>
            </a:rPr>
            <a:t> per Share</a:t>
          </a:r>
          <a:endParaRPr lang="en-US" sz="1400" b="0">
            <a:solidFill>
              <a:schemeClr val="tx1"/>
            </a:solidFill>
            <a:latin typeface="Montserrat" panose="00000500000000000000" pitchFamily="2" charset="0"/>
          </a:endParaRPr>
        </a:p>
        <a:p>
          <a:pPr algn="l"/>
          <a:endParaRPr lang="LID4096" sz="1400" b="0">
            <a:solidFill>
              <a:srgbClr val="FFFFFF"/>
            </a:solidFill>
            <a:latin typeface="Montserrat" panose="00000500000000000000" pitchFamily="2" charset="0"/>
          </a:endParaRPr>
        </a:p>
      </xdr:txBody>
    </xdr:sp>
    <xdr:clientData/>
  </xdr:twoCellAnchor>
  <xdr:twoCellAnchor>
    <xdr:from>
      <xdr:col>4</xdr:col>
      <xdr:colOff>111835</xdr:colOff>
      <xdr:row>13</xdr:row>
      <xdr:rowOff>50968</xdr:rowOff>
    </xdr:from>
    <xdr:to>
      <xdr:col>5</xdr:col>
      <xdr:colOff>320845</xdr:colOff>
      <xdr:row>15</xdr:row>
      <xdr:rowOff>12689</xdr:rowOff>
    </xdr:to>
    <xdr:sp macro="" textlink="">
      <xdr:nvSpPr>
        <xdr:cNvPr id="53" name="Rectangle: Rounded Corners 52">
          <a:extLst>
            <a:ext uri="{FF2B5EF4-FFF2-40B4-BE49-F238E27FC236}">
              <a16:creationId xmlns:a16="http://schemas.microsoft.com/office/drawing/2014/main" id="{A21B15E8-AAB2-4FE9-9277-59898F21B99F}"/>
            </a:ext>
          </a:extLst>
        </xdr:cNvPr>
        <xdr:cNvSpPr/>
      </xdr:nvSpPr>
      <xdr:spPr>
        <a:xfrm>
          <a:off x="6993281" y="2465922"/>
          <a:ext cx="1228918" cy="336859"/>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ysClr val="windowText" lastClr="000000"/>
              </a:solidFill>
              <a:latin typeface="Montserrat" panose="00000500000000000000" pitchFamily="2" charset="0"/>
              <a:ea typeface="Calibri"/>
              <a:cs typeface="Calibri"/>
            </a:rPr>
            <a:t>Mio. €</a:t>
          </a:r>
        </a:p>
      </xdr:txBody>
    </xdr:sp>
    <xdr:clientData/>
  </xdr:twoCellAnchor>
  <xdr:twoCellAnchor>
    <xdr:from>
      <xdr:col>12</xdr:col>
      <xdr:colOff>41496</xdr:colOff>
      <xdr:row>13</xdr:row>
      <xdr:rowOff>4077</xdr:rowOff>
    </xdr:from>
    <xdr:to>
      <xdr:col>14</xdr:col>
      <xdr:colOff>51214</xdr:colOff>
      <xdr:row>14</xdr:row>
      <xdr:rowOff>153367</xdr:rowOff>
    </xdr:to>
    <xdr:sp macro="" textlink="">
      <xdr:nvSpPr>
        <xdr:cNvPr id="54" name="Rectangle: Rounded Corners 53">
          <a:extLst>
            <a:ext uri="{FF2B5EF4-FFF2-40B4-BE49-F238E27FC236}">
              <a16:creationId xmlns:a16="http://schemas.microsoft.com/office/drawing/2014/main" id="{FE6870A5-60D1-4AD5-9933-B9AEEA7093E5}"/>
            </a:ext>
          </a:extLst>
        </xdr:cNvPr>
        <xdr:cNvSpPr/>
      </xdr:nvSpPr>
      <xdr:spPr>
        <a:xfrm>
          <a:off x="12210050" y="2419031"/>
          <a:ext cx="1228918" cy="336859"/>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ysClr val="windowText" lastClr="000000"/>
              </a:solidFill>
              <a:latin typeface="Montserrat" panose="00000500000000000000" pitchFamily="2" charset="0"/>
              <a:ea typeface="Calibri"/>
              <a:cs typeface="Calibri"/>
            </a:rPr>
            <a:t>Mio. €</a:t>
          </a:r>
        </a:p>
      </xdr:txBody>
    </xdr:sp>
    <xdr:clientData/>
  </xdr:twoCellAnchor>
  <xdr:twoCellAnchor>
    <xdr:from>
      <xdr:col>4</xdr:col>
      <xdr:colOff>64943</xdr:colOff>
      <xdr:row>27</xdr:row>
      <xdr:rowOff>97862</xdr:rowOff>
    </xdr:from>
    <xdr:to>
      <xdr:col>5</xdr:col>
      <xdr:colOff>273953</xdr:colOff>
      <xdr:row>29</xdr:row>
      <xdr:rowOff>59582</xdr:rowOff>
    </xdr:to>
    <xdr:sp macro="" textlink="">
      <xdr:nvSpPr>
        <xdr:cNvPr id="55" name="Rectangle: Rounded Corners 54">
          <a:extLst>
            <a:ext uri="{FF2B5EF4-FFF2-40B4-BE49-F238E27FC236}">
              <a16:creationId xmlns:a16="http://schemas.microsoft.com/office/drawing/2014/main" id="{7EB0C501-0B91-4F63-B2E4-F4D502DBAD56}"/>
            </a:ext>
          </a:extLst>
        </xdr:cNvPr>
        <xdr:cNvSpPr/>
      </xdr:nvSpPr>
      <xdr:spPr>
        <a:xfrm>
          <a:off x="6946389" y="5138785"/>
          <a:ext cx="1228918" cy="336859"/>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ysClr val="windowText" lastClr="000000"/>
              </a:solidFill>
              <a:latin typeface="Montserrat" panose="00000500000000000000" pitchFamily="2" charset="0"/>
              <a:ea typeface="Calibri"/>
              <a:cs typeface="Calibri"/>
            </a:rPr>
            <a:t>Mio. €</a:t>
          </a:r>
        </a:p>
      </xdr:txBody>
    </xdr:sp>
    <xdr:clientData/>
  </xdr:twoCellAnchor>
  <xdr:twoCellAnchor>
    <xdr:from>
      <xdr:col>25</xdr:col>
      <xdr:colOff>175663</xdr:colOff>
      <xdr:row>4</xdr:row>
      <xdr:rowOff>134889</xdr:rowOff>
    </xdr:from>
    <xdr:to>
      <xdr:col>25</xdr:col>
      <xdr:colOff>357240</xdr:colOff>
      <xdr:row>5</xdr:row>
      <xdr:rowOff>121409</xdr:rowOff>
    </xdr:to>
    <xdr:sp macro="" textlink="">
      <xdr:nvSpPr>
        <xdr:cNvPr id="59" name="Rectangle: Rounded Corners 58">
          <a:extLst>
            <a:ext uri="{FF2B5EF4-FFF2-40B4-BE49-F238E27FC236}">
              <a16:creationId xmlns:a16="http://schemas.microsoft.com/office/drawing/2014/main" id="{E4709807-8108-4D30-BFAE-871119467CC0}"/>
            </a:ext>
          </a:extLst>
        </xdr:cNvPr>
        <xdr:cNvSpPr/>
      </xdr:nvSpPr>
      <xdr:spPr>
        <a:xfrm>
          <a:off x="20269017" y="861720"/>
          <a:ext cx="181577" cy="174089"/>
        </a:xfrm>
        <a:prstGeom prst="roundRect">
          <a:avLst/>
        </a:prstGeom>
        <a:solidFill>
          <a:schemeClr val="accent6">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600" b="0">
            <a:solidFill>
              <a:srgbClr val="FFFFFF"/>
            </a:solidFill>
            <a:latin typeface="Montserrat" panose="00000500000000000000" pitchFamily="2" charset="0"/>
          </a:endParaRPr>
        </a:p>
      </xdr:txBody>
    </xdr:sp>
    <xdr:clientData/>
  </xdr:twoCellAnchor>
  <xdr:twoCellAnchor>
    <xdr:from>
      <xdr:col>25</xdr:col>
      <xdr:colOff>386678</xdr:colOff>
      <xdr:row>6</xdr:row>
      <xdr:rowOff>76274</xdr:rowOff>
    </xdr:from>
    <xdr:to>
      <xdr:col>25</xdr:col>
      <xdr:colOff>568255</xdr:colOff>
      <xdr:row>7</xdr:row>
      <xdr:rowOff>62794</xdr:rowOff>
    </xdr:to>
    <xdr:sp macro="" textlink="">
      <xdr:nvSpPr>
        <xdr:cNvPr id="60" name="Rectangle: Rounded Corners 59">
          <a:extLst>
            <a:ext uri="{FF2B5EF4-FFF2-40B4-BE49-F238E27FC236}">
              <a16:creationId xmlns:a16="http://schemas.microsoft.com/office/drawing/2014/main" id="{54A2873F-A317-45BC-AD3A-D9A8F0E7AA0D}"/>
            </a:ext>
          </a:extLst>
        </xdr:cNvPr>
        <xdr:cNvSpPr/>
      </xdr:nvSpPr>
      <xdr:spPr>
        <a:xfrm>
          <a:off x="20480032" y="1178243"/>
          <a:ext cx="181577" cy="174089"/>
        </a:xfrm>
        <a:prstGeom prst="roundRect">
          <a:avLst/>
        </a:prstGeom>
        <a:solidFill>
          <a:schemeClr val="accent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600" b="0">
            <a:solidFill>
              <a:srgbClr val="FFFFFF"/>
            </a:solidFill>
            <a:latin typeface="Montserrat" panose="00000500000000000000" pitchFamily="2" charset="0"/>
          </a:endParaRPr>
        </a:p>
      </xdr:txBody>
    </xdr:sp>
    <xdr:clientData/>
  </xdr:twoCellAnchor>
  <xdr:twoCellAnchor>
    <xdr:from>
      <xdr:col>5</xdr:col>
      <xdr:colOff>386861</xdr:colOff>
      <xdr:row>26</xdr:row>
      <xdr:rowOff>126609</xdr:rowOff>
    </xdr:from>
    <xdr:to>
      <xdr:col>27</xdr:col>
      <xdr:colOff>273147</xdr:colOff>
      <xdr:row>41</xdr:row>
      <xdr:rowOff>152401</xdr:rowOff>
    </xdr:to>
    <xdr:sp macro="" textlink="">
      <xdr:nvSpPr>
        <xdr:cNvPr id="61" name="Rectangle: Rounded Corners 60">
          <a:extLst>
            <a:ext uri="{FF2B5EF4-FFF2-40B4-BE49-F238E27FC236}">
              <a16:creationId xmlns:a16="http://schemas.microsoft.com/office/drawing/2014/main" id="{93145B74-C203-3A3E-73BC-64E43A00A98E}"/>
            </a:ext>
          </a:extLst>
        </xdr:cNvPr>
        <xdr:cNvSpPr/>
      </xdr:nvSpPr>
      <xdr:spPr>
        <a:xfrm>
          <a:off x="8288215" y="4979963"/>
          <a:ext cx="13297486" cy="2839330"/>
        </a:xfrm>
        <a:prstGeom prst="roundRect">
          <a:avLst/>
        </a:prstGeom>
        <a:solidFill>
          <a:sysClr val="window" lastClr="FFFFFF"/>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9</xdr:col>
      <xdr:colOff>568104</xdr:colOff>
      <xdr:row>27</xdr:row>
      <xdr:rowOff>75030</xdr:rowOff>
    </xdr:from>
    <xdr:to>
      <xdr:col>12</xdr:col>
      <xdr:colOff>84667</xdr:colOff>
      <xdr:row>29</xdr:row>
      <xdr:rowOff>58486</xdr:rowOff>
    </xdr:to>
    <xdr:sp macro="" textlink="">
      <xdr:nvSpPr>
        <xdr:cNvPr id="62" name="Rectangle: Rounded Corners 61">
          <a:extLst>
            <a:ext uri="{FF2B5EF4-FFF2-40B4-BE49-F238E27FC236}">
              <a16:creationId xmlns:a16="http://schemas.microsoft.com/office/drawing/2014/main" id="{09A035C6-40A8-4F50-89EC-C25101ED78A4}"/>
            </a:ext>
          </a:extLst>
        </xdr:cNvPr>
        <xdr:cNvSpPr/>
      </xdr:nvSpPr>
      <xdr:spPr>
        <a:xfrm>
          <a:off x="10897437" y="5087297"/>
          <a:ext cx="1345363" cy="355989"/>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200" b="0" i="0" baseline="0">
              <a:solidFill>
                <a:schemeClr val="lt1"/>
              </a:solidFill>
              <a:effectLst/>
              <a:latin typeface="+mn-lt"/>
              <a:ea typeface="+mn-ea"/>
              <a:cs typeface="+mn-cs"/>
            </a:rPr>
            <a:t>Effective tax rate</a:t>
          </a:r>
          <a:endParaRPr lang="en-DE" sz="1600">
            <a:effectLst/>
          </a:endParaRPr>
        </a:p>
      </xdr:txBody>
    </xdr:sp>
    <xdr:clientData/>
  </xdr:twoCellAnchor>
  <xdr:twoCellAnchor>
    <xdr:from>
      <xdr:col>9</xdr:col>
      <xdr:colOff>272625</xdr:colOff>
      <xdr:row>29</xdr:row>
      <xdr:rowOff>153312</xdr:rowOff>
    </xdr:from>
    <xdr:to>
      <xdr:col>12</xdr:col>
      <xdr:colOff>501226</xdr:colOff>
      <xdr:row>41</xdr:row>
      <xdr:rowOff>114754</xdr:rowOff>
    </xdr:to>
    <xdr:graphicFrame macro="">
      <xdr:nvGraphicFramePr>
        <xdr:cNvPr id="63" name="Chart 62">
          <a:extLst>
            <a:ext uri="{FF2B5EF4-FFF2-40B4-BE49-F238E27FC236}">
              <a16:creationId xmlns:a16="http://schemas.microsoft.com/office/drawing/2014/main" id="{64D8CB78-1065-4EB5-94C9-A7A31F63B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293784</xdr:colOff>
      <xdr:row>27</xdr:row>
      <xdr:rowOff>91963</xdr:rowOff>
    </xdr:from>
    <xdr:to>
      <xdr:col>15</xdr:col>
      <xdr:colOff>419947</xdr:colOff>
      <xdr:row>29</xdr:row>
      <xdr:rowOff>75419</xdr:rowOff>
    </xdr:to>
    <xdr:sp macro="" textlink="">
      <xdr:nvSpPr>
        <xdr:cNvPr id="64" name="Rectangle: Rounded Corners 63">
          <a:extLst>
            <a:ext uri="{FF2B5EF4-FFF2-40B4-BE49-F238E27FC236}">
              <a16:creationId xmlns:a16="http://schemas.microsoft.com/office/drawing/2014/main" id="{20015672-BCDD-45FE-854E-3748D7FCB00D}"/>
            </a:ext>
          </a:extLst>
        </xdr:cNvPr>
        <xdr:cNvSpPr/>
      </xdr:nvSpPr>
      <xdr:spPr>
        <a:xfrm>
          <a:off x="13061517" y="5104230"/>
          <a:ext cx="1345363" cy="355989"/>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200" b="0" i="0" baseline="0">
              <a:solidFill>
                <a:schemeClr val="lt1"/>
              </a:solidFill>
              <a:effectLst/>
              <a:latin typeface="+mn-lt"/>
              <a:ea typeface="+mn-ea"/>
              <a:cs typeface="+mn-cs"/>
            </a:rPr>
            <a:t>Gross margin</a:t>
          </a:r>
          <a:endParaRPr lang="en-DE" sz="1200">
            <a:effectLst/>
          </a:endParaRPr>
        </a:p>
      </xdr:txBody>
    </xdr:sp>
    <xdr:clientData/>
  </xdr:twoCellAnchor>
  <xdr:twoCellAnchor>
    <xdr:from>
      <xdr:col>12</xdr:col>
      <xdr:colOff>598658</xdr:colOff>
      <xdr:row>30</xdr:row>
      <xdr:rowOff>110978</xdr:rowOff>
    </xdr:from>
    <xdr:to>
      <xdr:col>16</xdr:col>
      <xdr:colOff>238760</xdr:colOff>
      <xdr:row>40</xdr:row>
      <xdr:rowOff>142629</xdr:rowOff>
    </xdr:to>
    <xdr:graphicFrame macro="">
      <xdr:nvGraphicFramePr>
        <xdr:cNvPr id="65" name="Chart 64">
          <a:extLst>
            <a:ext uri="{FF2B5EF4-FFF2-40B4-BE49-F238E27FC236}">
              <a16:creationId xmlns:a16="http://schemas.microsoft.com/office/drawing/2014/main" id="{05408405-36D4-4E5C-936A-EE5109265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590118</xdr:colOff>
      <xdr:row>27</xdr:row>
      <xdr:rowOff>93786</xdr:rowOff>
    </xdr:from>
    <xdr:to>
      <xdr:col>19</xdr:col>
      <xdr:colOff>106681</xdr:colOff>
      <xdr:row>29</xdr:row>
      <xdr:rowOff>88967</xdr:rowOff>
    </xdr:to>
    <xdr:sp macro="" textlink="">
      <xdr:nvSpPr>
        <xdr:cNvPr id="66" name="Rectangle: Rounded Corners 65">
          <a:extLst>
            <a:ext uri="{FF2B5EF4-FFF2-40B4-BE49-F238E27FC236}">
              <a16:creationId xmlns:a16="http://schemas.microsoft.com/office/drawing/2014/main" id="{614DEAB8-62E3-4018-BB06-6FA6431F5EA4}"/>
            </a:ext>
          </a:extLst>
        </xdr:cNvPr>
        <xdr:cNvSpPr/>
      </xdr:nvSpPr>
      <xdr:spPr>
        <a:xfrm>
          <a:off x="15197072" y="5134709"/>
          <a:ext cx="1345363" cy="370320"/>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200" b="0" i="0" baseline="0">
              <a:solidFill>
                <a:schemeClr val="lt1"/>
              </a:solidFill>
              <a:effectLst/>
              <a:latin typeface="+mn-lt"/>
              <a:ea typeface="+mn-ea"/>
              <a:cs typeface="+mn-cs"/>
            </a:rPr>
            <a:t>Equity ratio</a:t>
          </a:r>
          <a:endParaRPr lang="en-DE" sz="1200" b="0" i="0" baseline="0">
            <a:solidFill>
              <a:schemeClr val="lt1"/>
            </a:solidFill>
            <a:effectLst/>
            <a:latin typeface="+mn-lt"/>
            <a:ea typeface="+mn-ea"/>
            <a:cs typeface="+mn-cs"/>
          </a:endParaRPr>
        </a:p>
      </xdr:txBody>
    </xdr:sp>
    <xdr:clientData/>
  </xdr:twoCellAnchor>
  <xdr:twoCellAnchor>
    <xdr:from>
      <xdr:col>16</xdr:col>
      <xdr:colOff>210885</xdr:colOff>
      <xdr:row>30</xdr:row>
      <xdr:rowOff>58484</xdr:rowOff>
    </xdr:from>
    <xdr:to>
      <xdr:col>19</xdr:col>
      <xdr:colOff>560232</xdr:colOff>
      <xdr:row>41</xdr:row>
      <xdr:rowOff>43784</xdr:rowOff>
    </xdr:to>
    <xdr:graphicFrame macro="">
      <xdr:nvGraphicFramePr>
        <xdr:cNvPr id="67" name="Chart 66">
          <a:extLst>
            <a:ext uri="{FF2B5EF4-FFF2-40B4-BE49-F238E27FC236}">
              <a16:creationId xmlns:a16="http://schemas.microsoft.com/office/drawing/2014/main" id="{06EB9909-7AF3-48B6-8B46-1D8983291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437718</xdr:colOff>
      <xdr:row>27</xdr:row>
      <xdr:rowOff>137684</xdr:rowOff>
    </xdr:from>
    <xdr:to>
      <xdr:col>22</xdr:col>
      <xdr:colOff>563881</xdr:colOff>
      <xdr:row>29</xdr:row>
      <xdr:rowOff>121140</xdr:rowOff>
    </xdr:to>
    <xdr:sp macro="" textlink="">
      <xdr:nvSpPr>
        <xdr:cNvPr id="68" name="Rectangle: Rounded Corners 67">
          <a:extLst>
            <a:ext uri="{FF2B5EF4-FFF2-40B4-BE49-F238E27FC236}">
              <a16:creationId xmlns:a16="http://schemas.microsoft.com/office/drawing/2014/main" id="{689ABB8C-8B9D-436A-A247-C459AACDD0B6}"/>
            </a:ext>
          </a:extLst>
        </xdr:cNvPr>
        <xdr:cNvSpPr/>
      </xdr:nvSpPr>
      <xdr:spPr>
        <a:xfrm>
          <a:off x="17472651" y="5149951"/>
          <a:ext cx="1345363" cy="355989"/>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200" b="0" i="0" baseline="0">
              <a:solidFill>
                <a:schemeClr val="lt1"/>
              </a:solidFill>
              <a:effectLst/>
              <a:latin typeface="+mn-lt"/>
              <a:ea typeface="+mn-ea"/>
              <a:cs typeface="+mn-cs"/>
            </a:rPr>
            <a:t>Operating margin</a:t>
          </a:r>
          <a:endParaRPr lang="en-DE" sz="1200">
            <a:effectLst/>
          </a:endParaRPr>
        </a:p>
      </xdr:txBody>
    </xdr:sp>
    <xdr:clientData/>
  </xdr:twoCellAnchor>
  <xdr:twoCellAnchor>
    <xdr:from>
      <xdr:col>20</xdr:col>
      <xdr:colOff>132080</xdr:colOff>
      <xdr:row>30</xdr:row>
      <xdr:rowOff>86361</xdr:rowOff>
    </xdr:from>
    <xdr:to>
      <xdr:col>23</xdr:col>
      <xdr:colOff>381001</xdr:colOff>
      <xdr:row>41</xdr:row>
      <xdr:rowOff>42334</xdr:rowOff>
    </xdr:to>
    <xdr:graphicFrame macro="">
      <xdr:nvGraphicFramePr>
        <xdr:cNvPr id="69" name="Chart 68">
          <a:extLst>
            <a:ext uri="{FF2B5EF4-FFF2-40B4-BE49-F238E27FC236}">
              <a16:creationId xmlns:a16="http://schemas.microsoft.com/office/drawing/2014/main" id="{63601A94-6F0C-4496-8377-75CDC2806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258355</xdr:colOff>
      <xdr:row>27</xdr:row>
      <xdr:rowOff>124397</xdr:rowOff>
    </xdr:from>
    <xdr:to>
      <xdr:col>26</xdr:col>
      <xdr:colOff>384518</xdr:colOff>
      <xdr:row>29</xdr:row>
      <xdr:rowOff>107853</xdr:rowOff>
    </xdr:to>
    <xdr:sp macro="" textlink="">
      <xdr:nvSpPr>
        <xdr:cNvPr id="70" name="Rectangle: Rounded Corners 69">
          <a:extLst>
            <a:ext uri="{FF2B5EF4-FFF2-40B4-BE49-F238E27FC236}">
              <a16:creationId xmlns:a16="http://schemas.microsoft.com/office/drawing/2014/main" id="{C2D10BBA-8FC6-460B-8756-EF359B3644FD}"/>
            </a:ext>
          </a:extLst>
        </xdr:cNvPr>
        <xdr:cNvSpPr/>
      </xdr:nvSpPr>
      <xdr:spPr>
        <a:xfrm>
          <a:off x="19742109" y="5165320"/>
          <a:ext cx="1345363" cy="358595"/>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200" b="0" i="0" baseline="0">
              <a:solidFill>
                <a:schemeClr val="lt1"/>
              </a:solidFill>
              <a:effectLst/>
              <a:latin typeface="+mn-lt"/>
              <a:ea typeface="+mn-ea"/>
              <a:cs typeface="+mn-cs"/>
            </a:rPr>
            <a:t>Financial leverage</a:t>
          </a:r>
          <a:endParaRPr lang="en-DE" sz="1200">
            <a:effectLst/>
          </a:endParaRPr>
        </a:p>
      </xdr:txBody>
    </xdr:sp>
    <xdr:clientData/>
  </xdr:twoCellAnchor>
  <xdr:twoCellAnchor>
    <xdr:from>
      <xdr:col>24</xdr:col>
      <xdr:colOff>33997</xdr:colOff>
      <xdr:row>30</xdr:row>
      <xdr:rowOff>64477</xdr:rowOff>
    </xdr:from>
    <xdr:to>
      <xdr:col>27</xdr:col>
      <xdr:colOff>110197</xdr:colOff>
      <xdr:row>41</xdr:row>
      <xdr:rowOff>12121</xdr:rowOff>
    </xdr:to>
    <xdr:graphicFrame macro="">
      <xdr:nvGraphicFramePr>
        <xdr:cNvPr id="71" name="Chart 70">
          <a:extLst>
            <a:ext uri="{FF2B5EF4-FFF2-40B4-BE49-F238E27FC236}">
              <a16:creationId xmlns:a16="http://schemas.microsoft.com/office/drawing/2014/main" id="{425FB4A4-91EE-4878-97A7-9EE66170E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258355</xdr:colOff>
      <xdr:row>27</xdr:row>
      <xdr:rowOff>93787</xdr:rowOff>
    </xdr:from>
    <xdr:to>
      <xdr:col>8</xdr:col>
      <xdr:colOff>384518</xdr:colOff>
      <xdr:row>29</xdr:row>
      <xdr:rowOff>77243</xdr:rowOff>
    </xdr:to>
    <xdr:sp macro="" textlink="">
      <xdr:nvSpPr>
        <xdr:cNvPr id="72" name="Rectangle: Rounded Corners 71">
          <a:extLst>
            <a:ext uri="{FF2B5EF4-FFF2-40B4-BE49-F238E27FC236}">
              <a16:creationId xmlns:a16="http://schemas.microsoft.com/office/drawing/2014/main" id="{9F3B6C7E-D684-47AE-9297-843CC4E67916}"/>
            </a:ext>
          </a:extLst>
        </xdr:cNvPr>
        <xdr:cNvSpPr/>
      </xdr:nvSpPr>
      <xdr:spPr>
        <a:xfrm>
          <a:off x="8758888" y="5106054"/>
          <a:ext cx="1345363" cy="355989"/>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n-US" sz="1200" b="0" i="0" baseline="0">
              <a:solidFill>
                <a:schemeClr val="lt1"/>
              </a:solidFill>
              <a:effectLst/>
              <a:latin typeface="+mn-lt"/>
              <a:ea typeface="+mn-ea"/>
              <a:cs typeface="+mn-cs"/>
            </a:rPr>
            <a:t>Return on Equity</a:t>
          </a:r>
          <a:endParaRPr lang="en-DE" sz="1200">
            <a:effectLst/>
          </a:endParaRPr>
        </a:p>
      </xdr:txBody>
    </xdr:sp>
    <xdr:clientData/>
  </xdr:twoCellAnchor>
  <xdr:twoCellAnchor>
    <xdr:from>
      <xdr:col>5</xdr:col>
      <xdr:colOff>463061</xdr:colOff>
      <xdr:row>30</xdr:row>
      <xdr:rowOff>54056</xdr:rowOff>
    </xdr:from>
    <xdr:to>
      <xdr:col>9</xdr:col>
      <xdr:colOff>29306</xdr:colOff>
      <xdr:row>39</xdr:row>
      <xdr:rowOff>153426</xdr:rowOff>
    </xdr:to>
    <xdr:graphicFrame macro="">
      <xdr:nvGraphicFramePr>
        <xdr:cNvPr id="73" name="Chart 72">
          <a:extLst>
            <a:ext uri="{FF2B5EF4-FFF2-40B4-BE49-F238E27FC236}">
              <a16:creationId xmlns:a16="http://schemas.microsoft.com/office/drawing/2014/main" id="{F75AFEAE-2448-4CC1-A932-213FC5D89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152401</xdr:colOff>
      <xdr:row>4</xdr:row>
      <xdr:rowOff>11724</xdr:rowOff>
    </xdr:from>
    <xdr:to>
      <xdr:col>0</xdr:col>
      <xdr:colOff>609601</xdr:colOff>
      <xdr:row>6</xdr:row>
      <xdr:rowOff>93786</xdr:rowOff>
    </xdr:to>
    <xdr:pic>
      <xdr:nvPicPr>
        <xdr:cNvPr id="5" name="Graphic 4" descr="Bar graph with upward trend outline">
          <a:hlinkClick xmlns:r="http://schemas.openxmlformats.org/officeDocument/2006/relationships" r:id="rId11"/>
          <a:extLst>
            <a:ext uri="{FF2B5EF4-FFF2-40B4-BE49-F238E27FC236}">
              <a16:creationId xmlns:a16="http://schemas.microsoft.com/office/drawing/2014/main" id="{26D44D19-FDEF-214F-CA83-444D42AE903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52401" y="738555"/>
          <a:ext cx="457200" cy="457200"/>
        </a:xfrm>
        <a:prstGeom prst="rect">
          <a:avLst/>
        </a:prstGeom>
      </xdr:spPr>
    </xdr:pic>
    <xdr:clientData/>
  </xdr:twoCellAnchor>
  <xdr:twoCellAnchor editAs="oneCell">
    <xdr:from>
      <xdr:col>0</xdr:col>
      <xdr:colOff>152401</xdr:colOff>
      <xdr:row>6</xdr:row>
      <xdr:rowOff>35170</xdr:rowOff>
    </xdr:from>
    <xdr:to>
      <xdr:col>0</xdr:col>
      <xdr:colOff>597877</xdr:colOff>
      <xdr:row>9</xdr:row>
      <xdr:rowOff>0</xdr:rowOff>
    </xdr:to>
    <xdr:pic>
      <xdr:nvPicPr>
        <xdr:cNvPr id="8" name="Graphic 7" descr="Table with solid fill">
          <a:hlinkClick xmlns:r="http://schemas.openxmlformats.org/officeDocument/2006/relationships" r:id="rId14"/>
          <a:extLst>
            <a:ext uri="{FF2B5EF4-FFF2-40B4-BE49-F238E27FC236}">
              <a16:creationId xmlns:a16="http://schemas.microsoft.com/office/drawing/2014/main" id="{7C4D3C09-D740-0779-7631-D3B818C9217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2401" y="1137139"/>
          <a:ext cx="445476" cy="527538"/>
        </a:xfrm>
        <a:prstGeom prst="rect">
          <a:avLst/>
        </a:prstGeom>
      </xdr:spPr>
    </xdr:pic>
    <xdr:clientData/>
  </xdr:twoCellAnchor>
  <xdr:twoCellAnchor editAs="oneCell">
    <xdr:from>
      <xdr:col>0</xdr:col>
      <xdr:colOff>140677</xdr:colOff>
      <xdr:row>8</xdr:row>
      <xdr:rowOff>175846</xdr:rowOff>
    </xdr:from>
    <xdr:to>
      <xdr:col>0</xdr:col>
      <xdr:colOff>621323</xdr:colOff>
      <xdr:row>11</xdr:row>
      <xdr:rowOff>93785</xdr:rowOff>
    </xdr:to>
    <xdr:pic>
      <xdr:nvPicPr>
        <xdr:cNvPr id="17" name="Graphic 16" descr="Folder Search outline">
          <a:hlinkClick xmlns:r="http://schemas.openxmlformats.org/officeDocument/2006/relationships" r:id="rId17"/>
          <a:extLst>
            <a:ext uri="{FF2B5EF4-FFF2-40B4-BE49-F238E27FC236}">
              <a16:creationId xmlns:a16="http://schemas.microsoft.com/office/drawing/2014/main" id="{004B6876-7954-D7C8-23B7-D29EC1BB4DAE}"/>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40677" y="1652954"/>
          <a:ext cx="480646" cy="480646"/>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0.04455</cdr:x>
      <cdr:y>0.04342</cdr:y>
    </cdr:from>
    <cdr:to>
      <cdr:x>0.35173</cdr:x>
      <cdr:y>0.13239</cdr:y>
    </cdr:to>
    <cdr:sp macro="" textlink="">
      <cdr:nvSpPr>
        <cdr:cNvPr id="2" name="Rectangle: Rounded Corners 1">
          <a:extLst xmlns:a="http://schemas.openxmlformats.org/drawingml/2006/main">
            <a:ext uri="{FF2B5EF4-FFF2-40B4-BE49-F238E27FC236}">
              <a16:creationId xmlns:a16="http://schemas.microsoft.com/office/drawing/2014/main" id="{708BF799-D876-44B6-8071-EBAC0ACDB27C}"/>
            </a:ext>
          </a:extLst>
        </cdr:cNvPr>
        <cdr:cNvSpPr/>
      </cdr:nvSpPr>
      <cdr:spPr>
        <a:xfrm xmlns:a="http://schemas.openxmlformats.org/drawingml/2006/main">
          <a:off x="265321" y="180689"/>
          <a:ext cx="1829356" cy="370295"/>
        </a:xfrm>
        <a:prstGeom xmlns:a="http://schemas.openxmlformats.org/drawingml/2006/main" prst="roundRect">
          <a:avLst/>
        </a:prstGeom>
        <a:solidFill xmlns:a="http://schemas.openxmlformats.org/drawingml/2006/main">
          <a:schemeClr val="accent2">
            <a:lumMod val="40000"/>
            <a:lumOff val="60000"/>
          </a:schemeClr>
        </a:solidFill>
        <a:ln xmlns:a="http://schemas.openxmlformats.org/drawingml/2006/main">
          <a:noFill/>
        </a:ln>
        <a:effectLst xmlns:a="http://schemas.openxmlformats.org/drawingml/2006/main">
          <a:outerShdw blurRad="50800" dist="38100" dir="2700000" algn="tl" rotWithShape="0">
            <a:prstClr val="black">
              <a:alpha val="40000"/>
            </a:prstClr>
          </a:outerShdw>
        </a:effectLst>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400" b="0">
              <a:solidFill>
                <a:schemeClr val="tx1"/>
              </a:solidFill>
              <a:latin typeface="Montserrat" panose="00000500000000000000" pitchFamily="2" charset="0"/>
            </a:rPr>
            <a:t>Balance</a:t>
          </a:r>
        </a:p>
        <a:p xmlns:a="http://schemas.openxmlformats.org/drawingml/2006/main">
          <a:pPr algn="l"/>
          <a:endParaRPr lang="LID4096" sz="1400" b="0">
            <a:solidFill>
              <a:srgbClr val="FFFFFF"/>
            </a:solidFill>
            <a:latin typeface="Montserrat" panose="00000500000000000000" pitchFamily="2" charset="0"/>
          </a:endParaRPr>
        </a:p>
      </cdr:txBody>
    </cdr:sp>
  </cdr:relSizeAnchor>
  <cdr:relSizeAnchor xmlns:cdr="http://schemas.openxmlformats.org/drawingml/2006/chartDrawing">
    <cdr:from>
      <cdr:x>0.55613</cdr:x>
      <cdr:y>0.04342</cdr:y>
    </cdr:from>
    <cdr:to>
      <cdr:x>0.89925</cdr:x>
      <cdr:y>0.11989</cdr:y>
    </cdr:to>
    <cdr:sp macro="" textlink="">
      <cdr:nvSpPr>
        <cdr:cNvPr id="3" name="TextBox 46">
          <a:extLst xmlns:a="http://schemas.openxmlformats.org/drawingml/2006/main">
            <a:ext uri="{FF2B5EF4-FFF2-40B4-BE49-F238E27FC236}">
              <a16:creationId xmlns:a16="http://schemas.microsoft.com/office/drawing/2014/main" id="{746538B0-3E1B-4A54-8842-C5BD71071F6D}"/>
            </a:ext>
          </a:extLst>
        </cdr:cNvPr>
        <cdr:cNvSpPr txBox="1"/>
      </cdr:nvSpPr>
      <cdr:spPr>
        <a:xfrm xmlns:a="http://schemas.openxmlformats.org/drawingml/2006/main">
          <a:off x="2829170" y="121139"/>
          <a:ext cx="1745562" cy="213361"/>
        </a:xfrm>
        <a:prstGeom xmlns:a="http://schemas.openxmlformats.org/drawingml/2006/main" prst="rect">
          <a:avLst/>
        </a:prstGeom>
        <a:solidFill xmlns:a="http://schemas.openxmlformats.org/drawingml/2006/main">
          <a:srgbClr val="FFFFFF"/>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b"/>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r>
            <a:rPr lang="en-US" sz="1050" b="0" i="0" u="none" strike="noStrike">
              <a:solidFill>
                <a:sysClr val="windowText" lastClr="000000"/>
              </a:solidFill>
              <a:latin typeface="Montserrat" panose="00000500000000000000" pitchFamily="2" charset="0"/>
              <a:ea typeface="Calibri"/>
              <a:cs typeface="Calibri"/>
            </a:rPr>
            <a:t>Accounts</a:t>
          </a:r>
          <a:r>
            <a:rPr lang="en-US" sz="1050" b="0" i="0" u="none" strike="noStrike" baseline="0">
              <a:solidFill>
                <a:sysClr val="windowText" lastClr="000000"/>
              </a:solidFill>
              <a:latin typeface="Montserrat" panose="00000500000000000000" pitchFamily="2" charset="0"/>
              <a:ea typeface="Calibri"/>
              <a:cs typeface="Calibri"/>
            </a:rPr>
            <a:t> Payable</a:t>
          </a:r>
        </a:p>
      </cdr:txBody>
    </cdr:sp>
  </cdr:relSizeAnchor>
  <cdr:relSizeAnchor xmlns:cdr="http://schemas.openxmlformats.org/drawingml/2006/chartDrawing">
    <cdr:from>
      <cdr:x>0.55613</cdr:x>
      <cdr:y>0.12325</cdr:y>
    </cdr:from>
    <cdr:to>
      <cdr:x>0.89925</cdr:x>
      <cdr:y>0.19972</cdr:y>
    </cdr:to>
    <cdr:sp macro="" textlink="">
      <cdr:nvSpPr>
        <cdr:cNvPr id="6" name="TextBox 46">
          <a:extLst xmlns:a="http://schemas.openxmlformats.org/drawingml/2006/main">
            <a:ext uri="{FF2B5EF4-FFF2-40B4-BE49-F238E27FC236}">
              <a16:creationId xmlns:a16="http://schemas.microsoft.com/office/drawing/2014/main" id="{8B82E06C-5277-751F-FE20-860204148859}"/>
            </a:ext>
          </a:extLst>
        </cdr:cNvPr>
        <cdr:cNvSpPr txBox="1"/>
      </cdr:nvSpPr>
      <cdr:spPr>
        <a:xfrm xmlns:a="http://schemas.openxmlformats.org/drawingml/2006/main">
          <a:off x="2829169" y="343877"/>
          <a:ext cx="1745562" cy="213361"/>
        </a:xfrm>
        <a:prstGeom xmlns:a="http://schemas.openxmlformats.org/drawingml/2006/main" prst="rect">
          <a:avLst/>
        </a:prstGeom>
        <a:solidFill xmlns:a="http://schemas.openxmlformats.org/drawingml/2006/main">
          <a:srgbClr val="FFFFFF"/>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b"/>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l"/>
          <a:r>
            <a:rPr lang="en-US" sz="1050" b="0" i="0" u="none" strike="noStrike">
              <a:solidFill>
                <a:sysClr val="windowText" lastClr="000000"/>
              </a:solidFill>
              <a:latin typeface="Montserrat" panose="00000500000000000000" pitchFamily="2" charset="0"/>
              <a:ea typeface="Calibri"/>
              <a:cs typeface="Calibri"/>
            </a:rPr>
            <a:t>Accounts</a:t>
          </a:r>
          <a:r>
            <a:rPr lang="en-US" sz="1050" b="0" i="0" u="none" strike="noStrike" baseline="0">
              <a:solidFill>
                <a:sysClr val="windowText" lastClr="000000"/>
              </a:solidFill>
              <a:latin typeface="Montserrat" panose="00000500000000000000" pitchFamily="2" charset="0"/>
              <a:ea typeface="Calibri"/>
              <a:cs typeface="Calibri"/>
            </a:rPr>
            <a:t> Receivable</a:t>
          </a:r>
        </a:p>
      </cdr:txBody>
    </cdr:sp>
  </cdr:relSizeAnchor>
  <cdr:relSizeAnchor xmlns:cdr="http://schemas.openxmlformats.org/drawingml/2006/chartDrawing">
    <cdr:from>
      <cdr:x>0.16798</cdr:x>
      <cdr:y>0.04601</cdr:y>
    </cdr:from>
    <cdr:to>
      <cdr:x>0.37434</cdr:x>
      <cdr:y>0.12695</cdr:y>
    </cdr:to>
    <cdr:sp macro="" textlink="">
      <cdr:nvSpPr>
        <cdr:cNvPr id="7" name="Rectangle: Rounded Corners 6">
          <a:extLst xmlns:a="http://schemas.openxmlformats.org/drawingml/2006/main">
            <a:ext uri="{FF2B5EF4-FFF2-40B4-BE49-F238E27FC236}">
              <a16:creationId xmlns:a16="http://schemas.microsoft.com/office/drawing/2014/main" id="{F72BDE55-122A-4342-820F-D9D590B4B672}"/>
            </a:ext>
          </a:extLst>
        </cdr:cNvPr>
        <cdr:cNvSpPr/>
      </cdr:nvSpPr>
      <cdr:spPr>
        <a:xfrm xmlns:a="http://schemas.openxmlformats.org/drawingml/2006/main">
          <a:off x="1000370" y="191477"/>
          <a:ext cx="1228918" cy="336859"/>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0" i="0" u="none" strike="noStrike">
              <a:solidFill>
                <a:schemeClr val="tx1"/>
              </a:solidFill>
              <a:latin typeface="Montserrat" panose="00000500000000000000" pitchFamily="2" charset="0"/>
              <a:ea typeface="Calibri"/>
              <a:cs typeface="Calibri"/>
            </a:rPr>
            <a:t>(</a:t>
          </a:r>
          <a:r>
            <a:rPr lang="en-US" sz="1100" b="0" i="0" u="none" strike="noStrike">
              <a:solidFill>
                <a:schemeClr val="tx1"/>
              </a:solidFill>
              <a:latin typeface="Montserrat" panose="00000500000000000000" pitchFamily="2" charset="0"/>
              <a:ea typeface="Calibri"/>
              <a:cs typeface="Calibri"/>
            </a:rPr>
            <a:t>in Mio. €</a:t>
          </a:r>
          <a:r>
            <a:rPr lang="en-US" sz="1400" b="0" i="0" u="none" strike="noStrike">
              <a:solidFill>
                <a:schemeClr val="tx1"/>
              </a:solidFill>
              <a:latin typeface="Montserrat" panose="00000500000000000000" pitchFamily="2" charset="0"/>
              <a:ea typeface="Calibri"/>
              <a:cs typeface="Calibri"/>
            </a:rPr>
            <a:t>)</a:t>
          </a:r>
        </a:p>
      </cdr:txBody>
    </cdr:sp>
  </cdr:relSizeAnchor>
</c:userShapes>
</file>

<file path=xl/drawings/drawing3.xml><?xml version="1.0" encoding="utf-8"?>
<c:userShapes xmlns:c="http://schemas.openxmlformats.org/drawingml/2006/chart">
  <cdr:relSizeAnchor xmlns:cdr="http://schemas.openxmlformats.org/drawingml/2006/chartDrawing">
    <cdr:from>
      <cdr:x>0.36214</cdr:x>
      <cdr:y>0.37387</cdr:y>
    </cdr:from>
    <cdr:to>
      <cdr:x>0.68439</cdr:x>
      <cdr:y>0.55231</cdr:y>
    </cdr:to>
    <cdr:sp macro="" textlink="'Pivot Table'!$I$79">
      <cdr:nvSpPr>
        <cdr:cNvPr id="2" name="Rectangle: Rounded Corners 1">
          <a:extLst xmlns:a="http://schemas.openxmlformats.org/drawingml/2006/main">
            <a:ext uri="{FF2B5EF4-FFF2-40B4-BE49-F238E27FC236}">
              <a16:creationId xmlns:a16="http://schemas.microsoft.com/office/drawing/2014/main" id="{75D9D498-72DD-E40E-5059-FBD746B9DEA8}"/>
            </a:ext>
          </a:extLst>
        </cdr:cNvPr>
        <cdr:cNvSpPr/>
      </cdr:nvSpPr>
      <cdr:spPr>
        <a:xfrm xmlns:a="http://schemas.openxmlformats.org/drawingml/2006/main">
          <a:off x="745067" y="821267"/>
          <a:ext cx="663006" cy="391968"/>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a:outerShdw blurRad="50800" dist="38100" dir="2700000" algn="tl" rotWithShape="0">
            <a:prstClr val="black">
              <a:alpha val="40000"/>
            </a:prstClr>
          </a:outerShdw>
        </a:effectLst>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l"/>
          <a:fld id="{B6E7F8B6-7FC1-44FC-8A02-0FA7CB3982B1}" type="TxLink">
            <a:rPr lang="en-US" sz="1600" b="0" i="0" u="none" strike="noStrike">
              <a:solidFill>
                <a:srgbClr val="000000"/>
              </a:solidFill>
              <a:latin typeface="Aptos Narrow"/>
              <a:ea typeface="+mn-ea"/>
              <a:cs typeface="+mn-cs"/>
            </a:rPr>
            <a:pPr marL="0" indent="0" algn="l"/>
            <a:t>28%</a:t>
          </a:fld>
          <a:endParaRPr lang="LID4096" sz="1600" b="0" i="0" u="none" strike="noStrike">
            <a:solidFill>
              <a:srgbClr val="000000"/>
            </a:solidFill>
            <a:latin typeface="Aptos Narrow"/>
            <a:ea typeface="+mn-ea"/>
            <a:cs typeface="+mn-cs"/>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0.35846</cdr:x>
      <cdr:y>0.38885</cdr:y>
    </cdr:from>
    <cdr:to>
      <cdr:x>0.67745</cdr:x>
      <cdr:y>0.59577</cdr:y>
    </cdr:to>
    <cdr:sp macro="" textlink="'Pivot Table'!$L$79">
      <cdr:nvSpPr>
        <cdr:cNvPr id="2" name="Rectangle: Rounded Corners 1">
          <a:extLst xmlns:a="http://schemas.openxmlformats.org/drawingml/2006/main">
            <a:ext uri="{FF2B5EF4-FFF2-40B4-BE49-F238E27FC236}">
              <a16:creationId xmlns:a16="http://schemas.microsoft.com/office/drawing/2014/main" id="{75D9D498-72DD-E40E-5059-FBD746B9DEA8}"/>
            </a:ext>
          </a:extLst>
        </cdr:cNvPr>
        <cdr:cNvSpPr/>
      </cdr:nvSpPr>
      <cdr:spPr>
        <a:xfrm xmlns:a="http://schemas.openxmlformats.org/drawingml/2006/main">
          <a:off x="745067" y="736600"/>
          <a:ext cx="663006" cy="391968"/>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a:outerShdw blurRad="50800" dist="38100" dir="2700000" algn="tl" rotWithShape="0">
            <a:prstClr val="black">
              <a:alpha val="40000"/>
            </a:prstClr>
          </a:outerShdw>
        </a:effectLst>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l"/>
          <a:fld id="{5B127273-B264-4FC3-96A8-B1B233225E24}" type="TxLink">
            <a:rPr lang="en-US" sz="1600" b="0" i="0" u="none" strike="noStrike">
              <a:solidFill>
                <a:srgbClr val="000000"/>
              </a:solidFill>
              <a:latin typeface="Aptos Narrow"/>
              <a:ea typeface="+mn-ea"/>
              <a:cs typeface="+mn-cs"/>
            </a:rPr>
            <a:pPr marL="0" indent="0" algn="l"/>
            <a:t>52%</a:t>
          </a:fld>
          <a:endParaRPr lang="LID4096" sz="1600" b="0" i="0" u="none" strike="noStrike">
            <a:solidFill>
              <a:srgbClr val="000000"/>
            </a:solidFill>
            <a:latin typeface="Aptos Narrow"/>
            <a:ea typeface="+mn-ea"/>
            <a:cs typeface="+mn-cs"/>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0.37316</cdr:x>
      <cdr:y>0.41205</cdr:y>
    </cdr:from>
    <cdr:to>
      <cdr:x>0.67755</cdr:x>
      <cdr:y>0.60473</cdr:y>
    </cdr:to>
    <cdr:sp macro="" textlink="'Pivot Table'!$J$79">
      <cdr:nvSpPr>
        <cdr:cNvPr id="2" name="Rectangle: Rounded Corners 1">
          <a:extLst xmlns:a="http://schemas.openxmlformats.org/drawingml/2006/main">
            <a:ext uri="{FF2B5EF4-FFF2-40B4-BE49-F238E27FC236}">
              <a16:creationId xmlns:a16="http://schemas.microsoft.com/office/drawing/2014/main" id="{629F8ADD-98DB-4538-33D4-40EBA3D5D633}"/>
            </a:ext>
          </a:extLst>
        </cdr:cNvPr>
        <cdr:cNvSpPr/>
      </cdr:nvSpPr>
      <cdr:spPr>
        <a:xfrm xmlns:a="http://schemas.openxmlformats.org/drawingml/2006/main">
          <a:off x="812800" y="838200"/>
          <a:ext cx="663006" cy="391968"/>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a:outerShdw blurRad="50800" dist="38100" dir="2700000" algn="tl" rotWithShape="0">
            <a:prstClr val="black">
              <a:alpha val="40000"/>
            </a:prstClr>
          </a:outerShdw>
        </a:effectLst>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l"/>
          <a:fld id="{21E7D648-154D-4FDE-99DE-04433C88211D}" type="TxLink">
            <a:rPr lang="en-US" sz="1600" b="0" i="0" u="none" strike="noStrike">
              <a:solidFill>
                <a:srgbClr val="000000"/>
              </a:solidFill>
              <a:latin typeface="Aptos Narrow"/>
              <a:ea typeface="+mn-ea"/>
              <a:cs typeface="+mn-cs"/>
            </a:rPr>
            <a:pPr marL="0" indent="0" algn="l"/>
            <a:t>41%</a:t>
          </a:fld>
          <a:endParaRPr lang="LID4096" sz="1600" b="0" i="0" u="none" strike="noStrike">
            <a:solidFill>
              <a:srgbClr val="000000"/>
            </a:solidFill>
            <a:latin typeface="Aptos Narrow"/>
            <a:ea typeface="+mn-ea"/>
            <a:cs typeface="+mn-cs"/>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0.38305</cdr:x>
      <cdr:y>0.39274</cdr:y>
    </cdr:from>
    <cdr:to>
      <cdr:x>0.70215</cdr:x>
      <cdr:y>0.58824</cdr:y>
    </cdr:to>
    <cdr:sp macro="" textlink="'Pivot Table'!$M$79">
      <cdr:nvSpPr>
        <cdr:cNvPr id="2" name="Rectangle: Rounded Corners 1">
          <a:extLst xmlns:a="http://schemas.openxmlformats.org/drawingml/2006/main">
            <a:ext uri="{FF2B5EF4-FFF2-40B4-BE49-F238E27FC236}">
              <a16:creationId xmlns:a16="http://schemas.microsoft.com/office/drawing/2014/main" id="{629F8ADD-98DB-4538-33D4-40EBA3D5D633}"/>
            </a:ext>
          </a:extLst>
        </cdr:cNvPr>
        <cdr:cNvSpPr/>
      </cdr:nvSpPr>
      <cdr:spPr>
        <a:xfrm xmlns:a="http://schemas.openxmlformats.org/drawingml/2006/main">
          <a:off x="795867" y="787399"/>
          <a:ext cx="663006" cy="391968"/>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a:outerShdw blurRad="50800" dist="38100" dir="2700000" algn="tl" rotWithShape="0">
            <a:prstClr val="black">
              <a:alpha val="40000"/>
            </a:prstClr>
          </a:outerShdw>
        </a:effectLst>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l"/>
          <a:fld id="{76432663-8538-4817-B526-1673C62AE856}" type="TxLink">
            <a:rPr lang="en-US" sz="1600" b="0" i="0" u="none" strike="noStrike">
              <a:solidFill>
                <a:srgbClr val="000000"/>
              </a:solidFill>
              <a:latin typeface="Aptos Narrow"/>
              <a:ea typeface="+mn-ea"/>
              <a:cs typeface="+mn-cs"/>
            </a:rPr>
            <a:pPr marL="0" indent="0" algn="l"/>
            <a:t>11%</a:t>
          </a:fld>
          <a:endParaRPr lang="LID4096" sz="1600" b="0" i="0" u="none" strike="noStrike">
            <a:solidFill>
              <a:srgbClr val="000000"/>
            </a:solidFill>
            <a:latin typeface="Aptos Narrow"/>
            <a:ea typeface="+mn-ea"/>
            <a:cs typeface="+mn-cs"/>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0.37778</cdr:x>
      <cdr:y>0.39862</cdr:y>
    </cdr:from>
    <cdr:to>
      <cdr:x>0.76369</cdr:x>
      <cdr:y>0.59494</cdr:y>
    </cdr:to>
    <cdr:sp macro="" textlink="'Pivot Table'!$K$79">
      <cdr:nvSpPr>
        <cdr:cNvPr id="2" name="Rectangle: Rounded Corners 1">
          <a:extLst xmlns:a="http://schemas.openxmlformats.org/drawingml/2006/main">
            <a:ext uri="{FF2B5EF4-FFF2-40B4-BE49-F238E27FC236}">
              <a16:creationId xmlns:a16="http://schemas.microsoft.com/office/drawing/2014/main" id="{629F8ADD-98DB-4538-33D4-40EBA3D5D633}"/>
            </a:ext>
          </a:extLst>
        </cdr:cNvPr>
        <cdr:cNvSpPr/>
      </cdr:nvSpPr>
      <cdr:spPr>
        <a:xfrm xmlns:a="http://schemas.openxmlformats.org/drawingml/2006/main">
          <a:off x="719666" y="801578"/>
          <a:ext cx="735167" cy="394781"/>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a:outerShdw blurRad="50800" dist="38100" dir="2700000" algn="tl" rotWithShape="0">
            <a:prstClr val="black">
              <a:alpha val="40000"/>
            </a:prstClr>
          </a:outerShdw>
        </a:effectLst>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l"/>
          <a:fld id="{051E5B74-7A4D-47E1-A4D2-E4C0B5F30704}" type="TxLink">
            <a:rPr lang="en-US" sz="1600" b="0" i="0" u="none" strike="noStrike">
              <a:solidFill>
                <a:srgbClr val="000000"/>
              </a:solidFill>
              <a:latin typeface="Aptos Narrow"/>
              <a:ea typeface="+mn-ea"/>
              <a:cs typeface="+mn-cs"/>
            </a:rPr>
            <a:pPr marL="0" indent="0" algn="l"/>
            <a:t>-15%</a:t>
          </a:fld>
          <a:endParaRPr lang="LID4096" sz="1600" b="0" i="0" u="none" strike="noStrike">
            <a:solidFill>
              <a:srgbClr val="000000"/>
            </a:solidFill>
            <a:latin typeface="Aptos Narrow"/>
            <a:ea typeface="+mn-ea"/>
            <a:cs typeface="+mn-cs"/>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0.39279</cdr:x>
      <cdr:y>0.38143</cdr:y>
    </cdr:from>
    <cdr:to>
      <cdr:x>0.72352</cdr:x>
      <cdr:y>0.60216</cdr:y>
    </cdr:to>
    <cdr:sp macro="" textlink="'Pivot Table'!$N$79">
      <cdr:nvSpPr>
        <cdr:cNvPr id="2" name="Rectangle: Rounded Corners 1">
          <a:extLst xmlns:a="http://schemas.openxmlformats.org/drawingml/2006/main">
            <a:ext uri="{FF2B5EF4-FFF2-40B4-BE49-F238E27FC236}">
              <a16:creationId xmlns:a16="http://schemas.microsoft.com/office/drawing/2014/main" id="{B3C995FF-519F-4811-AD3C-A00429C42128}"/>
            </a:ext>
          </a:extLst>
        </cdr:cNvPr>
        <cdr:cNvSpPr/>
      </cdr:nvSpPr>
      <cdr:spPr>
        <a:xfrm xmlns:a="http://schemas.openxmlformats.org/drawingml/2006/main">
          <a:off x="787401" y="677334"/>
          <a:ext cx="663006" cy="391968"/>
        </a:xfrm>
        <a:prstGeom xmlns:a="http://schemas.openxmlformats.org/drawingml/2006/main" prst="roundRect">
          <a:avLst/>
        </a:prstGeom>
        <a:noFill xmlns:a="http://schemas.openxmlformats.org/drawingml/2006/main"/>
        <a:ln xmlns:a="http://schemas.openxmlformats.org/drawingml/2006/main">
          <a:noFill/>
        </a:ln>
        <a:effectLst xmlns:a="http://schemas.openxmlformats.org/drawingml/2006/main">
          <a:outerShdw blurRad="50800" dist="38100" dir="2700000" algn="tl" rotWithShape="0">
            <a:prstClr val="black">
              <a:alpha val="40000"/>
            </a:prstClr>
          </a:outerShdw>
        </a:effectLst>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D794585D-90E6-4719-B899-DFED3DAD08FB}" type="TxLink">
            <a:rPr lang="en-US" sz="1600" b="0" i="0" u="none" strike="noStrike">
              <a:solidFill>
                <a:srgbClr val="000000"/>
              </a:solidFill>
              <a:latin typeface="Aptos Narrow"/>
            </a:rPr>
            <a:pPr algn="l"/>
            <a:t>27%</a:t>
          </a:fld>
          <a:endParaRPr lang="LID4096" sz="2000" b="0">
            <a:solidFill>
              <a:sysClr val="windowText" lastClr="000000"/>
            </a:solidFill>
            <a:latin typeface="Montserrat" panose="00000500000000000000" pitchFamily="2"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06.086876157409" backgroundQuery="1" createdVersion="8" refreshedVersion="8" minRefreshableVersion="3" recordCount="0" supportSubquery="1" supportAdvancedDrill="1" xr:uid="{5D0CFFC4-1154-41F3-BB44-1C19CEA024A7}">
  <cacheSource type="external" connectionId="11"/>
  <cacheFields count="4">
    <cacheField name="[Year].[Year].[Year]" caption="Year" numFmtId="0" hierarchy="18" level="1">
      <sharedItems containsSemiMixedTypes="0" containsNonDate="0" containsString="0"/>
    </cacheField>
    <cacheField name="[Accounts].[Column1].[Column1]" caption="Column1" numFmtId="0" level="1">
      <sharedItems count="2">
        <s v="Accounts Payable"/>
        <s v="Accounts receivable"/>
      </sharedItems>
    </cacheField>
    <cacheField name="[Accounts].[Year].[Year]" caption="Year" numFmtId="0" hierarchy="1" level="1">
      <sharedItems count="10">
        <s v="2015"/>
        <s v="2016"/>
        <s v="2017"/>
        <s v="2018"/>
        <s v="2019"/>
        <s v="2020"/>
        <s v="2021"/>
        <s v="2022"/>
        <s v="2023"/>
        <s v="2024"/>
      </sharedItems>
    </cacheField>
    <cacheField name="[Measures].[Sum of Value 3]" caption="Sum of Value 3" numFmtId="0" hierarchy="28" level="32767"/>
  </cacheFields>
  <cacheHierarchies count="33">
    <cacheHierarchy uniqueName="[Accounts].[Column1]" caption="Column1" attribute="1" defaultMemberUniqueName="[Accounts].[Column1].[All]" allUniqueName="[Accounts].[Column1].[All]" dimensionUniqueName="[Accounts]" displayFolder="" count="2" memberValueDatatype="130" unbalanced="0">
      <fieldsUsage count="2">
        <fieldUsage x="-1"/>
        <fieldUsage x="1"/>
      </fieldsUsage>
    </cacheHierarchy>
    <cacheHierarchy uniqueName="[Accounts].[Year]" caption="Year" attribute="1" defaultMemberUniqueName="[Accounts].[Year].[All]" allUniqueName="[Accounts].[Year].[All]" dimensionUniqueName="[Accounts]" displayFolder="" count="2" memberValueDatatype="130" unbalanced="0">
      <fieldsUsage count="2">
        <fieldUsage x="-1"/>
        <fieldUsage x="2"/>
      </fieldsUsage>
    </cacheHierarchy>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0"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hidden="1">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13.89537233796" backgroundQuery="1" createdVersion="8" refreshedVersion="8" minRefreshableVersion="3" recordCount="0" supportSubquery="1" supportAdvancedDrill="1" xr:uid="{1486B98A-E531-4602-8B5F-A29E9DBF597D}">
  <cacheSource type="external" connectionId="11"/>
  <cacheFields count="4">
    <cacheField name="[Year].[Year].[Year]" caption="Year" numFmtId="0" hierarchy="18" level="1">
      <sharedItems containsSemiMixedTypes="0" containsNonDate="0" containsString="0"/>
    </cacheField>
    <cacheField name="[FCF].[Free Cash Flows].[Free Cash Flows]" caption="Free Cash Flows" numFmtId="0" hierarchy="6" level="1">
      <sharedItems count="1">
        <s v="FCF"/>
      </sharedItems>
    </cacheField>
    <cacheField name="[FCF].[Year].[Year]" caption="Year" numFmtId="0" hierarchy="7" level="1">
      <sharedItems count="1">
        <s v="2018"/>
      </sharedItems>
    </cacheField>
    <cacheField name="[Measures].[Sum of Value 2]" caption="Sum of Value 2" numFmtId="0" hierarchy="32" level="32767"/>
  </cacheFields>
  <cacheHierarchies count="33">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2" memberValueDatatype="130" unbalanced="0">
      <fieldsUsage count="2">
        <fieldUsage x="-1"/>
        <fieldUsage x="1"/>
      </fieldsUsage>
    </cacheHierarchy>
    <cacheHierarchy uniqueName="[FCF].[Year]" caption="Year" attribute="1" defaultMemberUniqueName="[FCF].[Year].[All]" allUniqueName="[FCF].[Year].[All]" dimensionUniqueName="[FCF]" displayFolder="" count="2" memberValueDatatype="130" unbalanced="0">
      <fieldsUsage count="2">
        <fieldUsage x="-1"/>
        <fieldUsage x="2"/>
      </fieldsUsage>
    </cacheHierarchy>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0"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oneField="1" hidden="1">
      <fieldsUsage count="1">
        <fieldUsage x="3"/>
      </fieldsUsage>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06.08686909722" backgroundQuery="1" createdVersion="3" refreshedVersion="8" minRefreshableVersion="3" recordCount="0" supportSubquery="1" supportAdvancedDrill="1" xr:uid="{3432704F-8141-46DA-A0B4-D82DC7D1ED5B}">
  <cacheSource type="external" connectionId="11">
    <extLst>
      <ext xmlns:x14="http://schemas.microsoft.com/office/spreadsheetml/2009/9/main" uri="{F057638F-6D5F-4e77-A914-E7F072B9BCA8}">
        <x14:sourceConnection name="ThisWorkbookDataModel"/>
      </ext>
    </extLst>
  </cacheSource>
  <cacheFields count="0"/>
  <cacheHierarchies count="32">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0"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4155492"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06.08687673611" backgroundQuery="1" createdVersion="3" refreshedVersion="8" minRefreshableVersion="3" recordCount="0" supportSubquery="1" supportAdvancedDrill="1" xr:uid="{67E3B807-D1D9-45B2-8B9D-0459EBFBBE06}">
  <cacheSource type="external" connectionId="11">
    <extLst>
      <ext xmlns:x14="http://schemas.microsoft.com/office/spreadsheetml/2009/9/main" uri="{F057638F-6D5F-4e77-A914-E7F072B9BCA8}">
        <x14:sourceConnection name="ThisWorkbookDataModel"/>
      </ext>
    </extLst>
  </cacheSource>
  <cacheFields count="0"/>
  <cacheHierarchies count="32">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2"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0" memberValueDatatype="20" unbalanced="0"/>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7465392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06.087564120367" backgroundQuery="1" createdVersion="3" refreshedVersion="8" minRefreshableVersion="3" recordCount="0" supportSubquery="1" supportAdvancedDrill="1" xr:uid="{DCE224FF-53C9-4EFA-B81A-0057B2D159D3}">
  <cacheSource type="external" connectionId="11">
    <extLst>
      <ext xmlns:x14="http://schemas.microsoft.com/office/spreadsheetml/2009/9/main" uri="{F057638F-6D5F-4e77-A914-E7F072B9BCA8}">
        <x14:sourceConnection name="ThisWorkbookDataModel"/>
      </ext>
    </extLst>
  </cacheSource>
  <cacheFields count="0"/>
  <cacheHierarchies count="33">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2"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0"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0" memberValueDatatype="20" unbalanced="0"/>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5114881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06.086879282404" backgroundQuery="1" createdVersion="8" refreshedVersion="8" minRefreshableVersion="3" recordCount="0" supportSubquery="1" supportAdvancedDrill="1" xr:uid="{D1222B67-0BA1-4DAC-A4D9-0AF560DA60FD}">
  <cacheSource type="external" connectionId="11"/>
  <cacheFields count="4">
    <cacheField name="[Year].[Year].[Year]" caption="Year" numFmtId="0" hierarchy="18" level="1">
      <sharedItems containsSemiMixedTypes="0" containsNonDate="0" containsString="0"/>
    </cacheField>
    <cacheField name="[Balance].[Column1].[Column1]" caption="Column1" numFmtId="0" hierarchy="3" level="1">
      <sharedItems count="1">
        <s v="Balance"/>
      </sharedItems>
    </cacheField>
    <cacheField name="[Balance].[Year].[Year]" caption="Year" numFmtId="0" hierarchy="4" level="1">
      <sharedItems count="10">
        <s v="2015"/>
        <s v="2016"/>
        <s v="2017"/>
        <s v="2018"/>
        <s v="2019"/>
        <s v="2020"/>
        <s v="2021"/>
        <s v="2022"/>
        <s v="2023"/>
        <s v="2024"/>
      </sharedItems>
    </cacheField>
    <cacheField name="[Measures].[Sum of Value 4]" caption="Sum of Value 4" numFmtId="0" hierarchy="29" level="32767"/>
  </cacheFields>
  <cacheHierarchies count="33">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2" memberValueDatatype="130" unbalanced="0">
      <fieldsUsage count="2">
        <fieldUsage x="-1"/>
        <fieldUsage x="1"/>
      </fieldsUsage>
    </cacheHierarchy>
    <cacheHierarchy uniqueName="[Balance].[Year]" caption="Year" attribute="1" defaultMemberUniqueName="[Balance].[Year].[All]" allUniqueName="[Balance].[Year].[All]" dimensionUniqueName="[Balance]" displayFolder="" count="2" memberValueDatatype="130" unbalanced="0">
      <fieldsUsage count="2">
        <fieldUsage x="-1"/>
        <fieldUsage x="2"/>
      </fieldsUsage>
    </cacheHierarchy>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0"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hidden="1">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12.842655555556" backgroundQuery="1" createdVersion="8" refreshedVersion="8" minRefreshableVersion="3" recordCount="0" supportSubquery="1" supportAdvancedDrill="1" xr:uid="{FDB2E020-C0EA-4FA0-98AD-0359B1FE30E0}">
  <cacheSource type="external" connectionId="11"/>
  <cacheFields count="4">
    <cacheField name="[Year].[Year].[Year]" caption="Year" numFmtId="0" hierarchy="18" level="1">
      <sharedItems containsSemiMixedTypes="0" containsNonDate="0" containsString="0"/>
    </cacheField>
    <cacheField name="[Share].[Data per Share].[Data per Share]" caption="Data per Share" numFmtId="0" hierarchy="15" level="1">
      <sharedItems count="1">
        <s v="Basic earnings (in €)"/>
      </sharedItems>
    </cacheField>
    <cacheField name="[Share].[Year].[Year]" caption="Year" numFmtId="0" hierarchy="16" level="1">
      <sharedItems count="10">
        <s v="2015"/>
        <s v="2016"/>
        <s v="2017"/>
        <s v="2018"/>
        <s v="2019"/>
        <s v="2020"/>
        <s v="2021"/>
        <s v="2022"/>
        <s v="2023"/>
        <s v="2024"/>
      </sharedItems>
    </cacheField>
    <cacheField name="[Measures].[Sum of Value 5]" caption="Sum of Value 5" numFmtId="0" hierarchy="30" level="32767"/>
  </cacheFields>
  <cacheHierarchies count="33">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2" memberValueDatatype="130" unbalanced="0">
      <fieldsUsage count="2">
        <fieldUsage x="-1"/>
        <fieldUsage x="1"/>
      </fieldsUsage>
    </cacheHierarchy>
    <cacheHierarchy uniqueName="[Share].[Year]" caption="Year" attribute="1" defaultMemberUniqueName="[Share].[Year].[All]" allUniqueName="[Share].[Year].[All]" dimensionUniqueName="[Share]" displayFolder="" count="2" memberValueDatatype="130" unbalanced="0">
      <fieldsUsage count="2">
        <fieldUsage x="-1"/>
        <fieldUsage x="2"/>
      </fieldsUsage>
    </cacheHierarchy>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hidden="1">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13.887707291666" backgroundQuery="1" createdVersion="8" refreshedVersion="8" minRefreshableVersion="3" recordCount="0" supportSubquery="1" supportAdvancedDrill="1" xr:uid="{5EC454C3-B4E4-4943-82B4-980C32986639}">
  <cacheSource type="external" connectionId="11"/>
  <cacheFields count="4">
    <cacheField name="[Year].[Year].[Year]" caption="Year" numFmtId="0" hierarchy="18" level="1">
      <sharedItems containsSemiMixedTypes="0" containsNonDate="0" containsString="0"/>
    </cacheField>
    <cacheField name="[FCF].[Year].[Year]" caption="Year" numFmtId="0" hierarchy="7" level="1">
      <sharedItems count="16">
        <s v="2015"/>
        <s v="2016"/>
        <s v="2017"/>
        <s v="2018"/>
        <s v="2019"/>
        <s v="2020"/>
        <s v="2021"/>
        <s v="2022"/>
        <s v="2023"/>
        <s v="2024"/>
        <s v="2025"/>
        <s v="2026"/>
        <s v="2027"/>
        <s v="2028"/>
        <s v="2029"/>
        <s v="2030"/>
      </sharedItems>
    </cacheField>
    <cacheField name="[FCF].[Free Cash Flows].[Free Cash Flows]" caption="Free Cash Flows" numFmtId="0" hierarchy="6" level="1">
      <sharedItems count="1">
        <s v="FCF"/>
      </sharedItems>
    </cacheField>
    <cacheField name="[Measures].[Sum of Value 2]" caption="Sum of Value 2" numFmtId="0" hierarchy="32" level="32767"/>
  </cacheFields>
  <cacheHierarchies count="33">
    <cacheHierarchy uniqueName="[Accounts].[Column1]" caption="Column1" attribute="1" defaultMemberUniqueName="[Accounts].[Column1].[All]" allUniqueName="[Accounts].[Column1].[All]" dimensionUniqueName="[Accounts]" displayFolder="" count="2" memberValueDatatype="130" unbalanced="0"/>
    <cacheHierarchy uniqueName="[Accounts].[Year]" caption="Year" attribute="1" defaultMemberUniqueName="[Accounts].[Year].[All]" allUniqueName="[Accounts].[Year].[All]" dimensionUniqueName="[Accounts]" displayFolder="" count="2" memberValueDatatype="130" unbalanced="0"/>
    <cacheHierarchy uniqueName="[Accounts].[Value]" caption="Value" attribute="1" defaultMemberUniqueName="[Accounts].[Value].[All]" allUniqueName="[Accounts].[Value].[All]" dimensionUniqueName="[Accounts]" displayFolder="" count="2" memberValueDatatype="5" unbalanced="0"/>
    <cacheHierarchy uniqueName="[Balance].[Column1]" caption="Column1" attribute="1" defaultMemberUniqueName="[Balance].[Column1].[All]" allUniqueName="[Balance].[Column1].[All]" dimensionUniqueName="[Balance]" displayFolder="" count="2" memberValueDatatype="130" unbalanced="0"/>
    <cacheHierarchy uniqueName="[Balance].[Year]" caption="Year" attribute="1" defaultMemberUniqueName="[Balance].[Year].[All]" allUniqueName="[Balance].[Year].[All]" dimensionUniqueName="[Balance]" displayFolder="" count="2" memberValueDatatype="130" unbalanced="0"/>
    <cacheHierarchy uniqueName="[Balance].[Value]" caption="Value" attribute="1" defaultMemberUniqueName="[Balance].[Value].[All]" allUniqueName="[Balance].[Value].[All]" dimensionUniqueName="[Balance]" displayFolder="" count="2" memberValueDatatype="20" unbalanced="0"/>
    <cacheHierarchy uniqueName="[FCF].[Free Cash Flows]" caption="Free Cash Flows" attribute="1" defaultMemberUniqueName="[FCF].[Free Cash Flows].[All]" allUniqueName="[FCF].[Free Cash Flows].[All]" dimensionUniqueName="[FCF]" displayFolder="" count="2" memberValueDatatype="130" unbalanced="0">
      <fieldsUsage count="2">
        <fieldUsage x="-1"/>
        <fieldUsage x="2"/>
      </fieldsUsage>
    </cacheHierarchy>
    <cacheHierarchy uniqueName="[FCF].[Year]" caption="Year" attribute="1" defaultMemberUniqueName="[FCF].[Year].[All]" allUniqueName="[FCF].[Year].[All]" dimensionUniqueName="[FCF]" displayFolder="" count="2" memberValueDatatype="130" unbalanced="0">
      <fieldsUsage count="2">
        <fieldUsage x="-1"/>
        <fieldUsage x="1"/>
      </fieldsUsage>
    </cacheHierarchy>
    <cacheHierarchy uniqueName="[FCF].[Value]" caption="Value" attribute="1" defaultMemberUniqueName="[FCF].[Value].[All]" allUniqueName="[FCF].[Value].[All]" dimensionUniqueName="[FCF]" displayFolder="" count="2"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2" memberValueDatatype="130" unbalanced="0"/>
    <cacheHierarchy uniqueName="[Income Statement].[Year]" caption="Year" attribute="1" defaultMemberUniqueName="[Income Statement].[Year].[All]" allUniqueName="[Income Statement].[Year].[All]" dimensionUniqueName="[Income Statement]" displayFolder="" count="2" memberValueDatatype="130" unbalanced="0"/>
    <cacheHierarchy uniqueName="[Income Statement].[Value]" caption="Value" attribute="1" defaultMemberUniqueName="[Income Statement].[Value].[All]" allUniqueName="[Income Statement].[Value].[All]" dimensionUniqueName="[Income Statement]" displayFolder="" count="2" memberValueDatatype="20" unbalanced="0"/>
    <cacheHierarchy uniqueName="[Ratio].[Column1]" caption="Column1" attribute="1" defaultMemberUniqueName="[Ratio].[Column1].[All]" allUniqueName="[Ratio].[Column1].[All]" dimensionUniqueName="[Ratio]" displayFolder="" count="2" memberValueDatatype="130" unbalanced="0"/>
    <cacheHierarchy uniqueName="[Ratio].[Year]" caption="Year" attribute="1" defaultMemberUniqueName="[Ratio].[Year].[All]" allUniqueName="[Ratio].[Year].[All]" dimensionUniqueName="[Ratio]" displayFolder="" count="2" memberValueDatatype="130" unbalanced="0"/>
    <cacheHierarchy uniqueName="[Ratio].[Value]" caption="Value" attribute="1" defaultMemberUniqueName="[Ratio].[Value].[All]" allUniqueName="[Ratio].[Value].[All]" dimensionUniqueName="[Ratio]" displayFolder="" count="2" memberValueDatatype="5" unbalanced="0"/>
    <cacheHierarchy uniqueName="[Share].[Data per Share]" caption="Data per Share" attribute="1" defaultMemberUniqueName="[Share].[Data per Share].[All]" allUniqueName="[Share].[Data per Share].[All]" dimensionUniqueName="[Share]" displayFolder="" count="2" memberValueDatatype="130" unbalanced="0"/>
    <cacheHierarchy uniqueName="[Share].[Year]" caption="Year" attribute="1" defaultMemberUniqueName="[Share].[Year].[All]" allUniqueName="[Share].[Year].[All]" dimensionUniqueName="[Share]" displayFolder="" count="2" memberValueDatatype="130" unbalanced="0"/>
    <cacheHierarchy uniqueName="[Share].[Value]" caption="Value" attribute="1" defaultMemberUniqueName="[Share].[Value].[All]" allUniqueName="[Share].[Value].[All]" dimensionUniqueName="[Share]" displayFolder="" count="2" memberValueDatatype="5"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oneField="1" hidden="1">
      <fieldsUsage count="1">
        <fieldUsage x="3"/>
      </fieldsUsage>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13.895369560189" backgroundQuery="1" createdVersion="8" refreshedVersion="8" minRefreshableVersion="3" recordCount="0" supportSubquery="1" supportAdvancedDrill="1" xr:uid="{D05D2831-4DFC-4853-8E7D-25070540E8D8}">
  <cacheSource type="external" connectionId="11"/>
  <cacheFields count="4">
    <cacheField name="[Income Statement].[Income Statement Data].[Income Statement Data]" caption="Income Statement Data" numFmtId="0" hierarchy="9" level="1">
      <sharedItems count="5">
        <s v="EBITDA"/>
        <s v="Gross profit"/>
        <s v="Net income/(loss) attributable to shareholders"/>
        <s v="Net sales"/>
        <s v="Operating profit"/>
      </sharedItems>
    </cacheField>
    <cacheField name="[Income Statement].[Year].[Year]" caption="Year" numFmtId="0" hierarchy="10" level="1">
      <sharedItems count="1">
        <s v="2018"/>
      </sharedItems>
    </cacheField>
    <cacheField name="[Measures].[Sum of Value]" caption="Sum of Value" numFmtId="0" hierarchy="27" level="32767"/>
    <cacheField name="[Year].[Year].[Year]" caption="Year" numFmtId="0" hierarchy="18" level="1">
      <sharedItems containsSemiMixedTypes="0" containsNonDate="0" containsString="0"/>
    </cacheField>
  </cacheFields>
  <cacheHierarchies count="33">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2" memberValueDatatype="130" unbalanced="0">
      <fieldsUsage count="2">
        <fieldUsage x="-1"/>
        <fieldUsage x="0"/>
      </fieldsUsage>
    </cacheHierarchy>
    <cacheHierarchy uniqueName="[Income Statement].[Year]" caption="Year" attribute="1" defaultMemberUniqueName="[Income Statement].[Year].[All]" allUniqueName="[Income Statement].[Year].[All]" dimensionUniqueName="[Income Statement]" displayFolder="" count="2" memberValueDatatype="130" unbalanced="0">
      <fieldsUsage count="2">
        <fieldUsage x="-1"/>
        <fieldUsage x="1"/>
      </fieldsUsage>
    </cacheHierarchy>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0"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3"/>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hidden="1">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13.895370138889" backgroundQuery="1" createdVersion="8" refreshedVersion="8" minRefreshableVersion="3" recordCount="0" supportSubquery="1" supportAdvancedDrill="1" xr:uid="{3656B107-4CAD-4187-8F5F-D69D239A5630}">
  <cacheSource type="external" connectionId="11"/>
  <cacheFields count="4">
    <cacheField name="[Year].[Year].[Year]" caption="Year" numFmtId="0" hierarchy="18" level="1">
      <sharedItems containsSemiMixedTypes="0" containsNonDate="0" containsString="0"/>
    </cacheField>
    <cacheField name="[Balance].[Column1].[Column1]" caption="Column1" numFmtId="0" hierarchy="3" level="1">
      <sharedItems count="1">
        <s v="Balance"/>
      </sharedItems>
    </cacheField>
    <cacheField name="[Balance].[Year].[Year]" caption="Year" numFmtId="0" hierarchy="4" level="1">
      <sharedItems count="1">
        <s v="2018"/>
      </sharedItems>
    </cacheField>
    <cacheField name="[Measures].[Sum of Value 4]" caption="Sum of Value 4" numFmtId="0" hierarchy="29" level="32767"/>
  </cacheFields>
  <cacheHierarchies count="33">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2" memberValueDatatype="130" unbalanced="0">
      <fieldsUsage count="2">
        <fieldUsage x="-1"/>
        <fieldUsage x="1"/>
      </fieldsUsage>
    </cacheHierarchy>
    <cacheHierarchy uniqueName="[Balance].[Year]" caption="Year" attribute="1" defaultMemberUniqueName="[Balance].[Year].[All]" allUniqueName="[Balance].[Year].[All]" dimensionUniqueName="[Balance]" displayFolder="" count="2" memberValueDatatype="130" unbalanced="0">
      <fieldsUsage count="2">
        <fieldUsage x="-1"/>
        <fieldUsage x="2"/>
      </fieldsUsage>
    </cacheHierarchy>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0"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hidden="1">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13.89537071759" backgroundQuery="1" createdVersion="8" refreshedVersion="8" minRefreshableVersion="3" recordCount="0" supportSubquery="1" supportAdvancedDrill="1" xr:uid="{7C36E710-A209-49A3-AD7E-EF62D88A12EA}">
  <cacheSource type="external" connectionId="11"/>
  <cacheFields count="4">
    <cacheField name="[Year].[Year].[Year]" caption="Year" numFmtId="0" hierarchy="18" level="1">
      <sharedItems containsSemiMixedTypes="0" containsNonDate="0" containsString="0"/>
    </cacheField>
    <cacheField name="[Share].[Data per Share].[Data per Share]" caption="Data per Share" numFmtId="0" hierarchy="15" level="1">
      <sharedItems count="3">
        <s v="Basic earnings (in €)"/>
        <s v="Diluted earnings (in €)"/>
        <s v="Share price at year-end (in €)"/>
      </sharedItems>
    </cacheField>
    <cacheField name="[Share].[Year].[Year]" caption="Year" numFmtId="0" hierarchy="16" level="1">
      <sharedItems count="1">
        <s v="2018"/>
      </sharedItems>
    </cacheField>
    <cacheField name="[Measures].[Sum of Value 5]" caption="Sum of Value 5" numFmtId="0" hierarchy="30" level="32767"/>
  </cacheFields>
  <cacheHierarchies count="33">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2" memberValueDatatype="130" unbalanced="0">
      <fieldsUsage count="2">
        <fieldUsage x="-1"/>
        <fieldUsage x="1"/>
      </fieldsUsage>
    </cacheHierarchy>
    <cacheHierarchy uniqueName="[Share].[Year]" caption="Year" attribute="1" defaultMemberUniqueName="[Share].[Year].[All]" allUniqueName="[Share].[Year].[All]" dimensionUniqueName="[Share]" displayFolder="" count="2" memberValueDatatype="130" unbalanced="0">
      <fieldsUsage count="2">
        <fieldUsage x="-1"/>
        <fieldUsage x="2"/>
      </fieldsUsage>
    </cacheHierarchy>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hidden="1">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13.895371296298" backgroundQuery="1" createdVersion="8" refreshedVersion="8" minRefreshableVersion="3" recordCount="0" supportSubquery="1" supportAdvancedDrill="1" xr:uid="{BA10E134-FB8C-43CC-ABA1-B0E23A413AB3}">
  <cacheSource type="external" connectionId="11"/>
  <cacheFields count="4">
    <cacheField name="[Year].[Year].[Year]" caption="Year" numFmtId="0" hierarchy="18" level="1">
      <sharedItems containsSemiMixedTypes="0" containsNonDate="0" containsString="0"/>
    </cacheField>
    <cacheField name="[Ratio].[Column1].[Column1]" caption="Column1" numFmtId="0" hierarchy="12" level="1">
      <sharedItems count="6">
        <s v="Effective tax rate"/>
        <s v="Equity ratio"/>
        <s v="Financial leverage"/>
        <s v="Gross margin"/>
        <s v="Operating margin"/>
        <s v="Return on equity"/>
      </sharedItems>
    </cacheField>
    <cacheField name="[Measures].[Sum of Value 6]" caption="Sum of Value 6" numFmtId="0" hierarchy="31" level="32767"/>
    <cacheField name="[Ratio].[Year].[Year]" caption="Year" numFmtId="0" hierarchy="13" level="1">
      <sharedItems count="1">
        <s v="2018"/>
      </sharedItems>
    </cacheField>
  </cacheFields>
  <cacheHierarchies count="33">
    <cacheHierarchy uniqueName="[Accounts].[Column1]" caption="Column1" attribute="1" defaultMemberUniqueName="[Accounts].[Column1].[All]" allUniqueName="[Accounts].[Column1].[All]" dimensionUniqueName="[Accounts]" displayFolder="" count="0" memberValueDatatype="130" unbalanced="0"/>
    <cacheHierarchy uniqueName="[Accounts].[Year]" caption="Year" attribute="1" defaultMemberUniqueName="[Accounts].[Year].[All]" allUniqueName="[Accounts].[Year].[All]" dimensionUniqueName="[Accounts]" displayFolder="" count="0" memberValueDatatype="130" unbalanced="0"/>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2" memberValueDatatype="130" unbalanced="0">
      <fieldsUsage count="2">
        <fieldUsage x="-1"/>
        <fieldUsage x="1"/>
      </fieldsUsage>
    </cacheHierarchy>
    <cacheHierarchy uniqueName="[Ratio].[Year]" caption="Year" attribute="1" defaultMemberUniqueName="[Ratio].[Year].[All]" allUniqueName="[Ratio].[Year].[All]" dimensionUniqueName="[Ratio]" displayFolder="" count="2" memberValueDatatype="130" unbalanced="0">
      <fieldsUsage count="2">
        <fieldUsage x="-1"/>
        <fieldUsage x="3"/>
      </fieldsUsage>
    </cacheHierarchy>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0"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hidden="1">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hidden="1">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iang" refreshedDate="45813.895371874998" backgroundQuery="1" createdVersion="8" refreshedVersion="8" minRefreshableVersion="3" recordCount="0" supportSubquery="1" supportAdvancedDrill="1" xr:uid="{62B45145-0B20-4186-83E6-5557EB1B9DF7}">
  <cacheSource type="external" connectionId="11"/>
  <cacheFields count="4">
    <cacheField name="[Year].[Year].[Year]" caption="Year" numFmtId="0" hierarchy="18" level="1">
      <sharedItems containsSemiMixedTypes="0" containsNonDate="0" containsString="0"/>
    </cacheField>
    <cacheField name="[Accounts].[Column1].[Column1]" caption="Column1" numFmtId="0" level="1">
      <sharedItems count="2">
        <s v="Accounts Payable"/>
        <s v="Accounts receivable"/>
      </sharedItems>
    </cacheField>
    <cacheField name="[Accounts].[Year].[Year]" caption="Year" numFmtId="0" hierarchy="1" level="1">
      <sharedItems count="1">
        <s v="2018"/>
      </sharedItems>
    </cacheField>
    <cacheField name="[Measures].[Sum of Value 3]" caption="Sum of Value 3" numFmtId="0" hierarchy="28" level="32767"/>
  </cacheFields>
  <cacheHierarchies count="33">
    <cacheHierarchy uniqueName="[Accounts].[Column1]" caption="Column1" attribute="1" defaultMemberUniqueName="[Accounts].[Column1].[All]" allUniqueName="[Accounts].[Column1].[All]" dimensionUniqueName="[Accounts]" displayFolder="" count="2" memberValueDatatype="130" unbalanced="0">
      <fieldsUsage count="2">
        <fieldUsage x="-1"/>
        <fieldUsage x="1"/>
      </fieldsUsage>
    </cacheHierarchy>
    <cacheHierarchy uniqueName="[Accounts].[Year]" caption="Year" attribute="1" defaultMemberUniqueName="[Accounts].[Year].[All]" allUniqueName="[Accounts].[Year].[All]" dimensionUniqueName="[Accounts]" displayFolder="" count="2" memberValueDatatype="130" unbalanced="0">
      <fieldsUsage count="2">
        <fieldUsage x="-1"/>
        <fieldUsage x="2"/>
      </fieldsUsage>
    </cacheHierarchy>
    <cacheHierarchy uniqueName="[Accounts].[Value]" caption="Value" attribute="1" defaultMemberUniqueName="[Accounts].[Value].[All]" allUniqueName="[Accounts].[Value].[All]" dimensionUniqueName="[Accounts]" displayFolder="" count="0" memberValueDatatype="5" unbalanced="0"/>
    <cacheHierarchy uniqueName="[Balance].[Column1]" caption="Column1" attribute="1" defaultMemberUniqueName="[Balance].[Column1].[All]" allUniqueName="[Balance].[Column1].[All]" dimensionUniqueName="[Balance]" displayFolder="" count="0" memberValueDatatype="130" unbalanced="0"/>
    <cacheHierarchy uniqueName="[Balance].[Year]" caption="Year" attribute="1" defaultMemberUniqueName="[Balance].[Year].[All]" allUniqueName="[Balance].[Year].[All]" dimensionUniqueName="[Balance]" displayFolder="" count="0" memberValueDatatype="130" unbalanced="0"/>
    <cacheHierarchy uniqueName="[Balance].[Value]" caption="Value" attribute="1" defaultMemberUniqueName="[Balance].[Value].[All]" allUniqueName="[Balance].[Value].[All]" dimensionUniqueName="[Balance]" displayFolder="" count="0" memberValueDatatype="20" unbalanced="0"/>
    <cacheHierarchy uniqueName="[FCF].[Free Cash Flows]" caption="Free Cash Flows" attribute="1" defaultMemberUniqueName="[FCF].[Free Cash Flows].[All]" allUniqueName="[FCF].[Free Cash Flows].[All]" dimensionUniqueName="[FCF]" displayFolder="" count="0" memberValueDatatype="130" unbalanced="0"/>
    <cacheHierarchy uniqueName="[FCF].[Year]" caption="Year" attribute="1" defaultMemberUniqueName="[FCF].[Year].[All]" allUniqueName="[FCF].[Year].[All]" dimensionUniqueName="[FCF]" displayFolder="" count="0" memberValueDatatype="130" unbalanced="0"/>
    <cacheHierarchy uniqueName="[FCF].[Value]" caption="Value" attribute="1" defaultMemberUniqueName="[FCF].[Value].[All]" allUniqueName="[FCF].[Value].[All]" dimensionUniqueName="[FCF]" displayFolder="" count="0" memberValueDatatype="5" unbalanced="0"/>
    <cacheHierarchy uniqueName="[Income Statement].[Income Statement Data]" caption="Income Statement Data" attribute="1" defaultMemberUniqueName="[Income Statement].[Income Statement Data].[All]" allUniqueName="[Income Statement].[Income Statement Data].[All]" dimensionUniqueName="[Income Statement]" displayFolder="" count="0" memberValueDatatype="130" unbalanced="0"/>
    <cacheHierarchy uniqueName="[Income Statement].[Year]" caption="Year" attribute="1" defaultMemberUniqueName="[Income Statement].[Year].[All]" allUniqueName="[Income Statement].[Year].[All]" dimensionUniqueName="[Income Statement]" displayFolder="" count="0" memberValueDatatype="130" unbalanced="0"/>
    <cacheHierarchy uniqueName="[Income Statement].[Value]" caption="Value" attribute="1" defaultMemberUniqueName="[Income Statement].[Value].[All]" allUniqueName="[Income Statement].[Value].[All]" dimensionUniqueName="[Income Statement]" displayFolder="" count="0" memberValueDatatype="20" unbalanced="0"/>
    <cacheHierarchy uniqueName="[Ratio].[Column1]" caption="Column1" attribute="1" defaultMemberUniqueName="[Ratio].[Column1].[All]" allUniqueName="[Ratio].[Column1].[All]" dimensionUniqueName="[Ratio]" displayFolder="" count="0" memberValueDatatype="130" unbalanced="0"/>
    <cacheHierarchy uniqueName="[Ratio].[Year]" caption="Year" attribute="1" defaultMemberUniqueName="[Ratio].[Year].[All]" allUniqueName="[Ratio].[Year].[All]" dimensionUniqueName="[Ratio]" displayFolder="" count="0" memberValueDatatype="130" unbalanced="0"/>
    <cacheHierarchy uniqueName="[Ratio].[Value]" caption="Value" attribute="1" defaultMemberUniqueName="[Ratio].[Value].[All]" allUniqueName="[Ratio].[Value].[All]" dimensionUniqueName="[Ratio]" displayFolder="" count="0" memberValueDatatype="5" unbalanced="0"/>
    <cacheHierarchy uniqueName="[Share].[Data per Share]" caption="Data per Share" attribute="1" defaultMemberUniqueName="[Share].[Data per Share].[All]" allUniqueName="[Share].[Data per Share].[All]" dimensionUniqueName="[Share]" displayFolder="" count="0" memberValueDatatype="130" unbalanced="0"/>
    <cacheHierarchy uniqueName="[Share].[Year]" caption="Year" attribute="1" defaultMemberUniqueName="[Share].[Year].[All]" allUniqueName="[Share].[Year].[All]" dimensionUniqueName="[Share]" displayFolder="" count="0" memberValueDatatype="130" unbalanced="0"/>
    <cacheHierarchy uniqueName="[Share].[Value]" caption="Value" attribute="1" defaultMemberUniqueName="[Share].[Value].[All]" allUniqueName="[Share].[Value].[All]" dimensionUniqueName="[Share]"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Measures].[__XL_Count Table2_1]" caption="__XL_Count Table2_1" measure="1" displayFolder="" measureGroup="Income Statement" count="0" hidden="1"/>
    <cacheHierarchy uniqueName="[Measures].[__XL_Count Table4_1]" caption="__XL_Count Table4_1" measure="1" displayFolder="" measureGroup="Ratio" count="0" hidden="1"/>
    <cacheHierarchy uniqueName="[Measures].[__XL_Count Table6_1]" caption="__XL_Count Table6_1" measure="1" displayFolder="" measureGroup="Share" count="0" hidden="1"/>
    <cacheHierarchy uniqueName="[Measures].[__XL_Count Table8_1]" caption="__XL_Count Table8_1" measure="1" displayFolder="" measureGroup="Balance" count="0" hidden="1"/>
    <cacheHierarchy uniqueName="[Measures].[__XL_Count Table10_113]" caption="__XL_Count Table10_113" measure="1" displayFolder="" measureGroup="Accounts" count="0" hidden="1"/>
    <cacheHierarchy uniqueName="[Measures].[__XL_Count Table17]" caption="__XL_Count Table17" measure="1" displayFolder="" measureGroup="Year" count="0" hidden="1"/>
    <cacheHierarchy uniqueName="[Measures].[__XL_Count Table13__2]" caption="__XL_Count Table13__2" measure="1" displayFolder="" measureGroup="FCF" count="0" hidden="1"/>
    <cacheHierarchy uniqueName="[Measures].[__No measures defined]" caption="__No measures defined" measure="1" displayFolder="" count="0" hidden="1"/>
    <cacheHierarchy uniqueName="[Measures].[Sum of Value]" caption="Sum of Value" measure="1" displayFolder="" measureGroup="Income Statement" count="0" hidden="1">
      <extLst>
        <ext xmlns:x15="http://schemas.microsoft.com/office/spreadsheetml/2010/11/main" uri="{B97F6D7D-B522-45F9-BDA1-12C45D357490}">
          <x15:cacheHierarchy aggregatedColumn="11"/>
        </ext>
      </extLst>
    </cacheHierarchy>
    <cacheHierarchy uniqueName="[Measures].[Sum of Value 3]" caption="Sum of Value 3" measure="1" displayFolder="" measureGroup="Accounts"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Value 4]" caption="Sum of Value 4" measure="1" displayFolder="" measureGroup="Balance" count="0" hidden="1">
      <extLst>
        <ext xmlns:x15="http://schemas.microsoft.com/office/spreadsheetml/2010/11/main" uri="{B97F6D7D-B522-45F9-BDA1-12C45D357490}">
          <x15:cacheHierarchy aggregatedColumn="5"/>
        </ext>
      </extLst>
    </cacheHierarchy>
    <cacheHierarchy uniqueName="[Measures].[Sum of Value 5]" caption="Sum of Value 5" measure="1" displayFolder="" measureGroup="Share" count="0" hidden="1">
      <extLst>
        <ext xmlns:x15="http://schemas.microsoft.com/office/spreadsheetml/2010/11/main" uri="{B97F6D7D-B522-45F9-BDA1-12C45D357490}">
          <x15:cacheHierarchy aggregatedColumn="17"/>
        </ext>
      </extLst>
    </cacheHierarchy>
    <cacheHierarchy uniqueName="[Measures].[Sum of Value 6]" caption="Sum of Value 6" measure="1" displayFolder="" measureGroup="Ratio" count="0" hidden="1">
      <extLst>
        <ext xmlns:x15="http://schemas.microsoft.com/office/spreadsheetml/2010/11/main" uri="{B97F6D7D-B522-45F9-BDA1-12C45D357490}">
          <x15:cacheHierarchy aggregatedColumn="14"/>
        </ext>
      </extLst>
    </cacheHierarchy>
    <cacheHierarchy uniqueName="[Measures].[Sum of Value 2]" caption="Sum of Value 2" measure="1" displayFolder="" measureGroup="FCF" count="0" hidden="1">
      <extLst>
        <ext xmlns:x15="http://schemas.microsoft.com/office/spreadsheetml/2010/11/main" uri="{B97F6D7D-B522-45F9-BDA1-12C45D357490}">
          <x15:cacheHierarchy aggregatedColumn="8"/>
        </ext>
      </extLst>
    </cacheHierarchy>
  </cacheHierarchies>
  <kpis count="0"/>
  <dimensions count="8">
    <dimension name="Accounts" uniqueName="[Accounts]" caption="Accounts"/>
    <dimension name="Balance" uniqueName="[Balance]" caption="Balance"/>
    <dimension name="FCF" uniqueName="[FCF]" caption="FCF"/>
    <dimension name="Income Statement" uniqueName="[Income Statement]" caption="Income Statement"/>
    <dimension measure="1" name="Measures" uniqueName="[Measures]" caption="Measures"/>
    <dimension name="Ratio" uniqueName="[Ratio]" caption="Ratio"/>
    <dimension name="Share" uniqueName="[Share]" caption="Share"/>
    <dimension name="Year" uniqueName="[Year]" caption="Year"/>
  </dimensions>
  <measureGroups count="7">
    <measureGroup name="Accounts" caption="Accounts"/>
    <measureGroup name="Balance" caption="Balance"/>
    <measureGroup name="FCF" caption="FCF"/>
    <measureGroup name="Income Statement" caption="Income Statement"/>
    <measureGroup name="Ratio" caption="Ratio"/>
    <measureGroup name="Share" caption="Share"/>
    <measureGroup name="Year" caption="Year"/>
  </measureGroups>
  <maps count="13">
    <map measureGroup="0" dimension="0"/>
    <map measureGroup="0" dimension="7"/>
    <map measureGroup="1" dimension="1"/>
    <map measureGroup="1" dimension="7"/>
    <map measureGroup="2" dimension="2"/>
    <map measureGroup="2" dimension="7"/>
    <map measureGroup="3" dimension="3"/>
    <map measureGroup="3" dimension="7"/>
    <map measureGroup="4" dimension="5"/>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5B1A5E-0532-4F52-9818-CFE4FA007AB4}" name="PivotTable37" cacheId="6" applyNumberFormats="0" applyBorderFormats="0" applyFontFormats="0" applyPatternFormats="0" applyAlignmentFormats="0" applyWidthHeightFormats="1" dataCaption="Values" tag="a68af0a2-7e2c-4d7a-a4ab-aefc09111ed0" updatedVersion="8" minRefreshableVersion="3" useAutoFormatting="1" subtotalHiddenItems="1" rowGrandTotals="0" colGrandTotals="0" itemPrintTitles="1" createdVersion="8" indent="0" outline="1" outlineData="1" multipleFieldFilters="0">
  <location ref="A62:D64"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x="0"/>
      </items>
    </pivotField>
    <pivotField dataField="1" subtotalTop="0" showAll="0" defaultSubtotal="0"/>
  </pivotFields>
  <rowFields count="1">
    <field x="2"/>
  </rowFields>
  <rowItems count="1">
    <i>
      <x/>
    </i>
  </rowItems>
  <colFields count="1">
    <field x="1"/>
  </colFields>
  <colItems count="3">
    <i>
      <x/>
    </i>
    <i>
      <x v="1"/>
    </i>
    <i>
      <x v="2"/>
    </i>
  </colItems>
  <dataFields count="1">
    <dataField name="Sum of Value" fld="3" baseField="0" baseItem="0"/>
  </dataFields>
  <formats count="1">
    <format dxfId="77">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Year].[Year].&amp;[2018]"/>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FCF]"/>
        <x15:activeTabTopLevelEntity name="[Income Statement]"/>
        <x15:activeTabTopLevelEntity name="[Ratio]"/>
        <x15:activeTabTopLevelEntity name="[Share]"/>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79901F-5C2D-424B-9DAD-43E797CE51D0}" name="PivotTable41" cacheId="9" applyNumberFormats="0" applyBorderFormats="0" applyFontFormats="0" applyPatternFormats="0" applyAlignmentFormats="0" applyWidthHeightFormats="1" dataCaption="Values" tag="e56fc324-2d07-49c3-9095-4d3011428a9a" updatedVersion="8" minRefreshableVersion="3" useAutoFormatting="1" subtotalHiddenItems="1" rowGrandTotals="0" colGrandTotals="0" itemPrintTitles="1" createdVersion="8" indent="0" outline="1" outlineData="1" multipleFieldFilters="0">
  <location ref="A126:B128"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dataField="1" subtotalTop="0" showAll="0" defaultSubtotal="0"/>
  </pivotFields>
  <rowFields count="1">
    <field x="2"/>
  </rowFields>
  <rowItems count="1">
    <i>
      <x/>
    </i>
  </rowItems>
  <colFields count="1">
    <field x="1"/>
  </colFields>
  <colItems count="1">
    <i>
      <x/>
    </i>
  </colItems>
  <dataFields count="1">
    <dataField name="Sum of Value" fld="3" baseField="0" baseItem="0"/>
  </dataFields>
  <formats count="2">
    <format dxfId="93">
      <pivotArea type="topRight" dataOnly="0" labelOnly="1" outline="0" fieldPosition="0"/>
    </format>
    <format dxfId="92">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Year].[Year].&amp;[2018]"/>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FCF]"/>
        <x15:activeTabTopLevelEntity name="[Income Statement]"/>
        <x15:activeTabTopLevelEntity name="[Ratio]"/>
        <x15:activeTabTopLevelEntity name="[Share]"/>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78885-F9E2-425D-B13C-94CB268CE8C0}" name="PivotTable38" cacheId="7" applyNumberFormats="0" applyBorderFormats="0" applyFontFormats="0" applyPatternFormats="0" applyAlignmentFormats="0" applyWidthHeightFormats="1" dataCaption="Values" tag="6e847d04-1598-4ba4-9ff1-100f2ed10ac6" updatedVersion="8" minRefreshableVersion="3" useAutoFormatting="1" subtotalHiddenItems="1" rowGrandTotals="0" colGrandTotals="0" itemPrintTitles="1" createdVersion="8" indent="0" outline="1" outlineData="1" multipleFieldFilters="0">
  <location ref="A77:G79"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1">
        <item x="0"/>
      </items>
    </pivotField>
  </pivotFields>
  <rowFields count="1">
    <field x="3"/>
  </rowFields>
  <rowItems count="1">
    <i>
      <x/>
    </i>
  </rowItems>
  <colFields count="1">
    <field x="1"/>
  </colFields>
  <colItems count="6">
    <i>
      <x/>
    </i>
    <i>
      <x v="1"/>
    </i>
    <i>
      <x v="2"/>
    </i>
    <i>
      <x v="3"/>
    </i>
    <i>
      <x v="4"/>
    </i>
    <i>
      <x v="5"/>
    </i>
  </colItems>
  <dataFields count="1">
    <dataField name="Sum of Value" fld="2" baseField="0" baseItem="0" numFmtId="9"/>
  </dataFields>
  <formats count="4">
    <format dxfId="81">
      <pivotArea outline="0" collapsedLevelsAreSubtotals="1" fieldPosition="0"/>
    </format>
    <format dxfId="80">
      <pivotArea field="1" type="button" dataOnly="0" labelOnly="1" outline="0" axis="axisCol" fieldPosition="0"/>
    </format>
    <format dxfId="79">
      <pivotArea type="topRight" dataOnly="0" labelOnly="1" outline="0" fieldPosition="0"/>
    </format>
    <format dxfId="78">
      <pivotArea dataOnly="0" labelOnly="1" fieldPosition="0">
        <references count="1">
          <reference field="1"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Year].[Year].&amp;[2018]"/>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FCF]"/>
        <x15:activeTabTopLevelEntity name="[Income Statement]"/>
        <x15:activeTabTopLevelEntity name="[Ratio]"/>
        <x15:activeTabTopLevelEntity name="[Share]"/>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F81F0-4CD2-499A-8A8F-5B2B789D81B0}" name="PivotTable39" cacheId="0" applyNumberFormats="0" applyBorderFormats="0" applyFontFormats="0" applyPatternFormats="0" applyAlignmentFormats="0" applyWidthHeightFormats="1" dataCaption="Values" tag="98bfc75d-a671-48e6-9b83-1259f6fef1e1" updatedVersion="8" minRefreshableVersion="3" useAutoFormatting="1" subtotalHiddenItems="1" rowGrandTotals="0" colGrandTotals="0" itemPrintTitles="1" createdVersion="8" indent="0" outline="1" outlineData="1" multipleFieldFilters="0">
  <location ref="A95:C106"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0">
    <i>
      <x/>
    </i>
    <i>
      <x v="1"/>
    </i>
    <i>
      <x v="2"/>
    </i>
    <i>
      <x v="3"/>
    </i>
    <i>
      <x v="4"/>
    </i>
    <i>
      <x v="5"/>
    </i>
    <i>
      <x v="6"/>
    </i>
    <i>
      <x v="7"/>
    </i>
    <i>
      <x v="8"/>
    </i>
    <i>
      <x v="9"/>
    </i>
  </rowItems>
  <colFields count="1">
    <field x="1"/>
  </colFields>
  <colItems count="2">
    <i>
      <x/>
    </i>
    <i>
      <x v="1"/>
    </i>
  </colItems>
  <dataFields count="1">
    <dataField name="Sum of Value" fld="3" baseField="0" baseItem="0" numFmtId="3"/>
  </dataFields>
  <formats count="2">
    <format dxfId="83">
      <pivotArea type="topRight" dataOnly="0" labelOnly="1" outline="0" fieldPosition="0"/>
    </format>
    <format dxfId="82">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Year].[Year].&amp;[2015]"/>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FCF]"/>
        <x15:activeTabTopLevelEntity name="[Income Statement]"/>
        <x15:activeTabTopLevelEntity name="[Ratio]"/>
        <x15:activeTabTopLevelEntity name="[Share]"/>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209A8F-7DAF-4EA2-BB1F-A1A7B7101687}" name="PivotTable42" cacheId="3" applyNumberFormats="0" applyBorderFormats="0" applyFontFormats="0" applyPatternFormats="0" applyAlignmentFormats="0" applyWidthHeightFormats="1" dataCaption="Values" tag="e3a78b08-8318-4e04-97c8-eefb1229c347" updatedVersion="8" minRefreshableVersion="3" useAutoFormatting="1" subtotalHiddenItems="1" rowGrandTotals="0" colGrandTotals="0" itemPrintTitles="1" createdVersion="8" indent="0" outline="1" outlineData="1" multipleFieldFilters="0">
  <location ref="A148:B165" firstHeaderRow="1" firstDataRow="2" firstDataCol="1"/>
  <pivotFields count="4">
    <pivotField allDrilled="1" subtotalTop="0" showAll="0" dataSourceSort="1" defaultSubtotal="0" defaultAttributeDrillState="1"/>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Col" allDrilled="1" subtotalTop="0" showAll="0" dataSourceSort="1" defaultSubtotal="0" defaultAttributeDrillState="1">
      <items count="1">
        <item s="1" x="0"/>
      </items>
    </pivotField>
    <pivotField dataField="1" subtotalTop="0" showAll="0" defaultSubtotal="0"/>
  </pivotFields>
  <rowFields count="1">
    <field x="1"/>
  </rowFields>
  <rowItems count="16">
    <i>
      <x/>
    </i>
    <i>
      <x v="1"/>
    </i>
    <i>
      <x v="2"/>
    </i>
    <i>
      <x v="3"/>
    </i>
    <i>
      <x v="4"/>
    </i>
    <i>
      <x v="5"/>
    </i>
    <i>
      <x v="6"/>
    </i>
    <i>
      <x v="7"/>
    </i>
    <i>
      <x v="8"/>
    </i>
    <i>
      <x v="9"/>
    </i>
    <i>
      <x v="10"/>
    </i>
    <i>
      <x v="11"/>
    </i>
    <i>
      <x v="12"/>
    </i>
    <i>
      <x v="13"/>
    </i>
    <i>
      <x v="14"/>
    </i>
    <i>
      <x v="15"/>
    </i>
  </rowItems>
  <colFields count="1">
    <field x="2"/>
  </colFields>
  <colItems count="1">
    <i>
      <x/>
    </i>
  </colItems>
  <dataFields count="1">
    <dataField name="Sum of Value" fld="3" baseField="0" baseItem="0"/>
  </dataFields>
  <formats count="2">
    <format dxfId="85">
      <pivotArea type="topRight" dataOnly="0" labelOnly="1" outline="0" fieldPosition="0"/>
    </format>
    <format dxfId="84">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Year].[Year].&amp;[2015]"/>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Income Statement]"/>
        <x15:activeTabTopLevelEntity name="[Ratio]"/>
        <x15:activeTabTopLevelEntity name="[Share]"/>
        <x15:activeTabTopLevelEntity name="[Year]"/>
        <x15:activeTabTopLevelEntity name="[FC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4850AC-5FBD-4BBE-9BCF-5E6702D52A50}" name="PivotTable36" cacheId="2" applyNumberFormats="0" applyBorderFormats="0" applyFontFormats="0" applyPatternFormats="0" applyAlignmentFormats="0" applyWidthHeightFormats="1" dataCaption="Values" tag="8595e53a-9591-4234-b1cb-8e776e1e8245" updatedVersion="8" minRefreshableVersion="3" useAutoFormatting="1" subtotalHiddenItems="1" rowGrandTotals="0" colGrandTotals="0" itemPrintTitles="1" createdVersion="8" indent="0" outline="1" outlineData="1" multipleFieldFilters="0">
  <location ref="A48:B59"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0">
    <i>
      <x/>
    </i>
    <i>
      <x v="1"/>
    </i>
    <i>
      <x v="2"/>
    </i>
    <i>
      <x v="3"/>
    </i>
    <i>
      <x v="4"/>
    </i>
    <i>
      <x v="5"/>
    </i>
    <i>
      <x v="6"/>
    </i>
    <i>
      <x v="7"/>
    </i>
    <i>
      <x v="8"/>
    </i>
    <i>
      <x v="9"/>
    </i>
  </rowItems>
  <colFields count="1">
    <field x="1"/>
  </colFields>
  <colItems count="1">
    <i>
      <x/>
    </i>
  </colItems>
  <dataFields count="1">
    <dataField name="Sum of Value" fld="3" baseField="0" baseItem="0"/>
  </dataFields>
  <formats count="1">
    <format dxfId="86">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Year].[Year].&amp;[2015]"/>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FCF]"/>
        <x15:activeTabTopLevelEntity name="[Income Statement]"/>
        <x15:activeTabTopLevelEntity name="[Ratio]"/>
        <x15:activeTabTopLevelEntity name="[Share]"/>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DAB767-32F6-4BFD-A2ED-EEC6868B2D47}" name="PivotTable40" cacheId="8" applyNumberFormats="0" applyBorderFormats="0" applyFontFormats="0" applyPatternFormats="0" applyAlignmentFormats="0" applyWidthHeightFormats="1" dataCaption="Values" tag="7d443c87-de49-4780-8134-1d10cd295293" updatedVersion="8" minRefreshableVersion="3" useAutoFormatting="1" subtotalHiddenItems="1" rowGrandTotals="0" colGrandTotals="0" itemPrintTitles="1" createdVersion="8" indent="0" outline="1" outlineData="1" multipleFieldFilters="0">
  <location ref="A109:C111"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dataField="1" subtotalTop="0" showAll="0" defaultSubtotal="0"/>
  </pivotFields>
  <rowFields count="1">
    <field x="2"/>
  </rowFields>
  <rowItems count="1">
    <i>
      <x/>
    </i>
  </rowItems>
  <colFields count="1">
    <field x="1"/>
  </colFields>
  <colItems count="2">
    <i>
      <x/>
    </i>
    <i>
      <x v="1"/>
    </i>
  </colItems>
  <dataFields count="1">
    <dataField name="Sum of Value" fld="3" baseField="0" baseItem="0" numFmtId="3"/>
  </dataFields>
  <formats count="2">
    <format dxfId="88">
      <pivotArea type="topRight" dataOnly="0" labelOnly="1" outline="0" fieldPosition="0"/>
    </format>
    <format dxfId="87">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Year].[Year].&amp;[2018]"/>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FCF]"/>
        <x15:activeTabTopLevelEntity name="[Income Statement]"/>
        <x15:activeTabTopLevelEntity name="[Ratio]"/>
        <x15:activeTabTopLevelEntity name="[Share]"/>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DB6485-8EDA-4BE2-9B1F-28B8873CBC9D}" name="PivotTable34" cacheId="5" applyNumberFormats="0" applyBorderFormats="0" applyFontFormats="0" applyPatternFormats="0" applyAlignmentFormats="0" applyWidthHeightFormats="1" dataCaption="Values" tag="e5d4a88f-49ac-4eb2-a7a9-d06b19b12bc6" updatedVersion="8" minRefreshableVersion="3" useAutoFormatting="1" subtotalHiddenItems="1" rowGrandTotals="0" colGrandTotals="0" itemPrintTitles="1" createdVersion="8" indent="0" outline="1" outlineData="1" multipleFieldFilters="0">
  <location ref="A16:B18"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s>
  <rowFields count="1">
    <field x="2"/>
  </rowFields>
  <rowItems count="1">
    <i>
      <x/>
    </i>
  </rowItems>
  <colFields count="1">
    <field x="1"/>
  </colFields>
  <colItems count="1">
    <i>
      <x/>
    </i>
  </colItems>
  <dataFields count="1">
    <dataField name="Sum of Value" fld="3" baseField="0" baseItem="0"/>
  </dataFields>
  <formats count="1">
    <format dxfId="89">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18]"/>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FCF]"/>
        <x15:activeTabTopLevelEntity name="[Income Statement]"/>
        <x15:activeTabTopLevelEntity name="[Ratio]"/>
        <x15:activeTabTopLevelEntity name="[Share]"/>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5A6E85-0A6C-4D8D-84C7-75A78588F900}" name="PivotTable35" cacheId="1" applyNumberFormats="0" applyBorderFormats="0" applyFontFormats="0" applyPatternFormats="0" applyAlignmentFormats="0" applyWidthHeightFormats="1" dataCaption="Values" tag="df1b0dba-f839-414f-b916-0c43200d0cbe" updatedVersion="8" minRefreshableVersion="3" useAutoFormatting="1" subtotalHiddenItems="1" rowGrandTotals="0" colGrandTotals="0" itemPrintTitles="1" createdVersion="8" indent="0" outline="1" outlineData="1" multipleFieldFilters="0">
  <location ref="A32:B43"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0">
    <i>
      <x/>
    </i>
    <i>
      <x v="1"/>
    </i>
    <i>
      <x v="2"/>
    </i>
    <i>
      <x v="3"/>
    </i>
    <i>
      <x v="4"/>
    </i>
    <i>
      <x v="5"/>
    </i>
    <i>
      <x v="6"/>
    </i>
    <i>
      <x v="7"/>
    </i>
    <i>
      <x v="8"/>
    </i>
    <i>
      <x v="9"/>
    </i>
  </rowItems>
  <colFields count="1">
    <field x="1"/>
  </colFields>
  <colItems count="1">
    <i>
      <x/>
    </i>
  </colItems>
  <dataFields count="1">
    <dataField name="Sum of Value" fld="3" baseField="0" baseItem="0"/>
  </dataFields>
  <formats count="1">
    <format dxfId="90">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15]"/>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FCF]"/>
        <x15:activeTabTopLevelEntity name="[Income Statement]"/>
        <x15:activeTabTopLevelEntity name="[Ratio]"/>
        <x15:activeTabTopLevelEntity name="[Share]"/>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A74679-435B-4711-B35A-AC023C165FBF}" name="Income Statement" cacheId="4" applyNumberFormats="0" applyBorderFormats="0" applyFontFormats="0" applyPatternFormats="0" applyAlignmentFormats="0" applyWidthHeightFormats="1" dataCaption="Values" tag="efe10522-69c0-45c9-9768-6acc1e9ab5e4" updatedVersion="8" minRefreshableVersion="3" useAutoFormatting="1" subtotalHiddenItems="1" rowGrandTotals="0" colGrandTotals="0" itemPrintTitles="1" createdVersion="8" indent="0" outline="1" outlineData="1" multipleFieldFilters="0">
  <location ref="A1:F3"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0"/>
  </colFields>
  <colItems count="5">
    <i>
      <x/>
    </i>
    <i>
      <x v="1"/>
    </i>
    <i>
      <x v="2"/>
    </i>
    <i>
      <x v="3"/>
    </i>
    <i>
      <x v="4"/>
    </i>
  </colItems>
  <dataFields count="1">
    <dataField name="Sum of Value" fld="2" baseField="0" baseItem="0" numFmtId="3"/>
  </dataFields>
  <formats count="1">
    <format dxfId="91">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18]"/>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Balance]"/>
        <x15:activeTabTopLevelEntity name="[FCF]"/>
        <x15:activeTabTopLevelEntity name="[Income Statement]"/>
        <x15:activeTabTopLevelEntity name="[Ratio]"/>
        <x15:activeTabTopLevelEntity name="[Share]"/>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F17AF7E1-F861-4BFB-A9FE-8C202103C1C9}" autoFormatId="16" applyNumberFormats="0" applyBorderFormats="0" applyFontFormats="0" applyPatternFormats="0" applyAlignmentFormats="0" applyWidthHeightFormats="0">
  <queryTableRefresh nextId="4">
    <queryTableFields count="3">
      <queryTableField id="1" name="Column1" tableColumnId="1"/>
      <queryTableField id="2" name="Year" tableColumnId="2"/>
      <queryTableField id="3" name="Valu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08E7E74D-368A-47A4-8114-793DB9985C42}" autoFormatId="16" applyNumberFormats="0" applyBorderFormats="0" applyFontFormats="0" applyPatternFormats="0" applyAlignmentFormats="0" applyWidthHeightFormats="0">
  <queryTableRefresh nextId="4">
    <queryTableFields count="3">
      <queryTableField id="1" name="Column1" tableColumnId="1"/>
      <queryTableField id="2" name="Year" tableColumnId="2"/>
      <queryTableField id="3" name="Valu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9" xr16:uid="{101970CF-7F1D-4099-A1A5-F1AD3280A7D2}" autoFormatId="16" applyNumberFormats="0" applyBorderFormats="0" applyFontFormats="0" applyPatternFormats="0" applyAlignmentFormats="0" applyWidthHeightFormats="0">
  <queryTableRefresh nextId="4">
    <queryTableFields count="3">
      <queryTableField id="1" name="Column1" tableColumnId="1"/>
      <queryTableField id="2" name="Year" tableColumnId="2"/>
      <queryTableField id="3" name="Valu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0" xr16:uid="{9B42A755-B8C1-4358-AF1E-DB0E5F3D50D1}" autoFormatId="16" applyNumberFormats="0" applyBorderFormats="0" applyFontFormats="0" applyPatternFormats="0" applyAlignmentFormats="0" applyWidthHeightFormats="0">
  <queryTableRefresh nextId="4">
    <queryTableFields count="3">
      <queryTableField id="1" name="Column1" tableColumnId="1"/>
      <queryTableField id="2" name="Year" tableColumnId="2"/>
      <queryTableField id="3" name="Valu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2" xr16:uid="{C2ADE273-5211-43A1-93F4-D6E017F6E1D0}" autoFormatId="16" applyNumberFormats="0" applyBorderFormats="0" applyFontFormats="0" applyPatternFormats="0" applyAlignmentFormats="0" applyWidthHeightFormats="0">
  <queryTableRefresh nextId="4">
    <queryTableFields count="3">
      <queryTableField id="1" name="Column1" tableColumnId="1"/>
      <queryTableField id="2" name="Year" tableColumnId="2"/>
      <queryTableField id="3" name="Value"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7" connectionId="6" xr16:uid="{B52D61C0-1591-4400-8823-061E45226927}" autoFormatId="16" applyNumberFormats="0" applyBorderFormats="0" applyFontFormats="0" applyPatternFormats="0" applyAlignmentFormats="0" applyWidthHeightFormats="0">
  <queryTableRefresh nextId="2">
    <queryTableFields count="1">
      <queryTableField id="1" name="Year"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8" connectionId="4" xr16:uid="{08274184-13EA-4BAC-87F6-7C7F08BD05B7}" autoFormatId="16" applyNumberFormats="0" applyBorderFormats="0" applyFontFormats="0" applyPatternFormats="0" applyAlignmentFormats="0" applyWidthHeightFormats="0">
  <queryTableRefresh nextId="4">
    <queryTableFields count="3">
      <queryTableField id="1" name="Free Cash Flows" tableColumnId="1"/>
      <queryTableField id="2" name="Year" tableColumnId="2"/>
      <queryTableField id="3" name="Val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10D3FD6-8539-4531-AEA1-DC7F105749B1}" sourceName="[Year].[Year]">
  <pivotTables>
    <pivotTable tabId="14" name="Income Statement"/>
    <pivotTable tabId="14" name="PivotTable34"/>
    <pivotTable tabId="14" name="PivotTable37"/>
    <pivotTable tabId="14" name="PivotTable38"/>
    <pivotTable tabId="14" name="PivotTable40"/>
    <pivotTable tabId="14" name="PivotTable41"/>
  </pivotTables>
  <data>
    <olap pivotCacheId="44155492">
      <levels count="2">
        <level uniqueName="[Year].[Year].[(All)]" sourceCaption="(All)" count="0"/>
        <level uniqueName="[Year].[Year].[Year]" sourceCaption="Year" count="16">
          <ranges>
            <range startItem="0">
              <i n="[Year].[Year].&amp;[2015]" c="2015"/>
              <i n="[Year].[Year].&amp;[2016]" c="2016"/>
              <i n="[Year].[Year].&amp;[2017]" c="2017"/>
              <i n="[Year].[Year].&amp;[2018]" c="2018"/>
              <i n="[Year].[Year].&amp;[2019]" c="2019"/>
              <i n="[Year].[Year].&amp;[2020]" c="2020"/>
              <i n="[Year].[Year].&amp;[2021]" c="2021"/>
              <i n="[Year].[Year].&amp;[2022]" c="2022"/>
              <i n="[Year].[Year].&amp;[2023]" c="2023"/>
              <i n="[Year].[Year].&amp;[2024]" c="2024"/>
              <i n="[Year].[Year].&amp;[2025]" c="2025"/>
              <i n="[Year].[Year].&amp;[2026]" c="2026"/>
              <i n="[Year].[Year].&amp;[2027]" c="2027"/>
              <i n="[Year].[Year].&amp;[2028]" c="2028"/>
              <i n="[Year].[Year].&amp;[2029]" c="2029"/>
              <i n="[Year].[Year].&amp;[2030]" c="2030"/>
            </range>
          </ranges>
        </level>
      </levels>
      <selections count="1">
        <selection n="[Year].[Year].&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Cash_Flows" xr10:uid="{C764F3EA-87DF-4EC6-B710-B000F4A6BE65}" sourceName="[FCF].[Free Cash Flows]">
  <pivotTables>
    <pivotTable tabId="14" name="PivotTable42"/>
    <pivotTable tabId="14" name="PivotTable41"/>
  </pivotTables>
  <data>
    <olap pivotCacheId="1851148818">
      <levels count="2">
        <level uniqueName="[FCF].[Free Cash Flows].[(All)]" sourceCaption="(All)" count="0"/>
        <level uniqueName="[FCF].[Free Cash Flows].[Free Cash Flows]" sourceCaption="Free Cash Flows" count="5">
          <ranges>
            <range startItem="0">
              <i n="[FCF].[Free Cash Flows].&amp;[CapEx]" c="CapEx"/>
              <i n="[FCF].[Free Cash Flows].&amp;[Change in NWC]" c="Change in NWC"/>
              <i n="[FCF].[Free Cash Flows].&amp;[D&amp;A]" c="D&amp;A"/>
              <i n="[FCF].[Free Cash Flows].&amp;[EBIT]" c="EBIT"/>
              <i n="[FCF].[Free Cash Flows].&amp;[FCF]" c="FCF"/>
            </range>
          </ranges>
        </level>
      </levels>
      <selections count="1">
        <selection n="[FCF].[Free Cash Flows].&amp;[FCF]"/>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_per_Share" xr10:uid="{90473F3E-BBC0-4632-A4CA-76C1B659BEC1}" sourceName="[Share].[Data per Share]">
  <pivotTables>
    <pivotTable tabId="14" name="PivotTable36"/>
  </pivotTables>
  <data>
    <olap pivotCacheId="274653921">
      <levels count="2">
        <level uniqueName="[Share].[Data per Share].[(All)]" sourceCaption="(All)" count="0"/>
        <level uniqueName="[Share].[Data per Share].[Data per Share]" sourceCaption="Data per Share" count="3">
          <ranges>
            <range startItem="0">
              <i n="[Share].[Data per Share].&amp;[Basic earnings (in €)]" c="Basic earnings (in €)"/>
              <i n="[Share].[Data per Share].&amp;[Diluted earnings (in €)]" c="Diluted earnings (in €)"/>
              <i n="[Share].[Data per Share].&amp;[Share price at year-end (in €)]" c="Share price at year-end (in €)"/>
            </range>
          </ranges>
        </level>
      </levels>
      <selections count="1">
        <selection n="[Share].[Data per Share].&amp;[Basic earnings (in €)]"/>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2220691-6E69-4942-83E0-87B98EB5131D}" cache="Slicer_Year" caption="Year" columnCount="2" level="1" style="SlicerStyleLight1 2" rowHeight="274320"/>
  <slicer name="Free Cash Flows" xr10:uid="{03D42C91-8E11-4913-AB25-3C38994D0D86}" cache="Slicer_Free_Cash_Flows" caption="Free Cash Flows" level="1" style="SlicerStyleLight1 2" rowHeight="274320"/>
  <slicer name="Data per Share" xr10:uid="{3A54C217-3524-4D51-956A-6D6708471AE4}" cache="Slicer_Data_per_Share" caption="Data per Share" level="1" style="SlicerStyleLight1 2" rowHeight="4114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7016DF-E4BB-4C8A-ADFD-B7A627E6E3A0}" name="Table2_1" displayName="Table2_1" ref="A1:C51" tableType="queryTable" totalsRowShown="0">
  <autoFilter ref="A1:C51" xr:uid="{5C7016DF-E4BB-4C8A-ADFD-B7A627E6E3A0}"/>
  <tableColumns count="3">
    <tableColumn id="1" xr3:uid="{1C64DAE5-6D63-4680-90ED-325C159DF1EE}" uniqueName="1" name="Income Statement Data" queryTableFieldId="1" dataDxfId="76"/>
    <tableColumn id="2" xr3:uid="{450E3775-7559-4DA6-877F-DD7999142CC3}" uniqueName="2" name="Year" queryTableFieldId="2" dataDxfId="75"/>
    <tableColumn id="3" xr3:uid="{138C10A1-6982-49DB-B9E5-DC728EC230CC}" uniqueName="3" name="Value" queryTableFieldId="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BB7D91-A922-4428-9E02-EF505426935C}" name="Table6" displayName="Table6" ref="A30:K33" totalsRowShown="0" headerRowDxfId="38" dataDxfId="37">
  <autoFilter ref="A30:K33" xr:uid="{47BB7D91-A922-4428-9E02-EF505426935C}"/>
  <tableColumns count="11">
    <tableColumn id="1" xr3:uid="{21EFD94C-E29E-47C3-A408-A15E1E02110A}" name="Column1" dataDxfId="36"/>
    <tableColumn id="2" xr3:uid="{E47473DE-486C-4B8C-ADEF-B264FFC0C60F}" name="2024" dataDxfId="35"/>
    <tableColumn id="3" xr3:uid="{8C9A39AC-42AA-483B-A242-9110943C966C}" name="2023" dataDxfId="34"/>
    <tableColumn id="4" xr3:uid="{324C3007-3C0A-43B5-9221-2CBC7E6BB031}" name="2022" dataDxfId="33"/>
    <tableColumn id="5" xr3:uid="{A3D7D2C6-4C6E-4ACB-AA21-F994D4497B71}" name="2021" dataDxfId="32"/>
    <tableColumn id="6" xr3:uid="{BC29F6DC-6049-495B-A03B-7BDD49CE9AD0}" name="2020" dataDxfId="31"/>
    <tableColumn id="7" xr3:uid="{E234A73B-FD26-4FEC-BCAA-146F3EC60D0A}" name="2019" dataDxfId="30"/>
    <tableColumn id="8" xr3:uid="{E8BBBC29-65B3-4A64-85F9-91147444CF2D}" name="2018" dataDxfId="29"/>
    <tableColumn id="9" xr3:uid="{F9AA2883-907D-424F-914E-2B97891F0330}" name="2017" dataDxfId="28"/>
    <tableColumn id="10" xr3:uid="{EFAEC416-4654-41FA-9B63-40A431B30348}" name="2016" dataDxfId="27"/>
    <tableColumn id="11" xr3:uid="{A4421680-1CD6-4A70-B0DE-590B6AFE401F}" name="2015" dataDxfId="2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F2C0F8-FEFE-4B41-A642-2CC31FCAE8EE}" name="Table8" displayName="Table8" ref="A45:K46" totalsRowShown="0" headerRowDxfId="25" dataDxfId="24">
  <autoFilter ref="A45:K46" xr:uid="{88F2C0F8-FEFE-4B41-A642-2CC31FCAE8EE}"/>
  <tableColumns count="11">
    <tableColumn id="1" xr3:uid="{CB71DD5D-78CE-48B8-8840-73841A1CA80C}" name="Column1" dataDxfId="23"/>
    <tableColumn id="2" xr3:uid="{899A1BB9-7C6F-495F-AAB5-578C7B848032}" name="2024" dataDxfId="22"/>
    <tableColumn id="3" xr3:uid="{0E429F1B-EA8A-409D-87E2-C55309770F29}" name="2023" dataDxfId="21"/>
    <tableColumn id="4" xr3:uid="{69F03364-4E0D-4B7D-9CCD-6A657EE62A91}" name="2022" dataDxfId="20"/>
    <tableColumn id="5" xr3:uid="{F9A5613B-6BB9-448C-B996-B67D657EF400}" name="2021" dataDxfId="19"/>
    <tableColumn id="6" xr3:uid="{6F6FD1CF-8651-44A3-9EA1-1205387C5913}" name="2020" dataDxfId="18"/>
    <tableColumn id="7" xr3:uid="{664DEF84-73E5-4F7E-B580-BE9AFA666E6E}" name="2019" dataDxfId="17"/>
    <tableColumn id="8" xr3:uid="{1628887B-F053-4FAC-8B58-928372073780}" name="2018" dataDxfId="16"/>
    <tableColumn id="9" xr3:uid="{2972C1D3-B58A-474F-A8C1-595497058201}" name="2017" dataDxfId="15"/>
    <tableColumn id="10" xr3:uid="{7B13D3D1-4983-4A27-A3E3-00F443CF474B}" name="2016" dataDxfId="14"/>
    <tableColumn id="11" xr3:uid="{21977B46-0C6E-4AB4-ACD2-4A7E5F7C6B4A}" name="2015" dataDxfId="1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85AB408-1461-4E96-ADFE-C7CE688BA6AD}" name="Table10" displayName="Table10" ref="A50:K52" totalsRowShown="0" headerRowDxfId="12" dataDxfId="11">
  <autoFilter ref="A50:K52" xr:uid="{585AB408-1461-4E96-ADFE-C7CE688BA6AD}"/>
  <tableColumns count="11">
    <tableColumn id="1" xr3:uid="{DA0E7E0D-995D-4C8B-BD3C-562496831493}" name="Column1" dataDxfId="10"/>
    <tableColumn id="2" xr3:uid="{083E1608-575E-4529-B2C0-812AA56F8B24}" name="2024" dataDxfId="9"/>
    <tableColumn id="3" xr3:uid="{010FEE6F-6D1F-48BC-9C1E-7B2A469EA99B}" name="2023" dataDxfId="8"/>
    <tableColumn id="4" xr3:uid="{2DFF061F-A956-4816-9F1F-B97C65506643}" name="2022" dataDxfId="7"/>
    <tableColumn id="5" xr3:uid="{73C2280A-61A1-4655-8CC1-5B81156D71A4}" name="2021" dataDxfId="6"/>
    <tableColumn id="6" xr3:uid="{49A7FA19-F87C-425A-B130-4D67A5162511}" name="2020" dataDxfId="5"/>
    <tableColumn id="7" xr3:uid="{8C17660B-2827-4656-B81A-D17913D33E45}" name="2019" dataDxfId="4"/>
    <tableColumn id="8" xr3:uid="{07DDD18D-4281-411C-853E-A22C74AA3B35}" name="2018" dataDxfId="3"/>
    <tableColumn id="9" xr3:uid="{137A2E9A-0180-4B15-BD56-C8703E471AF6}" name="2017" dataDxfId="2"/>
    <tableColumn id="10" xr3:uid="{30FD92EA-F3F6-4493-874E-7F7384A9FD08}" name="2016" dataDxfId="1"/>
    <tableColumn id="11" xr3:uid="{01A7CF61-44ED-40CA-90E4-F5170EC54071}" name="2015" dataDxfId="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45ED6DA-6605-4B23-A01C-801BEA5DEEB5}" name="Table13" displayName="Table13" ref="A55:Q61" totalsRowShown="0">
  <autoFilter ref="A55:Q61" xr:uid="{645ED6DA-6605-4B23-A01C-801BEA5DEEB5}"/>
  <tableColumns count="17">
    <tableColumn id="1" xr3:uid="{485A9923-9582-4B1D-B41A-59795157F974}" name="Column1"/>
    <tableColumn id="4" xr3:uid="{4271EC39-4E14-43E9-A365-4BDF7E61C8B8}" name="Column4"/>
    <tableColumn id="5" xr3:uid="{9ECB8B58-3C80-4DB2-9500-7C304195FED8}" name="Column5"/>
    <tableColumn id="6" xr3:uid="{482379FF-EE94-4AC0-BFCD-4468BA0A5197}" name="Column6"/>
    <tableColumn id="7" xr3:uid="{E7C5E9B9-B0DA-4180-85E2-45DBAC8B178B}" name="Column7"/>
    <tableColumn id="8" xr3:uid="{52419A45-185A-462F-8692-37640690FE92}" name="Column8"/>
    <tableColumn id="9" xr3:uid="{5EF914F3-4DA3-44EA-9774-71EC5714F1C5}" name="Column9"/>
    <tableColumn id="10" xr3:uid="{46473CCD-57E3-4568-816B-EACECEBA26DA}" name="Column10"/>
    <tableColumn id="11" xr3:uid="{642AA749-7CFE-4265-B665-A7416A7E1FFB}" name="Column11"/>
    <tableColumn id="12" xr3:uid="{4FF95DF8-5ADE-46E2-8E4B-FD8B21642409}" name="Column12"/>
    <tableColumn id="13" xr3:uid="{7D9CFCC5-607D-4C6B-8B14-8E5685A41F40}" name="Column13"/>
    <tableColumn id="14" xr3:uid="{FF7A71ED-3615-4F53-B850-5870DA228D76}" name="Column14"/>
    <tableColumn id="15" xr3:uid="{71878EFE-5AC5-4D51-B16A-D7EA14C7F0B2}" name="Column15"/>
    <tableColumn id="16" xr3:uid="{7B214C2A-EAA3-4E46-8651-3A1C5237EE58}" name="Column16"/>
    <tableColumn id="17" xr3:uid="{41643675-BEC8-443A-9829-BFBDF62417EC}" name="Column17"/>
    <tableColumn id="18" xr3:uid="{E89D6850-12CB-417B-B1E9-F049D3DC4306}" name="Column18"/>
    <tableColumn id="19" xr3:uid="{EC50C700-937E-4AB7-A779-F46E84D6727B}" name="Column1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5E0B92B-B731-4CD2-9184-C8E473B4F802}" name="Table17" displayName="Table17" ref="M2:M18" totalsRowShown="0">
  <autoFilter ref="M2:M18" xr:uid="{15E0B92B-B731-4CD2-9184-C8E473B4F802}"/>
  <tableColumns count="1">
    <tableColumn id="1" xr3:uid="{6DD675D7-B700-4C63-8A92-8A47CB5DE17A}"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CB5518-0830-4931-B075-FDAFF48E193D}" name="Table4_1" displayName="Table4_1" ref="F1:H61" tableType="queryTable" totalsRowShown="0">
  <autoFilter ref="F1:H61" xr:uid="{70CB5518-0830-4931-B075-FDAFF48E193D}"/>
  <tableColumns count="3">
    <tableColumn id="1" xr3:uid="{64137B08-9BF4-46AB-AD34-524CE46DCBEB}" uniqueName="1" name="Column1" queryTableFieldId="1" dataDxfId="74"/>
    <tableColumn id="2" xr3:uid="{B7F7B5D4-3153-4420-B434-5D92334AE7DE}" uniqueName="2" name="Year" queryTableFieldId="2" dataDxfId="73"/>
    <tableColumn id="3" xr3:uid="{E0F909AA-F86C-421C-BC35-D910CC2E786D}" uniqueName="3" name="Value"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6E37A1C-4AAC-4CC2-A637-8B4CF85F3387}" name="Table6_1" displayName="Table6_1" ref="K1:M31" tableType="queryTable" totalsRowShown="0">
  <autoFilter ref="K1:M31" xr:uid="{96E37A1C-4AAC-4CC2-A637-8B4CF85F3387}"/>
  <tableColumns count="3">
    <tableColumn id="1" xr3:uid="{1B951A18-0159-42C6-9D98-E086D406C64B}" uniqueName="1" name="Data per Share" queryTableFieldId="1" dataDxfId="72"/>
    <tableColumn id="2" xr3:uid="{3ABC689E-EE9E-4967-B80E-CCF09501CF88}" uniqueName="2" name="Year" queryTableFieldId="2" dataDxfId="71"/>
    <tableColumn id="3" xr3:uid="{65F0ABEC-5EB8-4B37-8715-01CD0632583E}" uniqueName="3" name="Value"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ECDC478-86F0-4655-B0D0-D56574A8592C}" name="Table8_1" displayName="Table8_1" ref="P1:R11" tableType="queryTable" totalsRowShown="0">
  <autoFilter ref="P1:R11" xr:uid="{FECDC478-86F0-4655-B0D0-D56574A8592C}"/>
  <tableColumns count="3">
    <tableColumn id="1" xr3:uid="{0B6AAAF0-102C-404D-8FBA-118921A274D1}" uniqueName="1" name="Column1" queryTableFieldId="1" dataDxfId="70"/>
    <tableColumn id="2" xr3:uid="{B7FBF1C0-02AA-44C3-B6E0-33DB2DF5A773}" uniqueName="2" name="Year" queryTableFieldId="2" dataDxfId="69"/>
    <tableColumn id="3" xr3:uid="{9C75A0EB-4BAB-4ECF-9191-3E409F1F4F59}" uniqueName="3" name="Value"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562B95-1389-4785-82AC-2A1369C7C396}" name="Table10_113" displayName="Table10_113" ref="T1:V21" tableType="queryTable" totalsRowShown="0">
  <autoFilter ref="T1:V21" xr:uid="{37562B95-1389-4785-82AC-2A1369C7C396}"/>
  <tableColumns count="3">
    <tableColumn id="1" xr3:uid="{B6C6B6A9-C7E3-4A00-B70C-530C10CCA8BE}" uniqueName="1" name="Column1" queryTableFieldId="1" dataDxfId="68"/>
    <tableColumn id="2" xr3:uid="{872F9C8B-94B8-4BA1-8EEF-B28F0EF59FF4}" uniqueName="2" name="Year" queryTableFieldId="2" dataDxfId="67"/>
    <tableColumn id="3" xr3:uid="{12538B22-CEF5-4149-ABCF-CD72AF24D216}" uniqueName="3" name="Value"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A5267AA-1BEC-4C12-9F38-EEE0FB07D6F0}" name="Table17__2" displayName="Table17__2" ref="P14:P30" tableType="queryTable" totalsRowShown="0">
  <autoFilter ref="P14:P30" xr:uid="{DA5267AA-1BEC-4C12-9F38-EEE0FB07D6F0}"/>
  <tableColumns count="1">
    <tableColumn id="1" xr3:uid="{3A99EAD0-F12B-4F86-B478-EB278F275D6A}" uniqueName="1" name="Year" queryTableFieldId="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67F8546-472F-4D9D-8E22-680F44D6605D}" name="Table13__2" displayName="Table13__2" ref="Z1:AB81" tableType="queryTable" totalsRowShown="0">
  <autoFilter ref="Z1:AB81" xr:uid="{667F8546-472F-4D9D-8E22-680F44D6605D}"/>
  <tableColumns count="3">
    <tableColumn id="1" xr3:uid="{4854A1C6-A243-448F-BD38-8978FA8D3960}" uniqueName="1" name="Free Cash Flows" queryTableFieldId="1" dataDxfId="66"/>
    <tableColumn id="2" xr3:uid="{145ADD2D-5F20-448F-A2B7-46966A4AD371}" uniqueName="2" name="Year" queryTableFieldId="2" dataDxfId="65"/>
    <tableColumn id="3" xr3:uid="{77731F79-4AF1-461E-80B8-17561781316B}" uniqueName="3" name="Value" queryTableField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7689B2-8F29-432F-B9DD-31F2F802EC75}" name="Table2" displayName="Table2" ref="A13:K18" totalsRowShown="0" headerRowDxfId="64" dataDxfId="63">
  <autoFilter ref="A13:K18" xr:uid="{717689B2-8F29-432F-B9DD-31F2F802EC75}"/>
  <tableColumns count="11">
    <tableColumn id="1" xr3:uid="{AE388016-6971-4676-A93C-3C6ED4A1AC58}" name="Column1" dataDxfId="62"/>
    <tableColumn id="2" xr3:uid="{3276DFD5-0616-47AB-933A-9D07BF1B20B9}" name="2024" dataDxfId="61"/>
    <tableColumn id="3" xr3:uid="{8D730F0D-D4E0-444F-A97D-2E354BA5F04A}" name="2023" dataDxfId="60"/>
    <tableColumn id="4" xr3:uid="{F4CAC725-4DAA-4BB0-872D-3F59CC102468}" name="2022" dataDxfId="59"/>
    <tableColumn id="5" xr3:uid="{43540E42-C250-4679-BDBC-9AB5BE1B2630}" name="2021" dataDxfId="58"/>
    <tableColumn id="6" xr3:uid="{9A94BBB8-3D01-461A-BAA2-540D0815237D}" name="2020" dataDxfId="57"/>
    <tableColumn id="7" xr3:uid="{167517A4-5016-4F49-A16D-A33158B5F3CD}" name="2019" dataDxfId="56"/>
    <tableColumn id="8" xr3:uid="{728892DF-188A-4F40-8955-B89CFF419B81}" name="2018" dataDxfId="55"/>
    <tableColumn id="9" xr3:uid="{0457F25D-5CF9-4335-B4E9-4FE07769AFD6}" name="2017" dataDxfId="54"/>
    <tableColumn id="10" xr3:uid="{FD3FA3F1-6F9D-4CE7-9D02-535855F33BCA}" name="2016" dataDxfId="53"/>
    <tableColumn id="11" xr3:uid="{942026CE-4CF3-493F-AC59-4DC4373BD2AB}" name="2015" dataDxfId="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7C4CBA-6E6D-437D-B2F6-79E6C3AF67DB}" name="Table4" displayName="Table4" ref="A21:K27" totalsRowShown="0" headerRowDxfId="51" dataDxfId="50" dataCellStyle="Percent">
  <autoFilter ref="A21:K27" xr:uid="{3A7C4CBA-6E6D-437D-B2F6-79E6C3AF67DB}"/>
  <tableColumns count="11">
    <tableColumn id="1" xr3:uid="{1CF6D77C-38D9-4CA0-9ACD-7605F99E6083}" name="Column1" dataDxfId="49"/>
    <tableColumn id="2" xr3:uid="{B7982611-EAF4-459D-B322-E5CC6EBF83AC}" name="2024" dataDxfId="48" dataCellStyle="Percent"/>
    <tableColumn id="3" xr3:uid="{3244EEF4-4034-49CD-ADA2-DD31C0A59711}" name="2023" dataDxfId="47" dataCellStyle="Percent"/>
    <tableColumn id="4" xr3:uid="{AC8B3875-16D5-4825-8EF3-50316148E09D}" name="2022" dataDxfId="46" dataCellStyle="Percent"/>
    <tableColumn id="5" xr3:uid="{D3EAFBDE-9BA0-415A-BA79-FC3A5F2C19C6}" name="2021" dataDxfId="45" dataCellStyle="Percent"/>
    <tableColumn id="6" xr3:uid="{D119D709-CC1A-45DD-8B07-45B3CEEDE4A8}" name="2020" dataDxfId="44" dataCellStyle="Percent"/>
    <tableColumn id="7" xr3:uid="{5B15C5B4-0578-4341-B8FB-81D2FB040566}" name="2019" dataDxfId="43" dataCellStyle="Percent"/>
    <tableColumn id="8" xr3:uid="{D682752D-D48E-4EDE-B4E6-DE7ED87B1760}" name="2018" dataDxfId="42" dataCellStyle="Percent"/>
    <tableColumn id="9" xr3:uid="{C63D4DC2-142E-4D3F-B609-348A5BE947B3}" name="2017" dataDxfId="41" dataCellStyle="Percent"/>
    <tableColumn id="10" xr3:uid="{B26A19B3-D8CE-4E66-A4F8-03AF5F9B45EF}" name="2016" dataDxfId="40" dataCellStyle="Percent"/>
    <tableColumn id="11" xr3:uid="{ACDE30BC-42EF-4ED9-875A-D0A33B1676A9}" name="2015" dataDxfId="39"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table" Target="../tables/table8.xm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0865-2DF4-45E7-B4E9-9420F0B25BC7}">
  <sheetPr>
    <tabColor theme="5" tint="-0.499984740745262"/>
  </sheetPr>
  <dimension ref="B2:T169"/>
  <sheetViews>
    <sheetView showGridLines="0" tabSelected="1" zoomScale="70" zoomScaleNormal="70" workbookViewId="0">
      <selection activeCell="K22" sqref="K22"/>
    </sheetView>
  </sheetViews>
  <sheetFormatPr defaultRowHeight="14.4" x14ac:dyDescent="0.3"/>
  <cols>
    <col min="1" max="1" width="25.33203125" customWidth="1"/>
    <col min="2" max="2" width="23.44140625" customWidth="1"/>
    <col min="3" max="3" width="20.33203125" customWidth="1"/>
    <col min="4" max="4" width="8.88671875" customWidth="1"/>
    <col min="5" max="5" width="13.44140625" customWidth="1"/>
    <col min="6" max="6" width="19.6640625" customWidth="1"/>
    <col min="7" max="7" width="13.109375" customWidth="1"/>
    <col min="8" max="8" width="12.77734375" customWidth="1"/>
    <col min="9" max="9" width="14.33203125" customWidth="1"/>
    <col min="10" max="10" width="14.109375" customWidth="1"/>
    <col min="11" max="11" width="14.21875" customWidth="1"/>
    <col min="12" max="12" width="14.44140625" customWidth="1"/>
    <col min="13" max="13" width="15.33203125" customWidth="1"/>
    <col min="14" max="14" width="15.21875" customWidth="1"/>
    <col min="15" max="15" width="11.5546875" bestFit="1" customWidth="1"/>
    <col min="16" max="19" width="9.77734375" bestFit="1" customWidth="1"/>
    <col min="20" max="20" width="13.33203125" bestFit="1" customWidth="1"/>
    <col min="21" max="21" width="16.77734375" customWidth="1"/>
  </cols>
  <sheetData>
    <row r="2" spans="2:20" ht="21" x14ac:dyDescent="0.4">
      <c r="B2" s="1" t="s">
        <v>0</v>
      </c>
      <c r="C2" s="2"/>
      <c r="D2" s="2"/>
      <c r="E2" s="2"/>
      <c r="F2" s="2"/>
      <c r="G2" s="2"/>
      <c r="H2" s="2"/>
      <c r="I2" s="2"/>
      <c r="J2" s="2"/>
      <c r="K2" s="2"/>
      <c r="L2" s="2"/>
      <c r="M2" s="2"/>
      <c r="N2" s="2"/>
    </row>
    <row r="4" spans="2:20" x14ac:dyDescent="0.3">
      <c r="B4" t="s">
        <v>1</v>
      </c>
      <c r="C4" s="3"/>
      <c r="E4" t="s">
        <v>2</v>
      </c>
      <c r="G4" s="4">
        <f>C71</f>
        <v>202.51552762588304</v>
      </c>
      <c r="H4" s="114"/>
      <c r="M4" s="5"/>
    </row>
    <row r="5" spans="2:20" x14ac:dyDescent="0.3">
      <c r="B5" t="s">
        <v>3</v>
      </c>
      <c r="C5" s="6">
        <v>45753</v>
      </c>
      <c r="E5" t="s">
        <v>4</v>
      </c>
      <c r="G5" s="4">
        <f>213.8</f>
        <v>213.8</v>
      </c>
      <c r="I5" t="s">
        <v>5</v>
      </c>
      <c r="K5" s="7">
        <f>G4/G5-1</f>
        <v>-5.2780506894840817E-2</v>
      </c>
      <c r="L5" s="63"/>
      <c r="M5" s="5"/>
    </row>
    <row r="7" spans="2:20" ht="15.6" x14ac:dyDescent="0.3">
      <c r="B7" s="39" t="s">
        <v>6</v>
      </c>
      <c r="C7" s="38"/>
      <c r="D7" s="38"/>
      <c r="E7" s="38"/>
      <c r="H7" s="42"/>
      <c r="I7" s="42"/>
    </row>
    <row r="8" spans="2:20" ht="15.6" x14ac:dyDescent="0.3">
      <c r="B8" s="38" t="s">
        <v>7</v>
      </c>
      <c r="C8" s="93">
        <f>C43</f>
        <v>8.0307500000000004E-2</v>
      </c>
      <c r="D8" s="38"/>
      <c r="E8" s="38"/>
      <c r="H8" s="42"/>
      <c r="I8" s="153"/>
    </row>
    <row r="9" spans="2:20" ht="15.6" x14ac:dyDescent="0.3">
      <c r="B9" s="38" t="s">
        <v>8</v>
      </c>
      <c r="C9" s="40">
        <v>0.03</v>
      </c>
      <c r="D9" s="38"/>
      <c r="E9" s="38"/>
      <c r="H9" s="42"/>
      <c r="I9" s="44"/>
    </row>
    <row r="10" spans="2:20" ht="15.6" x14ac:dyDescent="0.3">
      <c r="B10" s="38" t="s">
        <v>156</v>
      </c>
      <c r="C10" s="94">
        <f>((N13/E13)^(1/(N12-E12)))-1</f>
        <v>3.8103185356414437E-2</v>
      </c>
      <c r="D10" s="38"/>
      <c r="E10" s="38"/>
      <c r="H10" s="45"/>
      <c r="I10" s="46"/>
    </row>
    <row r="11" spans="2:20" ht="15.6" x14ac:dyDescent="0.3">
      <c r="B11" s="38"/>
      <c r="C11" s="38"/>
      <c r="D11" s="38"/>
      <c r="E11" s="38"/>
      <c r="I11" s="42"/>
      <c r="J11" s="42"/>
      <c r="K11" s="38"/>
      <c r="L11" s="38"/>
      <c r="M11" s="38"/>
      <c r="N11" s="38"/>
    </row>
    <row r="12" spans="2:20" x14ac:dyDescent="0.3">
      <c r="B12" s="8" t="s">
        <v>9</v>
      </c>
      <c r="C12" s="9"/>
      <c r="D12" s="9"/>
      <c r="E12" s="8">
        <v>2015</v>
      </c>
      <c r="F12" s="8">
        <f t="shared" ref="F12:N12" si="0">E12+1</f>
        <v>2016</v>
      </c>
      <c r="G12" s="8">
        <f t="shared" si="0"/>
        <v>2017</v>
      </c>
      <c r="H12" s="8">
        <f t="shared" si="0"/>
        <v>2018</v>
      </c>
      <c r="I12" s="8">
        <f t="shared" si="0"/>
        <v>2019</v>
      </c>
      <c r="J12" s="8">
        <f t="shared" si="0"/>
        <v>2020</v>
      </c>
      <c r="K12" s="8">
        <f t="shared" si="0"/>
        <v>2021</v>
      </c>
      <c r="L12" s="8">
        <f t="shared" si="0"/>
        <v>2022</v>
      </c>
      <c r="M12" s="8">
        <f t="shared" si="0"/>
        <v>2023</v>
      </c>
      <c r="N12" s="11">
        <f t="shared" si="0"/>
        <v>2024</v>
      </c>
      <c r="O12" s="8">
        <f t="shared" ref="O12:S12" si="1">N12+1</f>
        <v>2025</v>
      </c>
      <c r="P12" s="8">
        <f t="shared" si="1"/>
        <v>2026</v>
      </c>
      <c r="Q12" s="8">
        <f t="shared" si="1"/>
        <v>2027</v>
      </c>
      <c r="R12" s="8">
        <f t="shared" si="1"/>
        <v>2028</v>
      </c>
      <c r="S12" s="8">
        <f t="shared" si="1"/>
        <v>2029</v>
      </c>
      <c r="T12" s="8">
        <v>2030</v>
      </c>
    </row>
    <row r="13" spans="2:20" x14ac:dyDescent="0.3">
      <c r="B13" s="12" t="s">
        <v>10</v>
      </c>
      <c r="C13" s="12"/>
      <c r="D13" s="12"/>
      <c r="E13" s="13">
        <f>Data!K8</f>
        <v>16915</v>
      </c>
      <c r="F13" s="13">
        <f>Data!J8</f>
        <v>18483</v>
      </c>
      <c r="G13" s="13">
        <f>Data!I8</f>
        <v>21218</v>
      </c>
      <c r="H13" s="13">
        <f>Data!H8</f>
        <v>21915</v>
      </c>
      <c r="I13" s="13">
        <f>Data!G8</f>
        <v>23640</v>
      </c>
      <c r="J13" s="13">
        <f>Data!F8</f>
        <v>18435</v>
      </c>
      <c r="K13" s="13">
        <f>Data!E8</f>
        <v>21234</v>
      </c>
      <c r="L13" s="13">
        <f>Data!D8</f>
        <v>22511</v>
      </c>
      <c r="M13" s="13">
        <f>Data!C8</f>
        <v>21427</v>
      </c>
      <c r="N13" s="14">
        <f>Data!B8</f>
        <v>23683</v>
      </c>
      <c r="O13" s="13">
        <f>_xlfn.FORECAST.ETS(O$12,$E13:N13,$E$12:N$12)</f>
        <v>23490.244891368249</v>
      </c>
      <c r="P13" s="13">
        <f>_xlfn.FORECAST.ETS(P$12,$E13:O13,$E$12:O$12)</f>
        <v>24020.710255212452</v>
      </c>
      <c r="Q13" s="13">
        <f>_xlfn.FORECAST.ETS(Q$12,$E13:P13,$E$12:P$12)</f>
        <v>24502.897903591595</v>
      </c>
      <c r="R13" s="13">
        <f>_xlfn.FORECAST.ETS(R$12,$E13:Q13,$E$12:Q$12)</f>
        <v>24984.781763358751</v>
      </c>
      <c r="S13" s="13">
        <f>_xlfn.FORECAST.ETS(S$12,$E13:R13,$E$12:R$12)</f>
        <v>25444.078938754068</v>
      </c>
      <c r="T13" s="13">
        <f>_xlfn.FORECAST.ETS(T$12,$E13:S13,$E$12:S$12)</f>
        <v>25926.332461820315</v>
      </c>
    </row>
    <row r="14" spans="2:20" x14ac:dyDescent="0.3">
      <c r="B14" s="15" t="s">
        <v>11</v>
      </c>
      <c r="C14" s="12"/>
      <c r="D14" s="12"/>
      <c r="E14" s="16"/>
      <c r="F14" s="16">
        <f>F13/E13-1</f>
        <v>9.2698788057936632E-2</v>
      </c>
      <c r="G14" s="16">
        <f t="shared" ref="G14:M14" si="2">G13/F13-1</f>
        <v>0.14797381377482011</v>
      </c>
      <c r="H14" s="16">
        <f t="shared" si="2"/>
        <v>3.2849467433311297E-2</v>
      </c>
      <c r="I14" s="16">
        <f t="shared" si="2"/>
        <v>7.8713210130047839E-2</v>
      </c>
      <c r="J14" s="16">
        <f t="shared" si="2"/>
        <v>-0.22017766497461932</v>
      </c>
      <c r="K14" s="16">
        <f t="shared" si="2"/>
        <v>0.15183075671277457</v>
      </c>
      <c r="L14" s="16">
        <f t="shared" si="2"/>
        <v>6.0139399076952094E-2</v>
      </c>
      <c r="M14" s="16">
        <f t="shared" si="2"/>
        <v>-4.8154235706987736E-2</v>
      </c>
      <c r="N14" s="95">
        <f>N13/M13-1</f>
        <v>0.10528772109954732</v>
      </c>
      <c r="O14" s="16">
        <f t="shared" ref="O14:T14" si="3">O13/N13-1</f>
        <v>-8.1389650226639798E-3</v>
      </c>
      <c r="P14" s="16">
        <f t="shared" si="3"/>
        <v>2.2582368395789976E-2</v>
      </c>
      <c r="Q14" s="16">
        <f t="shared" si="3"/>
        <v>2.0073829760071549E-2</v>
      </c>
      <c r="R14" s="16">
        <f t="shared" si="3"/>
        <v>1.9666402792974269E-2</v>
      </c>
      <c r="S14" s="16">
        <f t="shared" si="3"/>
        <v>1.8383077336656894E-2</v>
      </c>
      <c r="T14" s="16">
        <f t="shared" si="3"/>
        <v>1.8953467493441956E-2</v>
      </c>
    </row>
    <row r="15" spans="2:20" x14ac:dyDescent="0.3">
      <c r="B15" s="15"/>
      <c r="C15" s="12"/>
      <c r="D15" s="12"/>
      <c r="E15" s="16"/>
      <c r="F15" s="16"/>
      <c r="G15" s="16"/>
      <c r="H15" s="16"/>
      <c r="I15" s="16"/>
      <c r="J15" s="16"/>
      <c r="K15" s="16"/>
      <c r="L15" s="16"/>
      <c r="M15" s="16"/>
      <c r="N15" s="95"/>
      <c r="O15" s="16"/>
      <c r="P15" s="16"/>
      <c r="Q15" s="16"/>
      <c r="R15" s="16"/>
      <c r="S15" s="16"/>
      <c r="T15" s="16"/>
    </row>
    <row r="16" spans="2:20" x14ac:dyDescent="0.3">
      <c r="B16" t="s">
        <v>12</v>
      </c>
      <c r="E16" s="128">
        <f>Data!$K$13-Data!$K$61</f>
        <v>1137</v>
      </c>
      <c r="F16" s="128">
        <f>Data!$J$13-Data!$J$61</f>
        <v>1580</v>
      </c>
      <c r="G16" s="128">
        <f>Data!$I$13-Data!$I$61</f>
        <v>2090</v>
      </c>
      <c r="H16" s="128">
        <f>Data!$H$13-Data!$H$61</f>
        <v>2412</v>
      </c>
      <c r="I16" s="128">
        <f>Data!$G$13-Data!$G$61</f>
        <v>3334</v>
      </c>
      <c r="J16" s="129">
        <f>Data!$F$13-Data!$F$61</f>
        <v>1406</v>
      </c>
      <c r="K16" s="129">
        <f>Data!$E$13-Data!$E$61</f>
        <v>2550</v>
      </c>
      <c r="L16" s="129">
        <f>Data!$D$13-Data!$D$61</f>
        <v>1344</v>
      </c>
      <c r="M16" s="129">
        <f>Data!$C$13-Data!$C$61</f>
        <v>853</v>
      </c>
      <c r="N16" s="130">
        <f>Data!$B$13-Data!$B$61</f>
        <v>1935</v>
      </c>
      <c r="O16" s="132">
        <f>_xlfn.FORECAST.ETS(O12,$E16:N16,$E12:N12)</f>
        <v>1600.8935967800019</v>
      </c>
      <c r="P16" s="132">
        <f>_xlfn.FORECAST.ETS(P12,$E16:O16,$E12:O12)</f>
        <v>1595.2731631877896</v>
      </c>
      <c r="Q16" s="132">
        <f>_xlfn.FORECAST.ETS(Q12,$E16:P16,$E12:P12)</f>
        <v>1550.666912656221</v>
      </c>
      <c r="R16" s="132">
        <f>_xlfn.FORECAST.ETS(R12,$E16:Q16,$E12:Q12)</f>
        <v>1517.5894045402156</v>
      </c>
      <c r="S16" s="132">
        <f>_xlfn.FORECAST.ETS(S12,$E16:R16,$E12:R12)</f>
        <v>1484.7706169780522</v>
      </c>
      <c r="T16" s="132">
        <f>_xlfn.FORECAST.ETS(T12,$E16:S16,$E12:S12)</f>
        <v>1450.228309323848</v>
      </c>
    </row>
    <row r="17" spans="2:20" x14ac:dyDescent="0.3">
      <c r="B17" s="15" t="s">
        <v>13</v>
      </c>
      <c r="C17" s="12"/>
      <c r="D17" s="12"/>
      <c r="E17" s="131">
        <f>E16/E13</f>
        <v>6.7218445167011531E-2</v>
      </c>
      <c r="F17" s="131">
        <f t="shared" ref="F17:T17" si="4">F16/F13</f>
        <v>8.5483958231888757E-2</v>
      </c>
      <c r="G17" s="131">
        <f t="shared" si="4"/>
        <v>9.8501272504477336E-2</v>
      </c>
      <c r="H17" s="131">
        <f t="shared" si="4"/>
        <v>0.11006160164271048</v>
      </c>
      <c r="I17" s="131">
        <f t="shared" si="4"/>
        <v>0.14103214890016921</v>
      </c>
      <c r="J17" s="131">
        <f t="shared" si="4"/>
        <v>7.6267968538106856E-2</v>
      </c>
      <c r="K17" s="131">
        <f t="shared" si="4"/>
        <v>0.12009042102288782</v>
      </c>
      <c r="L17" s="131">
        <f t="shared" si="4"/>
        <v>5.9704144640398027E-2</v>
      </c>
      <c r="M17" s="131">
        <f t="shared" si="4"/>
        <v>3.9809586036309332E-2</v>
      </c>
      <c r="N17" s="148">
        <f t="shared" si="4"/>
        <v>8.1704175991217334E-2</v>
      </c>
      <c r="O17" s="131">
        <f t="shared" si="4"/>
        <v>6.8151422183268417E-2</v>
      </c>
      <c r="P17" s="131">
        <f t="shared" si="4"/>
        <v>6.6412406054546957E-2</v>
      </c>
      <c r="Q17" s="131">
        <f t="shared" si="4"/>
        <v>6.3285041579874801E-2</v>
      </c>
      <c r="R17" s="131">
        <f t="shared" si="4"/>
        <v>6.0740550744606672E-2</v>
      </c>
      <c r="S17" s="131">
        <f t="shared" si="4"/>
        <v>5.8354268612041876E-2</v>
      </c>
      <c r="T17" s="131">
        <f t="shared" si="4"/>
        <v>5.5936500523530892E-2</v>
      </c>
    </row>
    <row r="18" spans="2:20" x14ac:dyDescent="0.3">
      <c r="B18" s="15"/>
      <c r="C18" s="12"/>
      <c r="D18" s="12"/>
      <c r="E18" s="16"/>
      <c r="F18" s="16"/>
      <c r="G18" s="16"/>
      <c r="H18" s="16"/>
      <c r="I18" s="16"/>
      <c r="J18" s="16"/>
      <c r="K18" s="16"/>
      <c r="L18" s="16"/>
      <c r="M18" s="16"/>
      <c r="N18" s="95"/>
      <c r="O18" s="16"/>
      <c r="P18" s="16"/>
      <c r="Q18" s="16"/>
      <c r="R18" s="16"/>
      <c r="S18" s="16"/>
      <c r="T18" s="16"/>
    </row>
    <row r="19" spans="2:20" x14ac:dyDescent="0.3">
      <c r="B19" t="s">
        <v>100</v>
      </c>
      <c r="E19" s="65">
        <f>Data!$K$23</f>
        <v>0.32899999999999996</v>
      </c>
      <c r="F19" s="65">
        <f>Data!$J$23</f>
        <v>0.29600000000000004</v>
      </c>
      <c r="G19" s="65">
        <f>Data!$I$23</f>
        <v>0.29299999999999998</v>
      </c>
      <c r="H19" s="65">
        <f>Data!$H$23</f>
        <v>0.28100000000000003</v>
      </c>
      <c r="I19" s="65">
        <f>Data!$G$23</f>
        <v>0.25</v>
      </c>
      <c r="J19" s="65">
        <f>Data!$F$23</f>
        <v>0.20199999999999999</v>
      </c>
      <c r="K19" s="65">
        <f>Data!$E$23</f>
        <v>0.19399999999999998</v>
      </c>
      <c r="L19" s="65">
        <f>Data!$D$23</f>
        <v>0.34499999999999997</v>
      </c>
      <c r="M19" s="65">
        <f>Data!$M$23</f>
        <v>0.27277777777777773</v>
      </c>
      <c r="N19" s="98">
        <f>Data!$B$23</f>
        <v>0.26500000000000001</v>
      </c>
      <c r="O19" s="97">
        <f>_xlfn.FORECAST.ETS(O$12,$E$19:N$19,$E$12:N$12)</f>
        <v>0.25307377410652376</v>
      </c>
      <c r="P19" s="97">
        <f>_xlfn.FORECAST.ETS(P$12,$E$19:O$19,$E$12:O$12)</f>
        <v>0.25213032245488226</v>
      </c>
      <c r="Q19" s="97">
        <f>_xlfn.FORECAST.ETS(Q$12,$E$19:P$19,$E$12:P$12)</f>
        <v>0.2465891874633864</v>
      </c>
      <c r="R19" s="97">
        <f>_xlfn.FORECAST.ETS(R$12,$E$19:Q$19,$E$12:Q$12)</f>
        <v>0.24283182373603343</v>
      </c>
      <c r="S19" s="97">
        <f>_xlfn.FORECAST.ETS(S$12,$E$19:R$19,$E$12:R$12)</f>
        <v>0.23904167817882402</v>
      </c>
      <c r="T19" s="97">
        <f>_xlfn.FORECAST.ETS(T$12,$E$19:S$19,$E$12:S$12)</f>
        <v>0.23522926203887648</v>
      </c>
    </row>
    <row r="20" spans="2:20" x14ac:dyDescent="0.3">
      <c r="B20" s="15"/>
      <c r="C20" s="12"/>
      <c r="D20" s="12"/>
      <c r="E20" s="16"/>
      <c r="F20" s="16"/>
      <c r="G20" s="16"/>
      <c r="H20" s="16"/>
      <c r="I20" s="16"/>
      <c r="J20" s="16"/>
      <c r="K20" s="16"/>
      <c r="L20" s="16"/>
      <c r="M20" s="16"/>
      <c r="N20" s="95"/>
      <c r="O20" s="16"/>
      <c r="P20" s="16"/>
      <c r="Q20" s="16"/>
      <c r="R20" s="16"/>
      <c r="S20" s="16"/>
      <c r="T20" s="16"/>
    </row>
    <row r="21" spans="2:20" x14ac:dyDescent="0.3">
      <c r="B21" s="21" t="s">
        <v>18</v>
      </c>
      <c r="C21" s="22"/>
      <c r="D21" s="22"/>
      <c r="E21" s="22"/>
      <c r="F21" s="22"/>
      <c r="G21" s="22"/>
      <c r="H21" s="22"/>
      <c r="I21" s="22"/>
      <c r="J21" s="23"/>
      <c r="K21" s="23"/>
      <c r="L21" s="23"/>
      <c r="M21" s="23"/>
      <c r="N21" s="99"/>
      <c r="O21" s="102">
        <f>O16*(1-O19)</f>
        <v>1195.7494122999194</v>
      </c>
      <c r="P21" s="102">
        <f t="shared" ref="P21:T21" si="5">P16*(1-P19)</f>
        <v>1193.056426149632</v>
      </c>
      <c r="Q21" s="102">
        <f t="shared" si="5"/>
        <v>1168.2892186379654</v>
      </c>
      <c r="R21" s="102">
        <f t="shared" si="5"/>
        <v>1149.0704017532341</v>
      </c>
      <c r="S21" s="102">
        <f t="shared" si="5"/>
        <v>1129.8485569850106</v>
      </c>
      <c r="T21" s="103">
        <f t="shared" si="5"/>
        <v>1109.0921743337117</v>
      </c>
    </row>
    <row r="22" spans="2:20" x14ac:dyDescent="0.3">
      <c r="B22" s="15"/>
      <c r="C22" s="12"/>
      <c r="D22" s="12"/>
      <c r="E22" s="16"/>
      <c r="F22" s="16"/>
      <c r="G22" s="16"/>
      <c r="H22" s="16"/>
      <c r="I22" s="16"/>
      <c r="J22" s="16"/>
      <c r="K22" s="16"/>
      <c r="L22" s="16"/>
      <c r="M22" s="16"/>
      <c r="N22" s="95"/>
      <c r="O22" s="16"/>
      <c r="P22" s="16"/>
      <c r="Q22" s="16"/>
      <c r="R22" s="16"/>
      <c r="S22" s="16"/>
      <c r="T22" s="16"/>
    </row>
    <row r="23" spans="2:20" x14ac:dyDescent="0.3">
      <c r="B23" s="8" t="s">
        <v>14</v>
      </c>
      <c r="C23" s="9"/>
      <c r="D23" s="9"/>
      <c r="E23" s="8">
        <v>2015</v>
      </c>
      <c r="F23" s="8">
        <f t="shared" ref="F23" si="6">E23+1</f>
        <v>2016</v>
      </c>
      <c r="G23" s="8">
        <f t="shared" ref="G23" si="7">F23+1</f>
        <v>2017</v>
      </c>
      <c r="H23" s="8">
        <f t="shared" ref="H23" si="8">G23+1</f>
        <v>2018</v>
      </c>
      <c r="I23" s="8">
        <f t="shared" ref="I23" si="9">H23+1</f>
        <v>2019</v>
      </c>
      <c r="J23" s="8">
        <f t="shared" ref="J23" si="10">I23+1</f>
        <v>2020</v>
      </c>
      <c r="K23" s="8">
        <f t="shared" ref="K23" si="11">J23+1</f>
        <v>2021</v>
      </c>
      <c r="L23" s="8">
        <f t="shared" ref="L23" si="12">K23+1</f>
        <v>2022</v>
      </c>
      <c r="M23" s="8">
        <f t="shared" ref="M23" si="13">L23+1</f>
        <v>2023</v>
      </c>
      <c r="N23" s="11">
        <f t="shared" ref="N23" si="14">M23+1</f>
        <v>2024</v>
      </c>
      <c r="O23" s="8">
        <f t="shared" ref="O23" si="15">N23+1</f>
        <v>2025</v>
      </c>
      <c r="P23" s="8">
        <f t="shared" ref="P23" si="16">O23+1</f>
        <v>2026</v>
      </c>
      <c r="Q23" s="8">
        <f t="shared" ref="Q23" si="17">P23+1</f>
        <v>2027</v>
      </c>
      <c r="R23" s="8">
        <f t="shared" ref="R23" si="18">Q23+1</f>
        <v>2028</v>
      </c>
      <c r="S23" s="8">
        <f t="shared" ref="S23" si="19">R23+1</f>
        <v>2029</v>
      </c>
      <c r="T23" s="8">
        <v>2030</v>
      </c>
    </row>
    <row r="24" spans="2:20" x14ac:dyDescent="0.3">
      <c r="B24" s="15"/>
      <c r="C24" s="12"/>
      <c r="D24" s="12"/>
      <c r="E24" s="16"/>
      <c r="F24" s="16"/>
      <c r="G24" s="16"/>
      <c r="H24" s="16"/>
      <c r="I24" s="16"/>
      <c r="J24" s="16"/>
      <c r="K24" s="16"/>
      <c r="L24" s="16"/>
      <c r="M24" s="16"/>
      <c r="N24" s="95"/>
      <c r="O24" s="16"/>
      <c r="P24" s="16"/>
      <c r="Q24" s="16"/>
      <c r="R24" s="16"/>
      <c r="S24" s="16"/>
      <c r="T24" s="16"/>
    </row>
    <row r="25" spans="2:20" x14ac:dyDescent="0.3">
      <c r="B25" s="12" t="s">
        <v>15</v>
      </c>
      <c r="C25" s="12"/>
      <c r="D25" s="12"/>
      <c r="E25" s="13">
        <f>Data!K$61</f>
        <v>338</v>
      </c>
      <c r="F25" s="13">
        <f>Data!J$61</f>
        <v>373</v>
      </c>
      <c r="G25" s="13">
        <f>Data!I$61</f>
        <v>421</v>
      </c>
      <c r="H25" s="13">
        <f>Data!H$61</f>
        <v>470</v>
      </c>
      <c r="I25" s="13">
        <f>Data!G$61</f>
        <v>511</v>
      </c>
      <c r="J25" s="13">
        <f>Data!F$61</f>
        <v>561</v>
      </c>
      <c r="K25" s="13">
        <f>Data!E$61</f>
        <v>516</v>
      </c>
      <c r="L25" s="13">
        <f>Data!D$61</f>
        <v>530</v>
      </c>
      <c r="M25" s="13">
        <f>Data!C$61</f>
        <v>505</v>
      </c>
      <c r="N25" s="14">
        <f>Data!B$61</f>
        <v>530</v>
      </c>
      <c r="O25" s="13">
        <f>_xlfn.FORECAST.ETS(O$23,$E25:N25,$E$23:N$23)</f>
        <v>550.5436412949922</v>
      </c>
      <c r="P25" s="13">
        <f>_xlfn.FORECAST.ETS(P$23,$E25:O25,$E$23:O$23)</f>
        <v>569.34107953567366</v>
      </c>
      <c r="Q25" s="13">
        <f>_xlfn.FORECAST.ETS(Q$23,$E25:P25,$E$23:P$23)</f>
        <v>587.14752934877629</v>
      </c>
      <c r="R25" s="13">
        <f>_xlfn.FORECAST.ETS(R$23,$E25:Q25,$E$23:Q$23)</f>
        <v>604.32887731953667</v>
      </c>
      <c r="S25" s="13">
        <f>_xlfn.FORECAST.ETS(S$23,$E25:R25,$E$23:R$23)</f>
        <v>621.16945158194858</v>
      </c>
      <c r="T25" s="13">
        <f>_xlfn.FORECAST.ETS(T$23,$E25:S25,$E$23:S$23)</f>
        <v>637.78355368241819</v>
      </c>
    </row>
    <row r="26" spans="2:20" x14ac:dyDescent="0.3">
      <c r="B26" s="15" t="s">
        <v>13</v>
      </c>
      <c r="C26" s="12"/>
      <c r="D26" s="12"/>
      <c r="E26" s="16">
        <f>E25/E13</f>
        <v>1.9982264262488916E-2</v>
      </c>
      <c r="F26" s="16">
        <f t="shared" ref="F26:T26" si="20">F25/F13</f>
        <v>2.0180706595249689E-2</v>
      </c>
      <c r="G26" s="16">
        <f t="shared" si="20"/>
        <v>1.9841643887265531E-2</v>
      </c>
      <c r="H26" s="16">
        <f t="shared" si="20"/>
        <v>2.1446497832534793E-2</v>
      </c>
      <c r="I26" s="16">
        <f t="shared" si="20"/>
        <v>2.1615905245346869E-2</v>
      </c>
      <c r="J26" s="16">
        <f t="shared" si="20"/>
        <v>3.0431244914564688E-2</v>
      </c>
      <c r="K26" s="16">
        <f t="shared" si="20"/>
        <v>2.4300649901102006E-2</v>
      </c>
      <c r="L26" s="16">
        <f t="shared" si="20"/>
        <v>2.3544045133490295E-2</v>
      </c>
      <c r="M26" s="16">
        <f t="shared" si="20"/>
        <v>2.3568395015634479E-2</v>
      </c>
      <c r="N26" s="95">
        <f t="shared" si="20"/>
        <v>2.2378921589325678E-2</v>
      </c>
      <c r="O26" s="16">
        <f t="shared" si="20"/>
        <v>2.3437117996896472E-2</v>
      </c>
      <c r="P26" s="16">
        <f t="shared" si="20"/>
        <v>2.3702091798560688E-2</v>
      </c>
      <c r="Q26" s="16">
        <f t="shared" si="20"/>
        <v>2.3962370967668813E-2</v>
      </c>
      <c r="R26" s="16">
        <f t="shared" si="20"/>
        <v>2.4187878967420511E-2</v>
      </c>
      <c r="S26" s="16">
        <f t="shared" si="20"/>
        <v>2.441312389720033E-2</v>
      </c>
      <c r="T26" s="16">
        <f t="shared" si="20"/>
        <v>2.4599837042961328E-2</v>
      </c>
    </row>
    <row r="27" spans="2:20" x14ac:dyDescent="0.3">
      <c r="B27" s="15"/>
      <c r="C27" s="12"/>
      <c r="D27" s="12"/>
      <c r="E27" s="16"/>
      <c r="F27" s="16"/>
      <c r="G27" s="16"/>
      <c r="H27" s="16"/>
      <c r="I27" s="16"/>
      <c r="J27" s="16"/>
      <c r="K27" s="16"/>
      <c r="L27" s="16"/>
      <c r="M27" s="16"/>
      <c r="N27" s="95"/>
      <c r="O27" s="154"/>
      <c r="P27" s="154"/>
      <c r="Q27" s="154"/>
      <c r="R27" s="154"/>
      <c r="S27" s="154"/>
      <c r="T27" s="154"/>
    </row>
    <row r="28" spans="2:20" x14ac:dyDescent="0.3">
      <c r="B28" s="12" t="s">
        <v>16</v>
      </c>
      <c r="C28" s="12"/>
      <c r="D28" s="12"/>
      <c r="E28" s="13">
        <f>Data!K$64</f>
        <v>513</v>
      </c>
      <c r="F28" s="13">
        <f>Data!J$64</f>
        <v>651</v>
      </c>
      <c r="G28" s="13">
        <f>Data!I$64</f>
        <v>752</v>
      </c>
      <c r="H28" s="13">
        <f>Data!H$64</f>
        <v>794</v>
      </c>
      <c r="I28" s="13">
        <f>Data!G$64</f>
        <v>711</v>
      </c>
      <c r="J28" s="13">
        <f>Data!F$64</f>
        <v>442</v>
      </c>
      <c r="K28" s="13">
        <f>Data!E$64</f>
        <v>667</v>
      </c>
      <c r="L28" s="13">
        <f>Data!D$64</f>
        <v>695</v>
      </c>
      <c r="M28" s="13">
        <f>Data!C$64</f>
        <v>504</v>
      </c>
      <c r="N28" s="14">
        <f>Data!B$64</f>
        <v>540</v>
      </c>
      <c r="O28" s="96">
        <f>_xlfn.FORECAST.ETS(O$23,$E$28:N$28,$E$23:N$23)</f>
        <v>540.63965960644498</v>
      </c>
      <c r="P28" s="96">
        <f>_xlfn.FORECAST.ETS(P$23,$E$28:O$28,$E$23:O$23)</f>
        <v>527.88376877853625</v>
      </c>
      <c r="Q28" s="96">
        <f>_xlfn.FORECAST.ETS(Q$23,$E$28:P$28,$E$23:P$23)</f>
        <v>423.59307295319189</v>
      </c>
      <c r="R28" s="96">
        <f>_xlfn.FORECAST.ETS(R$23,$E$28:Q$28,$E$23:Q$23)</f>
        <v>273.47053236003495</v>
      </c>
      <c r="S28" s="96">
        <f>_xlfn.FORECAST.ETS(S$23,$E$28:R$28,$E$23:R$23)</f>
        <v>288.48117825145738</v>
      </c>
      <c r="T28" s="96">
        <f>_xlfn.FORECAST.ETS(T$23,$E$28:S$28,$E$23:S$23)</f>
        <v>262.58464552890251</v>
      </c>
    </row>
    <row r="29" spans="2:20" x14ac:dyDescent="0.3">
      <c r="B29" s="15" t="s">
        <v>13</v>
      </c>
      <c r="C29" s="12"/>
      <c r="D29" s="12"/>
      <c r="E29" s="16">
        <f>E28/E13</f>
        <v>3.0328111143955068E-2</v>
      </c>
      <c r="F29" s="16">
        <f t="shared" ref="F29:T29" si="21">F28/F13</f>
        <v>3.5221554942379482E-2</v>
      </c>
      <c r="G29" s="16">
        <f t="shared" si="21"/>
        <v>3.5441606183429161E-2</v>
      </c>
      <c r="H29" s="16">
        <f t="shared" si="21"/>
        <v>3.6230892083048138E-2</v>
      </c>
      <c r="I29" s="16">
        <f t="shared" si="21"/>
        <v>3.0076142131979695E-2</v>
      </c>
      <c r="J29" s="16">
        <f t="shared" si="21"/>
        <v>2.3976132356929754E-2</v>
      </c>
      <c r="K29" s="16">
        <f t="shared" si="21"/>
        <v>3.1411886596967128E-2</v>
      </c>
      <c r="L29" s="16">
        <f t="shared" si="21"/>
        <v>3.087379503353916E-2</v>
      </c>
      <c r="M29" s="16">
        <f t="shared" si="21"/>
        <v>2.3521724926494611E-2</v>
      </c>
      <c r="N29" s="95">
        <f t="shared" si="21"/>
        <v>2.2801165392897858E-2</v>
      </c>
      <c r="O29" s="154">
        <f t="shared" si="21"/>
        <v>2.3015496948059024E-2</v>
      </c>
      <c r="P29" s="154">
        <f t="shared" si="21"/>
        <v>2.1976193175386495E-2</v>
      </c>
      <c r="Q29" s="154">
        <f t="shared" si="21"/>
        <v>1.7287468389243148E-2</v>
      </c>
      <c r="R29" s="154">
        <f t="shared" si="21"/>
        <v>1.0945484133109026E-2</v>
      </c>
      <c r="S29" s="154">
        <f t="shared" si="21"/>
        <v>1.1337851094781408E-2</v>
      </c>
      <c r="T29" s="154">
        <f t="shared" si="21"/>
        <v>1.0128106083480585E-2</v>
      </c>
    </row>
    <row r="30" spans="2:20" x14ac:dyDescent="0.3">
      <c r="B30" s="15"/>
      <c r="C30" s="12"/>
      <c r="D30" s="12"/>
      <c r="E30" s="16"/>
      <c r="F30" s="16"/>
      <c r="G30" s="16"/>
      <c r="H30" s="16"/>
      <c r="I30" s="16"/>
      <c r="J30" s="16"/>
      <c r="K30" s="16"/>
      <c r="L30" s="16"/>
      <c r="M30" s="16"/>
      <c r="N30" s="95"/>
      <c r="O30" s="154"/>
      <c r="P30" s="154"/>
      <c r="Q30" s="154"/>
      <c r="R30" s="154"/>
      <c r="S30" s="154"/>
      <c r="T30" s="154"/>
    </row>
    <row r="31" spans="2:20" x14ac:dyDescent="0.3">
      <c r="B31" s="12" t="s">
        <v>17</v>
      </c>
      <c r="C31" s="12"/>
      <c r="D31" s="12"/>
      <c r="E31" s="57">
        <f>Data!K$81</f>
        <v>-433.6039999999989</v>
      </c>
      <c r="F31" s="57">
        <f>Data!J$81</f>
        <v>123.6929999999993</v>
      </c>
      <c r="G31" s="57">
        <f>Data!I$81</f>
        <v>-359.94400000000041</v>
      </c>
      <c r="H31" s="57">
        <f>Data!H$81</f>
        <v>-477.39199999999983</v>
      </c>
      <c r="I31" s="57">
        <f>Data!G$81</f>
        <v>-410.03199999999924</v>
      </c>
      <c r="J31" s="57">
        <f>Data!F$81</f>
        <v>13.078999999999724</v>
      </c>
      <c r="K31" s="57">
        <f>Data!E$81</f>
        <v>1149.7570000000014</v>
      </c>
      <c r="L31" s="57">
        <f>Data!D$81</f>
        <v>1039.7159999999985</v>
      </c>
      <c r="M31" s="57">
        <f>Data!C$81</f>
        <v>-1328.1319999999996</v>
      </c>
      <c r="N31" s="101">
        <f>Data!B$81</f>
        <v>-451.625</v>
      </c>
      <c r="O31" s="96">
        <f>_xlfn.FORECAST.ETS(O23,$E31:N31,$E23:N23)</f>
        <v>-294.04376680460234</v>
      </c>
      <c r="P31" s="96">
        <f>_xlfn.FORECAST.ETS(P23,$E31:O31,$E23:O23)</f>
        <v>-197.41221110725286</v>
      </c>
      <c r="Q31" s="96">
        <f>_xlfn.FORECAST.ETS(Q23,$E31:P31,$E23:P23)</f>
        <v>-199.40894615418057</v>
      </c>
      <c r="R31" s="96">
        <f>_xlfn.FORECAST.ETS(R23,$E31:Q31,$E23:Q23)</f>
        <v>-239.43432067419522</v>
      </c>
      <c r="S31" s="96">
        <f>_xlfn.FORECAST.ETS(S23,$E31:R31,$E23:R23)</f>
        <v>-256.51408771471131</v>
      </c>
      <c r="T31" s="96">
        <f>_xlfn.FORECAST.ETS(T23,$E31:S31,$E23:S23)</f>
        <v>-272.50325255481323</v>
      </c>
    </row>
    <row r="32" spans="2:20" x14ac:dyDescent="0.3">
      <c r="B32" s="15" t="s">
        <v>13</v>
      </c>
      <c r="C32" s="12"/>
      <c r="D32" s="12"/>
      <c r="E32" s="16">
        <f>E31/E13</f>
        <v>-2.5634289092521367E-2</v>
      </c>
      <c r="F32" s="16">
        <f t="shared" ref="F32:T32" si="22">F31/F13</f>
        <v>6.6922577503651624E-3</v>
      </c>
      <c r="G32" s="16">
        <f t="shared" si="22"/>
        <v>-1.6964087095862022E-2</v>
      </c>
      <c r="H32" s="16">
        <f t="shared" si="22"/>
        <v>-2.1783801049509461E-2</v>
      </c>
      <c r="I32" s="16">
        <f t="shared" si="22"/>
        <v>-1.7344839255499123E-2</v>
      </c>
      <c r="J32" s="16">
        <f t="shared" si="22"/>
        <v>7.0946569026307147E-4</v>
      </c>
      <c r="K32" s="16">
        <f t="shared" si="22"/>
        <v>5.4146981256475532E-2</v>
      </c>
      <c r="L32" s="16">
        <f t="shared" si="22"/>
        <v>4.6187019679267846E-2</v>
      </c>
      <c r="M32" s="16">
        <f t="shared" si="22"/>
        <v>-6.1984038829514143E-2</v>
      </c>
      <c r="N32" s="95">
        <f t="shared" si="22"/>
        <v>-1.9069585778828696E-2</v>
      </c>
      <c r="O32" s="154">
        <f t="shared" si="22"/>
        <v>-1.2517696948857779E-2</v>
      </c>
      <c r="P32" s="154">
        <f t="shared" si="22"/>
        <v>-8.2184168998256299E-3</v>
      </c>
      <c r="Q32" s="154">
        <f t="shared" si="22"/>
        <v>-8.1381780611733904E-3</v>
      </c>
      <c r="R32" s="154">
        <f t="shared" si="22"/>
        <v>-9.583206407083206E-3</v>
      </c>
      <c r="S32" s="154">
        <f t="shared" si="22"/>
        <v>-1.0081484510882128E-2</v>
      </c>
      <c r="T32" s="154">
        <f t="shared" si="22"/>
        <v>-1.0510674926972701E-2</v>
      </c>
    </row>
    <row r="33" spans="2:20" x14ac:dyDescent="0.3">
      <c r="B33" s="15"/>
      <c r="C33" s="12"/>
      <c r="D33" s="12"/>
      <c r="E33" s="16"/>
      <c r="F33" s="16"/>
      <c r="G33" s="16"/>
      <c r="H33" s="16"/>
      <c r="I33" s="16"/>
      <c r="J33" s="16"/>
      <c r="K33" s="16"/>
      <c r="L33" s="16"/>
      <c r="M33" s="16"/>
      <c r="N33" s="95"/>
      <c r="O33" s="16"/>
      <c r="P33" s="16"/>
      <c r="Q33" s="16"/>
      <c r="R33" s="16"/>
      <c r="S33" s="16"/>
      <c r="T33" s="16"/>
    </row>
    <row r="34" spans="2:20" x14ac:dyDescent="0.3">
      <c r="B34" s="133" t="s">
        <v>102</v>
      </c>
      <c r="C34" s="134"/>
      <c r="D34" s="134"/>
      <c r="E34" s="155">
        <f>E16*(1-E19)+E25-E28-E31</f>
        <v>1021.530999999999</v>
      </c>
      <c r="F34" s="155">
        <f t="shared" ref="F34:T34" si="23">F16*(1-F19)+F25-F28-F31</f>
        <v>710.62700000000063</v>
      </c>
      <c r="G34" s="155">
        <f t="shared" si="23"/>
        <v>1506.5740000000005</v>
      </c>
      <c r="H34" s="155">
        <f t="shared" si="23"/>
        <v>1887.62</v>
      </c>
      <c r="I34" s="155">
        <f t="shared" si="23"/>
        <v>2710.5319999999992</v>
      </c>
      <c r="J34" s="155">
        <f t="shared" si="23"/>
        <v>1227.9090000000003</v>
      </c>
      <c r="K34" s="155">
        <f t="shared" si="23"/>
        <v>754.54299999999876</v>
      </c>
      <c r="L34" s="155">
        <f t="shared" si="23"/>
        <v>-324.39599999999837</v>
      </c>
      <c r="M34" s="155">
        <f t="shared" si="23"/>
        <v>1949.4525555555551</v>
      </c>
      <c r="N34" s="156">
        <f t="shared" si="23"/>
        <v>1863.85</v>
      </c>
      <c r="O34" s="157">
        <f t="shared" si="23"/>
        <v>1499.6971607930691</v>
      </c>
      <c r="P34" s="158">
        <f t="shared" si="23"/>
        <v>1431.9259480140222</v>
      </c>
      <c r="Q34" s="158">
        <f t="shared" si="23"/>
        <v>1531.2526211877303</v>
      </c>
      <c r="R34" s="158">
        <f t="shared" si="23"/>
        <v>1719.3630673869311</v>
      </c>
      <c r="S34" s="158">
        <f t="shared" si="23"/>
        <v>1719.0509180302133</v>
      </c>
      <c r="T34" s="159">
        <f t="shared" si="23"/>
        <v>1756.7943350420405</v>
      </c>
    </row>
    <row r="35" spans="2:20" x14ac:dyDescent="0.3">
      <c r="B35" s="21" t="s">
        <v>19</v>
      </c>
      <c r="C35" s="22"/>
      <c r="D35" s="22"/>
      <c r="E35" s="22"/>
      <c r="F35" s="22"/>
      <c r="G35" s="22"/>
      <c r="H35" s="22"/>
      <c r="I35" s="22"/>
      <c r="J35" s="25"/>
      <c r="K35" s="25"/>
      <c r="L35" s="25"/>
      <c r="M35" s="25"/>
      <c r="N35" s="26"/>
      <c r="O35" s="104">
        <f>O34/(1+$C$8)^1</f>
        <v>1388.2132270608777</v>
      </c>
      <c r="P35" s="104">
        <f>P34/(1+$C$8)^2</f>
        <v>1226.946925454934</v>
      </c>
      <c r="Q35" s="104">
        <f>Q34/(1+$C$8)^3</f>
        <v>1214.5200019442257</v>
      </c>
      <c r="R35" s="104">
        <f>R34/(1+$C$8)^4</f>
        <v>1262.3448976255252</v>
      </c>
      <c r="S35" s="104">
        <f>S34/(1+$C$8)^5</f>
        <v>1168.2930273552208</v>
      </c>
      <c r="T35" s="144">
        <f>T34/(1+$C$8)^6</f>
        <v>1105.1890549002064</v>
      </c>
    </row>
    <row r="36" spans="2:20" x14ac:dyDescent="0.3">
      <c r="B36" s="10"/>
      <c r="C36" s="10"/>
      <c r="D36" s="10"/>
      <c r="E36" s="10"/>
      <c r="F36" s="10"/>
      <c r="G36" s="10"/>
      <c r="H36" s="10"/>
      <c r="I36" s="10"/>
      <c r="J36" s="135"/>
      <c r="K36" s="135"/>
      <c r="L36" s="135"/>
      <c r="M36" s="135"/>
      <c r="N36" s="135"/>
      <c r="O36" s="24"/>
      <c r="P36" s="24"/>
      <c r="Q36" s="24"/>
      <c r="R36" s="24"/>
      <c r="S36" s="24"/>
      <c r="T36" s="24"/>
    </row>
    <row r="37" spans="2:20" x14ac:dyDescent="0.3">
      <c r="B37" s="8" t="s">
        <v>103</v>
      </c>
      <c r="C37" s="9"/>
      <c r="E37" s="10"/>
      <c r="F37" s="10"/>
      <c r="G37" s="10"/>
      <c r="H37" s="10"/>
      <c r="I37" s="10"/>
      <c r="J37" s="135"/>
      <c r="K37" s="135"/>
      <c r="L37" s="135"/>
      <c r="M37" s="135"/>
      <c r="N37" s="135"/>
      <c r="O37" s="24"/>
      <c r="P37" s="24"/>
      <c r="Q37" s="24"/>
      <c r="R37" s="24"/>
      <c r="S37" s="24"/>
      <c r="T37" s="24"/>
    </row>
    <row r="38" spans="2:20" x14ac:dyDescent="0.3">
      <c r="B38" s="92"/>
      <c r="C38" t="s">
        <v>135</v>
      </c>
      <c r="D38" t="s">
        <v>136</v>
      </c>
      <c r="E38" s="10"/>
      <c r="F38" s="10"/>
      <c r="G38" s="10"/>
      <c r="H38" s="10"/>
      <c r="I38" s="10"/>
      <c r="J38" s="135"/>
      <c r="K38" s="135"/>
      <c r="L38" s="135"/>
      <c r="M38" s="135"/>
      <c r="N38" s="135"/>
      <c r="O38" s="24"/>
      <c r="P38" s="24"/>
      <c r="Q38" s="24"/>
      <c r="R38" s="24"/>
      <c r="S38" s="24"/>
      <c r="T38" s="24"/>
    </row>
    <row r="39" spans="2:20" x14ac:dyDescent="0.3">
      <c r="B39" t="s">
        <v>103</v>
      </c>
      <c r="C39" s="51">
        <f>WACC!$B$18</f>
        <v>7.644999999999999E-2</v>
      </c>
      <c r="D39" s="51">
        <f>WACC!$C$18</f>
        <v>9.9000000000000005E-2</v>
      </c>
      <c r="E39" s="10"/>
      <c r="F39" s="10"/>
      <c r="G39" s="10"/>
      <c r="H39" s="10"/>
      <c r="I39" s="10"/>
      <c r="J39" s="135"/>
      <c r="K39" s="135"/>
      <c r="L39" s="135"/>
      <c r="M39" s="135"/>
      <c r="N39" s="135"/>
      <c r="O39" s="24"/>
      <c r="P39" s="24"/>
      <c r="Q39" s="24"/>
      <c r="R39" s="24"/>
      <c r="S39" s="24"/>
      <c r="T39" s="24"/>
    </row>
    <row r="40" spans="2:20" x14ac:dyDescent="0.3">
      <c r="B40" t="s">
        <v>104</v>
      </c>
      <c r="C40" s="80">
        <f>WACC!$B$25</f>
        <v>0.13043478260869565</v>
      </c>
      <c r="D40" s="80">
        <f>WACC!$C$25</f>
        <v>0.13043478260869565</v>
      </c>
      <c r="E40" s="10"/>
      <c r="F40" s="10"/>
      <c r="G40" s="10"/>
      <c r="H40" s="10"/>
      <c r="I40" s="10"/>
      <c r="J40" s="135"/>
      <c r="K40" s="135"/>
      <c r="L40" s="135"/>
      <c r="M40" s="135"/>
      <c r="N40" s="135"/>
      <c r="O40" s="24"/>
      <c r="P40" s="24"/>
      <c r="Q40" s="24"/>
      <c r="R40" s="24"/>
      <c r="S40" s="24"/>
      <c r="T40" s="24"/>
    </row>
    <row r="41" spans="2:20" x14ac:dyDescent="0.3">
      <c r="B41" t="s">
        <v>105</v>
      </c>
      <c r="C41" s="80">
        <f>WACC!$B$24</f>
        <v>0.86956521739130443</v>
      </c>
      <c r="D41" s="80">
        <f>WACC!$C$24</f>
        <v>0.86956521739130443</v>
      </c>
      <c r="E41" s="10"/>
      <c r="F41" s="10"/>
      <c r="G41" s="10"/>
      <c r="H41" s="10"/>
      <c r="I41" s="10"/>
      <c r="J41" s="135"/>
      <c r="K41" s="135"/>
      <c r="L41" s="135"/>
      <c r="M41" s="135"/>
      <c r="N41" s="135"/>
      <c r="O41" s="24"/>
      <c r="P41" s="24"/>
      <c r="Q41" s="24"/>
      <c r="R41" s="24"/>
      <c r="S41" s="24"/>
      <c r="T41" s="24"/>
    </row>
    <row r="42" spans="2:20" x14ac:dyDescent="0.3">
      <c r="E42" s="10"/>
      <c r="F42" s="10"/>
      <c r="G42" s="10"/>
      <c r="H42" s="10"/>
      <c r="I42" s="10"/>
      <c r="J42" s="135"/>
      <c r="K42" s="135"/>
      <c r="L42" s="135"/>
      <c r="M42" s="135"/>
      <c r="N42" s="135"/>
      <c r="O42" s="24"/>
      <c r="P42" s="24"/>
      <c r="Q42" s="24"/>
      <c r="R42" s="24"/>
      <c r="S42" s="24"/>
      <c r="T42" s="24"/>
    </row>
    <row r="43" spans="2:20" x14ac:dyDescent="0.3">
      <c r="B43" s="47" t="s">
        <v>7</v>
      </c>
      <c r="C43" s="51">
        <f>WACC!$B$28</f>
        <v>8.0307500000000004E-2</v>
      </c>
      <c r="E43" s="10"/>
      <c r="F43" s="10"/>
      <c r="G43" s="10"/>
      <c r="H43" s="10"/>
      <c r="I43" s="10"/>
      <c r="J43" s="135"/>
      <c r="K43" s="135"/>
      <c r="L43" s="135"/>
      <c r="M43" s="135"/>
      <c r="N43" s="135"/>
      <c r="O43" s="24"/>
      <c r="P43" s="24"/>
      <c r="Q43" s="24"/>
      <c r="R43" s="24"/>
      <c r="S43" s="24"/>
      <c r="T43" s="24"/>
    </row>
    <row r="44" spans="2:20" x14ac:dyDescent="0.3">
      <c r="B44" s="10"/>
      <c r="C44" s="10"/>
      <c r="D44" s="10"/>
      <c r="E44" s="10"/>
      <c r="F44" s="10"/>
      <c r="G44" s="10"/>
      <c r="H44" s="10"/>
      <c r="I44" s="10"/>
      <c r="J44" s="135"/>
      <c r="K44" s="135"/>
      <c r="L44" s="135"/>
      <c r="M44" s="135"/>
      <c r="N44" s="135"/>
      <c r="O44" s="24"/>
      <c r="P44" s="24"/>
      <c r="Q44" s="24"/>
      <c r="R44" s="24"/>
      <c r="S44" s="24"/>
      <c r="T44" s="24"/>
    </row>
    <row r="45" spans="2:20" x14ac:dyDescent="0.3">
      <c r="B45" s="8" t="s">
        <v>20</v>
      </c>
      <c r="C45" s="9"/>
      <c r="D45" s="9"/>
      <c r="E45" s="8">
        <v>2015</v>
      </c>
      <c r="F45" s="8">
        <f>E45+1</f>
        <v>2016</v>
      </c>
      <c r="G45" s="8">
        <f>F45+1</f>
        <v>2017</v>
      </c>
      <c r="H45" s="8">
        <v>2018</v>
      </c>
      <c r="I45" s="8">
        <f t="shared" ref="I45" si="24">H45+1</f>
        <v>2019</v>
      </c>
      <c r="J45" s="8">
        <f t="shared" ref="J45" si="25">I45+1</f>
        <v>2020</v>
      </c>
      <c r="K45" s="8">
        <f t="shared" ref="K45" si="26">J45+1</f>
        <v>2021</v>
      </c>
      <c r="L45" s="8">
        <f t="shared" ref="L45" si="27">K45+1</f>
        <v>2022</v>
      </c>
      <c r="M45" s="8">
        <f t="shared" ref="M45" si="28">L45+1</f>
        <v>2023</v>
      </c>
      <c r="N45" s="11">
        <f t="shared" ref="N45" si="29">M45+1</f>
        <v>2024</v>
      </c>
      <c r="O45" s="8">
        <f t="shared" ref="O45" si="30">N45+1</f>
        <v>2025</v>
      </c>
      <c r="P45" s="8">
        <f t="shared" ref="P45" si="31">O45+1</f>
        <v>2026</v>
      </c>
      <c r="Q45" s="8">
        <f t="shared" ref="Q45" si="32">P45+1</f>
        <v>2027</v>
      </c>
      <c r="R45" s="8">
        <f t="shared" ref="R45" si="33">Q45+1</f>
        <v>2028</v>
      </c>
      <c r="S45" s="8">
        <f t="shared" ref="S45" si="34">R45+1</f>
        <v>2029</v>
      </c>
      <c r="T45" s="8">
        <v>2030</v>
      </c>
    </row>
    <row r="46" spans="2:20" x14ac:dyDescent="0.3">
      <c r="B46" t="s">
        <v>31</v>
      </c>
      <c r="E46">
        <f>Data!K$13</f>
        <v>1475</v>
      </c>
      <c r="F46" s="18">
        <f>Data!J$13</f>
        <v>1953</v>
      </c>
      <c r="G46" s="18">
        <f>Data!I$13</f>
        <v>2511</v>
      </c>
      <c r="H46" s="18">
        <f>Data!H$13</f>
        <v>2882</v>
      </c>
      <c r="I46" s="18">
        <f>Data!G$13</f>
        <v>3845</v>
      </c>
      <c r="J46" s="18">
        <f>Data!F$13</f>
        <v>1967</v>
      </c>
      <c r="K46" s="18">
        <f>Data!E$13</f>
        <v>3066</v>
      </c>
      <c r="L46" s="18">
        <f>Data!D$13</f>
        <v>1874</v>
      </c>
      <c r="M46" s="18">
        <f>Data!C$13</f>
        <v>1358</v>
      </c>
      <c r="N46" s="19">
        <f>Data!B$13</f>
        <v>2465</v>
      </c>
      <c r="O46" s="24">
        <f>_xlfn.FORECAST.ETS(O$45,$E46:N46,$E$45:N$45)</f>
        <v>2163.9916203723296</v>
      </c>
      <c r="P46" s="24">
        <f>_xlfn.FORECAST.ETS(P45,$E46:O46,$E45:O45)</f>
        <v>2186.3206976756501</v>
      </c>
      <c r="Q46" s="24">
        <f>_xlfn.FORECAST.ETS(Q45,$E46:P46,$E45:P45)</f>
        <v>2155.6731519564423</v>
      </c>
      <c r="R46" s="24">
        <f>_xlfn.FORECAST.ETS(R45,$E46:Q46,$E45:Q45)</f>
        <v>2140.9858824833095</v>
      </c>
      <c r="S46" s="24">
        <f>_xlfn.FORECAST.ETS(S45,$E46:R46,$E45:R45)</f>
        <v>2125.5162238607154</v>
      </c>
      <c r="T46" s="24">
        <f>_xlfn.FORECAST.ETS(T45,$E46:S46,$E45:S45)</f>
        <v>2110.8015017612684</v>
      </c>
    </row>
    <row r="47" spans="2:20" x14ac:dyDescent="0.3">
      <c r="B47" t="s">
        <v>154</v>
      </c>
      <c r="E47" s="24">
        <f>Data!K$111</f>
        <v>1827.9910000000002</v>
      </c>
      <c r="F47" s="18">
        <f>Data!J$111</f>
        <v>1623.8320000000001</v>
      </c>
      <c r="G47" s="18">
        <f>Data!I$111</f>
        <v>1121.52</v>
      </c>
      <c r="H47" s="18">
        <f>Data!H$111</f>
        <v>1670.4839999999999</v>
      </c>
      <c r="I47" s="18">
        <f>Data!G$111</f>
        <v>1633.72</v>
      </c>
      <c r="J47" s="18">
        <f>Data!F$111</f>
        <v>3179.0029999999997</v>
      </c>
      <c r="K47" s="18">
        <f>Data!E$111</f>
        <v>2479.3440000000001</v>
      </c>
      <c r="L47" s="18">
        <f>Data!D$111</f>
        <v>3470.6159999999995</v>
      </c>
      <c r="M47" s="18">
        <f>Data!C$111</f>
        <v>2973.3</v>
      </c>
      <c r="N47" s="19">
        <f>Data!B$111</f>
        <v>2499.2550000000001</v>
      </c>
      <c r="O47" s="24">
        <f>_xlfn.FORECAST.ETS(O$45,$E47:N47,$E$45:N$45)</f>
        <v>3278.8557047973395</v>
      </c>
      <c r="P47" s="24">
        <f>_xlfn.FORECAST.ETS(P$45,$E47:O47,$E$45:O$45)</f>
        <v>3464.6897878829614</v>
      </c>
      <c r="Q47" s="24">
        <f>_xlfn.FORECAST.ETS(Q$45,$E47:P47,$E$45:P$45)</f>
        <v>3728.7741618693426</v>
      </c>
      <c r="R47" s="24">
        <f>_xlfn.FORECAST.ETS(R$45,$E47:Q47,$E$45:Q$45)</f>
        <v>3928.9984759133663</v>
      </c>
      <c r="S47" s="24">
        <f>_xlfn.FORECAST.ETS(S$45,$E47:R47,$E$45:R$45)</f>
        <v>4076.8084892068978</v>
      </c>
      <c r="T47" s="24">
        <f>_xlfn.FORECAST.ETS(T$45,$E47:S47,$E$45:S$45)</f>
        <v>4267.4457185510082</v>
      </c>
    </row>
    <row r="48" spans="2:20" x14ac:dyDescent="0.3">
      <c r="B48" t="s">
        <v>157</v>
      </c>
      <c r="E48" s="24">
        <f>Data!K$114*Data!K$78</f>
        <v>1360.9859999999999</v>
      </c>
      <c r="F48" s="24">
        <f>Data!J$114*Data!J$78</f>
        <v>1502.424</v>
      </c>
      <c r="G48" s="24">
        <f>Data!I$114*Data!I$78</f>
        <v>1598.1660000000002</v>
      </c>
      <c r="H48" s="24">
        <f>Data!H$114*Data!H$78</f>
        <v>2622.8160000000003</v>
      </c>
      <c r="I48" s="24">
        <f>Data!G$114*Data!G$78</f>
        <v>2212.7599999999998</v>
      </c>
      <c r="J48" s="24">
        <f>Data!F$114*Data!F$78</f>
        <v>4000.07</v>
      </c>
      <c r="K48" s="24">
        <f>Data!E$114*Data!E$78</f>
        <v>3829.7009999999996</v>
      </c>
      <c r="L48" s="24">
        <f>Data!D$114*Data!D$78</f>
        <v>791.54399999999998</v>
      </c>
      <c r="M48" s="24">
        <f>Data!C$114*Data!C$78</f>
        <v>1423.58</v>
      </c>
      <c r="N48" s="110">
        <f>Data!B$114*Data!B$78</f>
        <v>2457.9449999999997</v>
      </c>
      <c r="O48" s="24">
        <f>_xlfn.FORECAST.ETS(O$45,$E48:N48,$E$45:N$45)</f>
        <v>2357.8222297085167</v>
      </c>
      <c r="P48" s="24">
        <f>_xlfn.FORECAST.ETS(P$45,$E48:O48,$E$45:O$45)</f>
        <v>2371.3077571784547</v>
      </c>
      <c r="Q48" s="24">
        <f>_xlfn.FORECAST.ETS(Q$45,$E48:P48,$E$45:P$45)</f>
        <v>2422.7177193878811</v>
      </c>
      <c r="R48" s="24">
        <f>_xlfn.FORECAST.ETS(R$45,$E48:Q48,$E$45:Q$45)</f>
        <v>2452.2306895647353</v>
      </c>
      <c r="S48" s="24">
        <f>_xlfn.FORECAST.ETS(S$45,$E48:R48,$E$45:R$45)</f>
        <v>2483.628412235691</v>
      </c>
      <c r="T48" s="24">
        <f>_xlfn.FORECAST.ETS(T$45,$E48:S48,$E$45:S$45)</f>
        <v>2516.6195666407434</v>
      </c>
    </row>
    <row r="49" spans="2:20" x14ac:dyDescent="0.3">
      <c r="B49" t="s">
        <v>152</v>
      </c>
      <c r="E49" s="24">
        <f>Data!K$109</f>
        <v>18467.005000000001</v>
      </c>
      <c r="F49" s="18">
        <f>Data!J$109</f>
        <v>30375.407999999999</v>
      </c>
      <c r="G49" s="18">
        <f>Data!I$109</f>
        <v>33598.353999999999</v>
      </c>
      <c r="H49" s="18">
        <f>Data!H$109</f>
        <v>35376.667999999998</v>
      </c>
      <c r="I49" s="18">
        <f>Data!G$109</f>
        <v>56212.959999999999</v>
      </c>
      <c r="J49" s="18">
        <f>Data!F$109</f>
        <v>57288.932999999997</v>
      </c>
      <c r="K49" s="18">
        <f>Data!E$109</f>
        <v>47161.642999999996</v>
      </c>
      <c r="L49" s="18">
        <f>Data!D$109</f>
        <v>25435.071999999996</v>
      </c>
      <c r="M49" s="18">
        <f>Data!C$109</f>
        <v>34431.72</v>
      </c>
      <c r="N49" s="19">
        <f>Data!B$109</f>
        <v>42321.31</v>
      </c>
      <c r="O49" s="24">
        <f>_xlfn.FORECAST.ETS(O$45,$E49:N49,$E$45:N$45)</f>
        <v>43084.035518592333</v>
      </c>
      <c r="P49" s="24">
        <f>_xlfn.FORECAST.ETS(P$45,$E49:O49,$E$45:O$45)</f>
        <v>44397.075060346535</v>
      </c>
      <c r="Q49" s="24">
        <f>_xlfn.FORECAST.ETS(Q$45,$E49:P49,$E$45:P$45)</f>
        <v>45555.024868479559</v>
      </c>
      <c r="R49" s="24">
        <f>_xlfn.FORECAST.ETS(R$45,$E49:Q49,$E$45:Q$45)</f>
        <v>46567.621980759817</v>
      </c>
      <c r="S49" s="24">
        <f>_xlfn.FORECAST.ETS(S$45,$E49:R49,$E$45:R$45)</f>
        <v>47748.112126239896</v>
      </c>
      <c r="T49" s="24">
        <f>_xlfn.FORECAST.ETS(T$45,$E49:S49,$E$45:S$45)</f>
        <v>48888.712176191955</v>
      </c>
    </row>
    <row r="50" spans="2:20" x14ac:dyDescent="0.3">
      <c r="B50" t="s">
        <v>106</v>
      </c>
      <c r="C50" s="10"/>
      <c r="D50" s="10"/>
      <c r="E50" s="136">
        <f t="shared" ref="E50:N50" si="35">E49/E46</f>
        <v>12.520003389830508</v>
      </c>
      <c r="F50" s="136">
        <f t="shared" si="35"/>
        <v>15.553204301075269</v>
      </c>
      <c r="G50" s="136">
        <f t="shared" si="35"/>
        <v>13.380467542811628</v>
      </c>
      <c r="H50" s="136">
        <f t="shared" si="35"/>
        <v>12.275040943789035</v>
      </c>
      <c r="I50" s="136">
        <f t="shared" si="35"/>
        <v>14.619755526657997</v>
      </c>
      <c r="J50" s="136">
        <f t="shared" si="35"/>
        <v>29.125029486527705</v>
      </c>
      <c r="K50" s="136">
        <f t="shared" si="35"/>
        <v>15.382140574037834</v>
      </c>
      <c r="L50" s="136">
        <f t="shared" si="35"/>
        <v>13.572610458911418</v>
      </c>
      <c r="M50" s="136">
        <f t="shared" si="35"/>
        <v>25.354727540500736</v>
      </c>
      <c r="N50" s="146">
        <f t="shared" si="35"/>
        <v>17.168888438133873</v>
      </c>
      <c r="O50" s="136">
        <f t="shared" ref="O50:T50" si="36">O49/O46</f>
        <v>19.909520495823099</v>
      </c>
      <c r="P50" s="136">
        <f t="shared" si="36"/>
        <v>20.306753308216191</v>
      </c>
      <c r="Q50" s="136">
        <f t="shared" si="36"/>
        <v>21.132621532691449</v>
      </c>
      <c r="R50" s="136">
        <f t="shared" si="36"/>
        <v>21.750550698048727</v>
      </c>
      <c r="S50" s="136">
        <f t="shared" si="36"/>
        <v>22.464242610913526</v>
      </c>
      <c r="T50" s="136">
        <f t="shared" si="36"/>
        <v>23.161207785478101</v>
      </c>
    </row>
    <row r="51" spans="2:20" x14ac:dyDescent="0.3">
      <c r="C51" s="10"/>
      <c r="D51" s="10"/>
      <c r="E51" s="136"/>
      <c r="F51" s="136"/>
      <c r="G51" s="136"/>
      <c r="H51" s="136"/>
      <c r="I51" s="136"/>
      <c r="J51" s="136"/>
      <c r="K51" s="136"/>
      <c r="L51" s="136"/>
      <c r="M51" s="136"/>
      <c r="N51" s="147"/>
      <c r="O51" s="24"/>
      <c r="P51" s="24"/>
      <c r="Q51" s="24"/>
      <c r="R51" s="24"/>
      <c r="S51" s="24"/>
      <c r="T51" s="24"/>
    </row>
    <row r="52" spans="2:20" x14ac:dyDescent="0.3">
      <c r="B52" s="137" t="s">
        <v>107</v>
      </c>
      <c r="C52" s="138"/>
      <c r="D52" s="138"/>
      <c r="E52" s="138"/>
      <c r="F52" s="138"/>
      <c r="G52" s="138"/>
      <c r="H52" s="138"/>
      <c r="I52" s="138"/>
      <c r="J52" s="32"/>
      <c r="K52" s="32"/>
      <c r="L52" s="32"/>
      <c r="M52" s="32"/>
      <c r="N52" s="32"/>
      <c r="O52" s="139"/>
      <c r="P52" s="139"/>
      <c r="Q52" s="139"/>
      <c r="R52" s="139"/>
      <c r="S52" s="139"/>
      <c r="T52" s="140">
        <f>T34*(1+$C$9)/($C$8-$C$9)</f>
        <v>35968.755455812781</v>
      </c>
    </row>
    <row r="53" spans="2:20" x14ac:dyDescent="0.3">
      <c r="B53" s="141" t="s">
        <v>160</v>
      </c>
      <c r="C53" s="142"/>
      <c r="D53" s="142"/>
      <c r="E53" s="142"/>
      <c r="F53" s="142"/>
      <c r="G53" s="142"/>
      <c r="H53" s="142"/>
      <c r="I53" s="142"/>
      <c r="J53" s="143"/>
      <c r="K53" s="143"/>
      <c r="L53" s="143"/>
      <c r="M53" s="143"/>
      <c r="N53" s="143"/>
      <c r="O53" s="104"/>
      <c r="P53" s="104"/>
      <c r="Q53" s="104"/>
      <c r="R53" s="104"/>
      <c r="S53" s="104"/>
      <c r="T53" s="144">
        <f>T50*T46</f>
        <v>48888.712176191955</v>
      </c>
    </row>
    <row r="54" spans="2:20" x14ac:dyDescent="0.3">
      <c r="B54" s="47" t="s">
        <v>108</v>
      </c>
      <c r="C54" s="10"/>
      <c r="D54" s="10"/>
      <c r="E54" s="112">
        <f>AVERAGE(T52:T53)</f>
        <v>42428.733816002365</v>
      </c>
      <c r="F54" s="10"/>
      <c r="G54" s="10"/>
      <c r="H54" s="10"/>
      <c r="I54" s="10"/>
      <c r="J54" s="135"/>
      <c r="K54" s="135"/>
      <c r="L54" s="135"/>
      <c r="M54" s="135"/>
      <c r="N54" s="135"/>
      <c r="O54" s="24"/>
      <c r="P54" s="24"/>
      <c r="Q54" s="24"/>
      <c r="R54" s="24"/>
      <c r="S54" s="24"/>
      <c r="T54" s="24"/>
    </row>
    <row r="55" spans="2:20" x14ac:dyDescent="0.3">
      <c r="C55" s="10"/>
      <c r="D55" s="10"/>
      <c r="E55" s="112"/>
      <c r="F55" s="10"/>
      <c r="G55" s="10"/>
      <c r="H55" s="10"/>
      <c r="I55" s="10"/>
      <c r="J55" s="135"/>
      <c r="K55" s="135"/>
      <c r="L55" s="135"/>
      <c r="M55" s="135"/>
      <c r="N55" s="135"/>
      <c r="O55" s="24"/>
      <c r="P55" s="24"/>
      <c r="Q55" s="24"/>
      <c r="R55" s="24"/>
      <c r="S55" s="24"/>
      <c r="T55" s="24"/>
    </row>
    <row r="56" spans="2:20" x14ac:dyDescent="0.3">
      <c r="B56" s="8" t="s">
        <v>109</v>
      </c>
      <c r="C56" s="9"/>
      <c r="D56" s="9"/>
      <c r="E56" s="8">
        <v>2015</v>
      </c>
      <c r="F56" s="8">
        <f>E56+1</f>
        <v>2016</v>
      </c>
      <c r="G56" s="8">
        <f>F56+1</f>
        <v>2017</v>
      </c>
      <c r="H56" s="8">
        <v>2018</v>
      </c>
      <c r="I56" s="8">
        <f t="shared" ref="I56" si="37">H56+1</f>
        <v>2019</v>
      </c>
      <c r="J56" s="8">
        <f t="shared" ref="J56" si="38">I56+1</f>
        <v>2020</v>
      </c>
      <c r="K56" s="8">
        <f t="shared" ref="K56" si="39">J56+1</f>
        <v>2021</v>
      </c>
      <c r="L56" s="8">
        <f t="shared" ref="L56" si="40">K56+1</f>
        <v>2022</v>
      </c>
      <c r="M56" s="8">
        <f t="shared" ref="M56" si="41">L56+1</f>
        <v>2023</v>
      </c>
      <c r="N56" s="11">
        <f>M56+1</f>
        <v>2024</v>
      </c>
      <c r="O56" s="8">
        <f t="shared" ref="O56" si="42">N56+1</f>
        <v>2025</v>
      </c>
      <c r="P56" s="8">
        <f t="shared" ref="P56" si="43">O56+1</f>
        <v>2026</v>
      </c>
      <c r="Q56" s="8">
        <f t="shared" ref="Q56" si="44">P56+1</f>
        <v>2027</v>
      </c>
      <c r="R56" s="8">
        <f t="shared" ref="R56" si="45">Q56+1</f>
        <v>2028</v>
      </c>
      <c r="S56" s="8">
        <f t="shared" ref="S56" si="46">R56+1</f>
        <v>2029</v>
      </c>
      <c r="T56" s="8">
        <v>2030</v>
      </c>
    </row>
    <row r="57" spans="2:20" x14ac:dyDescent="0.3">
      <c r="B57" t="s">
        <v>114</v>
      </c>
      <c r="E57" s="18"/>
      <c r="F57" s="18"/>
      <c r="G57" s="18"/>
      <c r="H57" s="18"/>
      <c r="I57" s="18"/>
      <c r="J57" s="18"/>
      <c r="K57" s="18"/>
      <c r="L57" s="18"/>
      <c r="M57" s="18"/>
      <c r="N57" s="19"/>
      <c r="O57" s="109">
        <f>1/(1+$C$8)^1</f>
        <v>0.92566236927911727</v>
      </c>
      <c r="P57" s="109">
        <f>1/(1+$C$8)^2</f>
        <v>0.85685082189942896</v>
      </c>
      <c r="Q57" s="109">
        <f>1/(1+$C$8)^3</f>
        <v>0.79315456191818434</v>
      </c>
      <c r="R57" s="109">
        <f>1/(1+$C$8)^4</f>
        <v>0.73419333098972683</v>
      </c>
      <c r="S57" s="109">
        <f>1/(1+$C$8)^5</f>
        <v>0.67961513827287778</v>
      </c>
      <c r="T57" s="109">
        <f>1/(1+$C$8)^6</f>
        <v>0.62909415909162691</v>
      </c>
    </row>
    <row r="58" spans="2:20" x14ac:dyDescent="0.3">
      <c r="B58" t="s">
        <v>110</v>
      </c>
      <c r="E58" s="18"/>
      <c r="F58" s="18"/>
      <c r="G58" s="18"/>
      <c r="H58" s="18"/>
      <c r="I58" s="18"/>
      <c r="J58" s="18"/>
      <c r="K58" s="18"/>
      <c r="L58" s="18"/>
      <c r="M58" s="18"/>
      <c r="N58" s="19"/>
      <c r="O58" s="96">
        <f>O57*O34</f>
        <v>1388.2132270608777</v>
      </c>
      <c r="P58" s="96">
        <f t="shared" ref="P58:T58" si="47">P57*P34</f>
        <v>1226.946925454934</v>
      </c>
      <c r="Q58" s="96">
        <f t="shared" si="47"/>
        <v>1214.5200019442257</v>
      </c>
      <c r="R58" s="96">
        <f t="shared" si="47"/>
        <v>1262.3448976255252</v>
      </c>
      <c r="S58" s="96">
        <f t="shared" si="47"/>
        <v>1168.2930273552208</v>
      </c>
      <c r="T58" s="96">
        <f t="shared" si="47"/>
        <v>1105.1890549002064</v>
      </c>
    </row>
    <row r="59" spans="2:20" x14ac:dyDescent="0.3">
      <c r="B59" s="149" t="s">
        <v>111</v>
      </c>
      <c r="C59" s="150"/>
      <c r="D59" s="150"/>
      <c r="E59" s="151"/>
      <c r="F59" s="151"/>
      <c r="G59" s="151"/>
      <c r="H59" s="151"/>
      <c r="I59" s="151"/>
      <c r="J59" s="151"/>
      <c r="K59" s="151"/>
      <c r="L59" s="151"/>
      <c r="M59" s="151"/>
      <c r="N59" s="152"/>
      <c r="O59" s="150"/>
      <c r="P59" s="150"/>
      <c r="Q59" s="150"/>
      <c r="R59" s="150"/>
      <c r="S59" s="150"/>
      <c r="T59" s="103">
        <f>E54*T57</f>
        <v>26691.668621300483</v>
      </c>
    </row>
    <row r="60" spans="2:20" x14ac:dyDescent="0.3">
      <c r="K60" s="20"/>
      <c r="L60" s="20"/>
      <c r="N60" s="17"/>
    </row>
    <row r="61" spans="2:20" x14ac:dyDescent="0.3">
      <c r="B61" s="47" t="s">
        <v>21</v>
      </c>
      <c r="C61" s="24">
        <f>SUM(O58:T59)</f>
        <v>34057.175755641474</v>
      </c>
      <c r="E61" s="18"/>
      <c r="F61" s="18"/>
      <c r="G61" s="18"/>
      <c r="H61" s="18"/>
      <c r="I61" s="18"/>
      <c r="J61" s="18"/>
      <c r="K61" s="18"/>
      <c r="L61" s="18"/>
      <c r="M61" s="18"/>
      <c r="N61" s="19"/>
    </row>
    <row r="62" spans="2:20" x14ac:dyDescent="0.3">
      <c r="C62" s="24"/>
      <c r="E62" s="18"/>
      <c r="F62" s="18"/>
      <c r="G62" s="18"/>
      <c r="H62" s="18"/>
      <c r="I62" s="18"/>
      <c r="J62" s="18"/>
      <c r="K62" s="18"/>
      <c r="L62" s="18"/>
      <c r="M62" s="18"/>
      <c r="N62" s="19"/>
    </row>
    <row r="63" spans="2:20" x14ac:dyDescent="0.3">
      <c r="B63" t="s">
        <v>60</v>
      </c>
      <c r="E63" s="96">
        <f>Data!K$55</f>
        <v>200197</v>
      </c>
      <c r="F63" s="96">
        <f>Data!J$55</f>
        <v>201489</v>
      </c>
      <c r="G63" s="96">
        <f>Data!I$55</f>
        <v>203861</v>
      </c>
      <c r="H63" s="96">
        <f>Data!H$55</f>
        <v>199171</v>
      </c>
      <c r="I63" s="96">
        <f>Data!G$55</f>
        <v>195969</v>
      </c>
      <c r="J63" s="96">
        <f>Data!F$55</f>
        <v>195066</v>
      </c>
      <c r="K63" s="96">
        <f>Data!E$55</f>
        <v>191595</v>
      </c>
      <c r="L63" s="96">
        <f>Data!D$55</f>
        <v>178537</v>
      </c>
      <c r="M63" s="96">
        <f>Data!C$55</f>
        <v>178549</v>
      </c>
      <c r="N63" s="145">
        <f>Data!B$55</f>
        <v>178549</v>
      </c>
      <c r="O63" s="96">
        <f>_xlfn.FORECAST.ETS(O56,$E63:N63,$E56:N56)</f>
        <v>175163.63449408507</v>
      </c>
      <c r="P63" s="96">
        <f>_xlfn.FORECAST.ETS(P56,$E63:O63,$E56:O56)</f>
        <v>172091.22500370812</v>
      </c>
      <c r="Q63" s="96">
        <f>_xlfn.FORECAST.ETS(Q56,$E63:P63,$E56:P56)</f>
        <v>168815.03321154669</v>
      </c>
      <c r="R63" s="96">
        <f>_xlfn.FORECAST.ETS(R56,$E63:Q63,$E56:Q56)</f>
        <v>165720.74369038831</v>
      </c>
      <c r="S63" s="96">
        <f>_xlfn.FORECAST.ETS(S56,$E63:R63,$E56:R56)</f>
        <v>162623.86399747062</v>
      </c>
      <c r="T63" s="96">
        <f>_xlfn.FORECAST.ETS(T56,$E63:S63,$E56:S56)</f>
        <v>159525.29656596176</v>
      </c>
    </row>
    <row r="64" spans="2:20" x14ac:dyDescent="0.3">
      <c r="C64" s="10"/>
      <c r="D64" s="10"/>
      <c r="E64" s="112"/>
      <c r="F64" s="10"/>
      <c r="G64" s="10"/>
      <c r="H64" s="10"/>
      <c r="I64" s="10"/>
      <c r="J64" s="135"/>
      <c r="K64" s="135"/>
      <c r="L64" s="135"/>
      <c r="M64" s="135"/>
      <c r="N64" s="135"/>
      <c r="O64" s="24"/>
      <c r="P64" s="24"/>
      <c r="Q64" s="24"/>
      <c r="R64" s="24"/>
      <c r="S64" s="24"/>
      <c r="T64" s="24"/>
    </row>
    <row r="65" spans="2:20" x14ac:dyDescent="0.3">
      <c r="B65" s="8" t="s">
        <v>112</v>
      </c>
      <c r="C65" s="9"/>
      <c r="D65" s="10"/>
      <c r="E65" s="112"/>
      <c r="F65" s="10"/>
      <c r="G65" s="10"/>
      <c r="H65" s="10"/>
      <c r="I65" s="10"/>
      <c r="J65" s="135"/>
      <c r="K65" s="135"/>
      <c r="L65" s="135"/>
      <c r="M65" s="135"/>
      <c r="N65" s="135"/>
      <c r="O65" s="24"/>
      <c r="P65" s="24"/>
      <c r="Q65" s="24"/>
      <c r="R65" s="24"/>
      <c r="S65" s="24"/>
      <c r="T65" s="24"/>
    </row>
    <row r="66" spans="2:20" x14ac:dyDescent="0.3">
      <c r="B66" s="10" t="s">
        <v>21</v>
      </c>
      <c r="C66" s="112">
        <f>C61</f>
        <v>34057.175755641474</v>
      </c>
      <c r="D66" s="10"/>
      <c r="E66" s="112"/>
      <c r="F66" s="10"/>
      <c r="G66" s="10"/>
      <c r="H66" s="10"/>
      <c r="I66" s="10"/>
      <c r="J66" s="135"/>
      <c r="K66" s="135"/>
      <c r="L66" s="135"/>
      <c r="M66" s="135"/>
      <c r="N66" s="135"/>
      <c r="O66" s="24"/>
      <c r="P66" s="24"/>
      <c r="Q66" s="24"/>
      <c r="R66" s="24"/>
      <c r="S66" s="24"/>
      <c r="T66" s="24"/>
    </row>
    <row r="67" spans="2:20" x14ac:dyDescent="0.3">
      <c r="B67" s="27" t="s">
        <v>22</v>
      </c>
      <c r="C67" s="24">
        <f>T48</f>
        <v>2516.6195666407434</v>
      </c>
      <c r="D67" s="10"/>
      <c r="E67" s="112"/>
      <c r="F67" s="10"/>
      <c r="G67" s="10"/>
      <c r="H67" s="10"/>
      <c r="I67" s="10"/>
      <c r="J67" s="135"/>
      <c r="K67" s="135"/>
      <c r="L67" s="135"/>
      <c r="M67" s="135"/>
      <c r="N67" s="135"/>
      <c r="O67" s="24"/>
      <c r="P67" s="24"/>
      <c r="Q67" s="24"/>
      <c r="R67" s="24"/>
      <c r="S67" s="24"/>
      <c r="T67" s="24"/>
    </row>
    <row r="68" spans="2:20" x14ac:dyDescent="0.3">
      <c r="B68" s="28" t="s">
        <v>23</v>
      </c>
      <c r="C68" s="104">
        <f>T47</f>
        <v>4267.4457185510082</v>
      </c>
      <c r="D68" s="10"/>
      <c r="E68" s="112"/>
      <c r="F68" s="10"/>
      <c r="G68" s="10"/>
      <c r="H68" s="10"/>
      <c r="I68" s="10"/>
      <c r="J68" s="135"/>
      <c r="K68" s="135"/>
      <c r="L68" s="135"/>
      <c r="M68" s="135"/>
      <c r="N68" s="135"/>
      <c r="O68" s="24"/>
      <c r="P68" s="24"/>
      <c r="Q68" s="24"/>
      <c r="R68" s="24"/>
      <c r="S68" s="24"/>
      <c r="T68" s="24"/>
    </row>
    <row r="69" spans="2:20" x14ac:dyDescent="0.3">
      <c r="B69" s="10" t="s">
        <v>158</v>
      </c>
      <c r="C69" s="112">
        <f>C66+C67-C68</f>
        <v>32306.349603731211</v>
      </c>
      <c r="D69" s="10"/>
      <c r="E69" s="10"/>
      <c r="F69" s="10"/>
      <c r="G69" s="10"/>
      <c r="H69" s="10"/>
      <c r="I69" s="10"/>
      <c r="J69" s="135"/>
      <c r="K69" s="135"/>
      <c r="L69" s="135"/>
      <c r="M69" s="135"/>
      <c r="N69" s="135"/>
      <c r="O69" s="24"/>
      <c r="P69" s="24"/>
      <c r="Q69" s="24"/>
      <c r="R69" s="24"/>
      <c r="S69" s="24"/>
      <c r="T69" s="24"/>
    </row>
    <row r="70" spans="2:20" x14ac:dyDescent="0.3">
      <c r="B70" s="2" t="s">
        <v>159</v>
      </c>
      <c r="C70" s="111">
        <f>T63</f>
        <v>159525.29656596176</v>
      </c>
    </row>
    <row r="71" spans="2:20" x14ac:dyDescent="0.3">
      <c r="B71" s="160" t="s">
        <v>24</v>
      </c>
      <c r="C71" s="161">
        <f>(C69*1000000)/(C70*1000)</f>
        <v>202.51552762588304</v>
      </c>
    </row>
    <row r="72" spans="2:20" x14ac:dyDescent="0.3">
      <c r="B72" s="10"/>
      <c r="C72" s="113"/>
    </row>
    <row r="73" spans="2:20" x14ac:dyDescent="0.3">
      <c r="B73" s="10"/>
      <c r="C73" s="113"/>
    </row>
    <row r="74" spans="2:20" x14ac:dyDescent="0.3">
      <c r="B74" s="10"/>
      <c r="C74" s="113"/>
    </row>
    <row r="75" spans="2:20" x14ac:dyDescent="0.3">
      <c r="B75" s="10"/>
      <c r="C75" s="113"/>
    </row>
    <row r="87" spans="2:14" x14ac:dyDescent="0.3">
      <c r="B87" s="12"/>
      <c r="C87" s="12"/>
      <c r="D87" s="12"/>
      <c r="E87" s="57"/>
      <c r="F87" s="57"/>
      <c r="G87" s="57"/>
      <c r="H87" s="57"/>
      <c r="I87" s="57"/>
      <c r="J87" s="57"/>
      <c r="K87" s="57"/>
      <c r="L87" s="57"/>
      <c r="M87" s="57"/>
      <c r="N87" s="57"/>
    </row>
    <row r="88" spans="2:14" x14ac:dyDescent="0.3">
      <c r="B88" s="15"/>
      <c r="C88" s="12"/>
      <c r="D88" s="12"/>
      <c r="E88" s="100"/>
      <c r="F88" s="100"/>
      <c r="G88" s="100"/>
      <c r="H88" s="100"/>
      <c r="I88" s="100"/>
      <c r="J88" s="100"/>
      <c r="K88" s="100"/>
      <c r="L88" s="100"/>
      <c r="M88" s="100"/>
      <c r="N88" s="100"/>
    </row>
    <row r="96" spans="2:14" x14ac:dyDescent="0.3">
      <c r="K96" s="20"/>
      <c r="L96" s="20"/>
    </row>
    <row r="104" spans="2:2" x14ac:dyDescent="0.3">
      <c r="B104" s="18"/>
    </row>
    <row r="169" spans="14:14" x14ac:dyDescent="0.3">
      <c r="N169"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DF04A-2FD4-4324-9EA2-7085E6C5D623}">
  <sheetPr>
    <tabColor theme="5" tint="0.39997558519241921"/>
  </sheetPr>
  <dimension ref="A1:K33"/>
  <sheetViews>
    <sheetView workbookViewId="0">
      <selection activeCell="A6" sqref="A6:XFD6"/>
    </sheetView>
  </sheetViews>
  <sheetFormatPr defaultRowHeight="14.4" x14ac:dyDescent="0.3"/>
  <cols>
    <col min="1" max="1" width="24.44140625" customWidth="1"/>
    <col min="2" max="2" width="10.33203125" customWidth="1"/>
    <col min="10" max="10" width="8.88671875" customWidth="1"/>
  </cols>
  <sheetData>
    <row r="1" spans="1:11" ht="11.4" customHeight="1" x14ac:dyDescent="0.3"/>
    <row r="2" spans="1:11" ht="15.6" x14ac:dyDescent="0.3">
      <c r="A2" s="41" t="s">
        <v>96</v>
      </c>
      <c r="B2" s="8">
        <v>2015</v>
      </c>
      <c r="C2" s="8">
        <f t="shared" ref="C2:K2" si="0">B2+1</f>
        <v>2016</v>
      </c>
      <c r="D2" s="8">
        <f t="shared" si="0"/>
        <v>2017</v>
      </c>
      <c r="E2" s="8">
        <f t="shared" si="0"/>
        <v>2018</v>
      </c>
      <c r="F2" s="8">
        <f t="shared" si="0"/>
        <v>2019</v>
      </c>
      <c r="G2" s="8">
        <f t="shared" si="0"/>
        <v>2020</v>
      </c>
      <c r="H2" s="8">
        <f t="shared" si="0"/>
        <v>2021</v>
      </c>
      <c r="I2" s="8">
        <f t="shared" si="0"/>
        <v>2022</v>
      </c>
      <c r="J2" s="8">
        <f t="shared" si="0"/>
        <v>2023</v>
      </c>
      <c r="K2" s="8">
        <f t="shared" si="0"/>
        <v>2024</v>
      </c>
    </row>
    <row r="3" spans="1:11" ht="15.6" x14ac:dyDescent="0.3">
      <c r="A3" s="42" t="s">
        <v>97</v>
      </c>
      <c r="B3" s="51">
        <v>1.7000000000000001E-2</v>
      </c>
      <c r="C3" s="51">
        <v>1.7000000000000001E-2</v>
      </c>
      <c r="D3" s="51">
        <v>1.7000000000000001E-2</v>
      </c>
      <c r="E3" s="51">
        <v>1.7000000000000001E-2</v>
      </c>
      <c r="F3" s="51">
        <v>1.7000000000000001E-2</v>
      </c>
      <c r="G3" s="51">
        <v>1.7000000000000001E-2</v>
      </c>
      <c r="H3" s="51">
        <v>1.7000000000000001E-2</v>
      </c>
      <c r="I3" s="51">
        <v>1.7000000000000001E-2</v>
      </c>
      <c r="J3" s="51">
        <v>1.7000000000000001E-2</v>
      </c>
      <c r="K3" s="51">
        <v>1.7000000000000001E-2</v>
      </c>
    </row>
    <row r="4" spans="1:11" ht="15.6" x14ac:dyDescent="0.3">
      <c r="A4" s="42" t="s">
        <v>98</v>
      </c>
      <c r="B4" s="43">
        <v>13.2</v>
      </c>
      <c r="C4" s="43">
        <v>16.7</v>
      </c>
      <c r="D4" s="43">
        <v>15.3</v>
      </c>
      <c r="E4" s="43">
        <v>12.5</v>
      </c>
      <c r="F4" s="43">
        <v>16.5</v>
      </c>
      <c r="G4" s="43">
        <v>44.2</v>
      </c>
      <c r="H4" s="43">
        <v>20.7</v>
      </c>
      <c r="I4" s="43">
        <v>13.8</v>
      </c>
      <c r="J4" s="43">
        <v>112.6</v>
      </c>
      <c r="K4" s="43">
        <v>33.5</v>
      </c>
    </row>
    <row r="5" spans="1:11" ht="15.6" x14ac:dyDescent="0.3">
      <c r="A5" s="42" t="s">
        <v>124</v>
      </c>
      <c r="B5" s="65">
        <f>Data!$K$23</f>
        <v>0.32899999999999996</v>
      </c>
      <c r="C5" s="65">
        <f>Data!$J$23</f>
        <v>0.29600000000000004</v>
      </c>
      <c r="D5" s="65">
        <f>Data!$I$23</f>
        <v>0.29299999999999998</v>
      </c>
      <c r="E5" s="65">
        <f>Data!$H$23</f>
        <v>0.28100000000000003</v>
      </c>
      <c r="F5" s="65">
        <f>Data!$G$23</f>
        <v>0.25</v>
      </c>
      <c r="G5" s="65">
        <f>Data!$F$23</f>
        <v>0.20199999999999999</v>
      </c>
      <c r="H5" s="65">
        <f>Data!$E$23</f>
        <v>0.19399999999999998</v>
      </c>
      <c r="I5" s="65">
        <f>Data!$D$23</f>
        <v>0.34499999999999997</v>
      </c>
      <c r="J5" s="65">
        <f>Data!$M$23</f>
        <v>0.27277777777777773</v>
      </c>
      <c r="K5" s="98">
        <f>Data!$B$23</f>
        <v>0.26500000000000001</v>
      </c>
    </row>
    <row r="7" spans="1:11" x14ac:dyDescent="0.3">
      <c r="B7" t="s">
        <v>126</v>
      </c>
      <c r="C7" t="s">
        <v>128</v>
      </c>
    </row>
    <row r="8" spans="1:11" ht="16.2" x14ac:dyDescent="0.35">
      <c r="A8" s="42" t="s">
        <v>125</v>
      </c>
      <c r="B8" t="s">
        <v>127</v>
      </c>
      <c r="C8" s="59">
        <v>8.7499999999999994E-2</v>
      </c>
    </row>
    <row r="9" spans="1:11" s="61" customFormat="1" ht="15" x14ac:dyDescent="0.35">
      <c r="A9" s="60" t="s">
        <v>129</v>
      </c>
      <c r="B9" s="60" t="s">
        <v>130</v>
      </c>
      <c r="C9" s="59">
        <v>4.2500000000000003E-2</v>
      </c>
    </row>
    <row r="11" spans="1:11" ht="15" thickBot="1" x14ac:dyDescent="0.35">
      <c r="A11" s="68" t="s">
        <v>134</v>
      </c>
      <c r="B11" s="69" t="s">
        <v>135</v>
      </c>
      <c r="C11" s="69" t="s">
        <v>136</v>
      </c>
    </row>
    <row r="12" spans="1:11" x14ac:dyDescent="0.3">
      <c r="A12" s="70"/>
      <c r="B12" s="61"/>
      <c r="C12" s="61"/>
    </row>
    <row r="13" spans="1:11" x14ac:dyDescent="0.3">
      <c r="A13" s="71" t="s">
        <v>137</v>
      </c>
      <c r="B13" s="72">
        <v>2.8000000000000001E-2</v>
      </c>
      <c r="C13" s="72">
        <v>3.3000000000000002E-2</v>
      </c>
    </row>
    <row r="14" spans="1:11" x14ac:dyDescent="0.3">
      <c r="A14" s="71" t="s">
        <v>138</v>
      </c>
      <c r="B14" s="72">
        <v>5.0999999999999997E-2</v>
      </c>
      <c r="C14" s="72">
        <v>6.0999999999999999E-2</v>
      </c>
    </row>
    <row r="15" spans="1:11" x14ac:dyDescent="0.3">
      <c r="A15" s="71" t="s">
        <v>139</v>
      </c>
      <c r="B15" s="73">
        <v>0.95</v>
      </c>
      <c r="C15" s="73">
        <v>1</v>
      </c>
    </row>
    <row r="16" spans="1:11" x14ac:dyDescent="0.3">
      <c r="A16" s="70"/>
      <c r="B16" s="61"/>
      <c r="C16" s="61"/>
    </row>
    <row r="17" spans="1:11" ht="15" thickBot="1" x14ac:dyDescent="0.35">
      <c r="A17" s="74" t="s">
        <v>140</v>
      </c>
      <c r="B17" s="75">
        <v>0</v>
      </c>
      <c r="C17" s="75">
        <v>5.0000000000000001E-3</v>
      </c>
    </row>
    <row r="18" spans="1:11" x14ac:dyDescent="0.3">
      <c r="A18" s="76" t="s">
        <v>125</v>
      </c>
      <c r="B18" s="77">
        <f>B13+B15*B14+B17</f>
        <v>7.644999999999999E-2</v>
      </c>
      <c r="C18" s="77">
        <f>C13+C15*C14+C17</f>
        <v>9.9000000000000005E-2</v>
      </c>
    </row>
    <row r="19" spans="1:11" x14ac:dyDescent="0.3">
      <c r="A19" s="70"/>
      <c r="B19" s="61"/>
      <c r="C19" s="61"/>
    </row>
    <row r="20" spans="1:11" x14ac:dyDescent="0.3">
      <c r="A20" s="71" t="s">
        <v>141</v>
      </c>
      <c r="B20" s="72">
        <f>MIN(B5:K5)</f>
        <v>0.19399999999999998</v>
      </c>
      <c r="C20" s="72">
        <f>MAX(B5:K5)</f>
        <v>0.34499999999999997</v>
      </c>
    </row>
    <row r="21" spans="1:11" x14ac:dyDescent="0.3">
      <c r="A21" s="71" t="s">
        <v>142</v>
      </c>
      <c r="B21" s="73">
        <v>0.15</v>
      </c>
      <c r="C21" s="73">
        <v>0.15</v>
      </c>
    </row>
    <row r="22" spans="1:11" x14ac:dyDescent="0.3">
      <c r="A22" s="71" t="s">
        <v>129</v>
      </c>
      <c r="B22" s="72">
        <v>0.04</v>
      </c>
      <c r="C22" s="72">
        <v>4.4999999999999998E-2</v>
      </c>
    </row>
    <row r="23" spans="1:11" ht="15" thickBot="1" x14ac:dyDescent="0.35">
      <c r="A23" s="162"/>
      <c r="B23" s="162"/>
      <c r="C23" s="162"/>
    </row>
    <row r="24" spans="1:11" x14ac:dyDescent="0.3">
      <c r="A24" s="71" t="s">
        <v>144</v>
      </c>
      <c r="B24" s="82">
        <f>1/(1+B21)</f>
        <v>0.86956521739130443</v>
      </c>
      <c r="C24" s="82">
        <f>1/(1+C21)</f>
        <v>0.86956521739130443</v>
      </c>
    </row>
    <row r="25" spans="1:11" x14ac:dyDescent="0.3">
      <c r="A25" s="79" t="s">
        <v>145</v>
      </c>
      <c r="B25" s="81">
        <f>B21/(1+B21)</f>
        <v>0.13043478260869565</v>
      </c>
      <c r="C25" s="81">
        <f>C21/(1+C21)</f>
        <v>0.13043478260869565</v>
      </c>
    </row>
    <row r="26" spans="1:11" x14ac:dyDescent="0.3">
      <c r="A26" s="71" t="s">
        <v>143</v>
      </c>
      <c r="B26" s="78">
        <f>B24*B18+B25*B22*(1-B20)</f>
        <v>7.0683478260869556E-2</v>
      </c>
      <c r="C26" s="78">
        <f>C24*C18+C25*C22*(1-C20)</f>
        <v>8.9931521739130452E-2</v>
      </c>
    </row>
    <row r="28" spans="1:11" x14ac:dyDescent="0.3">
      <c r="A28" s="71" t="s">
        <v>146</v>
      </c>
      <c r="B28" s="51">
        <f>AVERAGE(B26:C26)</f>
        <v>8.0307500000000004E-2</v>
      </c>
    </row>
    <row r="30" spans="1:11" x14ac:dyDescent="0.3">
      <c r="A30" s="83" t="s">
        <v>25</v>
      </c>
      <c r="B30" s="86" t="s">
        <v>26</v>
      </c>
      <c r="C30" s="86" t="s">
        <v>27</v>
      </c>
      <c r="D30" s="86" t="s">
        <v>42</v>
      </c>
      <c r="E30" s="86" t="s">
        <v>43</v>
      </c>
      <c r="F30" s="86" t="s">
        <v>44</v>
      </c>
      <c r="G30" s="86" t="s">
        <v>45</v>
      </c>
      <c r="H30" s="86">
        <v>2018</v>
      </c>
      <c r="I30" s="86">
        <v>2017</v>
      </c>
      <c r="J30" s="86" t="s">
        <v>46</v>
      </c>
      <c r="K30" s="86" t="s">
        <v>47</v>
      </c>
    </row>
    <row r="31" spans="1:11" x14ac:dyDescent="0.3">
      <c r="A31" s="83" t="s">
        <v>41</v>
      </c>
      <c r="B31" s="84">
        <v>540</v>
      </c>
      <c r="C31" s="84">
        <v>504</v>
      </c>
      <c r="D31" s="84">
        <v>695</v>
      </c>
      <c r="E31" s="84">
        <v>667</v>
      </c>
      <c r="F31" s="84">
        <v>442</v>
      </c>
      <c r="G31" s="84">
        <v>711</v>
      </c>
      <c r="H31" s="84">
        <v>794</v>
      </c>
      <c r="I31" s="84">
        <v>752</v>
      </c>
      <c r="J31" s="84">
        <v>651</v>
      </c>
      <c r="K31" s="84">
        <v>513</v>
      </c>
    </row>
    <row r="32" spans="1:11" x14ac:dyDescent="0.3">
      <c r="A32" s="83" t="s">
        <v>133</v>
      </c>
      <c r="B32" s="84">
        <v>3148.9110000000001</v>
      </c>
      <c r="C32" s="84">
        <v>2846.4490000000001</v>
      </c>
      <c r="D32" s="84">
        <v>-572.10500000000002</v>
      </c>
      <c r="E32" s="84">
        <v>3776.4549999999999</v>
      </c>
      <c r="F32" s="84">
        <v>1697.4580000000001</v>
      </c>
      <c r="G32" s="84">
        <v>3157.28</v>
      </c>
      <c r="H32" s="84">
        <v>3124.9259999999999</v>
      </c>
      <c r="I32" s="84">
        <v>1862.73</v>
      </c>
      <c r="J32" s="84">
        <v>1491.6969999999999</v>
      </c>
      <c r="K32" s="85">
        <v>1210.336</v>
      </c>
    </row>
    <row r="33" spans="1:11" x14ac:dyDescent="0.3">
      <c r="A33" s="83" t="s">
        <v>102</v>
      </c>
      <c r="B33" s="84">
        <f>B32-B31</f>
        <v>2608.9110000000001</v>
      </c>
      <c r="C33" s="84">
        <f t="shared" ref="C33:K33" si="1">C32-C31</f>
        <v>2342.4490000000001</v>
      </c>
      <c r="D33" s="84">
        <f t="shared" si="1"/>
        <v>-1267.105</v>
      </c>
      <c r="E33" s="84">
        <f t="shared" si="1"/>
        <v>3109.4549999999999</v>
      </c>
      <c r="F33" s="84">
        <f>F32-F31</f>
        <v>1255.4580000000001</v>
      </c>
      <c r="G33" s="84">
        <f t="shared" si="1"/>
        <v>2446.2800000000002</v>
      </c>
      <c r="H33" s="84">
        <f t="shared" si="1"/>
        <v>2330.9259999999999</v>
      </c>
      <c r="I33" s="84">
        <f t="shared" si="1"/>
        <v>1110.73</v>
      </c>
      <c r="J33" s="84">
        <f t="shared" si="1"/>
        <v>840.69699999999989</v>
      </c>
      <c r="K33" s="84">
        <f t="shared" si="1"/>
        <v>697.33600000000001</v>
      </c>
    </row>
  </sheetData>
  <mergeCells count="1">
    <mergeCell ref="A23:C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A2F4-9BFD-4CD1-9A81-F2C0B1892411}">
  <sheetPr>
    <tabColor theme="5" tint="-0.499984740745262"/>
  </sheetPr>
  <dimension ref="A2"/>
  <sheetViews>
    <sheetView zoomScale="65" zoomScaleNormal="65" workbookViewId="0">
      <selection activeCell="AA49" sqref="AA49"/>
    </sheetView>
  </sheetViews>
  <sheetFormatPr defaultRowHeight="14.4" x14ac:dyDescent="0.3"/>
  <cols>
    <col min="1" max="1" width="31.5546875" style="121" customWidth="1"/>
    <col min="2" max="2" width="49.5546875" style="121" customWidth="1"/>
    <col min="3" max="3" width="3" style="121" customWidth="1"/>
    <col min="4" max="4" width="16" style="121" customWidth="1"/>
    <col min="5" max="5" width="14.88671875" style="121" customWidth="1"/>
    <col min="6" max="16384" width="8.88671875" style="121"/>
  </cols>
  <sheetData>
    <row r="2" ht="13.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58D9B-FEB2-4BC7-9C0E-6A0D0372AD4D}">
  <sheetPr>
    <tabColor theme="5" tint="0.59999389629810485"/>
  </sheetPr>
  <dimension ref="A1:R165"/>
  <sheetViews>
    <sheetView zoomScale="59" zoomScaleNormal="59" workbookViewId="0">
      <selection activeCell="L165" sqref="L165"/>
    </sheetView>
  </sheetViews>
  <sheetFormatPr defaultRowHeight="14.4" x14ac:dyDescent="0.3"/>
  <cols>
    <col min="1" max="1" width="18.5546875" bestFit="1" customWidth="1"/>
    <col min="2" max="2" width="22.88671875" bestFit="1" customWidth="1"/>
    <col min="3" max="3" width="25.5546875" bestFit="1" customWidth="1"/>
    <col min="4" max="4" width="23.21875" bestFit="1" customWidth="1"/>
    <col min="5" max="5" width="17.44140625" bestFit="1" customWidth="1"/>
    <col min="6" max="6" width="22.33203125" bestFit="1" customWidth="1"/>
    <col min="7" max="7" width="21.21875" bestFit="1" customWidth="1"/>
    <col min="8" max="8" width="14.6640625" customWidth="1"/>
    <col min="9" max="9" width="13.6640625" customWidth="1"/>
    <col min="10" max="10" width="14.44140625" customWidth="1"/>
    <col min="11" max="11" width="12.109375" customWidth="1"/>
    <col min="12" max="12" width="16.33203125" customWidth="1"/>
    <col min="13" max="14" width="13.6640625" customWidth="1"/>
    <col min="15" max="15" width="13.21875" customWidth="1"/>
    <col min="16" max="16" width="5.5546875" bestFit="1" customWidth="1"/>
    <col min="17" max="17" width="21" customWidth="1"/>
    <col min="18" max="19" width="15" customWidth="1"/>
    <col min="20" max="21" width="16.33203125" bestFit="1" customWidth="1"/>
    <col min="22" max="22" width="5.5546875" bestFit="1" customWidth="1"/>
    <col min="23" max="27" width="16.33203125" bestFit="1" customWidth="1"/>
    <col min="28" max="30" width="5.5546875" bestFit="1" customWidth="1"/>
    <col min="31" max="31" width="10.88671875" bestFit="1" customWidth="1"/>
    <col min="32" max="33" width="5.5546875" bestFit="1" customWidth="1"/>
    <col min="34" max="34" width="10.88671875" bestFit="1" customWidth="1"/>
    <col min="35" max="36" width="5.5546875" bestFit="1" customWidth="1"/>
    <col min="37" max="37" width="12.109375" bestFit="1" customWidth="1"/>
    <col min="38" max="38" width="6.88671875" bestFit="1" customWidth="1"/>
    <col min="39" max="39" width="12.109375" bestFit="1" customWidth="1"/>
    <col min="40" max="41" width="6.88671875" bestFit="1" customWidth="1"/>
    <col min="42" max="45" width="16.33203125" bestFit="1" customWidth="1"/>
    <col min="46" max="46" width="12.109375" bestFit="1" customWidth="1"/>
    <col min="47" max="49" width="16.33203125" bestFit="1" customWidth="1"/>
    <col min="50" max="50" width="6.88671875" bestFit="1" customWidth="1"/>
    <col min="51" max="55" width="16.33203125" bestFit="1" customWidth="1"/>
    <col min="56" max="57" width="10.88671875" bestFit="1" customWidth="1"/>
    <col min="58" max="58" width="6.88671875" bestFit="1" customWidth="1"/>
    <col min="59" max="59" width="16.33203125" bestFit="1" customWidth="1"/>
    <col min="60" max="62" width="6.88671875" bestFit="1" customWidth="1"/>
    <col min="63" max="63" width="12.109375" bestFit="1" customWidth="1"/>
    <col min="64" max="64" width="6.88671875" bestFit="1" customWidth="1"/>
  </cols>
  <sheetData>
    <row r="1" spans="1:8" x14ac:dyDescent="0.3">
      <c r="A1" s="122" t="s">
        <v>195</v>
      </c>
      <c r="B1" s="122" t="s">
        <v>194</v>
      </c>
    </row>
    <row r="2" spans="1:8" x14ac:dyDescent="0.3">
      <c r="A2" s="122" t="s">
        <v>193</v>
      </c>
      <c r="B2" t="s">
        <v>31</v>
      </c>
      <c r="C2" t="s">
        <v>30</v>
      </c>
      <c r="D2" t="s">
        <v>34</v>
      </c>
      <c r="E2" t="s">
        <v>29</v>
      </c>
      <c r="F2" t="s">
        <v>32</v>
      </c>
    </row>
    <row r="3" spans="1:8" x14ac:dyDescent="0.3">
      <c r="A3" s="123" t="s">
        <v>168</v>
      </c>
      <c r="B3" s="24">
        <v>2882</v>
      </c>
      <c r="C3" s="24">
        <v>11363</v>
      </c>
      <c r="D3" s="24">
        <v>1702</v>
      </c>
      <c r="E3" s="24">
        <v>21915</v>
      </c>
      <c r="F3" s="24">
        <v>2368</v>
      </c>
      <c r="H3" s="96">
        <v>2015</v>
      </c>
    </row>
    <row r="4" spans="1:8" x14ac:dyDescent="0.3">
      <c r="H4">
        <v>2016</v>
      </c>
    </row>
    <row r="5" spans="1:8" x14ac:dyDescent="0.3">
      <c r="H5" s="96">
        <v>2017</v>
      </c>
    </row>
    <row r="6" spans="1:8" x14ac:dyDescent="0.3">
      <c r="H6">
        <v>2018</v>
      </c>
    </row>
    <row r="7" spans="1:8" x14ac:dyDescent="0.3">
      <c r="H7" s="96">
        <v>2019</v>
      </c>
    </row>
    <row r="8" spans="1:8" x14ac:dyDescent="0.3">
      <c r="H8">
        <v>2020</v>
      </c>
    </row>
    <row r="9" spans="1:8" x14ac:dyDescent="0.3">
      <c r="H9" s="96">
        <v>2021</v>
      </c>
    </row>
    <row r="10" spans="1:8" x14ac:dyDescent="0.3">
      <c r="H10" s="96">
        <v>2022</v>
      </c>
    </row>
    <row r="11" spans="1:8" x14ac:dyDescent="0.3">
      <c r="H11" s="96">
        <v>2023</v>
      </c>
    </row>
    <row r="12" spans="1:8" x14ac:dyDescent="0.3">
      <c r="H12">
        <v>2024</v>
      </c>
    </row>
    <row r="13" spans="1:8" x14ac:dyDescent="0.3">
      <c r="H13" s="96">
        <v>2025</v>
      </c>
    </row>
    <row r="14" spans="1:8" x14ac:dyDescent="0.3">
      <c r="H14">
        <v>2026</v>
      </c>
    </row>
    <row r="15" spans="1:8" x14ac:dyDescent="0.3">
      <c r="H15" s="96">
        <v>2027</v>
      </c>
    </row>
    <row r="16" spans="1:8" x14ac:dyDescent="0.3">
      <c r="A16" s="122" t="s">
        <v>195</v>
      </c>
      <c r="B16" s="122" t="s">
        <v>194</v>
      </c>
      <c r="H16">
        <v>2028</v>
      </c>
    </row>
    <row r="17" spans="1:8" x14ac:dyDescent="0.3">
      <c r="A17" s="122" t="s">
        <v>193</v>
      </c>
      <c r="B17" t="s">
        <v>119</v>
      </c>
      <c r="H17" s="96">
        <v>2029</v>
      </c>
    </row>
    <row r="18" spans="1:8" x14ac:dyDescent="0.3">
      <c r="A18" s="123" t="s">
        <v>168</v>
      </c>
      <c r="B18" s="24">
        <v>15612</v>
      </c>
      <c r="H18">
        <v>2030</v>
      </c>
    </row>
    <row r="32" spans="1:8" x14ac:dyDescent="0.3">
      <c r="A32" s="122" t="s">
        <v>195</v>
      </c>
      <c r="B32" s="122" t="s">
        <v>194</v>
      </c>
    </row>
    <row r="33" spans="1:6" x14ac:dyDescent="0.3">
      <c r="A33" s="122" t="s">
        <v>193</v>
      </c>
      <c r="B33" t="s">
        <v>119</v>
      </c>
      <c r="D33" t="s">
        <v>170</v>
      </c>
      <c r="E33" t="s">
        <v>170</v>
      </c>
      <c r="F33" t="s">
        <v>196</v>
      </c>
    </row>
    <row r="34" spans="1:6" x14ac:dyDescent="0.3">
      <c r="A34" s="123" t="s">
        <v>47</v>
      </c>
      <c r="B34" s="24">
        <v>13343</v>
      </c>
      <c r="D34" s="24">
        <f>B34</f>
        <v>13343</v>
      </c>
      <c r="E34" s="24">
        <f>B34</f>
        <v>13343</v>
      </c>
      <c r="F34" s="24" t="e">
        <f>IF(E34=$B$18,$B$18,NA())</f>
        <v>#N/A</v>
      </c>
    </row>
    <row r="35" spans="1:6" x14ac:dyDescent="0.3">
      <c r="A35" s="123" t="s">
        <v>46</v>
      </c>
      <c r="B35" s="24">
        <v>15176</v>
      </c>
      <c r="D35" s="24">
        <f t="shared" ref="D35:D43" si="0">B35</f>
        <v>15176</v>
      </c>
      <c r="E35" s="24">
        <f t="shared" ref="E35:E43" si="1">B35</f>
        <v>15176</v>
      </c>
      <c r="F35" s="24" t="e">
        <f t="shared" ref="F35:F43" si="2">IF(E35=$B$18,$B$18,NA())</f>
        <v>#N/A</v>
      </c>
    </row>
    <row r="36" spans="1:6" x14ac:dyDescent="0.3">
      <c r="A36" s="123" t="s">
        <v>169</v>
      </c>
      <c r="B36" s="24">
        <v>14019</v>
      </c>
      <c r="D36" s="24">
        <f t="shared" si="0"/>
        <v>14019</v>
      </c>
      <c r="E36" s="24">
        <f t="shared" si="1"/>
        <v>14019</v>
      </c>
      <c r="F36" s="24" t="e">
        <f t="shared" si="2"/>
        <v>#N/A</v>
      </c>
    </row>
    <row r="37" spans="1:6" x14ac:dyDescent="0.3">
      <c r="A37" s="123" t="s">
        <v>168</v>
      </c>
      <c r="B37" s="24">
        <v>15612</v>
      </c>
      <c r="D37" s="24">
        <f t="shared" si="0"/>
        <v>15612</v>
      </c>
      <c r="E37" s="24">
        <f t="shared" si="1"/>
        <v>15612</v>
      </c>
      <c r="F37" s="24">
        <f t="shared" si="2"/>
        <v>15612</v>
      </c>
    </row>
    <row r="38" spans="1:6" x14ac:dyDescent="0.3">
      <c r="A38" s="123" t="s">
        <v>45</v>
      </c>
      <c r="B38" s="24">
        <v>20680</v>
      </c>
      <c r="D38" s="24">
        <f t="shared" si="0"/>
        <v>20680</v>
      </c>
      <c r="E38" s="24">
        <f t="shared" si="1"/>
        <v>20680</v>
      </c>
      <c r="F38" s="24" t="e">
        <f t="shared" si="2"/>
        <v>#N/A</v>
      </c>
    </row>
    <row r="39" spans="1:6" x14ac:dyDescent="0.3">
      <c r="A39" s="123" t="s">
        <v>44</v>
      </c>
      <c r="B39" s="24">
        <v>21053</v>
      </c>
      <c r="D39" s="24">
        <f t="shared" si="0"/>
        <v>21053</v>
      </c>
      <c r="E39" s="24">
        <f t="shared" si="1"/>
        <v>21053</v>
      </c>
      <c r="F39" s="24" t="e">
        <f t="shared" si="2"/>
        <v>#N/A</v>
      </c>
    </row>
    <row r="40" spans="1:6" x14ac:dyDescent="0.3">
      <c r="A40" s="123" t="s">
        <v>43</v>
      </c>
      <c r="B40" s="24">
        <v>22137</v>
      </c>
      <c r="D40" s="24">
        <f t="shared" si="0"/>
        <v>22137</v>
      </c>
      <c r="E40" s="24">
        <f t="shared" si="1"/>
        <v>22137</v>
      </c>
      <c r="F40" s="24" t="e">
        <f t="shared" si="2"/>
        <v>#N/A</v>
      </c>
    </row>
    <row r="41" spans="1:6" x14ac:dyDescent="0.3">
      <c r="A41" s="123" t="s">
        <v>42</v>
      </c>
      <c r="B41" s="24">
        <v>20296</v>
      </c>
      <c r="D41" s="24">
        <f t="shared" si="0"/>
        <v>20296</v>
      </c>
      <c r="E41" s="24">
        <f t="shared" si="1"/>
        <v>20296</v>
      </c>
      <c r="F41" s="24" t="e">
        <f t="shared" si="2"/>
        <v>#N/A</v>
      </c>
    </row>
    <row r="42" spans="1:6" x14ac:dyDescent="0.3">
      <c r="A42" s="123" t="s">
        <v>27</v>
      </c>
      <c r="B42" s="24">
        <v>18020</v>
      </c>
      <c r="D42" s="24">
        <f t="shared" si="0"/>
        <v>18020</v>
      </c>
      <c r="E42" s="24">
        <f t="shared" si="1"/>
        <v>18020</v>
      </c>
      <c r="F42" s="24" t="e">
        <f t="shared" si="2"/>
        <v>#N/A</v>
      </c>
    </row>
    <row r="43" spans="1:6" x14ac:dyDescent="0.3">
      <c r="A43" s="123" t="s">
        <v>26</v>
      </c>
      <c r="B43" s="24">
        <v>20655</v>
      </c>
      <c r="D43" s="24">
        <f t="shared" si="0"/>
        <v>20655</v>
      </c>
      <c r="E43" s="24">
        <f t="shared" si="1"/>
        <v>20655</v>
      </c>
      <c r="F43" s="24" t="e">
        <f t="shared" si="2"/>
        <v>#N/A</v>
      </c>
    </row>
    <row r="48" spans="1:6" x14ac:dyDescent="0.3">
      <c r="A48" s="122" t="s">
        <v>195</v>
      </c>
      <c r="B48" s="122" t="s">
        <v>194</v>
      </c>
    </row>
    <row r="49" spans="1:6" x14ac:dyDescent="0.3">
      <c r="A49" s="122" t="s">
        <v>193</v>
      </c>
      <c r="B49" t="s">
        <v>166</v>
      </c>
      <c r="E49" t="s">
        <v>170</v>
      </c>
      <c r="F49" t="s">
        <v>196</v>
      </c>
    </row>
    <row r="50" spans="1:6" x14ac:dyDescent="0.3">
      <c r="A50" s="123" t="s">
        <v>47</v>
      </c>
      <c r="B50" s="24">
        <v>3.54</v>
      </c>
      <c r="E50" s="24">
        <f>B50</f>
        <v>3.54</v>
      </c>
      <c r="F50" s="96" t="e">
        <f>IF(E50=$B$64,$B$64,NA())</f>
        <v>#N/A</v>
      </c>
    </row>
    <row r="51" spans="1:6" x14ac:dyDescent="0.3">
      <c r="A51" s="123" t="s">
        <v>46</v>
      </c>
      <c r="B51" s="24">
        <v>5.39</v>
      </c>
      <c r="E51" s="24">
        <f t="shared" ref="E51:E59" si="3">B51</f>
        <v>5.39</v>
      </c>
      <c r="F51" s="96" t="e">
        <f t="shared" ref="F51:F59" si="4">IF(E51=$B$64,$B$64,NA())</f>
        <v>#N/A</v>
      </c>
    </row>
    <row r="52" spans="1:6" x14ac:dyDescent="0.3">
      <c r="A52" s="123" t="s">
        <v>169</v>
      </c>
      <c r="B52" s="24">
        <v>7.05</v>
      </c>
      <c r="E52" s="24">
        <f t="shared" si="3"/>
        <v>7.05</v>
      </c>
      <c r="F52" s="96" t="e">
        <f t="shared" si="4"/>
        <v>#N/A</v>
      </c>
    </row>
    <row r="53" spans="1:6" x14ac:dyDescent="0.3">
      <c r="A53" s="123" t="s">
        <v>168</v>
      </c>
      <c r="B53" s="24">
        <v>8.4600000000000009</v>
      </c>
      <c r="E53" s="24">
        <f t="shared" si="3"/>
        <v>8.4600000000000009</v>
      </c>
      <c r="F53" s="96">
        <f t="shared" si="4"/>
        <v>8.4600000000000009</v>
      </c>
    </row>
    <row r="54" spans="1:6" x14ac:dyDescent="0.3">
      <c r="A54" s="123" t="s">
        <v>45</v>
      </c>
      <c r="B54" s="24">
        <v>9.6999999999999993</v>
      </c>
      <c r="E54" s="24">
        <f t="shared" si="3"/>
        <v>9.6999999999999993</v>
      </c>
      <c r="F54" s="96" t="e">
        <f t="shared" si="4"/>
        <v>#N/A</v>
      </c>
    </row>
    <row r="55" spans="1:6" x14ac:dyDescent="0.3">
      <c r="A55" s="123" t="s">
        <v>44</v>
      </c>
      <c r="B55" s="24">
        <v>2.31</v>
      </c>
      <c r="E55" s="24">
        <f t="shared" si="3"/>
        <v>2.31</v>
      </c>
      <c r="F55" s="96" t="e">
        <f t="shared" si="4"/>
        <v>#N/A</v>
      </c>
    </row>
    <row r="56" spans="1:6" x14ac:dyDescent="0.3">
      <c r="A56" s="123" t="s">
        <v>43</v>
      </c>
      <c r="B56" s="24">
        <v>7.47</v>
      </c>
      <c r="E56" s="24">
        <f t="shared" si="3"/>
        <v>7.47</v>
      </c>
      <c r="F56" s="96" t="e">
        <f t="shared" si="4"/>
        <v>#N/A</v>
      </c>
    </row>
    <row r="57" spans="1:6" x14ac:dyDescent="0.3">
      <c r="A57" s="123" t="s">
        <v>42</v>
      </c>
      <c r="B57" s="24">
        <v>1.25</v>
      </c>
      <c r="E57" s="24">
        <f t="shared" si="3"/>
        <v>1.25</v>
      </c>
      <c r="F57" s="96" t="e">
        <f t="shared" si="4"/>
        <v>#N/A</v>
      </c>
    </row>
    <row r="58" spans="1:6" x14ac:dyDescent="0.3">
      <c r="A58" s="123" t="s">
        <v>27</v>
      </c>
      <c r="B58" s="24">
        <v>-0.67</v>
      </c>
      <c r="E58" s="24">
        <f t="shared" si="3"/>
        <v>-0.67</v>
      </c>
      <c r="F58" s="96" t="e">
        <f t="shared" si="4"/>
        <v>#N/A</v>
      </c>
    </row>
    <row r="59" spans="1:6" x14ac:dyDescent="0.3">
      <c r="A59" s="123" t="s">
        <v>26</v>
      </c>
      <c r="B59" s="24">
        <v>4.24</v>
      </c>
      <c r="E59" s="24">
        <f t="shared" si="3"/>
        <v>4.24</v>
      </c>
      <c r="F59" s="96" t="e">
        <f t="shared" si="4"/>
        <v>#N/A</v>
      </c>
    </row>
    <row r="62" spans="1:6" x14ac:dyDescent="0.3">
      <c r="A62" s="122" t="s">
        <v>195</v>
      </c>
      <c r="B62" s="122" t="s">
        <v>194</v>
      </c>
    </row>
    <row r="63" spans="1:6" x14ac:dyDescent="0.3">
      <c r="A63" s="122" t="s">
        <v>193</v>
      </c>
      <c r="B63" t="s">
        <v>166</v>
      </c>
      <c r="C63" t="s">
        <v>165</v>
      </c>
      <c r="D63" t="s">
        <v>57</v>
      </c>
    </row>
    <row r="64" spans="1:6" x14ac:dyDescent="0.3">
      <c r="A64" s="123" t="s">
        <v>168</v>
      </c>
      <c r="B64" s="24">
        <v>8.4600000000000009</v>
      </c>
      <c r="C64" s="24">
        <v>8.4499999999999993</v>
      </c>
      <c r="D64" s="24">
        <v>182.4</v>
      </c>
    </row>
    <row r="77" spans="1:14" x14ac:dyDescent="0.3">
      <c r="A77" s="122" t="s">
        <v>195</v>
      </c>
      <c r="B77" s="125" t="s">
        <v>194</v>
      </c>
      <c r="C77" s="34"/>
      <c r="D77" s="34"/>
      <c r="E77" s="34"/>
      <c r="F77" s="34"/>
      <c r="G77" s="34"/>
    </row>
    <row r="78" spans="1:14" x14ac:dyDescent="0.3">
      <c r="A78" s="122" t="s">
        <v>193</v>
      </c>
      <c r="B78" s="34" t="s">
        <v>37</v>
      </c>
      <c r="C78" s="34" t="s">
        <v>163</v>
      </c>
      <c r="D78" s="34" t="s">
        <v>162</v>
      </c>
      <c r="E78" s="34" t="s">
        <v>35</v>
      </c>
      <c r="F78" s="34" t="s">
        <v>36</v>
      </c>
      <c r="G78" s="34" t="s">
        <v>164</v>
      </c>
      <c r="I78" s="126" t="s">
        <v>37</v>
      </c>
      <c r="J78" s="126" t="s">
        <v>163</v>
      </c>
      <c r="K78" s="126" t="s">
        <v>162</v>
      </c>
      <c r="L78" s="126" t="s">
        <v>35</v>
      </c>
      <c r="M78" s="126" t="s">
        <v>36</v>
      </c>
      <c r="N78" s="126" t="s">
        <v>164</v>
      </c>
    </row>
    <row r="79" spans="1:14" x14ac:dyDescent="0.3">
      <c r="A79" s="123" t="s">
        <v>168</v>
      </c>
      <c r="B79" s="34">
        <v>0.28100000000000003</v>
      </c>
      <c r="C79" s="34">
        <v>0.40799999999999997</v>
      </c>
      <c r="D79" s="34">
        <v>-0.15</v>
      </c>
      <c r="E79" s="34">
        <v>0.51800000000000002</v>
      </c>
      <c r="F79" s="34">
        <v>0.108</v>
      </c>
      <c r="G79" s="34">
        <v>0.26700000000000002</v>
      </c>
      <c r="I79" s="34">
        <f>B79</f>
        <v>0.28100000000000003</v>
      </c>
      <c r="J79" s="34">
        <f t="shared" ref="J79:N79" si="5">C79</f>
        <v>0.40799999999999997</v>
      </c>
      <c r="K79" s="34">
        <f t="shared" si="5"/>
        <v>-0.15</v>
      </c>
      <c r="L79" s="34">
        <f t="shared" si="5"/>
        <v>0.51800000000000002</v>
      </c>
      <c r="M79" s="34">
        <f t="shared" si="5"/>
        <v>0.108</v>
      </c>
      <c r="N79" s="34">
        <f t="shared" si="5"/>
        <v>0.26700000000000002</v>
      </c>
    </row>
    <row r="80" spans="1:14" x14ac:dyDescent="0.3">
      <c r="I80" s="63">
        <f>100%-B79</f>
        <v>0.71899999999999997</v>
      </c>
      <c r="J80" s="63">
        <f t="shared" ref="J80:N80" si="6">100%-C79</f>
        <v>0.59200000000000008</v>
      </c>
      <c r="K80" s="63">
        <f t="shared" si="6"/>
        <v>1.1499999999999999</v>
      </c>
      <c r="L80" s="63">
        <f t="shared" si="6"/>
        <v>0.48199999999999998</v>
      </c>
      <c r="M80" s="63">
        <f>100%-F79</f>
        <v>0.89200000000000002</v>
      </c>
      <c r="N80" s="63">
        <f t="shared" si="6"/>
        <v>0.73299999999999998</v>
      </c>
    </row>
    <row r="95" spans="1:8" x14ac:dyDescent="0.3">
      <c r="A95" s="122" t="s">
        <v>195</v>
      </c>
      <c r="B95" s="122" t="s">
        <v>194</v>
      </c>
      <c r="C95" s="34"/>
    </row>
    <row r="96" spans="1:8" x14ac:dyDescent="0.3">
      <c r="A96" s="122" t="s">
        <v>193</v>
      </c>
      <c r="B96" t="s">
        <v>117</v>
      </c>
      <c r="C96" t="s">
        <v>115</v>
      </c>
      <c r="E96" s="24" t="s">
        <v>170</v>
      </c>
      <c r="F96" s="24" t="s">
        <v>170</v>
      </c>
      <c r="G96" s="24" t="s">
        <v>170</v>
      </c>
      <c r="H96" s="24" t="s">
        <v>170</v>
      </c>
    </row>
    <row r="97" spans="1:8" x14ac:dyDescent="0.3">
      <c r="A97" s="123" t="s">
        <v>47</v>
      </c>
      <c r="B97" s="24">
        <v>2028.136</v>
      </c>
      <c r="C97" s="24">
        <v>2054.8220000000001</v>
      </c>
      <c r="E97" s="24" t="e">
        <f>IF(B97=$B$111,B97,NA())</f>
        <v>#N/A</v>
      </c>
      <c r="F97" s="24" t="e">
        <f>IF(C97=$C$111,C97,NA())</f>
        <v>#N/A</v>
      </c>
      <c r="G97" s="24">
        <f>IF(B97=$B$111,NA(),B97)</f>
        <v>2028.136</v>
      </c>
      <c r="H97" s="24">
        <f>IF(C97=$C$111,NA(),C97)</f>
        <v>2054.8220000000001</v>
      </c>
    </row>
    <row r="98" spans="1:8" x14ac:dyDescent="0.3">
      <c r="A98" s="123" t="s">
        <v>46</v>
      </c>
      <c r="B98" s="24">
        <v>2488.864</v>
      </c>
      <c r="C98" s="24">
        <v>2200.52</v>
      </c>
      <c r="E98" s="24" t="e">
        <f t="shared" ref="E98:E106" si="7">IF(B98=$B$111,B98,NA())</f>
        <v>#N/A</v>
      </c>
      <c r="F98" s="24" t="e">
        <f t="shared" ref="F98:F106" si="8">IF(C98=$C$111,C98,NA())</f>
        <v>#N/A</v>
      </c>
      <c r="G98" s="24">
        <f t="shared" ref="G98:G106" si="9">IF(B98=$B$111,NA(),B98)</f>
        <v>2488.864</v>
      </c>
      <c r="H98" s="24">
        <f t="shared" ref="H98:H106" si="10">IF(C98=$C$111,NA(),C98)</f>
        <v>2200.52</v>
      </c>
    </row>
    <row r="99" spans="1:8" x14ac:dyDescent="0.3">
      <c r="A99" s="123" t="s">
        <v>169</v>
      </c>
      <c r="B99" s="24">
        <v>1976.6789999999999</v>
      </c>
      <c r="C99" s="24">
        <v>2313.1350000000002</v>
      </c>
      <c r="E99" s="24" t="e">
        <f t="shared" si="7"/>
        <v>#N/A</v>
      </c>
      <c r="F99" s="24" t="e">
        <f t="shared" si="8"/>
        <v>#N/A</v>
      </c>
      <c r="G99" s="24">
        <f t="shared" si="9"/>
        <v>1976.6789999999999</v>
      </c>
      <c r="H99" s="24">
        <f t="shared" si="10"/>
        <v>2313.1350000000002</v>
      </c>
    </row>
    <row r="100" spans="1:8" x14ac:dyDescent="0.3">
      <c r="A100" s="123" t="s">
        <v>168</v>
      </c>
      <c r="B100" s="24">
        <v>2294.9639999999999</v>
      </c>
      <c r="C100" s="24">
        <v>2419.86</v>
      </c>
      <c r="E100" s="24">
        <f t="shared" si="7"/>
        <v>2294.9639999999999</v>
      </c>
      <c r="F100" s="24">
        <f t="shared" si="8"/>
        <v>2419.86</v>
      </c>
      <c r="G100" s="24" t="e">
        <f t="shared" si="9"/>
        <v>#N/A</v>
      </c>
      <c r="H100" s="24" t="e">
        <f t="shared" si="10"/>
        <v>#N/A</v>
      </c>
    </row>
    <row r="101" spans="1:8" x14ac:dyDescent="0.3">
      <c r="A101" s="123" t="s">
        <v>45</v>
      </c>
      <c r="B101" s="24">
        <v>2709.08</v>
      </c>
      <c r="C101" s="24">
        <v>2626.36</v>
      </c>
      <c r="E101" s="24" t="e">
        <f t="shared" si="7"/>
        <v>#N/A</v>
      </c>
      <c r="F101" s="24" t="e">
        <f t="shared" si="8"/>
        <v>#N/A</v>
      </c>
      <c r="G101" s="24">
        <f t="shared" si="9"/>
        <v>2709.08</v>
      </c>
      <c r="H101" s="24">
        <f t="shared" si="10"/>
        <v>2626.36</v>
      </c>
    </row>
    <row r="102" spans="1:8" x14ac:dyDescent="0.3">
      <c r="A102" s="123" t="s">
        <v>44</v>
      </c>
      <c r="B102" s="24">
        <v>2400.0419999999999</v>
      </c>
      <c r="C102" s="24">
        <v>1957.9290000000001</v>
      </c>
      <c r="E102" s="24" t="e">
        <f t="shared" si="7"/>
        <v>#N/A</v>
      </c>
      <c r="F102" s="24" t="e">
        <f t="shared" si="8"/>
        <v>#N/A</v>
      </c>
      <c r="G102" s="24">
        <f t="shared" si="9"/>
        <v>2400.0419999999999</v>
      </c>
      <c r="H102" s="24">
        <f t="shared" si="10"/>
        <v>1957.9290000000001</v>
      </c>
    </row>
    <row r="103" spans="1:8" x14ac:dyDescent="0.3">
      <c r="A103" s="123" t="s">
        <v>43</v>
      </c>
      <c r="B103" s="24">
        <v>2302.248</v>
      </c>
      <c r="C103" s="24">
        <v>2169.4259999999999</v>
      </c>
      <c r="E103" s="24" t="e">
        <f t="shared" si="7"/>
        <v>#N/A</v>
      </c>
      <c r="F103" s="24" t="e">
        <f t="shared" si="8"/>
        <v>#N/A</v>
      </c>
      <c r="G103" s="24">
        <f t="shared" si="9"/>
        <v>2302.248</v>
      </c>
      <c r="H103" s="24">
        <f t="shared" si="10"/>
        <v>2169.4259999999999</v>
      </c>
    </row>
    <row r="104" spans="1:8" x14ac:dyDescent="0.3">
      <c r="A104" s="123" t="s">
        <v>42</v>
      </c>
      <c r="B104" s="24">
        <v>2902.328</v>
      </c>
      <c r="C104" s="24">
        <v>2537</v>
      </c>
      <c r="E104" s="24" t="e">
        <f t="shared" si="7"/>
        <v>#N/A</v>
      </c>
      <c r="F104" s="24" t="e">
        <f t="shared" si="8"/>
        <v>#N/A</v>
      </c>
      <c r="G104" s="24">
        <f t="shared" si="9"/>
        <v>2902.328</v>
      </c>
      <c r="H104" s="24">
        <f t="shared" si="10"/>
        <v>2537</v>
      </c>
    </row>
    <row r="105" spans="1:8" x14ac:dyDescent="0.3">
      <c r="A105" s="123" t="s">
        <v>27</v>
      </c>
      <c r="B105" s="24">
        <v>2270.52</v>
      </c>
      <c r="C105" s="24">
        <v>1910.12</v>
      </c>
      <c r="E105" s="24" t="e">
        <f t="shared" si="7"/>
        <v>#N/A</v>
      </c>
      <c r="F105" s="24" t="e">
        <f t="shared" si="8"/>
        <v>#N/A</v>
      </c>
      <c r="G105" s="24">
        <f t="shared" si="9"/>
        <v>2270.52</v>
      </c>
      <c r="H105" s="24">
        <f t="shared" si="10"/>
        <v>1910.12</v>
      </c>
    </row>
    <row r="106" spans="1:8" x14ac:dyDescent="0.3">
      <c r="A106" s="123" t="s">
        <v>26</v>
      </c>
      <c r="B106" s="24">
        <v>3098.25</v>
      </c>
      <c r="C106" s="24">
        <v>2416.6350000000002</v>
      </c>
      <c r="E106" s="24" t="e">
        <f t="shared" si="7"/>
        <v>#N/A</v>
      </c>
      <c r="F106" s="24" t="e">
        <f t="shared" si="8"/>
        <v>#N/A</v>
      </c>
      <c r="G106" s="24">
        <f t="shared" si="9"/>
        <v>3098.25</v>
      </c>
      <c r="H106" s="24">
        <f t="shared" si="10"/>
        <v>2416.6350000000002</v>
      </c>
    </row>
    <row r="109" spans="1:8" x14ac:dyDescent="0.3">
      <c r="A109" s="122" t="s">
        <v>195</v>
      </c>
      <c r="B109" s="122" t="s">
        <v>194</v>
      </c>
      <c r="C109" s="34"/>
    </row>
    <row r="110" spans="1:8" x14ac:dyDescent="0.3">
      <c r="A110" s="122" t="s">
        <v>193</v>
      </c>
      <c r="B110" t="s">
        <v>117</v>
      </c>
      <c r="C110" t="s">
        <v>115</v>
      </c>
    </row>
    <row r="111" spans="1:8" x14ac:dyDescent="0.3">
      <c r="A111" s="123" t="s">
        <v>168</v>
      </c>
      <c r="B111" s="24">
        <v>2294.9639999999999</v>
      </c>
      <c r="C111" s="24">
        <v>2419.86</v>
      </c>
    </row>
    <row r="126" spans="1:2" x14ac:dyDescent="0.3">
      <c r="A126" s="122" t="s">
        <v>195</v>
      </c>
      <c r="B126" s="122" t="s">
        <v>194</v>
      </c>
    </row>
    <row r="127" spans="1:2" x14ac:dyDescent="0.3">
      <c r="A127" s="122" t="s">
        <v>193</v>
      </c>
      <c r="B127" t="s">
        <v>102</v>
      </c>
    </row>
    <row r="128" spans="1:2" x14ac:dyDescent="0.3">
      <c r="A128" s="123" t="s">
        <v>168</v>
      </c>
      <c r="B128" s="24">
        <v>1887.62</v>
      </c>
    </row>
    <row r="148" spans="1:18" x14ac:dyDescent="0.3">
      <c r="A148" s="122" t="s">
        <v>195</v>
      </c>
      <c r="B148" s="122" t="s">
        <v>194</v>
      </c>
      <c r="Q148" s="24"/>
      <c r="R148" s="24"/>
    </row>
    <row r="149" spans="1:18" x14ac:dyDescent="0.3">
      <c r="A149" s="122" t="s">
        <v>193</v>
      </c>
      <c r="B149" t="s">
        <v>102</v>
      </c>
      <c r="H149" s="124" t="s">
        <v>16</v>
      </c>
      <c r="J149" s="124" t="s">
        <v>16</v>
      </c>
      <c r="K149" s="127" t="s">
        <v>198</v>
      </c>
      <c r="L149" s="127" t="s">
        <v>199</v>
      </c>
    </row>
    <row r="150" spans="1:18" x14ac:dyDescent="0.3">
      <c r="A150" s="123" t="s">
        <v>47</v>
      </c>
      <c r="B150" s="24">
        <v>1021.530999999999</v>
      </c>
      <c r="H150" s="24">
        <f>B150</f>
        <v>1021.530999999999</v>
      </c>
      <c r="J150" s="24">
        <f>H150</f>
        <v>1021.530999999999</v>
      </c>
      <c r="L150" t="e">
        <f>IF(J150=$B$128,J150,NA())</f>
        <v>#N/A</v>
      </c>
    </row>
    <row r="151" spans="1:18" x14ac:dyDescent="0.3">
      <c r="A151" s="123" t="s">
        <v>46</v>
      </c>
      <c r="B151" s="24">
        <v>710.62700000000063</v>
      </c>
      <c r="H151" s="24">
        <f t="shared" ref="H151:H165" si="11">B151</f>
        <v>710.62700000000063</v>
      </c>
      <c r="J151" s="24">
        <f t="shared" ref="J151:J159" si="12">H151</f>
        <v>710.62700000000063</v>
      </c>
      <c r="L151" t="e">
        <f t="shared" ref="L151:L159" si="13">IF(J151=$B$128,J151,NA())</f>
        <v>#N/A</v>
      </c>
    </row>
    <row r="152" spans="1:18" x14ac:dyDescent="0.3">
      <c r="A152" s="123" t="s">
        <v>169</v>
      </c>
      <c r="B152" s="24">
        <v>1506.5740000000005</v>
      </c>
      <c r="H152" s="24">
        <f t="shared" si="11"/>
        <v>1506.5740000000005</v>
      </c>
      <c r="J152" s="24">
        <f t="shared" si="12"/>
        <v>1506.5740000000005</v>
      </c>
      <c r="L152" t="e">
        <f t="shared" si="13"/>
        <v>#N/A</v>
      </c>
    </row>
    <row r="153" spans="1:18" x14ac:dyDescent="0.3">
      <c r="A153" s="123" t="s">
        <v>168</v>
      </c>
      <c r="B153" s="24">
        <v>1887.62</v>
      </c>
      <c r="H153" s="24">
        <f t="shared" si="11"/>
        <v>1887.62</v>
      </c>
      <c r="J153" s="24">
        <f t="shared" si="12"/>
        <v>1887.62</v>
      </c>
      <c r="L153">
        <f t="shared" si="13"/>
        <v>1887.62</v>
      </c>
    </row>
    <row r="154" spans="1:18" x14ac:dyDescent="0.3">
      <c r="A154" s="123" t="s">
        <v>45</v>
      </c>
      <c r="B154" s="24">
        <v>2710.5319999999992</v>
      </c>
      <c r="H154" s="24">
        <f t="shared" si="11"/>
        <v>2710.5319999999992</v>
      </c>
      <c r="J154" s="24">
        <f t="shared" si="12"/>
        <v>2710.5319999999992</v>
      </c>
      <c r="L154" t="e">
        <f t="shared" si="13"/>
        <v>#N/A</v>
      </c>
    </row>
    <row r="155" spans="1:18" x14ac:dyDescent="0.3">
      <c r="A155" s="123" t="s">
        <v>44</v>
      </c>
      <c r="B155" s="24">
        <v>1227.9090000000003</v>
      </c>
      <c r="H155" s="24">
        <f t="shared" si="11"/>
        <v>1227.9090000000003</v>
      </c>
      <c r="J155" s="24">
        <f t="shared" si="12"/>
        <v>1227.9090000000003</v>
      </c>
      <c r="L155" t="e">
        <f t="shared" si="13"/>
        <v>#N/A</v>
      </c>
    </row>
    <row r="156" spans="1:18" x14ac:dyDescent="0.3">
      <c r="A156" s="123" t="s">
        <v>43</v>
      </c>
      <c r="B156" s="24">
        <v>754.54299999999876</v>
      </c>
      <c r="H156" s="24">
        <f t="shared" si="11"/>
        <v>754.54299999999876</v>
      </c>
      <c r="J156" s="24">
        <f t="shared" si="12"/>
        <v>754.54299999999876</v>
      </c>
      <c r="L156" t="e">
        <f t="shared" si="13"/>
        <v>#N/A</v>
      </c>
    </row>
    <row r="157" spans="1:18" x14ac:dyDescent="0.3">
      <c r="A157" s="123" t="s">
        <v>42</v>
      </c>
      <c r="B157" s="24">
        <v>-324.39599999999837</v>
      </c>
      <c r="H157" s="24">
        <f t="shared" si="11"/>
        <v>-324.39599999999837</v>
      </c>
      <c r="J157" s="24">
        <f t="shared" si="12"/>
        <v>-324.39599999999837</v>
      </c>
      <c r="L157" t="e">
        <f t="shared" si="13"/>
        <v>#N/A</v>
      </c>
    </row>
    <row r="158" spans="1:18" x14ac:dyDescent="0.3">
      <c r="A158" s="123" t="s">
        <v>27</v>
      </c>
      <c r="B158" s="24">
        <v>1949.4525555555551</v>
      </c>
      <c r="H158" s="24">
        <f t="shared" si="11"/>
        <v>1949.4525555555551</v>
      </c>
      <c r="J158" s="24">
        <f t="shared" si="12"/>
        <v>1949.4525555555551</v>
      </c>
      <c r="L158" t="e">
        <f t="shared" si="13"/>
        <v>#N/A</v>
      </c>
    </row>
    <row r="159" spans="1:18" x14ac:dyDescent="0.3">
      <c r="A159" s="123" t="s">
        <v>26</v>
      </c>
      <c r="B159" s="24">
        <v>1863.85</v>
      </c>
      <c r="H159" s="24">
        <f t="shared" si="11"/>
        <v>1863.85</v>
      </c>
      <c r="J159" s="24">
        <f t="shared" si="12"/>
        <v>1863.85</v>
      </c>
      <c r="L159" t="e">
        <f t="shared" si="13"/>
        <v>#N/A</v>
      </c>
    </row>
    <row r="160" spans="1:18" x14ac:dyDescent="0.3">
      <c r="A160" s="123" t="s">
        <v>187</v>
      </c>
      <c r="B160" s="24">
        <v>1499.6971607930691</v>
      </c>
      <c r="H160" s="24">
        <f t="shared" si="11"/>
        <v>1499.6971607930691</v>
      </c>
      <c r="J160" s="24">
        <f>H160</f>
        <v>1499.6971607930691</v>
      </c>
      <c r="K160" s="24">
        <f>H160</f>
        <v>1499.6971607930691</v>
      </c>
      <c r="L160" t="e">
        <f>IF(J160=$B$128,J160,NA())</f>
        <v>#N/A</v>
      </c>
    </row>
    <row r="161" spans="1:12" x14ac:dyDescent="0.3">
      <c r="A161" s="123" t="s">
        <v>188</v>
      </c>
      <c r="B161" s="24">
        <v>1431.9259480140222</v>
      </c>
      <c r="H161" s="24">
        <f t="shared" si="11"/>
        <v>1431.9259480140222</v>
      </c>
      <c r="K161" s="24">
        <f t="shared" ref="K161:K165" si="14">H161</f>
        <v>1431.9259480140222</v>
      </c>
      <c r="L161" t="e">
        <f>IF(K161=$B$128,K161,NA())</f>
        <v>#N/A</v>
      </c>
    </row>
    <row r="162" spans="1:12" x14ac:dyDescent="0.3">
      <c r="A162" s="123" t="s">
        <v>189</v>
      </c>
      <c r="B162" s="24">
        <v>1531.2526211877303</v>
      </c>
      <c r="H162" s="24">
        <f t="shared" si="11"/>
        <v>1531.2526211877303</v>
      </c>
      <c r="K162" s="24">
        <f t="shared" si="14"/>
        <v>1531.2526211877303</v>
      </c>
      <c r="L162" t="e">
        <f t="shared" ref="L162:L165" si="15">IF(K162=$B$128,K162,NA())</f>
        <v>#N/A</v>
      </c>
    </row>
    <row r="163" spans="1:12" x14ac:dyDescent="0.3">
      <c r="A163" s="123" t="s">
        <v>190</v>
      </c>
      <c r="B163" s="24">
        <v>1719.3630673869311</v>
      </c>
      <c r="H163" s="24">
        <f t="shared" si="11"/>
        <v>1719.3630673869311</v>
      </c>
      <c r="K163" s="24">
        <f t="shared" si="14"/>
        <v>1719.3630673869311</v>
      </c>
      <c r="L163" t="e">
        <f t="shared" si="15"/>
        <v>#N/A</v>
      </c>
    </row>
    <row r="164" spans="1:12" x14ac:dyDescent="0.3">
      <c r="A164" s="123" t="s">
        <v>191</v>
      </c>
      <c r="B164" s="24">
        <v>1719.0509180302133</v>
      </c>
      <c r="H164" s="24">
        <f t="shared" si="11"/>
        <v>1719.0509180302133</v>
      </c>
      <c r="K164" s="24">
        <f t="shared" si="14"/>
        <v>1719.0509180302133</v>
      </c>
      <c r="L164" t="e">
        <f t="shared" si="15"/>
        <v>#N/A</v>
      </c>
    </row>
    <row r="165" spans="1:12" x14ac:dyDescent="0.3">
      <c r="A165" s="123" t="s">
        <v>192</v>
      </c>
      <c r="B165" s="24">
        <v>1756.7943350420405</v>
      </c>
      <c r="H165" s="24">
        <f t="shared" si="11"/>
        <v>1756.7943350420405</v>
      </c>
      <c r="K165" s="24">
        <f t="shared" si="14"/>
        <v>1756.7943350420405</v>
      </c>
      <c r="L165" t="e">
        <f t="shared" si="15"/>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3429C-49F8-4AD4-AA44-4A5024ED52C1}">
  <sheetPr>
    <tabColor theme="5" tint="0.59999389629810485"/>
  </sheetPr>
  <dimension ref="A1:AB81"/>
  <sheetViews>
    <sheetView zoomScale="69" zoomScaleNormal="69" workbookViewId="0">
      <selection activeCell="F2" sqref="F2:H11"/>
    </sheetView>
  </sheetViews>
  <sheetFormatPr defaultRowHeight="14.4" x14ac:dyDescent="0.3"/>
  <cols>
    <col min="1" max="1" width="36.5546875" bestFit="1" customWidth="1"/>
    <col min="2" max="2" width="6.88671875" bestFit="1" customWidth="1"/>
    <col min="3" max="3" width="7.88671875" bestFit="1" customWidth="1"/>
    <col min="6" max="6" width="15.88671875" bestFit="1" customWidth="1"/>
    <col min="7" max="7" width="8.109375" bestFit="1" customWidth="1"/>
    <col min="8" max="8" width="9.33203125" bestFit="1" customWidth="1"/>
    <col min="11" max="11" width="25.109375" bestFit="1" customWidth="1"/>
    <col min="12" max="12" width="8.109375" bestFit="1" customWidth="1"/>
    <col min="13" max="13" width="9.33203125" bestFit="1" customWidth="1"/>
    <col min="16" max="17" width="8.109375" bestFit="1" customWidth="1"/>
    <col min="18" max="18" width="9.33203125" bestFit="1" customWidth="1"/>
    <col min="25" max="25" width="18.44140625" bestFit="1" customWidth="1"/>
    <col min="26" max="26" width="8.109375" bestFit="1" customWidth="1"/>
    <col min="27" max="27" width="14.109375" bestFit="1" customWidth="1"/>
    <col min="29" max="29" width="18.44140625" bestFit="1" customWidth="1"/>
    <col min="30" max="30" width="8.109375" bestFit="1" customWidth="1"/>
    <col min="31" max="31" width="14.109375" bestFit="1" customWidth="1"/>
  </cols>
  <sheetData>
    <row r="1" spans="1:28" x14ac:dyDescent="0.3">
      <c r="A1" t="s">
        <v>197</v>
      </c>
      <c r="B1" t="s">
        <v>161</v>
      </c>
      <c r="C1" t="s">
        <v>170</v>
      </c>
      <c r="F1" t="s">
        <v>167</v>
      </c>
      <c r="G1" t="s">
        <v>161</v>
      </c>
      <c r="H1" t="s">
        <v>170</v>
      </c>
      <c r="K1" t="s">
        <v>56</v>
      </c>
      <c r="L1" t="s">
        <v>161</v>
      </c>
      <c r="M1" t="s">
        <v>170</v>
      </c>
      <c r="P1" t="s">
        <v>167</v>
      </c>
      <c r="Q1" t="s">
        <v>161</v>
      </c>
      <c r="R1" t="s">
        <v>170</v>
      </c>
      <c r="T1" t="s">
        <v>167</v>
      </c>
      <c r="U1" t="s">
        <v>161</v>
      </c>
      <c r="V1" t="s">
        <v>170</v>
      </c>
      <c r="Z1" t="s">
        <v>101</v>
      </c>
      <c r="AA1" t="s">
        <v>161</v>
      </c>
      <c r="AB1" t="s">
        <v>170</v>
      </c>
    </row>
    <row r="2" spans="1:28" x14ac:dyDescent="0.3">
      <c r="A2" t="s">
        <v>29</v>
      </c>
      <c r="B2" t="s">
        <v>26</v>
      </c>
      <c r="C2">
        <v>23683</v>
      </c>
      <c r="F2" t="s">
        <v>35</v>
      </c>
      <c r="G2" t="s">
        <v>26</v>
      </c>
      <c r="H2">
        <v>0.50800000000000001</v>
      </c>
      <c r="K2" t="s">
        <v>57</v>
      </c>
      <c r="L2" t="s">
        <v>26</v>
      </c>
      <c r="M2">
        <v>236.8</v>
      </c>
      <c r="P2" t="s">
        <v>119</v>
      </c>
      <c r="Q2" t="s">
        <v>26</v>
      </c>
      <c r="R2">
        <v>20655</v>
      </c>
      <c r="T2" t="s">
        <v>115</v>
      </c>
      <c r="U2" t="s">
        <v>26</v>
      </c>
      <c r="V2">
        <v>2416.6350000000002</v>
      </c>
      <c r="Z2" t="s">
        <v>12</v>
      </c>
      <c r="AA2" t="s">
        <v>47</v>
      </c>
      <c r="AB2">
        <v>1137</v>
      </c>
    </row>
    <row r="3" spans="1:28" x14ac:dyDescent="0.3">
      <c r="A3" t="s">
        <v>29</v>
      </c>
      <c r="B3" t="s">
        <v>27</v>
      </c>
      <c r="C3">
        <v>21427</v>
      </c>
      <c r="F3" t="s">
        <v>35</v>
      </c>
      <c r="G3" t="s">
        <v>27</v>
      </c>
      <c r="H3">
        <v>0.47499999999999998</v>
      </c>
      <c r="K3" t="s">
        <v>57</v>
      </c>
      <c r="L3" t="s">
        <v>27</v>
      </c>
      <c r="M3">
        <v>184.16</v>
      </c>
      <c r="P3" t="s">
        <v>119</v>
      </c>
      <c r="Q3" t="s">
        <v>27</v>
      </c>
      <c r="R3">
        <v>18020</v>
      </c>
      <c r="T3" t="s">
        <v>115</v>
      </c>
      <c r="U3" t="s">
        <v>27</v>
      </c>
      <c r="V3">
        <v>1910.12</v>
      </c>
      <c r="Z3" t="s">
        <v>12</v>
      </c>
      <c r="AA3" t="s">
        <v>46</v>
      </c>
      <c r="AB3">
        <v>1580</v>
      </c>
    </row>
    <row r="4" spans="1:28" x14ac:dyDescent="0.3">
      <c r="A4" t="s">
        <v>29</v>
      </c>
      <c r="B4" t="s">
        <v>42</v>
      </c>
      <c r="C4">
        <v>22511</v>
      </c>
      <c r="F4" t="s">
        <v>35</v>
      </c>
      <c r="G4" t="s">
        <v>42</v>
      </c>
      <c r="H4">
        <v>0.47299999999999998</v>
      </c>
      <c r="K4" t="s">
        <v>57</v>
      </c>
      <c r="L4" t="s">
        <v>42</v>
      </c>
      <c r="M4">
        <v>127.46</v>
      </c>
      <c r="P4" t="s">
        <v>119</v>
      </c>
      <c r="Q4" t="s">
        <v>42</v>
      </c>
      <c r="R4">
        <v>20296</v>
      </c>
      <c r="T4" t="s">
        <v>115</v>
      </c>
      <c r="U4" t="s">
        <v>42</v>
      </c>
      <c r="V4">
        <v>2537</v>
      </c>
      <c r="Z4" t="s">
        <v>12</v>
      </c>
      <c r="AA4" t="s">
        <v>169</v>
      </c>
      <c r="AB4">
        <v>2090</v>
      </c>
    </row>
    <row r="5" spans="1:28" x14ac:dyDescent="0.3">
      <c r="A5" t="s">
        <v>29</v>
      </c>
      <c r="B5" t="s">
        <v>43</v>
      </c>
      <c r="C5">
        <v>21234</v>
      </c>
      <c r="F5" t="s">
        <v>35</v>
      </c>
      <c r="G5" t="s">
        <v>43</v>
      </c>
      <c r="H5">
        <v>0.50700000000000001</v>
      </c>
      <c r="K5" t="s">
        <v>57</v>
      </c>
      <c r="L5" t="s">
        <v>43</v>
      </c>
      <c r="M5">
        <v>253.2</v>
      </c>
      <c r="P5" t="s">
        <v>119</v>
      </c>
      <c r="Q5" t="s">
        <v>43</v>
      </c>
      <c r="R5">
        <v>22137</v>
      </c>
      <c r="T5" t="s">
        <v>115</v>
      </c>
      <c r="U5" t="s">
        <v>43</v>
      </c>
      <c r="V5">
        <v>2169.4259999999999</v>
      </c>
      <c r="Z5" t="s">
        <v>12</v>
      </c>
      <c r="AA5" t="s">
        <v>168</v>
      </c>
      <c r="AB5">
        <v>2412</v>
      </c>
    </row>
    <row r="6" spans="1:28" x14ac:dyDescent="0.3">
      <c r="A6" t="s">
        <v>29</v>
      </c>
      <c r="B6" t="s">
        <v>44</v>
      </c>
      <c r="C6">
        <v>18435</v>
      </c>
      <c r="F6" t="s">
        <v>35</v>
      </c>
      <c r="G6" t="s">
        <v>44</v>
      </c>
      <c r="H6">
        <v>0.5</v>
      </c>
      <c r="K6" t="s">
        <v>57</v>
      </c>
      <c r="L6" t="s">
        <v>44</v>
      </c>
      <c r="M6">
        <v>297.89999999999998</v>
      </c>
      <c r="P6" t="s">
        <v>119</v>
      </c>
      <c r="Q6" t="s">
        <v>44</v>
      </c>
      <c r="R6">
        <v>21053</v>
      </c>
      <c r="T6" t="s">
        <v>115</v>
      </c>
      <c r="U6" t="s">
        <v>44</v>
      </c>
      <c r="V6">
        <v>1957.9290000000001</v>
      </c>
      <c r="Z6" t="s">
        <v>12</v>
      </c>
      <c r="AA6" t="s">
        <v>45</v>
      </c>
      <c r="AB6">
        <v>3334</v>
      </c>
    </row>
    <row r="7" spans="1:28" x14ac:dyDescent="0.3">
      <c r="A7" t="s">
        <v>29</v>
      </c>
      <c r="B7" t="s">
        <v>45</v>
      </c>
      <c r="C7">
        <v>23640</v>
      </c>
      <c r="F7" t="s">
        <v>35</v>
      </c>
      <c r="G7" t="s">
        <v>45</v>
      </c>
      <c r="H7">
        <v>0.52</v>
      </c>
      <c r="K7" t="s">
        <v>57</v>
      </c>
      <c r="L7" t="s">
        <v>45</v>
      </c>
      <c r="M7">
        <v>289.8</v>
      </c>
      <c r="P7" t="s">
        <v>119</v>
      </c>
      <c r="Q7" t="s">
        <v>45</v>
      </c>
      <c r="R7">
        <v>20680</v>
      </c>
      <c r="T7" t="s">
        <v>115</v>
      </c>
      <c r="U7" t="s">
        <v>45</v>
      </c>
      <c r="V7">
        <v>2626.36</v>
      </c>
      <c r="Z7" t="s">
        <v>12</v>
      </c>
      <c r="AA7" t="s">
        <v>44</v>
      </c>
      <c r="AB7">
        <v>1406</v>
      </c>
    </row>
    <row r="8" spans="1:28" x14ac:dyDescent="0.3">
      <c r="A8" t="s">
        <v>29</v>
      </c>
      <c r="B8" t="s">
        <v>168</v>
      </c>
      <c r="C8">
        <v>21915</v>
      </c>
      <c r="F8" t="s">
        <v>35</v>
      </c>
      <c r="G8" t="s">
        <v>168</v>
      </c>
      <c r="H8">
        <v>0.51800000000000002</v>
      </c>
      <c r="K8" t="s">
        <v>57</v>
      </c>
      <c r="L8" t="s">
        <v>168</v>
      </c>
      <c r="M8">
        <v>182.4</v>
      </c>
      <c r="P8" t="s">
        <v>119</v>
      </c>
      <c r="Q8" t="s">
        <v>168</v>
      </c>
      <c r="R8">
        <v>15612</v>
      </c>
      <c r="T8" t="s">
        <v>115</v>
      </c>
      <c r="U8" t="s">
        <v>168</v>
      </c>
      <c r="V8">
        <v>2419.86</v>
      </c>
      <c r="Z8" t="s">
        <v>12</v>
      </c>
      <c r="AA8" t="s">
        <v>43</v>
      </c>
      <c r="AB8">
        <v>2550</v>
      </c>
    </row>
    <row r="9" spans="1:28" x14ac:dyDescent="0.3">
      <c r="A9" t="s">
        <v>29</v>
      </c>
      <c r="B9" t="s">
        <v>169</v>
      </c>
      <c r="C9">
        <v>21218</v>
      </c>
      <c r="F9" t="s">
        <v>35</v>
      </c>
      <c r="G9" t="s">
        <v>169</v>
      </c>
      <c r="H9">
        <v>0.504</v>
      </c>
      <c r="K9" t="s">
        <v>57</v>
      </c>
      <c r="L9" t="s">
        <v>169</v>
      </c>
      <c r="M9">
        <v>167.15</v>
      </c>
      <c r="P9" t="s">
        <v>119</v>
      </c>
      <c r="Q9" t="s">
        <v>169</v>
      </c>
      <c r="R9">
        <v>14019</v>
      </c>
      <c r="T9" t="s">
        <v>115</v>
      </c>
      <c r="U9" t="s">
        <v>169</v>
      </c>
      <c r="V9">
        <v>2313.1350000000002</v>
      </c>
      <c r="Z9" t="s">
        <v>12</v>
      </c>
      <c r="AA9" t="s">
        <v>42</v>
      </c>
      <c r="AB9">
        <v>1344</v>
      </c>
    </row>
    <row r="10" spans="1:28" x14ac:dyDescent="0.3">
      <c r="A10" t="s">
        <v>29</v>
      </c>
      <c r="B10" t="s">
        <v>46</v>
      </c>
      <c r="C10">
        <v>18483</v>
      </c>
      <c r="F10" t="s">
        <v>35</v>
      </c>
      <c r="G10" t="s">
        <v>46</v>
      </c>
      <c r="H10">
        <v>0.49199999999999999</v>
      </c>
      <c r="K10" t="s">
        <v>57</v>
      </c>
      <c r="L10" t="s">
        <v>46</v>
      </c>
      <c r="M10">
        <v>150.15</v>
      </c>
      <c r="P10" t="s">
        <v>119</v>
      </c>
      <c r="Q10" t="s">
        <v>46</v>
      </c>
      <c r="R10">
        <v>15176</v>
      </c>
      <c r="T10" t="s">
        <v>115</v>
      </c>
      <c r="U10" t="s">
        <v>46</v>
      </c>
      <c r="V10">
        <v>2200.52</v>
      </c>
      <c r="Z10" t="s">
        <v>12</v>
      </c>
      <c r="AA10" t="s">
        <v>27</v>
      </c>
      <c r="AB10">
        <v>853</v>
      </c>
    </row>
    <row r="11" spans="1:28" x14ac:dyDescent="0.3">
      <c r="A11" t="s">
        <v>29</v>
      </c>
      <c r="B11" t="s">
        <v>47</v>
      </c>
      <c r="C11">
        <v>16915</v>
      </c>
      <c r="F11" t="s">
        <v>35</v>
      </c>
      <c r="G11" t="s">
        <v>47</v>
      </c>
      <c r="H11">
        <v>0.48299999999999998</v>
      </c>
      <c r="K11" t="s">
        <v>57</v>
      </c>
      <c r="L11" t="s">
        <v>47</v>
      </c>
      <c r="M11">
        <v>89.91</v>
      </c>
      <c r="P11" t="s">
        <v>119</v>
      </c>
      <c r="Q11" t="s">
        <v>47</v>
      </c>
      <c r="R11">
        <v>13343</v>
      </c>
      <c r="T11" t="s">
        <v>115</v>
      </c>
      <c r="U11" t="s">
        <v>47</v>
      </c>
      <c r="V11">
        <v>2054.8220000000001</v>
      </c>
      <c r="Z11" t="s">
        <v>12</v>
      </c>
      <c r="AA11" t="s">
        <v>26</v>
      </c>
      <c r="AB11">
        <v>1935</v>
      </c>
    </row>
    <row r="12" spans="1:28" x14ac:dyDescent="0.3">
      <c r="A12" t="s">
        <v>30</v>
      </c>
      <c r="B12" t="s">
        <v>26</v>
      </c>
      <c r="C12">
        <v>12026</v>
      </c>
      <c r="F12" t="s">
        <v>36</v>
      </c>
      <c r="G12" t="s">
        <v>26</v>
      </c>
      <c r="H12">
        <v>5.6000000000000001E-2</v>
      </c>
      <c r="K12" t="s">
        <v>166</v>
      </c>
      <c r="L12" t="s">
        <v>26</v>
      </c>
      <c r="M12">
        <v>4.24</v>
      </c>
      <c r="T12" t="s">
        <v>117</v>
      </c>
      <c r="U12" t="s">
        <v>26</v>
      </c>
      <c r="V12">
        <v>3098.25</v>
      </c>
      <c r="Z12" t="s">
        <v>12</v>
      </c>
      <c r="AA12" t="s">
        <v>187</v>
      </c>
      <c r="AB12">
        <v>1600.8935967800019</v>
      </c>
    </row>
    <row r="13" spans="1:28" x14ac:dyDescent="0.3">
      <c r="A13" t="s">
        <v>30</v>
      </c>
      <c r="B13" t="s">
        <v>27</v>
      </c>
      <c r="C13">
        <v>10184</v>
      </c>
      <c r="F13" t="s">
        <v>36</v>
      </c>
      <c r="G13" t="s">
        <v>27</v>
      </c>
      <c r="H13">
        <v>1.2999999999999999E-2</v>
      </c>
      <c r="K13" t="s">
        <v>166</v>
      </c>
      <c r="L13" t="s">
        <v>27</v>
      </c>
      <c r="M13">
        <v>-0.67</v>
      </c>
      <c r="T13" t="s">
        <v>117</v>
      </c>
      <c r="U13" t="s">
        <v>27</v>
      </c>
      <c r="V13">
        <v>2270.52</v>
      </c>
      <c r="Z13" t="s">
        <v>12</v>
      </c>
      <c r="AA13" t="s">
        <v>188</v>
      </c>
      <c r="AB13">
        <v>1595.2731631877896</v>
      </c>
    </row>
    <row r="14" spans="1:28" x14ac:dyDescent="0.3">
      <c r="A14" t="s">
        <v>30</v>
      </c>
      <c r="B14" t="s">
        <v>42</v>
      </c>
      <c r="C14">
        <v>10644</v>
      </c>
      <c r="F14" t="s">
        <v>36</v>
      </c>
      <c r="G14" t="s">
        <v>42</v>
      </c>
      <c r="H14">
        <v>0.03</v>
      </c>
      <c r="K14" t="s">
        <v>166</v>
      </c>
      <c r="L14" t="s">
        <v>42</v>
      </c>
      <c r="M14">
        <v>1.25</v>
      </c>
      <c r="P14" t="s">
        <v>161</v>
      </c>
      <c r="T14" t="s">
        <v>117</v>
      </c>
      <c r="U14" t="s">
        <v>42</v>
      </c>
      <c r="V14">
        <v>2902.328</v>
      </c>
      <c r="Z14" t="s">
        <v>12</v>
      </c>
      <c r="AA14" t="s">
        <v>189</v>
      </c>
      <c r="AB14">
        <v>1550.666912656221</v>
      </c>
    </row>
    <row r="15" spans="1:28" x14ac:dyDescent="0.3">
      <c r="A15" t="s">
        <v>30</v>
      </c>
      <c r="B15" t="s">
        <v>43</v>
      </c>
      <c r="C15">
        <v>10765</v>
      </c>
      <c r="F15" t="s">
        <v>36</v>
      </c>
      <c r="G15" t="s">
        <v>43</v>
      </c>
      <c r="H15">
        <v>9.4E-2</v>
      </c>
      <c r="K15" t="s">
        <v>166</v>
      </c>
      <c r="L15" t="s">
        <v>43</v>
      </c>
      <c r="M15">
        <v>7.47</v>
      </c>
      <c r="P15">
        <v>2015</v>
      </c>
      <c r="T15" t="s">
        <v>117</v>
      </c>
      <c r="U15" t="s">
        <v>43</v>
      </c>
      <c r="V15">
        <v>2302.248</v>
      </c>
      <c r="Z15" t="s">
        <v>12</v>
      </c>
      <c r="AA15" t="s">
        <v>190</v>
      </c>
      <c r="AB15">
        <v>1517.5894045402156</v>
      </c>
    </row>
    <row r="16" spans="1:28" x14ac:dyDescent="0.3">
      <c r="A16" t="s">
        <v>30</v>
      </c>
      <c r="B16" t="s">
        <v>44</v>
      </c>
      <c r="C16">
        <v>9222</v>
      </c>
      <c r="F16" t="s">
        <v>36</v>
      </c>
      <c r="G16" t="s">
        <v>44</v>
      </c>
      <c r="H16">
        <v>0.04</v>
      </c>
      <c r="K16" t="s">
        <v>166</v>
      </c>
      <c r="L16" t="s">
        <v>44</v>
      </c>
      <c r="M16">
        <v>2.31</v>
      </c>
      <c r="P16">
        <v>2016</v>
      </c>
      <c r="T16" t="s">
        <v>117</v>
      </c>
      <c r="U16" t="s">
        <v>44</v>
      </c>
      <c r="V16">
        <v>2400.0419999999999</v>
      </c>
      <c r="Z16" t="s">
        <v>12</v>
      </c>
      <c r="AA16" t="s">
        <v>191</v>
      </c>
      <c r="AB16">
        <v>1484.7706169780522</v>
      </c>
    </row>
    <row r="17" spans="1:28" x14ac:dyDescent="0.3">
      <c r="A17" t="s">
        <v>30</v>
      </c>
      <c r="B17" t="s">
        <v>45</v>
      </c>
      <c r="C17">
        <v>12293</v>
      </c>
      <c r="F17" t="s">
        <v>36</v>
      </c>
      <c r="G17" t="s">
        <v>45</v>
      </c>
      <c r="H17">
        <v>0.113</v>
      </c>
      <c r="K17" t="s">
        <v>166</v>
      </c>
      <c r="L17" t="s">
        <v>45</v>
      </c>
      <c r="M17">
        <v>9.6999999999999993</v>
      </c>
      <c r="P17">
        <v>2017</v>
      </c>
      <c r="T17" t="s">
        <v>117</v>
      </c>
      <c r="U17" t="s">
        <v>45</v>
      </c>
      <c r="V17">
        <v>2709.08</v>
      </c>
      <c r="Z17" t="s">
        <v>12</v>
      </c>
      <c r="AA17" t="s">
        <v>192</v>
      </c>
      <c r="AB17">
        <v>1450.228309323848</v>
      </c>
    </row>
    <row r="18" spans="1:28" x14ac:dyDescent="0.3">
      <c r="A18" t="s">
        <v>30</v>
      </c>
      <c r="B18" t="s">
        <v>168</v>
      </c>
      <c r="C18">
        <v>11363</v>
      </c>
      <c r="F18" t="s">
        <v>36</v>
      </c>
      <c r="G18" t="s">
        <v>168</v>
      </c>
      <c r="H18">
        <v>0.108</v>
      </c>
      <c r="K18" t="s">
        <v>166</v>
      </c>
      <c r="L18" t="s">
        <v>168</v>
      </c>
      <c r="M18">
        <v>8.4600000000000009</v>
      </c>
      <c r="P18">
        <v>2018</v>
      </c>
      <c r="T18" t="s">
        <v>117</v>
      </c>
      <c r="U18" t="s">
        <v>168</v>
      </c>
      <c r="V18">
        <v>2294.9639999999999</v>
      </c>
      <c r="Z18" t="s">
        <v>15</v>
      </c>
      <c r="AA18" t="s">
        <v>47</v>
      </c>
      <c r="AB18">
        <v>338</v>
      </c>
    </row>
    <row r="19" spans="1:28" x14ac:dyDescent="0.3">
      <c r="A19" t="s">
        <v>30</v>
      </c>
      <c r="B19" t="s">
        <v>169</v>
      </c>
      <c r="C19">
        <v>10703</v>
      </c>
      <c r="F19" t="s">
        <v>36</v>
      </c>
      <c r="G19" t="s">
        <v>169</v>
      </c>
      <c r="H19">
        <v>9.8000000000000004E-2</v>
      </c>
      <c r="K19" t="s">
        <v>166</v>
      </c>
      <c r="L19" t="s">
        <v>169</v>
      </c>
      <c r="M19">
        <v>7.05</v>
      </c>
      <c r="P19">
        <v>2019</v>
      </c>
      <c r="T19" t="s">
        <v>117</v>
      </c>
      <c r="U19" t="s">
        <v>169</v>
      </c>
      <c r="V19">
        <v>1976.6789999999999</v>
      </c>
      <c r="Z19" t="s">
        <v>15</v>
      </c>
      <c r="AA19" t="s">
        <v>46</v>
      </c>
      <c r="AB19">
        <v>373</v>
      </c>
    </row>
    <row r="20" spans="1:28" x14ac:dyDescent="0.3">
      <c r="A20" t="s">
        <v>30</v>
      </c>
      <c r="B20" t="s">
        <v>46</v>
      </c>
      <c r="C20">
        <v>9100</v>
      </c>
      <c r="F20" t="s">
        <v>36</v>
      </c>
      <c r="G20" t="s">
        <v>46</v>
      </c>
      <c r="H20">
        <v>8.5999999999999993E-2</v>
      </c>
      <c r="K20" t="s">
        <v>166</v>
      </c>
      <c r="L20" t="s">
        <v>46</v>
      </c>
      <c r="M20">
        <v>5.39</v>
      </c>
      <c r="P20">
        <v>2020</v>
      </c>
      <c r="T20" t="s">
        <v>117</v>
      </c>
      <c r="U20" t="s">
        <v>46</v>
      </c>
      <c r="V20">
        <v>2488.864</v>
      </c>
      <c r="Z20" t="s">
        <v>15</v>
      </c>
      <c r="AA20" t="s">
        <v>169</v>
      </c>
      <c r="AB20">
        <v>421</v>
      </c>
    </row>
    <row r="21" spans="1:28" x14ac:dyDescent="0.3">
      <c r="A21" t="s">
        <v>30</v>
      </c>
      <c r="B21" t="s">
        <v>47</v>
      </c>
      <c r="C21">
        <v>8168</v>
      </c>
      <c r="F21" t="s">
        <v>36</v>
      </c>
      <c r="G21" t="s">
        <v>47</v>
      </c>
      <c r="H21">
        <v>6.5000000000000002E-2</v>
      </c>
      <c r="K21" t="s">
        <v>166</v>
      </c>
      <c r="L21" t="s">
        <v>47</v>
      </c>
      <c r="M21">
        <v>3.54</v>
      </c>
      <c r="P21">
        <v>2021</v>
      </c>
      <c r="T21" t="s">
        <v>117</v>
      </c>
      <c r="U21" t="s">
        <v>47</v>
      </c>
      <c r="V21">
        <v>2028.136</v>
      </c>
      <c r="Z21" t="s">
        <v>15</v>
      </c>
      <c r="AA21" t="s">
        <v>168</v>
      </c>
      <c r="AB21">
        <v>470</v>
      </c>
    </row>
    <row r="22" spans="1:28" x14ac:dyDescent="0.3">
      <c r="A22" t="s">
        <v>31</v>
      </c>
      <c r="B22" t="s">
        <v>26</v>
      </c>
      <c r="C22">
        <v>2465</v>
      </c>
      <c r="F22" t="s">
        <v>37</v>
      </c>
      <c r="G22" t="s">
        <v>26</v>
      </c>
      <c r="H22">
        <v>0.26500000000000001</v>
      </c>
      <c r="K22" t="s">
        <v>165</v>
      </c>
      <c r="L22" t="s">
        <v>26</v>
      </c>
      <c r="M22">
        <v>4.24</v>
      </c>
      <c r="P22">
        <v>2022</v>
      </c>
      <c r="Z22" t="s">
        <v>15</v>
      </c>
      <c r="AA22" t="s">
        <v>45</v>
      </c>
      <c r="AB22">
        <v>511</v>
      </c>
    </row>
    <row r="23" spans="1:28" x14ac:dyDescent="0.3">
      <c r="A23" t="s">
        <v>31</v>
      </c>
      <c r="B23" t="s">
        <v>27</v>
      </c>
      <c r="C23">
        <v>1358</v>
      </c>
      <c r="F23" t="s">
        <v>37</v>
      </c>
      <c r="G23" t="s">
        <v>27</v>
      </c>
      <c r="H23">
        <v>1.8939999999999999</v>
      </c>
      <c r="K23" t="s">
        <v>165</v>
      </c>
      <c r="L23" t="s">
        <v>27</v>
      </c>
      <c r="M23">
        <v>-0.67</v>
      </c>
      <c r="P23">
        <v>2023</v>
      </c>
      <c r="Z23" t="s">
        <v>15</v>
      </c>
      <c r="AA23" t="s">
        <v>44</v>
      </c>
      <c r="AB23">
        <v>561</v>
      </c>
    </row>
    <row r="24" spans="1:28" x14ac:dyDescent="0.3">
      <c r="A24" t="s">
        <v>31</v>
      </c>
      <c r="B24" t="s">
        <v>42</v>
      </c>
      <c r="C24">
        <v>1874</v>
      </c>
      <c r="F24" t="s">
        <v>37</v>
      </c>
      <c r="G24" t="s">
        <v>42</v>
      </c>
      <c r="H24">
        <v>0.34499999999999997</v>
      </c>
      <c r="K24" t="s">
        <v>165</v>
      </c>
      <c r="L24" t="s">
        <v>42</v>
      </c>
      <c r="M24">
        <v>1.25</v>
      </c>
      <c r="P24">
        <v>2024</v>
      </c>
      <c r="Z24" t="s">
        <v>15</v>
      </c>
      <c r="AA24" t="s">
        <v>43</v>
      </c>
      <c r="AB24">
        <v>516</v>
      </c>
    </row>
    <row r="25" spans="1:28" x14ac:dyDescent="0.3">
      <c r="A25" t="s">
        <v>31</v>
      </c>
      <c r="B25" t="s">
        <v>43</v>
      </c>
      <c r="C25">
        <v>3066</v>
      </c>
      <c r="F25" t="s">
        <v>37</v>
      </c>
      <c r="G25" t="s">
        <v>43</v>
      </c>
      <c r="H25">
        <v>0.19400000000000001</v>
      </c>
      <c r="K25" t="s">
        <v>165</v>
      </c>
      <c r="L25" t="s">
        <v>43</v>
      </c>
      <c r="M25">
        <v>7.47</v>
      </c>
      <c r="P25">
        <v>2025</v>
      </c>
      <c r="Z25" t="s">
        <v>15</v>
      </c>
      <c r="AA25" t="s">
        <v>42</v>
      </c>
      <c r="AB25">
        <v>530</v>
      </c>
    </row>
    <row r="26" spans="1:28" x14ac:dyDescent="0.3">
      <c r="A26" t="s">
        <v>31</v>
      </c>
      <c r="B26" t="s">
        <v>44</v>
      </c>
      <c r="C26">
        <v>1967</v>
      </c>
      <c r="F26" t="s">
        <v>37</v>
      </c>
      <c r="G26" t="s">
        <v>44</v>
      </c>
      <c r="H26">
        <v>0.20200000000000001</v>
      </c>
      <c r="K26" t="s">
        <v>165</v>
      </c>
      <c r="L26" t="s">
        <v>44</v>
      </c>
      <c r="M26">
        <v>2.31</v>
      </c>
      <c r="P26">
        <v>2026</v>
      </c>
      <c r="Z26" t="s">
        <v>15</v>
      </c>
      <c r="AA26" t="s">
        <v>27</v>
      </c>
      <c r="AB26">
        <v>505</v>
      </c>
    </row>
    <row r="27" spans="1:28" x14ac:dyDescent="0.3">
      <c r="A27" t="s">
        <v>31</v>
      </c>
      <c r="B27" t="s">
        <v>45</v>
      </c>
      <c r="C27">
        <v>3845</v>
      </c>
      <c r="F27" t="s">
        <v>37</v>
      </c>
      <c r="G27" t="s">
        <v>45</v>
      </c>
      <c r="H27">
        <v>0.25</v>
      </c>
      <c r="K27" t="s">
        <v>165</v>
      </c>
      <c r="L27" t="s">
        <v>45</v>
      </c>
      <c r="M27">
        <v>9.6999999999999993</v>
      </c>
      <c r="P27">
        <v>2027</v>
      </c>
      <c r="Z27" t="s">
        <v>15</v>
      </c>
      <c r="AA27" t="s">
        <v>26</v>
      </c>
      <c r="AB27">
        <v>530</v>
      </c>
    </row>
    <row r="28" spans="1:28" x14ac:dyDescent="0.3">
      <c r="A28" t="s">
        <v>31</v>
      </c>
      <c r="B28" t="s">
        <v>168</v>
      </c>
      <c r="C28">
        <v>2882</v>
      </c>
      <c r="F28" t="s">
        <v>37</v>
      </c>
      <c r="G28" t="s">
        <v>168</v>
      </c>
      <c r="H28">
        <v>0.28100000000000003</v>
      </c>
      <c r="K28" t="s">
        <v>165</v>
      </c>
      <c r="L28" t="s">
        <v>168</v>
      </c>
      <c r="M28">
        <v>8.4499999999999993</v>
      </c>
      <c r="P28">
        <v>2028</v>
      </c>
      <c r="Z28" t="s">
        <v>15</v>
      </c>
      <c r="AA28" t="s">
        <v>187</v>
      </c>
      <c r="AB28">
        <v>550.5436412949922</v>
      </c>
    </row>
    <row r="29" spans="1:28" x14ac:dyDescent="0.3">
      <c r="A29" t="s">
        <v>31</v>
      </c>
      <c r="B29" t="s">
        <v>169</v>
      </c>
      <c r="C29">
        <v>2511</v>
      </c>
      <c r="F29" t="s">
        <v>37</v>
      </c>
      <c r="G29" t="s">
        <v>169</v>
      </c>
      <c r="H29">
        <v>0.29299999999999998</v>
      </c>
      <c r="K29" t="s">
        <v>165</v>
      </c>
      <c r="L29" t="s">
        <v>169</v>
      </c>
      <c r="M29">
        <v>7</v>
      </c>
      <c r="P29">
        <v>2029</v>
      </c>
      <c r="Z29" t="s">
        <v>15</v>
      </c>
      <c r="AA29" t="s">
        <v>188</v>
      </c>
      <c r="AB29">
        <v>569.34107953567366</v>
      </c>
    </row>
    <row r="30" spans="1:28" x14ac:dyDescent="0.3">
      <c r="A30" t="s">
        <v>31</v>
      </c>
      <c r="B30" t="s">
        <v>46</v>
      </c>
      <c r="C30">
        <v>1953</v>
      </c>
      <c r="F30" t="s">
        <v>37</v>
      </c>
      <c r="G30" t="s">
        <v>46</v>
      </c>
      <c r="H30">
        <v>0.29599999999999999</v>
      </c>
      <c r="K30" t="s">
        <v>165</v>
      </c>
      <c r="L30" t="s">
        <v>46</v>
      </c>
      <c r="M30">
        <v>5.29</v>
      </c>
      <c r="P30">
        <v>2030</v>
      </c>
      <c r="Z30" t="s">
        <v>15</v>
      </c>
      <c r="AA30" t="s">
        <v>189</v>
      </c>
      <c r="AB30">
        <v>587.14752934877629</v>
      </c>
    </row>
    <row r="31" spans="1:28" x14ac:dyDescent="0.3">
      <c r="A31" t="s">
        <v>31</v>
      </c>
      <c r="B31" t="s">
        <v>47</v>
      </c>
      <c r="C31">
        <v>1475</v>
      </c>
      <c r="F31" t="s">
        <v>37</v>
      </c>
      <c r="G31" t="s">
        <v>47</v>
      </c>
      <c r="H31">
        <v>0.32900000000000001</v>
      </c>
      <c r="K31" t="s">
        <v>165</v>
      </c>
      <c r="L31" t="s">
        <v>47</v>
      </c>
      <c r="M31">
        <v>3.54</v>
      </c>
      <c r="Z31" t="s">
        <v>15</v>
      </c>
      <c r="AA31" t="s">
        <v>190</v>
      </c>
      <c r="AB31">
        <v>604.32887731953667</v>
      </c>
    </row>
    <row r="32" spans="1:28" x14ac:dyDescent="0.3">
      <c r="A32" t="s">
        <v>32</v>
      </c>
      <c r="B32" t="s">
        <v>26</v>
      </c>
      <c r="C32">
        <v>1337</v>
      </c>
      <c r="F32" t="s">
        <v>162</v>
      </c>
      <c r="G32" t="s">
        <v>26</v>
      </c>
      <c r="H32">
        <v>0.66100000000000003</v>
      </c>
      <c r="Z32" t="s">
        <v>15</v>
      </c>
      <c r="AA32" t="s">
        <v>191</v>
      </c>
      <c r="AB32">
        <v>621.16945158194858</v>
      </c>
    </row>
    <row r="33" spans="1:28" x14ac:dyDescent="0.3">
      <c r="A33" t="s">
        <v>32</v>
      </c>
      <c r="B33" t="s">
        <v>27</v>
      </c>
      <c r="C33">
        <v>268</v>
      </c>
      <c r="F33" t="s">
        <v>162</v>
      </c>
      <c r="G33" t="s">
        <v>27</v>
      </c>
      <c r="H33">
        <v>0.98599999999999999</v>
      </c>
      <c r="Z33" t="s">
        <v>15</v>
      </c>
      <c r="AA33" t="s">
        <v>192</v>
      </c>
      <c r="AB33">
        <v>637.78355368241819</v>
      </c>
    </row>
    <row r="34" spans="1:28" x14ac:dyDescent="0.3">
      <c r="A34" t="s">
        <v>32</v>
      </c>
      <c r="B34" t="s">
        <v>42</v>
      </c>
      <c r="C34">
        <v>669</v>
      </c>
      <c r="F34" t="s">
        <v>162</v>
      </c>
      <c r="G34" t="s">
        <v>42</v>
      </c>
      <c r="H34">
        <v>1.212</v>
      </c>
      <c r="Z34" t="s">
        <v>16</v>
      </c>
      <c r="AA34" t="s">
        <v>47</v>
      </c>
      <c r="AB34">
        <v>513</v>
      </c>
    </row>
    <row r="35" spans="1:28" x14ac:dyDescent="0.3">
      <c r="A35" t="s">
        <v>32</v>
      </c>
      <c r="B35" t="s">
        <v>43</v>
      </c>
      <c r="C35">
        <v>1986</v>
      </c>
      <c r="F35" t="s">
        <v>162</v>
      </c>
      <c r="G35" t="s">
        <v>43</v>
      </c>
      <c r="H35">
        <v>0.27700000000000002</v>
      </c>
      <c r="Z35" t="s">
        <v>16</v>
      </c>
      <c r="AA35" t="s">
        <v>46</v>
      </c>
      <c r="AB35">
        <v>651</v>
      </c>
    </row>
    <row r="36" spans="1:28" x14ac:dyDescent="0.3">
      <c r="A36" t="s">
        <v>32</v>
      </c>
      <c r="B36" t="s">
        <v>44</v>
      </c>
      <c r="C36">
        <v>746</v>
      </c>
      <c r="F36" t="s">
        <v>162</v>
      </c>
      <c r="G36" t="s">
        <v>44</v>
      </c>
      <c r="H36">
        <v>0.376</v>
      </c>
      <c r="Z36" t="s">
        <v>16</v>
      </c>
      <c r="AA36" t="s">
        <v>169</v>
      </c>
      <c r="AB36">
        <v>752</v>
      </c>
    </row>
    <row r="37" spans="1:28" x14ac:dyDescent="0.3">
      <c r="A37" t="s">
        <v>32</v>
      </c>
      <c r="B37" t="s">
        <v>45</v>
      </c>
      <c r="C37">
        <v>2660</v>
      </c>
      <c r="F37" t="s">
        <v>162</v>
      </c>
      <c r="G37" t="s">
        <v>45</v>
      </c>
      <c r="H37">
        <v>0.39400000000000002</v>
      </c>
      <c r="Z37" t="s">
        <v>16</v>
      </c>
      <c r="AA37" t="s">
        <v>168</v>
      </c>
      <c r="AB37">
        <v>794</v>
      </c>
    </row>
    <row r="38" spans="1:28" x14ac:dyDescent="0.3">
      <c r="A38" t="s">
        <v>32</v>
      </c>
      <c r="B38" t="s">
        <v>168</v>
      </c>
      <c r="C38">
        <v>2368</v>
      </c>
      <c r="F38" t="s">
        <v>162</v>
      </c>
      <c r="G38" t="s">
        <v>168</v>
      </c>
      <c r="H38">
        <v>-0.15</v>
      </c>
      <c r="Z38" t="s">
        <v>16</v>
      </c>
      <c r="AA38" t="s">
        <v>45</v>
      </c>
      <c r="AB38">
        <v>711</v>
      </c>
    </row>
    <row r="39" spans="1:28" x14ac:dyDescent="0.3">
      <c r="A39" t="s">
        <v>32</v>
      </c>
      <c r="B39" t="s">
        <v>169</v>
      </c>
      <c r="C39">
        <v>2070</v>
      </c>
      <c r="F39" t="s">
        <v>162</v>
      </c>
      <c r="G39" t="s">
        <v>169</v>
      </c>
      <c r="H39">
        <v>-0.08</v>
      </c>
      <c r="Z39" t="s">
        <v>16</v>
      </c>
      <c r="AA39" t="s">
        <v>44</v>
      </c>
      <c r="AB39">
        <v>442</v>
      </c>
    </row>
    <row r="40" spans="1:28" x14ac:dyDescent="0.3">
      <c r="A40" t="s">
        <v>32</v>
      </c>
      <c r="B40" t="s">
        <v>46</v>
      </c>
      <c r="C40">
        <v>1582</v>
      </c>
      <c r="F40" t="s">
        <v>162</v>
      </c>
      <c r="G40" t="s">
        <v>46</v>
      </c>
      <c r="H40">
        <v>1.6E-2</v>
      </c>
      <c r="Z40" t="s">
        <v>16</v>
      </c>
      <c r="AA40" t="s">
        <v>43</v>
      </c>
      <c r="AB40">
        <v>667</v>
      </c>
    </row>
    <row r="41" spans="1:28" x14ac:dyDescent="0.3">
      <c r="A41" t="s">
        <v>32</v>
      </c>
      <c r="B41" t="s">
        <v>47</v>
      </c>
      <c r="C41">
        <v>1094</v>
      </c>
      <c r="F41" t="s">
        <v>162</v>
      </c>
      <c r="G41" t="s">
        <v>47</v>
      </c>
      <c r="H41">
        <v>8.1000000000000003E-2</v>
      </c>
      <c r="Z41" t="s">
        <v>16</v>
      </c>
      <c r="AA41" t="s">
        <v>42</v>
      </c>
      <c r="AB41">
        <v>695</v>
      </c>
    </row>
    <row r="42" spans="1:28" x14ac:dyDescent="0.3">
      <c r="A42" t="s">
        <v>34</v>
      </c>
      <c r="B42" t="s">
        <v>26</v>
      </c>
      <c r="C42">
        <v>764</v>
      </c>
      <c r="F42" t="s">
        <v>163</v>
      </c>
      <c r="G42" t="s">
        <v>26</v>
      </c>
      <c r="H42">
        <v>0.26500000000000001</v>
      </c>
      <c r="Z42" t="s">
        <v>16</v>
      </c>
      <c r="AA42" t="s">
        <v>27</v>
      </c>
      <c r="AB42">
        <v>504</v>
      </c>
    </row>
    <row r="43" spans="1:28" x14ac:dyDescent="0.3">
      <c r="A43" t="s">
        <v>34</v>
      </c>
      <c r="B43" t="s">
        <v>27</v>
      </c>
      <c r="C43">
        <v>-75</v>
      </c>
      <c r="F43" t="s">
        <v>163</v>
      </c>
      <c r="G43" t="s">
        <v>27</v>
      </c>
      <c r="H43">
        <v>0.254</v>
      </c>
      <c r="Z43" t="s">
        <v>16</v>
      </c>
      <c r="AA43" t="s">
        <v>26</v>
      </c>
      <c r="AB43">
        <v>540</v>
      </c>
    </row>
    <row r="44" spans="1:28" x14ac:dyDescent="0.3">
      <c r="A44" t="s">
        <v>34</v>
      </c>
      <c r="B44" t="s">
        <v>42</v>
      </c>
      <c r="C44">
        <v>612</v>
      </c>
      <c r="F44" t="s">
        <v>163</v>
      </c>
      <c r="G44" t="s">
        <v>42</v>
      </c>
      <c r="H44">
        <v>0.246</v>
      </c>
      <c r="Z44" t="s">
        <v>16</v>
      </c>
      <c r="AA44" t="s">
        <v>187</v>
      </c>
      <c r="AB44">
        <v>540.63965960644498</v>
      </c>
    </row>
    <row r="45" spans="1:28" x14ac:dyDescent="0.3">
      <c r="A45" t="s">
        <v>34</v>
      </c>
      <c r="B45" t="s">
        <v>43</v>
      </c>
      <c r="C45">
        <v>2116</v>
      </c>
      <c r="F45" t="s">
        <v>163</v>
      </c>
      <c r="G45" t="s">
        <v>43</v>
      </c>
      <c r="H45">
        <v>0.34</v>
      </c>
      <c r="Z45" t="s">
        <v>16</v>
      </c>
      <c r="AA45" t="s">
        <v>188</v>
      </c>
      <c r="AB45">
        <v>527.88376877853625</v>
      </c>
    </row>
    <row r="46" spans="1:28" x14ac:dyDescent="0.3">
      <c r="A46" t="s">
        <v>34</v>
      </c>
      <c r="B46" t="s">
        <v>44</v>
      </c>
      <c r="C46">
        <v>432</v>
      </c>
      <c r="F46" t="s">
        <v>163</v>
      </c>
      <c r="G46" t="s">
        <v>44</v>
      </c>
      <c r="H46">
        <v>0.307</v>
      </c>
      <c r="Z46" t="s">
        <v>16</v>
      </c>
      <c r="AA46" t="s">
        <v>189</v>
      </c>
      <c r="AB46">
        <v>423.59307295319189</v>
      </c>
    </row>
    <row r="47" spans="1:28" x14ac:dyDescent="0.3">
      <c r="A47" t="s">
        <v>34</v>
      </c>
      <c r="B47" t="s">
        <v>45</v>
      </c>
      <c r="C47">
        <v>1976</v>
      </c>
      <c r="F47" t="s">
        <v>163</v>
      </c>
      <c r="G47" t="s">
        <v>45</v>
      </c>
      <c r="H47">
        <v>0.32900000000000001</v>
      </c>
      <c r="Z47" t="s">
        <v>16</v>
      </c>
      <c r="AA47" t="s">
        <v>190</v>
      </c>
      <c r="AB47">
        <v>273.47053236003495</v>
      </c>
    </row>
    <row r="48" spans="1:28" x14ac:dyDescent="0.3">
      <c r="A48" t="s">
        <v>34</v>
      </c>
      <c r="B48" t="s">
        <v>168</v>
      </c>
      <c r="C48">
        <v>1702</v>
      </c>
      <c r="F48" t="s">
        <v>163</v>
      </c>
      <c r="G48" t="s">
        <v>168</v>
      </c>
      <c r="H48">
        <v>0.40799999999999997</v>
      </c>
      <c r="Z48" t="s">
        <v>16</v>
      </c>
      <c r="AA48" t="s">
        <v>191</v>
      </c>
      <c r="AB48">
        <v>288.48117825145738</v>
      </c>
    </row>
    <row r="49" spans="1:28" x14ac:dyDescent="0.3">
      <c r="A49" t="s">
        <v>34</v>
      </c>
      <c r="B49" t="s">
        <v>169</v>
      </c>
      <c r="C49">
        <v>1173</v>
      </c>
      <c r="F49" t="s">
        <v>163</v>
      </c>
      <c r="G49" t="s">
        <v>169</v>
      </c>
      <c r="H49">
        <v>0.43</v>
      </c>
      <c r="Z49" t="s">
        <v>16</v>
      </c>
      <c r="AA49" t="s">
        <v>192</v>
      </c>
      <c r="AB49">
        <v>262.58464552890251</v>
      </c>
    </row>
    <row r="50" spans="1:28" x14ac:dyDescent="0.3">
      <c r="A50" t="s">
        <v>34</v>
      </c>
      <c r="B50" t="s">
        <v>46</v>
      </c>
      <c r="C50">
        <v>1017</v>
      </c>
      <c r="F50" t="s">
        <v>163</v>
      </c>
      <c r="G50" t="s">
        <v>46</v>
      </c>
      <c r="H50">
        <v>0.42599999999999999</v>
      </c>
      <c r="Z50" t="s">
        <v>17</v>
      </c>
      <c r="AA50" t="s">
        <v>47</v>
      </c>
      <c r="AB50">
        <v>-433.6039999999989</v>
      </c>
    </row>
    <row r="51" spans="1:28" x14ac:dyDescent="0.3">
      <c r="A51" t="s">
        <v>34</v>
      </c>
      <c r="B51" t="s">
        <v>47</v>
      </c>
      <c r="C51">
        <v>668</v>
      </c>
      <c r="F51" t="s">
        <v>163</v>
      </c>
      <c r="G51" t="s">
        <v>47</v>
      </c>
      <c r="H51">
        <v>0.42499999999999999</v>
      </c>
      <c r="Z51" t="s">
        <v>17</v>
      </c>
      <c r="AA51" t="s">
        <v>46</v>
      </c>
      <c r="AB51">
        <v>123.6929999999993</v>
      </c>
    </row>
    <row r="52" spans="1:28" x14ac:dyDescent="0.3">
      <c r="F52" t="s">
        <v>164</v>
      </c>
      <c r="G52" t="s">
        <v>26</v>
      </c>
      <c r="H52">
        <v>0.14000000000000001</v>
      </c>
      <c r="Z52" t="s">
        <v>17</v>
      </c>
      <c r="AA52" t="s">
        <v>169</v>
      </c>
      <c r="AB52">
        <v>-359.94400000000041</v>
      </c>
    </row>
    <row r="53" spans="1:28" x14ac:dyDescent="0.3">
      <c r="F53" t="s">
        <v>164</v>
      </c>
      <c r="G53" t="s">
        <v>27</v>
      </c>
      <c r="H53">
        <v>-1.6E-2</v>
      </c>
      <c r="Z53" t="s">
        <v>17</v>
      </c>
      <c r="AA53" t="s">
        <v>168</v>
      </c>
      <c r="AB53">
        <v>-477.39199999999983</v>
      </c>
    </row>
    <row r="54" spans="1:28" x14ac:dyDescent="0.3">
      <c r="F54" t="s">
        <v>164</v>
      </c>
      <c r="G54" t="s">
        <v>42</v>
      </c>
      <c r="H54">
        <v>0.123</v>
      </c>
      <c r="Z54" t="s">
        <v>17</v>
      </c>
      <c r="AA54" t="s">
        <v>45</v>
      </c>
      <c r="AB54">
        <v>-410.03199999999924</v>
      </c>
    </row>
    <row r="55" spans="1:28" x14ac:dyDescent="0.3">
      <c r="F55" t="s">
        <v>164</v>
      </c>
      <c r="G55" t="s">
        <v>43</v>
      </c>
      <c r="H55">
        <v>0.28100000000000003</v>
      </c>
      <c r="Z55" t="s">
        <v>17</v>
      </c>
      <c r="AA55" t="s">
        <v>44</v>
      </c>
      <c r="AB55">
        <v>13.078999999999724</v>
      </c>
    </row>
    <row r="56" spans="1:28" x14ac:dyDescent="0.3">
      <c r="F56" t="s">
        <v>164</v>
      </c>
      <c r="G56" t="s">
        <v>44</v>
      </c>
      <c r="H56">
        <v>6.7000000000000004E-2</v>
      </c>
      <c r="Z56" t="s">
        <v>17</v>
      </c>
      <c r="AA56" t="s">
        <v>43</v>
      </c>
      <c r="AB56">
        <v>1149.7570000000014</v>
      </c>
    </row>
    <row r="57" spans="1:28" x14ac:dyDescent="0.3">
      <c r="F57" t="s">
        <v>164</v>
      </c>
      <c r="G57" t="s">
        <v>45</v>
      </c>
      <c r="H57">
        <v>0.29099999999999998</v>
      </c>
      <c r="Z57" t="s">
        <v>17</v>
      </c>
      <c r="AA57" t="s">
        <v>42</v>
      </c>
      <c r="AB57">
        <v>1039.7159999999985</v>
      </c>
    </row>
    <row r="58" spans="1:28" x14ac:dyDescent="0.3">
      <c r="F58" t="s">
        <v>164</v>
      </c>
      <c r="G58" t="s">
        <v>168</v>
      </c>
      <c r="H58">
        <v>0.26700000000000002</v>
      </c>
      <c r="Z58" t="s">
        <v>17</v>
      </c>
      <c r="AA58" t="s">
        <v>27</v>
      </c>
      <c r="AB58">
        <v>-1328.1319999999996</v>
      </c>
    </row>
    <row r="59" spans="1:28" x14ac:dyDescent="0.3">
      <c r="F59" t="s">
        <v>164</v>
      </c>
      <c r="G59" t="s">
        <v>169</v>
      </c>
      <c r="H59">
        <v>0.182</v>
      </c>
      <c r="Z59" t="s">
        <v>17</v>
      </c>
      <c r="AA59" t="s">
        <v>26</v>
      </c>
      <c r="AB59">
        <v>-451.625</v>
      </c>
    </row>
    <row r="60" spans="1:28" x14ac:dyDescent="0.3">
      <c r="F60" t="s">
        <v>164</v>
      </c>
      <c r="G60" t="s">
        <v>46</v>
      </c>
      <c r="H60">
        <v>0.157</v>
      </c>
      <c r="Z60" t="s">
        <v>17</v>
      </c>
      <c r="AA60" t="s">
        <v>187</v>
      </c>
      <c r="AB60">
        <v>-294.04376680460234</v>
      </c>
    </row>
    <row r="61" spans="1:28" x14ac:dyDescent="0.3">
      <c r="F61" t="s">
        <v>164</v>
      </c>
      <c r="G61" t="s">
        <v>47</v>
      </c>
      <c r="H61">
        <v>0.112</v>
      </c>
      <c r="Z61" t="s">
        <v>17</v>
      </c>
      <c r="AA61" t="s">
        <v>188</v>
      </c>
      <c r="AB61">
        <v>-197.41221110725286</v>
      </c>
    </row>
    <row r="62" spans="1:28" x14ac:dyDescent="0.3">
      <c r="Z62" t="s">
        <v>17</v>
      </c>
      <c r="AA62" t="s">
        <v>189</v>
      </c>
      <c r="AB62">
        <v>-199.40894615418057</v>
      </c>
    </row>
    <row r="63" spans="1:28" x14ac:dyDescent="0.3">
      <c r="Z63" t="s">
        <v>17</v>
      </c>
      <c r="AA63" t="s">
        <v>190</v>
      </c>
      <c r="AB63">
        <v>-239.43432067419522</v>
      </c>
    </row>
    <row r="64" spans="1:28" x14ac:dyDescent="0.3">
      <c r="Z64" t="s">
        <v>17</v>
      </c>
      <c r="AA64" t="s">
        <v>191</v>
      </c>
      <c r="AB64">
        <v>-256.51408771471131</v>
      </c>
    </row>
    <row r="65" spans="26:28" x14ac:dyDescent="0.3">
      <c r="Z65" t="s">
        <v>17</v>
      </c>
      <c r="AA65" t="s">
        <v>192</v>
      </c>
      <c r="AB65">
        <v>-272.50325255481323</v>
      </c>
    </row>
    <row r="66" spans="26:28" x14ac:dyDescent="0.3">
      <c r="Z66" t="s">
        <v>102</v>
      </c>
      <c r="AA66" t="s">
        <v>47</v>
      </c>
      <c r="AB66">
        <v>1021.530999999999</v>
      </c>
    </row>
    <row r="67" spans="26:28" x14ac:dyDescent="0.3">
      <c r="Z67" t="s">
        <v>102</v>
      </c>
      <c r="AA67" t="s">
        <v>46</v>
      </c>
      <c r="AB67">
        <v>710.62700000000063</v>
      </c>
    </row>
    <row r="68" spans="26:28" x14ac:dyDescent="0.3">
      <c r="Z68" t="s">
        <v>102</v>
      </c>
      <c r="AA68" t="s">
        <v>169</v>
      </c>
      <c r="AB68">
        <v>1506.5740000000005</v>
      </c>
    </row>
    <row r="69" spans="26:28" x14ac:dyDescent="0.3">
      <c r="Z69" t="s">
        <v>102</v>
      </c>
      <c r="AA69" t="s">
        <v>168</v>
      </c>
      <c r="AB69">
        <v>1887.62</v>
      </c>
    </row>
    <row r="70" spans="26:28" x14ac:dyDescent="0.3">
      <c r="Z70" t="s">
        <v>102</v>
      </c>
      <c r="AA70" t="s">
        <v>45</v>
      </c>
      <c r="AB70">
        <v>2710.5319999999992</v>
      </c>
    </row>
    <row r="71" spans="26:28" x14ac:dyDescent="0.3">
      <c r="Z71" t="s">
        <v>102</v>
      </c>
      <c r="AA71" t="s">
        <v>44</v>
      </c>
      <c r="AB71">
        <v>1227.9090000000003</v>
      </c>
    </row>
    <row r="72" spans="26:28" x14ac:dyDescent="0.3">
      <c r="Z72" t="s">
        <v>102</v>
      </c>
      <c r="AA72" t="s">
        <v>43</v>
      </c>
      <c r="AB72">
        <v>754.54299999999876</v>
      </c>
    </row>
    <row r="73" spans="26:28" x14ac:dyDescent="0.3">
      <c r="Z73" t="s">
        <v>102</v>
      </c>
      <c r="AA73" t="s">
        <v>42</v>
      </c>
      <c r="AB73">
        <v>-324.39599999999837</v>
      </c>
    </row>
    <row r="74" spans="26:28" x14ac:dyDescent="0.3">
      <c r="Z74" t="s">
        <v>102</v>
      </c>
      <c r="AA74" t="s">
        <v>27</v>
      </c>
      <c r="AB74">
        <v>1949.4525555555551</v>
      </c>
    </row>
    <row r="75" spans="26:28" x14ac:dyDescent="0.3">
      <c r="Z75" t="s">
        <v>102</v>
      </c>
      <c r="AA75" t="s">
        <v>26</v>
      </c>
      <c r="AB75">
        <v>1863.85</v>
      </c>
    </row>
    <row r="76" spans="26:28" x14ac:dyDescent="0.3">
      <c r="Z76" t="s">
        <v>102</v>
      </c>
      <c r="AA76" t="s">
        <v>187</v>
      </c>
      <c r="AB76">
        <v>1499.6971607930691</v>
      </c>
    </row>
    <row r="77" spans="26:28" x14ac:dyDescent="0.3">
      <c r="Z77" t="s">
        <v>102</v>
      </c>
      <c r="AA77" t="s">
        <v>188</v>
      </c>
      <c r="AB77">
        <v>1431.9259480140222</v>
      </c>
    </row>
    <row r="78" spans="26:28" x14ac:dyDescent="0.3">
      <c r="Z78" t="s">
        <v>102</v>
      </c>
      <c r="AA78" t="s">
        <v>189</v>
      </c>
      <c r="AB78">
        <v>1531.2526211877303</v>
      </c>
    </row>
    <row r="79" spans="26:28" x14ac:dyDescent="0.3">
      <c r="Z79" t="s">
        <v>102</v>
      </c>
      <c r="AA79" t="s">
        <v>190</v>
      </c>
      <c r="AB79">
        <v>1719.3630673869311</v>
      </c>
    </row>
    <row r="80" spans="26:28" x14ac:dyDescent="0.3">
      <c r="Z80" t="s">
        <v>102</v>
      </c>
      <c r="AA80" t="s">
        <v>191</v>
      </c>
      <c r="AB80">
        <v>1719.0509180302133</v>
      </c>
    </row>
    <row r="81" spans="26:28" x14ac:dyDescent="0.3">
      <c r="Z81" t="s">
        <v>102</v>
      </c>
      <c r="AA81" t="s">
        <v>192</v>
      </c>
      <c r="AB81">
        <v>1756.7943350420405</v>
      </c>
    </row>
  </sheetData>
  <pageMargins left="0.7" right="0.7" top="0.75" bottom="0.75" header="0.3" footer="0.3"/>
  <tableParts count="7">
    <tablePart r:id="rId1"/>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B8B37-330E-4A35-84E6-7086356D7419}">
  <sheetPr>
    <tabColor theme="5" tint="0.59999389629810485"/>
  </sheetPr>
  <dimension ref="A2:Q61"/>
  <sheetViews>
    <sheetView zoomScale="60" zoomScaleNormal="60" workbookViewId="0">
      <selection activeCell="O13" sqref="O13"/>
    </sheetView>
  </sheetViews>
  <sheetFormatPr defaultRowHeight="14.4" x14ac:dyDescent="0.3"/>
  <cols>
    <col min="1" max="1" width="33" customWidth="1"/>
    <col min="2" max="2" width="17.44140625" customWidth="1"/>
    <col min="3" max="9" width="13.5546875" customWidth="1"/>
    <col min="10" max="11" width="15.21875" customWidth="1"/>
    <col min="12" max="19" width="14.109375" customWidth="1"/>
  </cols>
  <sheetData>
    <row r="2" spans="1:13" x14ac:dyDescent="0.3">
      <c r="M2" t="s">
        <v>161</v>
      </c>
    </row>
    <row r="3" spans="1:13" x14ac:dyDescent="0.3">
      <c r="M3">
        <v>2015</v>
      </c>
    </row>
    <row r="4" spans="1:13" x14ac:dyDescent="0.3">
      <c r="M4">
        <v>2016</v>
      </c>
    </row>
    <row r="5" spans="1:13" x14ac:dyDescent="0.3">
      <c r="M5">
        <v>2017</v>
      </c>
    </row>
    <row r="6" spans="1:13" x14ac:dyDescent="0.3">
      <c r="M6">
        <v>2018</v>
      </c>
    </row>
    <row r="7" spans="1:13" x14ac:dyDescent="0.3">
      <c r="M7">
        <v>2019</v>
      </c>
    </row>
    <row r="8" spans="1:13" x14ac:dyDescent="0.3">
      <c r="M8">
        <v>2020</v>
      </c>
    </row>
    <row r="9" spans="1:13" x14ac:dyDescent="0.3">
      <c r="M9">
        <v>2021</v>
      </c>
    </row>
    <row r="10" spans="1:13" x14ac:dyDescent="0.3">
      <c r="M10">
        <v>2022</v>
      </c>
    </row>
    <row r="11" spans="1:13" x14ac:dyDescent="0.3">
      <c r="M11">
        <v>2023</v>
      </c>
    </row>
    <row r="12" spans="1:13" x14ac:dyDescent="0.3">
      <c r="M12">
        <v>2024</v>
      </c>
    </row>
    <row r="13" spans="1:13" ht="18" x14ac:dyDescent="0.3">
      <c r="A13" s="115" t="s">
        <v>167</v>
      </c>
      <c r="B13" s="116" t="s">
        <v>26</v>
      </c>
      <c r="C13" s="116" t="s">
        <v>27</v>
      </c>
      <c r="D13" s="116" t="s">
        <v>42</v>
      </c>
      <c r="E13" s="116" t="s">
        <v>43</v>
      </c>
      <c r="F13" s="116" t="s">
        <v>44</v>
      </c>
      <c r="G13" s="116" t="s">
        <v>45</v>
      </c>
      <c r="H13" s="116" t="s">
        <v>168</v>
      </c>
      <c r="I13" s="116" t="s">
        <v>169</v>
      </c>
      <c r="J13" s="116" t="s">
        <v>46</v>
      </c>
      <c r="K13" s="116" t="s">
        <v>47</v>
      </c>
      <c r="M13">
        <v>2025</v>
      </c>
    </row>
    <row r="14" spans="1:13" x14ac:dyDescent="0.3">
      <c r="A14" s="115" t="s">
        <v>29</v>
      </c>
      <c r="B14" s="115">
        <v>23683</v>
      </c>
      <c r="C14" s="115">
        <v>21427</v>
      </c>
      <c r="D14" s="115">
        <v>22511</v>
      </c>
      <c r="E14" s="115">
        <v>21234</v>
      </c>
      <c r="F14" s="115">
        <v>18435</v>
      </c>
      <c r="G14" s="115">
        <v>23640</v>
      </c>
      <c r="H14" s="115">
        <v>21915</v>
      </c>
      <c r="I14" s="115">
        <v>21218</v>
      </c>
      <c r="J14" s="115">
        <v>18483</v>
      </c>
      <c r="K14" s="115">
        <v>16915</v>
      </c>
      <c r="M14">
        <v>2026</v>
      </c>
    </row>
    <row r="15" spans="1:13" x14ac:dyDescent="0.3">
      <c r="A15" s="115" t="s">
        <v>30</v>
      </c>
      <c r="B15" s="115">
        <v>12026</v>
      </c>
      <c r="C15" s="115">
        <v>10184</v>
      </c>
      <c r="D15" s="115">
        <v>10644</v>
      </c>
      <c r="E15" s="115">
        <v>10765</v>
      </c>
      <c r="F15" s="115">
        <v>9222</v>
      </c>
      <c r="G15" s="115">
        <v>12293</v>
      </c>
      <c r="H15" s="115">
        <v>11363</v>
      </c>
      <c r="I15" s="115">
        <v>10703</v>
      </c>
      <c r="J15" s="115">
        <v>9100</v>
      </c>
      <c r="K15" s="115">
        <v>8168</v>
      </c>
      <c r="M15">
        <v>2027</v>
      </c>
    </row>
    <row r="16" spans="1:13" x14ac:dyDescent="0.3">
      <c r="A16" s="115" t="s">
        <v>31</v>
      </c>
      <c r="B16" s="115">
        <v>2465</v>
      </c>
      <c r="C16" s="115">
        <v>1358</v>
      </c>
      <c r="D16" s="115">
        <v>1874</v>
      </c>
      <c r="E16" s="115">
        <v>3066</v>
      </c>
      <c r="F16" s="115">
        <v>1967</v>
      </c>
      <c r="G16" s="115">
        <v>3845</v>
      </c>
      <c r="H16" s="115">
        <v>2882</v>
      </c>
      <c r="I16" s="115">
        <v>2511</v>
      </c>
      <c r="J16" s="115">
        <v>1953</v>
      </c>
      <c r="K16" s="115">
        <v>1475</v>
      </c>
      <c r="M16">
        <v>2028</v>
      </c>
    </row>
    <row r="17" spans="1:13" x14ac:dyDescent="0.3">
      <c r="A17" s="115" t="s">
        <v>32</v>
      </c>
      <c r="B17" s="115">
        <v>1337</v>
      </c>
      <c r="C17" s="115">
        <v>268</v>
      </c>
      <c r="D17" s="115">
        <v>669</v>
      </c>
      <c r="E17" s="115">
        <v>1986</v>
      </c>
      <c r="F17" s="115">
        <v>746</v>
      </c>
      <c r="G17" s="115">
        <v>2660</v>
      </c>
      <c r="H17" s="115">
        <v>2368</v>
      </c>
      <c r="I17" s="115">
        <v>2070</v>
      </c>
      <c r="J17" s="115">
        <v>1582</v>
      </c>
      <c r="K17" s="115">
        <v>1094</v>
      </c>
      <c r="M17">
        <v>2029</v>
      </c>
    </row>
    <row r="18" spans="1:13" x14ac:dyDescent="0.3">
      <c r="A18" s="115" t="s">
        <v>34</v>
      </c>
      <c r="B18" s="115">
        <v>764</v>
      </c>
      <c r="C18" s="115">
        <v>-75</v>
      </c>
      <c r="D18" s="115">
        <v>612</v>
      </c>
      <c r="E18" s="115">
        <v>2116</v>
      </c>
      <c r="F18" s="115">
        <v>432</v>
      </c>
      <c r="G18" s="115">
        <v>1976</v>
      </c>
      <c r="H18" s="115">
        <v>1702</v>
      </c>
      <c r="I18" s="115">
        <v>1173</v>
      </c>
      <c r="J18" s="115">
        <v>1017</v>
      </c>
      <c r="K18" s="115">
        <v>668</v>
      </c>
      <c r="M18">
        <v>2030</v>
      </c>
    </row>
    <row r="19" spans="1:13" x14ac:dyDescent="0.3">
      <c r="A19" s="115"/>
      <c r="B19" s="115"/>
      <c r="C19" s="115"/>
      <c r="D19" s="115"/>
      <c r="E19" s="115"/>
      <c r="F19" s="115"/>
      <c r="G19" s="115"/>
      <c r="H19" s="115"/>
      <c r="I19" s="115"/>
      <c r="J19" s="115"/>
      <c r="K19" s="115"/>
    </row>
    <row r="20" spans="1:13" x14ac:dyDescent="0.3">
      <c r="A20" s="115"/>
      <c r="B20" s="115"/>
      <c r="C20" s="115"/>
      <c r="D20" s="115"/>
      <c r="E20" s="115"/>
      <c r="F20" s="115"/>
      <c r="G20" s="115"/>
      <c r="H20" s="115"/>
      <c r="I20" s="115"/>
      <c r="J20" s="115"/>
      <c r="K20" s="115"/>
    </row>
    <row r="21" spans="1:13" ht="18" x14ac:dyDescent="0.3">
      <c r="A21" s="115" t="s">
        <v>167</v>
      </c>
      <c r="B21" s="116" t="s">
        <v>26</v>
      </c>
      <c r="C21" s="116" t="s">
        <v>27</v>
      </c>
      <c r="D21" s="116" t="s">
        <v>42</v>
      </c>
      <c r="E21" s="116" t="s">
        <v>43</v>
      </c>
      <c r="F21" s="116" t="s">
        <v>44</v>
      </c>
      <c r="G21" s="116" t="s">
        <v>45</v>
      </c>
      <c r="H21" s="116" t="s">
        <v>168</v>
      </c>
      <c r="I21" s="116" t="s">
        <v>169</v>
      </c>
      <c r="J21" s="116" t="s">
        <v>46</v>
      </c>
      <c r="K21" s="116" t="s">
        <v>47</v>
      </c>
    </row>
    <row r="22" spans="1:13" x14ac:dyDescent="0.3">
      <c r="A22" s="115" t="s">
        <v>35</v>
      </c>
      <c r="B22" s="117">
        <v>0.50800000000000001</v>
      </c>
      <c r="C22" s="117">
        <v>0.47499999999999998</v>
      </c>
      <c r="D22" s="117">
        <v>0.47299999999999998</v>
      </c>
      <c r="E22" s="117">
        <v>0.50700000000000001</v>
      </c>
      <c r="F22" s="117">
        <v>0.5</v>
      </c>
      <c r="G22" s="117">
        <v>0.52</v>
      </c>
      <c r="H22" s="117">
        <v>0.51800000000000002</v>
      </c>
      <c r="I22" s="117">
        <v>0.504</v>
      </c>
      <c r="J22" s="117">
        <v>0.49200000000000005</v>
      </c>
      <c r="K22" s="117">
        <v>0.48299999999999998</v>
      </c>
    </row>
    <row r="23" spans="1:13" x14ac:dyDescent="0.3">
      <c r="A23" s="115" t="s">
        <v>36</v>
      </c>
      <c r="B23" s="117">
        <v>5.5999999999999994E-2</v>
      </c>
      <c r="C23" s="117">
        <v>1.3000000000000001E-2</v>
      </c>
      <c r="D23" s="117">
        <v>0.03</v>
      </c>
      <c r="E23" s="117">
        <v>9.4E-2</v>
      </c>
      <c r="F23" s="117">
        <v>0.04</v>
      </c>
      <c r="G23" s="117">
        <v>0.113</v>
      </c>
      <c r="H23" s="117">
        <v>0.10800000000000001</v>
      </c>
      <c r="I23" s="117">
        <v>9.8000000000000004E-2</v>
      </c>
      <c r="J23" s="117">
        <v>8.5999999999999993E-2</v>
      </c>
      <c r="K23" s="117">
        <v>6.5000000000000002E-2</v>
      </c>
    </row>
    <row r="24" spans="1:13" x14ac:dyDescent="0.3">
      <c r="A24" s="115" t="s">
        <v>37</v>
      </c>
      <c r="B24" s="117">
        <v>0.26500000000000001</v>
      </c>
      <c r="C24" s="117">
        <v>1.8940000000000001</v>
      </c>
      <c r="D24" s="117">
        <v>0.34499999999999997</v>
      </c>
      <c r="E24" s="117">
        <v>0.19399999999999998</v>
      </c>
      <c r="F24" s="117">
        <v>0.20199999999999999</v>
      </c>
      <c r="G24" s="117">
        <v>0.25</v>
      </c>
      <c r="H24" s="117">
        <v>0.28100000000000003</v>
      </c>
      <c r="I24" s="117">
        <v>0.29299999999999998</v>
      </c>
      <c r="J24" s="117">
        <v>0.29600000000000004</v>
      </c>
      <c r="K24" s="117">
        <v>0.32899999999999996</v>
      </c>
    </row>
    <row r="25" spans="1:13" x14ac:dyDescent="0.3">
      <c r="A25" s="115" t="s">
        <v>162</v>
      </c>
      <c r="B25" s="117">
        <v>0.66099999999999992</v>
      </c>
      <c r="C25" s="117">
        <v>0.98599999999999999</v>
      </c>
      <c r="D25" s="117">
        <v>1.212</v>
      </c>
      <c r="E25" s="117">
        <v>0.27699999999999997</v>
      </c>
      <c r="F25" s="117">
        <v>0.376</v>
      </c>
      <c r="G25" s="117">
        <v>0.39399999999999996</v>
      </c>
      <c r="H25" s="117">
        <v>-0.15</v>
      </c>
      <c r="I25" s="117">
        <v>-0.08</v>
      </c>
      <c r="J25" s="117">
        <v>1.6E-2</v>
      </c>
      <c r="K25" s="117">
        <v>8.1000000000000003E-2</v>
      </c>
    </row>
    <row r="26" spans="1:13" x14ac:dyDescent="0.3">
      <c r="A26" s="115" t="s">
        <v>163</v>
      </c>
      <c r="B26" s="117">
        <v>0.26500000000000001</v>
      </c>
      <c r="C26" s="117">
        <v>0.254</v>
      </c>
      <c r="D26" s="117">
        <v>0.24600000000000002</v>
      </c>
      <c r="E26" s="117">
        <v>0.34</v>
      </c>
      <c r="F26" s="117">
        <v>0.307</v>
      </c>
      <c r="G26" s="117">
        <v>0.32899999999999996</v>
      </c>
      <c r="H26" s="117">
        <v>0.40799999999999997</v>
      </c>
      <c r="I26" s="117">
        <v>0.43</v>
      </c>
      <c r="J26" s="117">
        <v>0.42599999999999999</v>
      </c>
      <c r="K26" s="117">
        <v>0.42499999999999999</v>
      </c>
    </row>
    <row r="27" spans="1:13" x14ac:dyDescent="0.3">
      <c r="A27" s="115" t="s">
        <v>164</v>
      </c>
      <c r="B27" s="117">
        <v>0.14000000000000001</v>
      </c>
      <c r="C27" s="117">
        <v>-1.6E-2</v>
      </c>
      <c r="D27" s="117">
        <v>0.12300000000000001</v>
      </c>
      <c r="E27" s="117">
        <v>0.28100000000000003</v>
      </c>
      <c r="F27" s="117">
        <v>6.7000000000000004E-2</v>
      </c>
      <c r="G27" s="117">
        <v>0.29100000000000004</v>
      </c>
      <c r="H27" s="117">
        <v>0.26700000000000002</v>
      </c>
      <c r="I27" s="117">
        <v>0.182</v>
      </c>
      <c r="J27" s="117">
        <v>0.157</v>
      </c>
      <c r="K27" s="117">
        <v>0.11199999999999999</v>
      </c>
    </row>
    <row r="28" spans="1:13" x14ac:dyDescent="0.3">
      <c r="A28" s="115"/>
      <c r="B28" s="115"/>
      <c r="C28" s="115"/>
      <c r="D28" s="115"/>
      <c r="E28" s="115"/>
      <c r="F28" s="115"/>
      <c r="G28" s="115"/>
      <c r="H28" s="115"/>
      <c r="I28" s="115"/>
      <c r="J28" s="115"/>
      <c r="K28" s="115"/>
    </row>
    <row r="29" spans="1:13" x14ac:dyDescent="0.3">
      <c r="A29" s="115"/>
      <c r="B29" s="115"/>
      <c r="C29" s="115"/>
      <c r="D29" s="115"/>
      <c r="E29" s="115"/>
      <c r="F29" s="115"/>
      <c r="G29" s="115"/>
      <c r="H29" s="115"/>
      <c r="I29" s="115"/>
      <c r="J29" s="115"/>
      <c r="K29" s="115"/>
    </row>
    <row r="30" spans="1:13" ht="18" x14ac:dyDescent="0.3">
      <c r="A30" s="115" t="s">
        <v>167</v>
      </c>
      <c r="B30" s="116" t="s">
        <v>26</v>
      </c>
      <c r="C30" s="116" t="s">
        <v>27</v>
      </c>
      <c r="D30" s="116" t="s">
        <v>42</v>
      </c>
      <c r="E30" s="116" t="s">
        <v>43</v>
      </c>
      <c r="F30" s="116" t="s">
        <v>44</v>
      </c>
      <c r="G30" s="116" t="s">
        <v>45</v>
      </c>
      <c r="H30" s="116" t="s">
        <v>168</v>
      </c>
      <c r="I30" s="116" t="s">
        <v>169</v>
      </c>
      <c r="J30" s="116" t="s">
        <v>46</v>
      </c>
      <c r="K30" s="116" t="s">
        <v>47</v>
      </c>
    </row>
    <row r="31" spans="1:13" x14ac:dyDescent="0.3">
      <c r="A31" s="115" t="s">
        <v>57</v>
      </c>
      <c r="B31" s="115">
        <v>236.8</v>
      </c>
      <c r="C31" s="115">
        <v>184.16</v>
      </c>
      <c r="D31" s="115">
        <v>127.46</v>
      </c>
      <c r="E31" s="115">
        <v>253.2</v>
      </c>
      <c r="F31" s="115">
        <v>297.89999999999998</v>
      </c>
      <c r="G31" s="115">
        <v>289.8</v>
      </c>
      <c r="H31" s="115">
        <v>182.4</v>
      </c>
      <c r="I31" s="115">
        <v>167.15</v>
      </c>
      <c r="J31" s="115">
        <v>150.15</v>
      </c>
      <c r="K31" s="115">
        <v>89.91</v>
      </c>
    </row>
    <row r="32" spans="1:13" x14ac:dyDescent="0.3">
      <c r="A32" s="115" t="s">
        <v>166</v>
      </c>
      <c r="B32" s="115">
        <v>4.24</v>
      </c>
      <c r="C32" s="115">
        <v>-0.67</v>
      </c>
      <c r="D32" s="115">
        <v>1.25</v>
      </c>
      <c r="E32" s="115">
        <v>7.47</v>
      </c>
      <c r="F32" s="115">
        <v>2.31</v>
      </c>
      <c r="G32" s="115">
        <v>9.6999999999999993</v>
      </c>
      <c r="H32" s="115">
        <v>8.4600000000000009</v>
      </c>
      <c r="I32" s="115">
        <v>7.05</v>
      </c>
      <c r="J32" s="115">
        <v>5.39</v>
      </c>
      <c r="K32" s="115">
        <v>3.54</v>
      </c>
    </row>
    <row r="33" spans="1:13" x14ac:dyDescent="0.3">
      <c r="A33" s="115" t="s">
        <v>165</v>
      </c>
      <c r="B33" s="115">
        <v>4.24</v>
      </c>
      <c r="C33" s="115">
        <v>-0.67</v>
      </c>
      <c r="D33" s="115">
        <v>1.25</v>
      </c>
      <c r="E33" s="115">
        <v>7.47</v>
      </c>
      <c r="F33" s="115">
        <v>2.31</v>
      </c>
      <c r="G33" s="115">
        <v>9.6999999999999993</v>
      </c>
      <c r="H33" s="115">
        <v>8.4499999999999993</v>
      </c>
      <c r="I33" s="115">
        <v>7</v>
      </c>
      <c r="J33" s="115">
        <v>5.29</v>
      </c>
      <c r="K33" s="115">
        <v>3.54</v>
      </c>
    </row>
    <row r="34" spans="1:13" x14ac:dyDescent="0.3">
      <c r="A34" s="115"/>
      <c r="B34" s="115"/>
      <c r="C34" s="115"/>
      <c r="D34" s="115"/>
      <c r="E34" s="115"/>
      <c r="F34" s="115"/>
      <c r="G34" s="115"/>
      <c r="H34" s="115"/>
      <c r="I34" s="115"/>
      <c r="J34" s="115"/>
      <c r="K34" s="115"/>
    </row>
    <row r="35" spans="1:13" x14ac:dyDescent="0.3">
      <c r="A35" s="115"/>
      <c r="B35" s="115"/>
      <c r="C35" s="115"/>
      <c r="D35" s="115"/>
      <c r="E35" s="115"/>
      <c r="F35" s="115"/>
      <c r="G35" s="115"/>
      <c r="H35" s="115"/>
      <c r="I35" s="115"/>
      <c r="J35" s="115"/>
      <c r="K35" s="115"/>
    </row>
    <row r="36" spans="1:13" x14ac:dyDescent="0.3">
      <c r="A36" s="115"/>
      <c r="B36" s="115"/>
      <c r="C36" s="115"/>
      <c r="D36" s="115"/>
      <c r="E36" s="115"/>
      <c r="F36" s="115"/>
      <c r="G36" s="115"/>
      <c r="H36" s="115"/>
      <c r="I36" s="115"/>
      <c r="J36" s="115"/>
      <c r="K36" s="115"/>
    </row>
    <row r="37" spans="1:13" ht="18" x14ac:dyDescent="0.3">
      <c r="A37" s="115"/>
      <c r="B37" s="116" t="s">
        <v>26</v>
      </c>
      <c r="C37" s="116" t="s">
        <v>27</v>
      </c>
      <c r="D37" s="116" t="s">
        <v>42</v>
      </c>
      <c r="E37" s="116" t="s">
        <v>43</v>
      </c>
      <c r="F37" s="116" t="s">
        <v>44</v>
      </c>
      <c r="G37" s="116" t="s">
        <v>45</v>
      </c>
      <c r="H37" s="116">
        <v>2018</v>
      </c>
      <c r="I37" s="116">
        <v>2017</v>
      </c>
      <c r="J37" s="116" t="s">
        <v>46</v>
      </c>
      <c r="K37" s="116" t="s">
        <v>47</v>
      </c>
    </row>
    <row r="38" spans="1:13" x14ac:dyDescent="0.3">
      <c r="A38" s="115" t="s">
        <v>119</v>
      </c>
      <c r="B38" s="118">
        <v>20655</v>
      </c>
      <c r="C38" s="118">
        <v>18020</v>
      </c>
      <c r="D38" s="118">
        <v>20296</v>
      </c>
      <c r="E38" s="118">
        <v>22137</v>
      </c>
      <c r="F38" s="118">
        <v>21053</v>
      </c>
      <c r="G38" s="118">
        <v>20680</v>
      </c>
      <c r="H38" s="118">
        <v>15612</v>
      </c>
      <c r="I38" s="118">
        <v>14019</v>
      </c>
      <c r="J38" s="118">
        <v>15176</v>
      </c>
      <c r="K38" s="118">
        <v>13343</v>
      </c>
    </row>
    <row r="39" spans="1:13" x14ac:dyDescent="0.3">
      <c r="A39" s="115" t="s">
        <v>115</v>
      </c>
      <c r="B39" s="119">
        <v>0.11700000000000001</v>
      </c>
      <c r="C39" s="119">
        <v>0.106</v>
      </c>
      <c r="D39" s="119">
        <v>0.125</v>
      </c>
      <c r="E39" s="119">
        <v>9.8000000000000004E-2</v>
      </c>
      <c r="F39" s="119">
        <v>9.2999999999999999E-2</v>
      </c>
      <c r="G39" s="119">
        <v>0.127</v>
      </c>
      <c r="H39" s="119">
        <v>0.155</v>
      </c>
      <c r="I39" s="119">
        <v>0.16500000000000001</v>
      </c>
      <c r="J39" s="119">
        <v>0.14499999999999999</v>
      </c>
      <c r="K39" s="119">
        <v>0.154</v>
      </c>
    </row>
    <row r="40" spans="1:13" x14ac:dyDescent="0.3">
      <c r="A40" s="115" t="s">
        <v>117</v>
      </c>
      <c r="B40" s="119">
        <v>0.15</v>
      </c>
      <c r="C40" s="119">
        <v>0.126</v>
      </c>
      <c r="D40" s="119">
        <v>0.14299999999999999</v>
      </c>
      <c r="E40" s="119">
        <v>0.104</v>
      </c>
      <c r="F40" s="119">
        <v>0.114</v>
      </c>
      <c r="G40" s="119">
        <v>0.13100000000000001</v>
      </c>
      <c r="H40" s="119">
        <v>0.14699999999999999</v>
      </c>
      <c r="I40" s="119">
        <v>0.14099999999999999</v>
      </c>
      <c r="J40" s="120">
        <v>0.16400000000000001</v>
      </c>
      <c r="K40" s="119">
        <v>0.152</v>
      </c>
    </row>
    <row r="41" spans="1:13" x14ac:dyDescent="0.3">
      <c r="A41" s="115" t="s">
        <v>149</v>
      </c>
      <c r="B41" s="119">
        <v>0.11899999999999999</v>
      </c>
      <c r="C41" s="119">
        <v>7.9000000000000001E-2</v>
      </c>
      <c r="D41" s="119">
        <v>3.9E-2</v>
      </c>
      <c r="E41" s="119">
        <v>0.17299999999999999</v>
      </c>
      <c r="F41" s="119">
        <v>0.19</v>
      </c>
      <c r="G41" s="119">
        <v>0.107</v>
      </c>
      <c r="H41" s="119">
        <v>0.16800000000000001</v>
      </c>
      <c r="I41" s="119">
        <v>0.114</v>
      </c>
      <c r="J41" s="119">
        <v>9.9000000000000005E-2</v>
      </c>
      <c r="K41" s="119">
        <v>0.10199999999999999</v>
      </c>
    </row>
    <row r="42" spans="1:13" x14ac:dyDescent="0.3">
      <c r="A42" s="115" t="s">
        <v>154</v>
      </c>
      <c r="B42" s="118">
        <v>2499.2550000000001</v>
      </c>
      <c r="C42" s="118">
        <v>2973.3</v>
      </c>
      <c r="D42" s="118">
        <v>3470.6159999999995</v>
      </c>
      <c r="E42" s="118">
        <v>2479.3440000000001</v>
      </c>
      <c r="F42" s="118">
        <v>3179.0029999999997</v>
      </c>
      <c r="G42" s="118">
        <v>1633.72</v>
      </c>
      <c r="H42" s="118">
        <v>1670.4839999999999</v>
      </c>
      <c r="I42" s="118">
        <v>1121.52</v>
      </c>
      <c r="J42" s="118">
        <v>1623.8320000000001</v>
      </c>
      <c r="K42" s="118">
        <v>1827.9910000000002</v>
      </c>
    </row>
    <row r="45" spans="1:13" ht="18" x14ac:dyDescent="0.3">
      <c r="A45" s="115" t="s">
        <v>167</v>
      </c>
      <c r="B45" s="116" t="s">
        <v>26</v>
      </c>
      <c r="C45" s="116" t="s">
        <v>27</v>
      </c>
      <c r="D45" s="116" t="s">
        <v>42</v>
      </c>
      <c r="E45" s="116" t="s">
        <v>43</v>
      </c>
      <c r="F45" s="116" t="s">
        <v>44</v>
      </c>
      <c r="G45" s="116" t="s">
        <v>45</v>
      </c>
      <c r="H45" s="116" t="s">
        <v>168</v>
      </c>
      <c r="I45" s="116" t="s">
        <v>169</v>
      </c>
      <c r="J45" s="116" t="s">
        <v>46</v>
      </c>
      <c r="K45" s="116" t="s">
        <v>47</v>
      </c>
    </row>
    <row r="46" spans="1:13" x14ac:dyDescent="0.3">
      <c r="A46" s="115" t="s">
        <v>119</v>
      </c>
      <c r="B46" s="118">
        <v>20655</v>
      </c>
      <c r="C46" s="118">
        <v>18020</v>
      </c>
      <c r="D46" s="118">
        <v>20296</v>
      </c>
      <c r="E46" s="118">
        <v>22137</v>
      </c>
      <c r="F46" s="118">
        <v>21053</v>
      </c>
      <c r="G46" s="118">
        <v>20680</v>
      </c>
      <c r="H46" s="118">
        <v>15612</v>
      </c>
      <c r="I46" s="118">
        <v>14019</v>
      </c>
      <c r="J46" s="118">
        <v>15176</v>
      </c>
      <c r="K46" s="118">
        <v>13343</v>
      </c>
    </row>
    <row r="47" spans="1:13" x14ac:dyDescent="0.3">
      <c r="A47" s="115" t="s">
        <v>115</v>
      </c>
      <c r="B47" s="118">
        <f>B39*B$38</f>
        <v>2416.6350000000002</v>
      </c>
      <c r="C47" s="118">
        <f t="shared" ref="C47:K47" si="0">C39*C38</f>
        <v>1910.12</v>
      </c>
      <c r="D47" s="118">
        <f t="shared" si="0"/>
        <v>2537</v>
      </c>
      <c r="E47" s="118">
        <f t="shared" si="0"/>
        <v>2169.4259999999999</v>
      </c>
      <c r="F47" s="118">
        <f t="shared" si="0"/>
        <v>1957.9290000000001</v>
      </c>
      <c r="G47" s="118">
        <f t="shared" si="0"/>
        <v>2626.36</v>
      </c>
      <c r="H47" s="118">
        <f t="shared" si="0"/>
        <v>2419.86</v>
      </c>
      <c r="I47" s="118">
        <f t="shared" si="0"/>
        <v>2313.1350000000002</v>
      </c>
      <c r="J47" s="118">
        <f t="shared" si="0"/>
        <v>2200.52</v>
      </c>
      <c r="K47" s="118">
        <f t="shared" si="0"/>
        <v>2054.8220000000001</v>
      </c>
      <c r="L47" s="119"/>
      <c r="M47" s="119"/>
    </row>
    <row r="48" spans="1:13" x14ac:dyDescent="0.3">
      <c r="A48" s="115" t="s">
        <v>117</v>
      </c>
      <c r="B48" s="118">
        <f>B40*B$38</f>
        <v>3098.25</v>
      </c>
      <c r="C48" s="118">
        <f t="shared" ref="C48:K48" si="1">C40*C$38</f>
        <v>2270.52</v>
      </c>
      <c r="D48" s="118">
        <f t="shared" si="1"/>
        <v>2902.328</v>
      </c>
      <c r="E48" s="118">
        <f t="shared" si="1"/>
        <v>2302.248</v>
      </c>
      <c r="F48" s="118">
        <f t="shared" si="1"/>
        <v>2400.0419999999999</v>
      </c>
      <c r="G48" s="118">
        <f t="shared" si="1"/>
        <v>2709.08</v>
      </c>
      <c r="H48" s="118">
        <f t="shared" si="1"/>
        <v>2294.9639999999999</v>
      </c>
      <c r="I48" s="118">
        <f t="shared" si="1"/>
        <v>1976.6789999999999</v>
      </c>
      <c r="J48" s="118">
        <f t="shared" si="1"/>
        <v>2488.864</v>
      </c>
      <c r="K48" s="118">
        <f t="shared" si="1"/>
        <v>2028.136</v>
      </c>
    </row>
    <row r="50" spans="1:17" ht="18" x14ac:dyDescent="0.3">
      <c r="A50" t="s">
        <v>167</v>
      </c>
      <c r="B50" s="116" t="s">
        <v>26</v>
      </c>
      <c r="C50" s="116" t="s">
        <v>27</v>
      </c>
      <c r="D50" s="116" t="s">
        <v>42</v>
      </c>
      <c r="E50" s="116" t="s">
        <v>43</v>
      </c>
      <c r="F50" s="116" t="s">
        <v>44</v>
      </c>
      <c r="G50" s="116" t="s">
        <v>45</v>
      </c>
      <c r="H50" s="116" t="s">
        <v>168</v>
      </c>
      <c r="I50" s="116" t="s">
        <v>169</v>
      </c>
      <c r="J50" s="116" t="s">
        <v>46</v>
      </c>
      <c r="K50" s="116" t="s">
        <v>47</v>
      </c>
    </row>
    <row r="51" spans="1:17" x14ac:dyDescent="0.3">
      <c r="A51" s="115" t="s">
        <v>115</v>
      </c>
      <c r="B51" s="118">
        <v>2416.6350000000002</v>
      </c>
      <c r="C51" s="118">
        <v>1910.12</v>
      </c>
      <c r="D51" s="118">
        <v>2537</v>
      </c>
      <c r="E51" s="118">
        <v>2169.4259999999999</v>
      </c>
      <c r="F51" s="118">
        <v>1957.9290000000001</v>
      </c>
      <c r="G51" s="118">
        <v>2626.36</v>
      </c>
      <c r="H51" s="118">
        <v>2419.86</v>
      </c>
      <c r="I51" s="118">
        <v>2313.1350000000002</v>
      </c>
      <c r="J51" s="118">
        <v>2200.52</v>
      </c>
      <c r="K51" s="118">
        <v>2054.8220000000001</v>
      </c>
    </row>
    <row r="52" spans="1:17" x14ac:dyDescent="0.3">
      <c r="A52" s="115" t="s">
        <v>117</v>
      </c>
      <c r="B52" s="118">
        <v>3098.25</v>
      </c>
      <c r="C52" s="118">
        <v>2270.52</v>
      </c>
      <c r="D52" s="118">
        <v>2902.328</v>
      </c>
      <c r="E52" s="118">
        <v>2302.248</v>
      </c>
      <c r="F52" s="118">
        <v>2400.0419999999999</v>
      </c>
      <c r="G52" s="118">
        <v>2709.08</v>
      </c>
      <c r="H52" s="118">
        <v>2294.9639999999999</v>
      </c>
      <c r="I52" s="118">
        <v>1976.6789999999999</v>
      </c>
      <c r="J52" s="118">
        <v>2488.864</v>
      </c>
      <c r="K52" s="118">
        <v>2028.136</v>
      </c>
    </row>
    <row r="55" spans="1:17" x14ac:dyDescent="0.3">
      <c r="A55" t="s">
        <v>167</v>
      </c>
      <c r="B55" t="s">
        <v>171</v>
      </c>
      <c r="C55" t="s">
        <v>172</v>
      </c>
      <c r="D55" t="s">
        <v>173</v>
      </c>
      <c r="E55" t="s">
        <v>174</v>
      </c>
      <c r="F55" t="s">
        <v>175</v>
      </c>
      <c r="G55" t="s">
        <v>176</v>
      </c>
      <c r="H55" t="s">
        <v>177</v>
      </c>
      <c r="I55" t="s">
        <v>178</v>
      </c>
      <c r="J55" t="s">
        <v>179</v>
      </c>
      <c r="K55" t="s">
        <v>180</v>
      </c>
      <c r="L55" t="s">
        <v>181</v>
      </c>
      <c r="M55" t="s">
        <v>182</v>
      </c>
      <c r="N55" t="s">
        <v>183</v>
      </c>
      <c r="O55" t="s">
        <v>184</v>
      </c>
      <c r="P55" t="s">
        <v>185</v>
      </c>
      <c r="Q55" t="s">
        <v>186</v>
      </c>
    </row>
    <row r="56" spans="1:17" x14ac:dyDescent="0.3">
      <c r="A56" t="s">
        <v>101</v>
      </c>
      <c r="B56">
        <v>2015</v>
      </c>
      <c r="C56">
        <v>2016</v>
      </c>
      <c r="D56">
        <v>2017</v>
      </c>
      <c r="E56">
        <v>2018</v>
      </c>
      <c r="F56">
        <v>2019</v>
      </c>
      <c r="G56">
        <v>2020</v>
      </c>
      <c r="H56">
        <v>2021</v>
      </c>
      <c r="I56">
        <v>2022</v>
      </c>
      <c r="J56">
        <v>2023</v>
      </c>
      <c r="K56">
        <v>2024</v>
      </c>
      <c r="L56">
        <v>2025</v>
      </c>
      <c r="M56">
        <v>2026</v>
      </c>
      <c r="N56">
        <v>2027</v>
      </c>
      <c r="O56">
        <v>2028</v>
      </c>
      <c r="P56">
        <v>2029</v>
      </c>
      <c r="Q56">
        <v>2030</v>
      </c>
    </row>
    <row r="57" spans="1:17" x14ac:dyDescent="0.3">
      <c r="A57" t="s">
        <v>12</v>
      </c>
      <c r="B57">
        <v>1137</v>
      </c>
      <c r="C57">
        <v>1580</v>
      </c>
      <c r="D57">
        <v>2090</v>
      </c>
      <c r="E57">
        <v>2412</v>
      </c>
      <c r="F57">
        <v>3334</v>
      </c>
      <c r="G57">
        <v>1406</v>
      </c>
      <c r="H57">
        <v>2550</v>
      </c>
      <c r="I57">
        <v>1344</v>
      </c>
      <c r="J57">
        <v>853</v>
      </c>
      <c r="K57">
        <v>1935</v>
      </c>
      <c r="L57">
        <v>1600.8935967800019</v>
      </c>
      <c r="M57">
        <v>1595.2731631877896</v>
      </c>
      <c r="N57">
        <v>1550.666912656221</v>
      </c>
      <c r="O57">
        <v>1517.5894045402156</v>
      </c>
      <c r="P57">
        <v>1484.7706169780522</v>
      </c>
      <c r="Q57">
        <v>1450.228309323848</v>
      </c>
    </row>
    <row r="58" spans="1:17" x14ac:dyDescent="0.3">
      <c r="A58" t="s">
        <v>15</v>
      </c>
      <c r="B58">
        <v>338</v>
      </c>
      <c r="C58">
        <v>373</v>
      </c>
      <c r="D58">
        <v>421</v>
      </c>
      <c r="E58">
        <v>470</v>
      </c>
      <c r="F58">
        <v>511</v>
      </c>
      <c r="G58">
        <v>561</v>
      </c>
      <c r="H58">
        <v>516</v>
      </c>
      <c r="I58">
        <v>530</v>
      </c>
      <c r="J58">
        <v>505</v>
      </c>
      <c r="K58">
        <v>530</v>
      </c>
      <c r="L58">
        <v>550.5436412949922</v>
      </c>
      <c r="M58">
        <v>569.34107953567366</v>
      </c>
      <c r="N58">
        <v>587.14752934877629</v>
      </c>
      <c r="O58">
        <v>604.32887731953667</v>
      </c>
      <c r="P58">
        <v>621.16945158194858</v>
      </c>
      <c r="Q58">
        <v>637.78355368241819</v>
      </c>
    </row>
    <row r="59" spans="1:17" x14ac:dyDescent="0.3">
      <c r="A59" t="s">
        <v>16</v>
      </c>
      <c r="B59">
        <v>513</v>
      </c>
      <c r="C59">
        <v>651</v>
      </c>
      <c r="D59">
        <v>752</v>
      </c>
      <c r="E59">
        <v>794</v>
      </c>
      <c r="F59">
        <v>711</v>
      </c>
      <c r="G59">
        <v>442</v>
      </c>
      <c r="H59">
        <v>667</v>
      </c>
      <c r="I59">
        <v>695</v>
      </c>
      <c r="J59">
        <v>504</v>
      </c>
      <c r="K59">
        <v>540</v>
      </c>
      <c r="L59">
        <v>540.63965960644498</v>
      </c>
      <c r="M59">
        <v>527.88376877853625</v>
      </c>
      <c r="N59">
        <v>423.59307295319189</v>
      </c>
      <c r="O59">
        <v>273.47053236003495</v>
      </c>
      <c r="P59">
        <v>288.48117825145738</v>
      </c>
      <c r="Q59">
        <v>262.58464552890251</v>
      </c>
    </row>
    <row r="60" spans="1:17" x14ac:dyDescent="0.3">
      <c r="A60" t="s">
        <v>17</v>
      </c>
      <c r="B60">
        <v>-433.6039999999989</v>
      </c>
      <c r="C60">
        <v>123.6929999999993</v>
      </c>
      <c r="D60">
        <v>-359.94400000000041</v>
      </c>
      <c r="E60">
        <v>-477.39199999999983</v>
      </c>
      <c r="F60">
        <v>-410.03199999999924</v>
      </c>
      <c r="G60">
        <v>13.078999999999724</v>
      </c>
      <c r="H60">
        <v>1149.7570000000014</v>
      </c>
      <c r="I60">
        <v>1039.7159999999985</v>
      </c>
      <c r="J60">
        <v>-1328.1319999999996</v>
      </c>
      <c r="K60">
        <v>-451.625</v>
      </c>
      <c r="L60">
        <v>-294.04376680460234</v>
      </c>
      <c r="M60">
        <v>-197.41221110725286</v>
      </c>
      <c r="N60">
        <v>-199.40894615418057</v>
      </c>
      <c r="O60">
        <v>-239.43432067419522</v>
      </c>
      <c r="P60">
        <v>-256.51408771471131</v>
      </c>
      <c r="Q60">
        <v>-272.50325255481323</v>
      </c>
    </row>
    <row r="61" spans="1:17" x14ac:dyDescent="0.3">
      <c r="A61" t="s">
        <v>102</v>
      </c>
      <c r="B61">
        <v>1021.530999999999</v>
      </c>
      <c r="C61">
        <v>710.62700000000063</v>
      </c>
      <c r="D61">
        <v>1506.5740000000005</v>
      </c>
      <c r="E61">
        <v>1887.62</v>
      </c>
      <c r="F61">
        <v>2710.5319999999992</v>
      </c>
      <c r="G61">
        <v>1227.9090000000003</v>
      </c>
      <c r="H61">
        <v>754.54299999999876</v>
      </c>
      <c r="I61">
        <v>-324.39599999999837</v>
      </c>
      <c r="J61">
        <v>1949.4525555555551</v>
      </c>
      <c r="K61">
        <v>1863.85</v>
      </c>
      <c r="L61">
        <v>1499.6971607930691</v>
      </c>
      <c r="M61">
        <v>1431.9259480140222</v>
      </c>
      <c r="N61">
        <v>1531.2526211877303</v>
      </c>
      <c r="O61">
        <v>1719.3630673869311</v>
      </c>
      <c r="P61">
        <v>1719.0509180302133</v>
      </c>
      <c r="Q61">
        <v>1756.7943350420405</v>
      </c>
    </row>
  </sheetData>
  <pageMargins left="0.7" right="0.7" top="0.75" bottom="0.75" header="0.3" footer="0.3"/>
  <tableParts count="7">
    <tablePart r:id="rId1"/>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BB1-3C51-4AE6-82D9-5A703371783A}">
  <sheetPr>
    <tabColor theme="5" tint="0.39997558519241921"/>
  </sheetPr>
  <dimension ref="A5:M114"/>
  <sheetViews>
    <sheetView zoomScale="73" zoomScaleNormal="73" workbookViewId="0">
      <pane ySplit="5" topLeftCell="A6" activePane="bottomLeft" state="frozen"/>
      <selection pane="bottomLeft" activeCell="A47" sqref="A47"/>
    </sheetView>
  </sheetViews>
  <sheetFormatPr defaultRowHeight="14.4" x14ac:dyDescent="0.3"/>
  <cols>
    <col min="1" max="1" width="61.21875" customWidth="1"/>
    <col min="2" max="2" width="13.6640625" bestFit="1" customWidth="1"/>
    <col min="7" max="7" width="10" bestFit="1" customWidth="1"/>
    <col min="11" max="11" width="9.44140625" customWidth="1"/>
  </cols>
  <sheetData>
    <row r="5" spans="1:12" s="108" customFormat="1" ht="18" x14ac:dyDescent="0.3">
      <c r="A5" s="108" t="s">
        <v>25</v>
      </c>
      <c r="B5" s="108" t="s">
        <v>26</v>
      </c>
      <c r="C5" s="108" t="s">
        <v>27</v>
      </c>
      <c r="D5" s="108" t="s">
        <v>42</v>
      </c>
      <c r="E5" s="108" t="s">
        <v>43</v>
      </c>
      <c r="F5" s="108" t="s">
        <v>44</v>
      </c>
      <c r="G5" s="108" t="s">
        <v>45</v>
      </c>
      <c r="H5" s="108">
        <v>2018</v>
      </c>
      <c r="I5" s="108">
        <v>2017</v>
      </c>
      <c r="J5" s="108" t="s">
        <v>46</v>
      </c>
      <c r="K5" s="108" t="s">
        <v>47</v>
      </c>
      <c r="L5" s="108">
        <v>2014</v>
      </c>
    </row>
    <row r="6" spans="1:12" x14ac:dyDescent="0.3">
      <c r="A6" t="s">
        <v>48</v>
      </c>
    </row>
    <row r="7" spans="1:12" x14ac:dyDescent="0.3">
      <c r="A7" t="s">
        <v>49</v>
      </c>
      <c r="B7" t="s">
        <v>25</v>
      </c>
      <c r="C7" t="s">
        <v>25</v>
      </c>
      <c r="D7" t="s">
        <v>25</v>
      </c>
      <c r="E7" t="s">
        <v>25</v>
      </c>
      <c r="F7" t="s">
        <v>25</v>
      </c>
      <c r="G7" t="s">
        <v>25</v>
      </c>
      <c r="H7" t="s">
        <v>25</v>
      </c>
      <c r="I7" t="s">
        <v>25</v>
      </c>
      <c r="J7" t="s">
        <v>25</v>
      </c>
      <c r="K7" t="s">
        <v>25</v>
      </c>
    </row>
    <row r="8" spans="1:12" s="29" customFormat="1" x14ac:dyDescent="0.3">
      <c r="A8" s="29" t="s">
        <v>62</v>
      </c>
      <c r="B8" s="29">
        <v>23683</v>
      </c>
      <c r="C8" s="29">
        <v>21427</v>
      </c>
      <c r="D8" s="29">
        <v>22511</v>
      </c>
      <c r="E8" s="29">
        <v>21234</v>
      </c>
      <c r="F8" s="29">
        <v>18435</v>
      </c>
      <c r="G8" s="29">
        <v>23640</v>
      </c>
      <c r="H8" s="29">
        <v>21915</v>
      </c>
      <c r="I8" s="29">
        <v>21218</v>
      </c>
      <c r="J8" s="29">
        <v>18483</v>
      </c>
      <c r="K8" s="29">
        <v>16915</v>
      </c>
    </row>
    <row r="9" spans="1:12" x14ac:dyDescent="0.3">
      <c r="A9" t="s">
        <v>63</v>
      </c>
      <c r="B9">
        <v>12026</v>
      </c>
      <c r="C9">
        <v>10184</v>
      </c>
      <c r="D9">
        <v>10644</v>
      </c>
      <c r="E9">
        <v>10765</v>
      </c>
      <c r="F9">
        <v>9222</v>
      </c>
      <c r="G9">
        <v>12293</v>
      </c>
      <c r="H9">
        <v>11363</v>
      </c>
      <c r="I9">
        <v>10703</v>
      </c>
      <c r="J9">
        <v>9100</v>
      </c>
      <c r="K9">
        <v>8168</v>
      </c>
    </row>
    <row r="10" spans="1:12" x14ac:dyDescent="0.3">
      <c r="A10" t="s">
        <v>64</v>
      </c>
      <c r="B10">
        <v>81</v>
      </c>
      <c r="C10">
        <v>83</v>
      </c>
      <c r="D10">
        <v>112</v>
      </c>
      <c r="E10">
        <v>86</v>
      </c>
      <c r="F10">
        <v>61</v>
      </c>
      <c r="G10">
        <v>154</v>
      </c>
      <c r="H10">
        <v>129</v>
      </c>
      <c r="I10">
        <v>115</v>
      </c>
      <c r="J10">
        <v>105</v>
      </c>
      <c r="K10">
        <v>119</v>
      </c>
    </row>
    <row r="11" spans="1:12" x14ac:dyDescent="0.3">
      <c r="A11" t="s">
        <v>65</v>
      </c>
      <c r="B11">
        <v>174</v>
      </c>
      <c r="C11">
        <v>71</v>
      </c>
      <c r="D11">
        <v>173</v>
      </c>
      <c r="E11">
        <v>28</v>
      </c>
      <c r="F11">
        <v>42</v>
      </c>
      <c r="G11">
        <v>56</v>
      </c>
      <c r="H11">
        <v>48</v>
      </c>
      <c r="I11">
        <v>17</v>
      </c>
      <c r="J11">
        <v>119</v>
      </c>
      <c r="K11">
        <v>8</v>
      </c>
    </row>
    <row r="12" spans="1:12" x14ac:dyDescent="0.3">
      <c r="A12" t="s">
        <v>66</v>
      </c>
      <c r="B12">
        <v>10945</v>
      </c>
      <c r="C12">
        <v>10070</v>
      </c>
      <c r="D12">
        <v>10260</v>
      </c>
      <c r="E12">
        <v>8892</v>
      </c>
      <c r="F12">
        <v>8580</v>
      </c>
      <c r="G12">
        <v>9843</v>
      </c>
      <c r="H12">
        <v>9172</v>
      </c>
      <c r="I12">
        <v>8766</v>
      </c>
      <c r="J12">
        <v>7741</v>
      </c>
      <c r="K12">
        <v>7201</v>
      </c>
    </row>
    <row r="13" spans="1:12" s="29" customFormat="1" x14ac:dyDescent="0.3">
      <c r="A13" s="29" t="s">
        <v>31</v>
      </c>
      <c r="B13" s="29">
        <v>2465</v>
      </c>
      <c r="C13" s="29">
        <v>1358</v>
      </c>
      <c r="D13" s="29">
        <v>1874</v>
      </c>
      <c r="E13" s="29">
        <v>3066</v>
      </c>
      <c r="F13" s="29">
        <v>1967</v>
      </c>
      <c r="G13" s="29">
        <v>3845</v>
      </c>
      <c r="H13" s="29">
        <v>2882</v>
      </c>
      <c r="I13" s="29">
        <v>2511</v>
      </c>
      <c r="J13" s="29">
        <v>1953</v>
      </c>
      <c r="K13" s="29">
        <v>1475</v>
      </c>
    </row>
    <row r="14" spans="1:12" x14ac:dyDescent="0.3">
      <c r="A14" t="s">
        <v>67</v>
      </c>
      <c r="B14">
        <v>1337</v>
      </c>
      <c r="C14">
        <v>268</v>
      </c>
      <c r="D14">
        <v>669</v>
      </c>
      <c r="E14">
        <v>1986</v>
      </c>
      <c r="F14">
        <v>746</v>
      </c>
      <c r="G14">
        <v>2660</v>
      </c>
      <c r="H14">
        <v>2368</v>
      </c>
      <c r="I14">
        <v>2070</v>
      </c>
      <c r="J14">
        <v>1582</v>
      </c>
      <c r="K14">
        <v>1094</v>
      </c>
    </row>
    <row r="15" spans="1:12" x14ac:dyDescent="0.3">
      <c r="A15" t="s">
        <v>68</v>
      </c>
      <c r="B15">
        <v>-215</v>
      </c>
      <c r="C15">
        <v>-203</v>
      </c>
      <c r="D15">
        <v>-281</v>
      </c>
      <c r="E15">
        <v>-133</v>
      </c>
      <c r="F15">
        <v>-167</v>
      </c>
      <c r="G15">
        <v>-102</v>
      </c>
      <c r="H15">
        <v>10</v>
      </c>
      <c r="I15">
        <v>-47</v>
      </c>
      <c r="J15">
        <v>-46</v>
      </c>
      <c r="K15">
        <v>-21</v>
      </c>
    </row>
    <row r="16" spans="1:12" x14ac:dyDescent="0.3">
      <c r="A16" t="s">
        <v>69</v>
      </c>
      <c r="B16">
        <v>1121</v>
      </c>
      <c r="C16">
        <v>65</v>
      </c>
      <c r="D16">
        <v>388</v>
      </c>
      <c r="E16">
        <v>1852</v>
      </c>
      <c r="F16">
        <v>578</v>
      </c>
      <c r="G16">
        <v>2558</v>
      </c>
      <c r="H16">
        <v>2378</v>
      </c>
      <c r="I16">
        <v>2023</v>
      </c>
      <c r="J16">
        <v>1536</v>
      </c>
      <c r="K16">
        <v>1073</v>
      </c>
    </row>
    <row r="17" spans="1:13" s="29" customFormat="1" x14ac:dyDescent="0.3">
      <c r="A17" s="29" t="s">
        <v>70</v>
      </c>
      <c r="B17" s="29">
        <v>297</v>
      </c>
      <c r="C17" s="29">
        <v>124</v>
      </c>
      <c r="D17" s="29">
        <v>134</v>
      </c>
      <c r="E17" s="29">
        <v>360</v>
      </c>
      <c r="F17" s="29">
        <v>117</v>
      </c>
      <c r="G17" s="29">
        <v>640</v>
      </c>
      <c r="H17" s="29">
        <v>669</v>
      </c>
      <c r="I17" s="29">
        <v>668</v>
      </c>
      <c r="J17" s="29">
        <v>454</v>
      </c>
      <c r="K17" s="29">
        <v>353</v>
      </c>
    </row>
    <row r="18" spans="1:13" x14ac:dyDescent="0.3">
      <c r="A18" t="s">
        <v>71</v>
      </c>
      <c r="B18">
        <v>764</v>
      </c>
      <c r="C18">
        <v>-75</v>
      </c>
      <c r="D18">
        <v>612</v>
      </c>
      <c r="E18">
        <v>2116</v>
      </c>
      <c r="F18">
        <v>432</v>
      </c>
      <c r="G18">
        <v>1976</v>
      </c>
      <c r="H18">
        <v>1702</v>
      </c>
      <c r="I18">
        <v>1173</v>
      </c>
      <c r="J18">
        <v>1017</v>
      </c>
      <c r="K18">
        <v>668</v>
      </c>
    </row>
    <row r="19" spans="1:13" x14ac:dyDescent="0.3">
      <c r="A19" t="s">
        <v>48</v>
      </c>
    </row>
    <row r="20" spans="1:13" x14ac:dyDescent="0.3">
      <c r="A20" t="s">
        <v>50</v>
      </c>
      <c r="B20" t="s">
        <v>25</v>
      </c>
      <c r="C20" t="s">
        <v>25</v>
      </c>
      <c r="D20" t="s">
        <v>25</v>
      </c>
      <c r="E20" t="s">
        <v>25</v>
      </c>
      <c r="F20" t="s">
        <v>25</v>
      </c>
      <c r="G20" t="s">
        <v>25</v>
      </c>
      <c r="H20" t="s">
        <v>25</v>
      </c>
      <c r="I20" t="s">
        <v>25</v>
      </c>
      <c r="J20" t="s">
        <v>25</v>
      </c>
      <c r="K20" t="s">
        <v>25</v>
      </c>
    </row>
    <row r="21" spans="1:13" x14ac:dyDescent="0.3">
      <c r="A21" t="s">
        <v>72</v>
      </c>
      <c r="B21" s="64">
        <v>0.50800000000000001</v>
      </c>
      <c r="C21" s="64">
        <v>0.47499999999999998</v>
      </c>
      <c r="D21" s="64">
        <v>0.47299999999999998</v>
      </c>
      <c r="E21" s="64">
        <v>0.50700000000000001</v>
      </c>
      <c r="F21" s="64">
        <v>0.5</v>
      </c>
      <c r="G21" s="64">
        <v>0.52</v>
      </c>
      <c r="H21" s="64">
        <v>0.51800000000000002</v>
      </c>
      <c r="I21" s="64">
        <v>0.504</v>
      </c>
      <c r="J21" s="64">
        <v>0.49200000000000005</v>
      </c>
      <c r="K21" s="64">
        <v>0.48299999999999998</v>
      </c>
    </row>
    <row r="22" spans="1:13" x14ac:dyDescent="0.3">
      <c r="A22" t="s">
        <v>73</v>
      </c>
      <c r="B22" s="64">
        <v>5.5999999999999994E-2</v>
      </c>
      <c r="C22" s="64">
        <v>1.3000000000000001E-2</v>
      </c>
      <c r="D22" s="64">
        <v>0.03</v>
      </c>
      <c r="E22" s="64">
        <v>9.4E-2</v>
      </c>
      <c r="F22" s="64">
        <v>0.04</v>
      </c>
      <c r="G22" s="64">
        <v>0.113</v>
      </c>
      <c r="H22" s="64">
        <v>0.10800000000000001</v>
      </c>
      <c r="I22" s="64">
        <v>9.8000000000000004E-2</v>
      </c>
      <c r="J22" s="64">
        <v>8.5999999999999993E-2</v>
      </c>
      <c r="K22" s="64">
        <v>6.5000000000000002E-2</v>
      </c>
    </row>
    <row r="23" spans="1:13" s="29" customFormat="1" x14ac:dyDescent="0.3">
      <c r="A23" s="29" t="s">
        <v>74</v>
      </c>
      <c r="B23" s="62">
        <v>0.26500000000000001</v>
      </c>
      <c r="C23" s="62">
        <v>1.8940000000000001</v>
      </c>
      <c r="D23" s="62">
        <v>0.34499999999999997</v>
      </c>
      <c r="E23" s="62">
        <v>0.19399999999999998</v>
      </c>
      <c r="F23" s="62">
        <v>0.20199999999999999</v>
      </c>
      <c r="G23" s="62">
        <v>0.25</v>
      </c>
      <c r="H23" s="62">
        <v>0.28100000000000003</v>
      </c>
      <c r="I23" s="62">
        <v>0.29299999999999998</v>
      </c>
      <c r="J23" s="62">
        <v>0.29600000000000004</v>
      </c>
      <c r="K23" s="62">
        <v>0.32899999999999996</v>
      </c>
      <c r="M23" s="66">
        <f>AVERAGE(D23:K23,B23)</f>
        <v>0.27277777777777773</v>
      </c>
    </row>
    <row r="24" spans="1:13" x14ac:dyDescent="0.3">
      <c r="A24" t="s">
        <v>75</v>
      </c>
      <c r="B24" s="64">
        <v>3.2000000000000001E-2</v>
      </c>
      <c r="C24" s="64">
        <v>-4.0000000000000001E-3</v>
      </c>
      <c r="D24" s="64">
        <v>2.7000000000000003E-2</v>
      </c>
      <c r="E24" s="64">
        <v>0.1</v>
      </c>
      <c r="F24" s="64">
        <v>2.3E-2</v>
      </c>
      <c r="G24" s="64">
        <v>8.4000000000000005E-2</v>
      </c>
      <c r="H24" s="64">
        <v>7.8E-2</v>
      </c>
      <c r="I24" s="64">
        <v>5.5E-2</v>
      </c>
      <c r="J24" s="64">
        <v>5.5E-2</v>
      </c>
      <c r="K24" s="64">
        <v>0.04</v>
      </c>
    </row>
    <row r="25" spans="1:13" x14ac:dyDescent="0.3">
      <c r="A25" t="s">
        <v>48</v>
      </c>
    </row>
    <row r="26" spans="1:13" x14ac:dyDescent="0.3">
      <c r="A26" t="s">
        <v>51</v>
      </c>
      <c r="B26" t="s">
        <v>25</v>
      </c>
      <c r="C26" t="s">
        <v>25</v>
      </c>
      <c r="D26" t="s">
        <v>25</v>
      </c>
      <c r="E26" t="s">
        <v>25</v>
      </c>
      <c r="F26" t="s">
        <v>25</v>
      </c>
      <c r="G26" t="s">
        <v>25</v>
      </c>
      <c r="H26" t="s">
        <v>25</v>
      </c>
      <c r="I26" t="s">
        <v>25</v>
      </c>
      <c r="J26" t="s">
        <v>25</v>
      </c>
      <c r="K26" t="s">
        <v>25</v>
      </c>
    </row>
    <row r="27" spans="1:13" x14ac:dyDescent="0.3">
      <c r="A27" t="s">
        <v>76</v>
      </c>
      <c r="B27">
        <v>13975</v>
      </c>
      <c r="C27">
        <v>12139</v>
      </c>
      <c r="D27">
        <v>12287</v>
      </c>
      <c r="E27">
        <v>11336</v>
      </c>
      <c r="F27">
        <v>10129</v>
      </c>
      <c r="G27">
        <v>13521</v>
      </c>
      <c r="H27">
        <v>12783</v>
      </c>
      <c r="I27">
        <v>12427</v>
      </c>
      <c r="J27">
        <v>10132</v>
      </c>
      <c r="K27">
        <v>8360</v>
      </c>
    </row>
    <row r="28" spans="1:13" x14ac:dyDescent="0.3">
      <c r="A28" t="s">
        <v>77</v>
      </c>
      <c r="B28">
        <v>8216</v>
      </c>
      <c r="C28">
        <v>7806</v>
      </c>
      <c r="D28">
        <v>8731</v>
      </c>
      <c r="E28">
        <v>8710</v>
      </c>
      <c r="F28">
        <v>7315</v>
      </c>
      <c r="G28">
        <v>8963</v>
      </c>
      <c r="H28">
        <v>8223</v>
      </c>
      <c r="I28">
        <v>7747</v>
      </c>
      <c r="J28">
        <v>7352</v>
      </c>
      <c r="K28">
        <v>6970</v>
      </c>
    </row>
    <row r="29" spans="1:13" x14ac:dyDescent="0.3">
      <c r="A29" t="s">
        <v>78</v>
      </c>
      <c r="B29">
        <v>1499</v>
      </c>
      <c r="C29">
        <v>1483</v>
      </c>
      <c r="D29">
        <v>1493</v>
      </c>
      <c r="E29">
        <v>1187</v>
      </c>
      <c r="F29">
        <v>991</v>
      </c>
      <c r="G29">
        <v>1156</v>
      </c>
      <c r="H29">
        <v>910</v>
      </c>
      <c r="I29">
        <v>1044</v>
      </c>
      <c r="J29">
        <v>999</v>
      </c>
      <c r="K29">
        <v>1585</v>
      </c>
    </row>
    <row r="30" spans="1:13" x14ac:dyDescent="0.3">
      <c r="A30" t="s">
        <v>48</v>
      </c>
    </row>
    <row r="31" spans="1:13" x14ac:dyDescent="0.3">
      <c r="A31" t="s">
        <v>52</v>
      </c>
      <c r="B31" t="s">
        <v>25</v>
      </c>
      <c r="C31" t="s">
        <v>25</v>
      </c>
      <c r="D31" t="s">
        <v>25</v>
      </c>
      <c r="E31" t="s">
        <v>25</v>
      </c>
      <c r="F31" t="s">
        <v>25</v>
      </c>
      <c r="G31" t="s">
        <v>25</v>
      </c>
      <c r="H31" t="s">
        <v>25</v>
      </c>
      <c r="I31" t="s">
        <v>25</v>
      </c>
      <c r="J31" t="s">
        <v>25</v>
      </c>
      <c r="K31" t="s">
        <v>25</v>
      </c>
    </row>
    <row r="32" spans="1:13" x14ac:dyDescent="0.3">
      <c r="A32" t="s">
        <v>38</v>
      </c>
      <c r="B32">
        <v>20655</v>
      </c>
      <c r="C32">
        <v>18020</v>
      </c>
      <c r="D32">
        <v>20296</v>
      </c>
      <c r="E32">
        <v>22137</v>
      </c>
      <c r="F32">
        <v>21053</v>
      </c>
      <c r="G32">
        <v>20680</v>
      </c>
      <c r="H32">
        <v>15612</v>
      </c>
      <c r="I32">
        <v>14019</v>
      </c>
      <c r="J32">
        <v>15176</v>
      </c>
      <c r="K32">
        <v>13343</v>
      </c>
    </row>
    <row r="33" spans="1:11" x14ac:dyDescent="0.3">
      <c r="A33" t="s">
        <v>39</v>
      </c>
      <c r="B33">
        <v>4989</v>
      </c>
      <c r="C33">
        <v>4525</v>
      </c>
      <c r="D33">
        <v>5973</v>
      </c>
      <c r="E33">
        <v>4009</v>
      </c>
      <c r="F33">
        <v>4397</v>
      </c>
      <c r="G33">
        <v>4085</v>
      </c>
      <c r="H33">
        <v>3445</v>
      </c>
      <c r="I33">
        <v>3692</v>
      </c>
      <c r="J33">
        <v>3763</v>
      </c>
      <c r="K33">
        <v>3113</v>
      </c>
    </row>
    <row r="34" spans="1:11" x14ac:dyDescent="0.3">
      <c r="A34" t="s">
        <v>53</v>
      </c>
      <c r="B34">
        <v>4460</v>
      </c>
      <c r="C34">
        <v>3819</v>
      </c>
      <c r="D34">
        <v>4961</v>
      </c>
      <c r="E34">
        <v>4072</v>
      </c>
      <c r="F34">
        <v>3763</v>
      </c>
      <c r="G34">
        <v>4338</v>
      </c>
      <c r="H34">
        <v>3734</v>
      </c>
      <c r="I34">
        <v>3277</v>
      </c>
      <c r="J34">
        <v>3607</v>
      </c>
      <c r="K34">
        <v>3003</v>
      </c>
    </row>
    <row r="35" spans="1:11" x14ac:dyDescent="0.3">
      <c r="A35" t="s">
        <v>54</v>
      </c>
      <c r="B35">
        <v>2311</v>
      </c>
      <c r="C35">
        <v>1766</v>
      </c>
      <c r="D35">
        <v>2475</v>
      </c>
      <c r="E35">
        <v>4978</v>
      </c>
      <c r="F35">
        <v>3328</v>
      </c>
      <c r="G35">
        <v>2179</v>
      </c>
      <c r="H35">
        <v>2979</v>
      </c>
      <c r="I35">
        <v>2354</v>
      </c>
      <c r="J35">
        <v>2121</v>
      </c>
      <c r="K35">
        <v>2133</v>
      </c>
    </row>
    <row r="36" spans="1:11" x14ac:dyDescent="0.3">
      <c r="A36" t="s">
        <v>79</v>
      </c>
      <c r="B36">
        <v>-3622</v>
      </c>
      <c r="C36">
        <v>-4518</v>
      </c>
      <c r="D36">
        <v>-6047</v>
      </c>
      <c r="E36">
        <v>-2082</v>
      </c>
      <c r="F36">
        <v>-2424</v>
      </c>
      <c r="G36">
        <v>-2676</v>
      </c>
      <c r="H36">
        <v>959</v>
      </c>
      <c r="I36">
        <v>484</v>
      </c>
      <c r="J36">
        <v>-103</v>
      </c>
      <c r="K36">
        <v>-460</v>
      </c>
    </row>
    <row r="37" spans="1:11" x14ac:dyDescent="0.3">
      <c r="A37" t="s">
        <v>40</v>
      </c>
      <c r="B37">
        <v>5476</v>
      </c>
      <c r="C37">
        <v>4580</v>
      </c>
      <c r="D37">
        <v>4991</v>
      </c>
      <c r="E37">
        <v>7519</v>
      </c>
      <c r="F37">
        <v>6454</v>
      </c>
      <c r="G37">
        <v>6796</v>
      </c>
      <c r="H37">
        <v>6377</v>
      </c>
      <c r="I37">
        <v>6032</v>
      </c>
      <c r="J37">
        <v>6472</v>
      </c>
      <c r="K37">
        <v>5666</v>
      </c>
    </row>
    <row r="38" spans="1:11" x14ac:dyDescent="0.3">
      <c r="A38" t="s">
        <v>48</v>
      </c>
    </row>
    <row r="39" spans="1:11" x14ac:dyDescent="0.3">
      <c r="A39" t="s">
        <v>55</v>
      </c>
      <c r="B39" t="s">
        <v>25</v>
      </c>
      <c r="C39" t="s">
        <v>25</v>
      </c>
      <c r="D39" t="s">
        <v>25</v>
      </c>
      <c r="E39" t="s">
        <v>25</v>
      </c>
      <c r="F39" t="s">
        <v>25</v>
      </c>
      <c r="G39" t="s">
        <v>25</v>
      </c>
      <c r="H39" t="s">
        <v>25</v>
      </c>
      <c r="I39" t="s">
        <v>25</v>
      </c>
      <c r="J39" t="s">
        <v>25</v>
      </c>
      <c r="K39" t="s">
        <v>25</v>
      </c>
    </row>
    <row r="40" spans="1:11" x14ac:dyDescent="0.3">
      <c r="A40" t="s">
        <v>80</v>
      </c>
      <c r="B40">
        <v>1.5</v>
      </c>
      <c r="C40">
        <v>3.3</v>
      </c>
      <c r="D40">
        <v>3.2</v>
      </c>
      <c r="E40">
        <v>0.7</v>
      </c>
      <c r="F40">
        <v>1.2</v>
      </c>
      <c r="G40">
        <v>0.7</v>
      </c>
      <c r="H40">
        <v>-0.3</v>
      </c>
      <c r="I40">
        <v>-0.2</v>
      </c>
      <c r="J40">
        <v>0.1</v>
      </c>
      <c r="K40">
        <v>0.3</v>
      </c>
    </row>
    <row r="41" spans="1:11" x14ac:dyDescent="0.3">
      <c r="A41" t="s">
        <v>81</v>
      </c>
      <c r="B41">
        <v>0.19699999999999998</v>
      </c>
      <c r="C41">
        <v>0.25700000000000001</v>
      </c>
      <c r="D41">
        <v>0.24</v>
      </c>
      <c r="E41">
        <v>0.2</v>
      </c>
      <c r="F41">
        <v>0.253</v>
      </c>
      <c r="G41">
        <v>0.18100000000000002</v>
      </c>
      <c r="H41">
        <v>0.19</v>
      </c>
      <c r="I41">
        <v>0.20399999999999999</v>
      </c>
      <c r="J41">
        <v>0.21100000000000002</v>
      </c>
      <c r="K41">
        <v>0.20499999999999999</v>
      </c>
    </row>
    <row r="42" spans="1:11" s="29" customFormat="1" x14ac:dyDescent="0.3">
      <c r="A42" s="29" t="s">
        <v>82</v>
      </c>
      <c r="B42" s="29">
        <v>0.66099999999999992</v>
      </c>
      <c r="C42" s="29">
        <v>0.98599999999999999</v>
      </c>
      <c r="D42" s="29">
        <v>1.212</v>
      </c>
      <c r="E42" s="29">
        <v>0.27699999999999997</v>
      </c>
      <c r="F42" s="29">
        <v>0.376</v>
      </c>
      <c r="G42" s="29">
        <v>0.39399999999999996</v>
      </c>
      <c r="H42" s="29">
        <v>-0.15</v>
      </c>
      <c r="I42" s="29">
        <v>-0.08</v>
      </c>
      <c r="J42" s="29">
        <v>1.6E-2</v>
      </c>
      <c r="K42" s="29">
        <v>8.1000000000000003E-2</v>
      </c>
    </row>
    <row r="43" spans="1:11" x14ac:dyDescent="0.3">
      <c r="A43" t="s">
        <v>83</v>
      </c>
      <c r="B43">
        <v>0.26500000000000001</v>
      </c>
      <c r="C43">
        <v>0.254</v>
      </c>
      <c r="D43">
        <v>0.24600000000000002</v>
      </c>
      <c r="E43">
        <v>0.34</v>
      </c>
      <c r="F43">
        <v>0.307</v>
      </c>
      <c r="G43">
        <v>0.32899999999999996</v>
      </c>
      <c r="H43">
        <v>0.40799999999999997</v>
      </c>
      <c r="I43">
        <v>0.43</v>
      </c>
      <c r="J43">
        <v>0.42599999999999999</v>
      </c>
      <c r="K43">
        <v>0.42499999999999999</v>
      </c>
    </row>
    <row r="44" spans="1:11" s="29" customFormat="1" x14ac:dyDescent="0.3">
      <c r="A44" s="29" t="s">
        <v>84</v>
      </c>
      <c r="B44" s="29">
        <v>0.14000000000000001</v>
      </c>
      <c r="C44" s="29">
        <v>-1.6E-2</v>
      </c>
      <c r="D44" s="29">
        <v>0.12300000000000001</v>
      </c>
      <c r="E44" s="29">
        <v>0.28100000000000003</v>
      </c>
      <c r="F44" s="29">
        <v>6.7000000000000004E-2</v>
      </c>
      <c r="G44" s="29">
        <v>0.29100000000000004</v>
      </c>
      <c r="H44" s="29">
        <v>0.26700000000000002</v>
      </c>
      <c r="I44" s="29">
        <v>0.182</v>
      </c>
      <c r="J44" s="29">
        <v>0.157</v>
      </c>
      <c r="K44" s="29">
        <v>0.11199999999999999</v>
      </c>
    </row>
    <row r="45" spans="1:11" x14ac:dyDescent="0.3">
      <c r="A45" t="s">
        <v>85</v>
      </c>
      <c r="B45">
        <v>0.14800000000000002</v>
      </c>
      <c r="C45">
        <v>2.7999999999999997E-2</v>
      </c>
      <c r="D45">
        <v>5.2999999999999999E-2</v>
      </c>
      <c r="E45">
        <v>0.21199999999999999</v>
      </c>
      <c r="F45">
        <v>0.08</v>
      </c>
      <c r="G45">
        <v>0.27899999999999997</v>
      </c>
      <c r="H45">
        <v>0.45100000000000001</v>
      </c>
      <c r="I45">
        <v>0.41200000000000003</v>
      </c>
      <c r="J45">
        <v>0.24199999999999999</v>
      </c>
      <c r="K45">
        <v>0.16500000000000001</v>
      </c>
    </row>
    <row r="46" spans="1:11" x14ac:dyDescent="0.3">
      <c r="A46" t="s">
        <v>48</v>
      </c>
    </row>
    <row r="47" spans="1:11" x14ac:dyDescent="0.3">
      <c r="A47" t="s">
        <v>56</v>
      </c>
      <c r="B47" t="s">
        <v>25</v>
      </c>
      <c r="C47" t="s">
        <v>25</v>
      </c>
      <c r="D47" t="s">
        <v>25</v>
      </c>
      <c r="E47" t="s">
        <v>25</v>
      </c>
      <c r="F47" t="s">
        <v>25</v>
      </c>
      <c r="G47" t="s">
        <v>25</v>
      </c>
      <c r="H47" t="s">
        <v>25</v>
      </c>
      <c r="I47" t="s">
        <v>25</v>
      </c>
      <c r="J47" t="s">
        <v>25</v>
      </c>
      <c r="K47" t="s">
        <v>25</v>
      </c>
    </row>
    <row r="48" spans="1:11" s="33" customFormat="1" x14ac:dyDescent="0.3">
      <c r="A48" s="33" t="s">
        <v>57</v>
      </c>
      <c r="B48" s="33">
        <v>236.8</v>
      </c>
      <c r="C48" s="33">
        <v>184.16</v>
      </c>
      <c r="D48" s="33">
        <v>127.46</v>
      </c>
      <c r="E48" s="33">
        <v>253.2</v>
      </c>
      <c r="F48" s="33">
        <v>297.89999999999998</v>
      </c>
      <c r="G48" s="33">
        <v>289.8</v>
      </c>
      <c r="H48" s="33">
        <v>182.4</v>
      </c>
      <c r="I48" s="33">
        <v>167.15</v>
      </c>
      <c r="J48" s="33">
        <v>150.15</v>
      </c>
      <c r="K48" s="33">
        <v>89.91</v>
      </c>
    </row>
    <row r="49" spans="1:11" s="33" customFormat="1" x14ac:dyDescent="0.3">
      <c r="A49" s="33" t="s">
        <v>86</v>
      </c>
      <c r="B49" s="33">
        <v>4.24</v>
      </c>
      <c r="C49" s="33">
        <v>-0.67</v>
      </c>
      <c r="D49" s="33">
        <v>1.25</v>
      </c>
      <c r="E49" s="33">
        <v>7.47</v>
      </c>
      <c r="F49" s="33">
        <v>2.31</v>
      </c>
      <c r="G49" s="33">
        <v>9.6999999999999993</v>
      </c>
      <c r="H49" s="33">
        <v>8.4600000000000009</v>
      </c>
      <c r="I49" s="33">
        <v>7.05</v>
      </c>
      <c r="J49" s="33">
        <v>5.39</v>
      </c>
      <c r="K49" s="33">
        <v>3.54</v>
      </c>
    </row>
    <row r="50" spans="1:11" s="33" customFormat="1" x14ac:dyDescent="0.3">
      <c r="A50" s="33" t="s">
        <v>87</v>
      </c>
      <c r="B50" s="33">
        <v>4.24</v>
      </c>
      <c r="C50" s="33">
        <v>-0.67</v>
      </c>
      <c r="D50" s="33">
        <v>1.25</v>
      </c>
      <c r="E50" s="33">
        <v>7.47</v>
      </c>
      <c r="F50" s="33">
        <v>2.31</v>
      </c>
      <c r="G50" s="33">
        <v>9.6999999999999993</v>
      </c>
      <c r="H50" s="33">
        <v>8.4499999999999993</v>
      </c>
      <c r="I50" s="33">
        <v>7</v>
      </c>
      <c r="J50" s="33">
        <v>5.29</v>
      </c>
      <c r="K50" s="33">
        <v>3.54</v>
      </c>
    </row>
    <row r="51" spans="1:11" s="33" customFormat="1" x14ac:dyDescent="0.3">
      <c r="A51" s="33" t="s">
        <v>88</v>
      </c>
      <c r="B51" s="33">
        <v>55.9</v>
      </c>
      <c r="C51" s="33" t="s">
        <v>33</v>
      </c>
      <c r="D51" s="33">
        <v>102.4</v>
      </c>
      <c r="E51" s="33">
        <v>33.9</v>
      </c>
      <c r="F51" s="33">
        <v>128.9</v>
      </c>
      <c r="G51" s="33">
        <v>29.9</v>
      </c>
      <c r="H51" s="33">
        <v>21.6</v>
      </c>
      <c r="I51" s="33">
        <v>23.7</v>
      </c>
      <c r="J51" s="33">
        <v>27.8</v>
      </c>
      <c r="K51" s="33">
        <v>25.4</v>
      </c>
    </row>
    <row r="52" spans="1:11" s="29" customFormat="1" x14ac:dyDescent="0.3">
      <c r="A52" s="29" t="s">
        <v>58</v>
      </c>
      <c r="B52" s="29">
        <v>42280</v>
      </c>
      <c r="C52" s="29">
        <v>32882</v>
      </c>
      <c r="D52" s="29">
        <v>22756</v>
      </c>
      <c r="E52" s="29">
        <v>48512</v>
      </c>
      <c r="F52" s="29">
        <v>58110</v>
      </c>
      <c r="G52" s="29">
        <v>56792</v>
      </c>
      <c r="H52" s="29">
        <v>36329</v>
      </c>
      <c r="I52" s="29">
        <v>34075</v>
      </c>
      <c r="J52" s="29">
        <v>30254</v>
      </c>
      <c r="K52" s="29">
        <v>18000</v>
      </c>
    </row>
    <row r="53" spans="1:11" s="33" customFormat="1" x14ac:dyDescent="0.3">
      <c r="A53" s="33" t="s">
        <v>89</v>
      </c>
      <c r="B53" s="33">
        <v>16.3</v>
      </c>
      <c r="C53" s="33">
        <v>14.28</v>
      </c>
      <c r="D53" s="33">
        <v>-2.15</v>
      </c>
      <c r="E53" s="33">
        <v>14.79</v>
      </c>
      <c r="F53" s="33">
        <v>7</v>
      </c>
      <c r="G53" s="33">
        <v>14.26</v>
      </c>
      <c r="H53" s="33">
        <v>13.31</v>
      </c>
      <c r="I53" s="33">
        <v>8.14</v>
      </c>
      <c r="J53" s="33">
        <v>6.73</v>
      </c>
      <c r="K53" s="33">
        <v>5.41</v>
      </c>
    </row>
    <row r="54" spans="1:11" s="33" customFormat="1" x14ac:dyDescent="0.3">
      <c r="A54" s="33" t="s">
        <v>59</v>
      </c>
      <c r="B54" s="33" t="s">
        <v>90</v>
      </c>
      <c r="C54" s="33">
        <v>0.7</v>
      </c>
      <c r="D54" s="33">
        <v>0.7</v>
      </c>
      <c r="E54" s="33">
        <v>3.3</v>
      </c>
      <c r="F54" s="33">
        <v>3</v>
      </c>
      <c r="G54" s="33">
        <v>0</v>
      </c>
      <c r="H54" s="33">
        <v>3.35</v>
      </c>
      <c r="I54" s="33">
        <v>2.6</v>
      </c>
      <c r="J54" s="33">
        <v>2</v>
      </c>
      <c r="K54" s="33">
        <v>1.6</v>
      </c>
    </row>
    <row r="55" spans="1:11" s="33" customFormat="1" x14ac:dyDescent="0.3">
      <c r="A55" s="33" t="s">
        <v>60</v>
      </c>
      <c r="B55" s="33">
        <v>178549</v>
      </c>
      <c r="C55" s="33">
        <v>178549</v>
      </c>
      <c r="D55" s="33">
        <v>178537</v>
      </c>
      <c r="E55" s="33">
        <v>191595</v>
      </c>
      <c r="F55" s="33">
        <v>195066</v>
      </c>
      <c r="G55" s="33">
        <v>195969</v>
      </c>
      <c r="H55" s="33">
        <v>199171</v>
      </c>
      <c r="I55" s="33">
        <v>203861</v>
      </c>
      <c r="J55" s="33">
        <v>201489</v>
      </c>
      <c r="K55" s="33">
        <v>200197</v>
      </c>
    </row>
    <row r="56" spans="1:11" x14ac:dyDescent="0.3">
      <c r="A56" t="s">
        <v>48</v>
      </c>
    </row>
    <row r="57" spans="1:11" x14ac:dyDescent="0.3">
      <c r="A57" t="s">
        <v>61</v>
      </c>
      <c r="B57" t="s">
        <v>25</v>
      </c>
      <c r="C57" t="s">
        <v>25</v>
      </c>
      <c r="D57" t="s">
        <v>25</v>
      </c>
      <c r="E57" t="s">
        <v>25</v>
      </c>
      <c r="F57" t="s">
        <v>25</v>
      </c>
      <c r="G57" t="s">
        <v>25</v>
      </c>
      <c r="H57" t="s">
        <v>25</v>
      </c>
      <c r="I57" t="s">
        <v>25</v>
      </c>
      <c r="J57" t="s">
        <v>25</v>
      </c>
      <c r="K57" t="s">
        <v>25</v>
      </c>
    </row>
    <row r="58" spans="1:11" x14ac:dyDescent="0.3">
      <c r="A58" t="s">
        <v>91</v>
      </c>
      <c r="B58">
        <v>62035</v>
      </c>
      <c r="C58">
        <v>59030</v>
      </c>
      <c r="D58">
        <v>59258</v>
      </c>
      <c r="E58">
        <v>61401</v>
      </c>
      <c r="F58">
        <v>62285</v>
      </c>
      <c r="G58">
        <v>65194</v>
      </c>
      <c r="H58">
        <v>57016</v>
      </c>
      <c r="I58">
        <v>56888</v>
      </c>
      <c r="J58">
        <v>58902</v>
      </c>
      <c r="K58">
        <v>55555</v>
      </c>
    </row>
    <row r="59" spans="1:11" x14ac:dyDescent="0.3">
      <c r="A59" t="s">
        <v>92</v>
      </c>
      <c r="B59">
        <v>3184</v>
      </c>
      <c r="C59">
        <v>2964</v>
      </c>
      <c r="D59">
        <v>2856</v>
      </c>
      <c r="E59">
        <v>2659</v>
      </c>
      <c r="F59">
        <v>2325</v>
      </c>
      <c r="G59">
        <v>2720</v>
      </c>
      <c r="H59">
        <v>2481</v>
      </c>
      <c r="I59">
        <v>2549</v>
      </c>
      <c r="J59">
        <v>2373</v>
      </c>
      <c r="K59">
        <v>2184</v>
      </c>
    </row>
    <row r="61" spans="1:11" s="29" customFormat="1" x14ac:dyDescent="0.3">
      <c r="A61" s="30" t="s">
        <v>93</v>
      </c>
      <c r="B61">
        <v>530</v>
      </c>
      <c r="C61">
        <v>505</v>
      </c>
      <c r="D61">
        <v>530</v>
      </c>
      <c r="E61" s="24">
        <v>516</v>
      </c>
      <c r="F61">
        <v>561</v>
      </c>
      <c r="G61">
        <v>511</v>
      </c>
      <c r="H61">
        <v>470</v>
      </c>
      <c r="I61" s="29">
        <v>421</v>
      </c>
      <c r="J61" s="29">
        <v>373</v>
      </c>
      <c r="K61" s="29">
        <v>338</v>
      </c>
    </row>
    <row r="64" spans="1:11" s="29" customFormat="1" x14ac:dyDescent="0.3">
      <c r="A64" s="29" t="s">
        <v>41</v>
      </c>
      <c r="B64" s="29">
        <v>540</v>
      </c>
      <c r="C64">
        <v>504</v>
      </c>
      <c r="D64">
        <v>695</v>
      </c>
      <c r="E64">
        <v>667</v>
      </c>
      <c r="F64">
        <v>442</v>
      </c>
      <c r="G64">
        <v>711</v>
      </c>
      <c r="H64">
        <v>794</v>
      </c>
      <c r="I64" s="29">
        <v>752</v>
      </c>
      <c r="J64" s="29">
        <v>651</v>
      </c>
      <c r="K64" s="29">
        <v>513</v>
      </c>
    </row>
    <row r="66" spans="1:12" x14ac:dyDescent="0.3">
      <c r="A66" s="29" t="s">
        <v>131</v>
      </c>
      <c r="B66" s="31">
        <f t="shared" ref="B66:J66" si="0">B80</f>
        <v>431.39500000000044</v>
      </c>
      <c r="C66" s="31">
        <f t="shared" si="0"/>
        <v>883.02000000000044</v>
      </c>
      <c r="D66" s="31">
        <f t="shared" si="0"/>
        <v>2211.152</v>
      </c>
      <c r="E66" s="31">
        <f t="shared" si="0"/>
        <v>1171.4360000000015</v>
      </c>
      <c r="F66" s="31">
        <f t="shared" si="0"/>
        <v>21.679000000000087</v>
      </c>
      <c r="G66" s="31">
        <f t="shared" si="0"/>
        <v>8.6000000000003638</v>
      </c>
      <c r="H66" s="31">
        <f t="shared" si="0"/>
        <v>418.63199999999961</v>
      </c>
      <c r="I66" s="31">
        <f t="shared" si="0"/>
        <v>896.02399999999943</v>
      </c>
      <c r="J66" s="31">
        <f t="shared" si="0"/>
        <v>1255.9679999999998</v>
      </c>
      <c r="K66" s="31">
        <f>K80</f>
        <v>1132.2750000000005</v>
      </c>
      <c r="L66" s="31">
        <f>L80</f>
        <v>1565.8789999999995</v>
      </c>
    </row>
    <row r="68" spans="1:12" s="36" customFormat="1" x14ac:dyDescent="0.3">
      <c r="A68" s="36" t="s">
        <v>94</v>
      </c>
      <c r="B68" s="37">
        <v>11904</v>
      </c>
      <c r="C68" s="37">
        <v>9809</v>
      </c>
      <c r="D68" s="37">
        <v>11732</v>
      </c>
      <c r="E68" s="37">
        <v>13944</v>
      </c>
      <c r="F68" s="37">
        <v>12154</v>
      </c>
      <c r="G68" s="37">
        <v>10934</v>
      </c>
      <c r="H68" s="37">
        <v>9813</v>
      </c>
      <c r="I68" s="36">
        <v>8645</v>
      </c>
      <c r="J68" s="36">
        <v>8886</v>
      </c>
      <c r="K68" s="36">
        <v>7497</v>
      </c>
      <c r="L68" s="36">
        <v>7347</v>
      </c>
    </row>
    <row r="69" spans="1:12" s="36" customFormat="1" x14ac:dyDescent="0.3">
      <c r="A69" s="36" t="s">
        <v>95</v>
      </c>
      <c r="B69" s="37">
        <v>9593</v>
      </c>
      <c r="C69" s="37">
        <v>8043</v>
      </c>
      <c r="D69" s="37">
        <v>9257</v>
      </c>
      <c r="E69" s="37">
        <v>8965</v>
      </c>
      <c r="F69" s="37">
        <v>8827</v>
      </c>
      <c r="G69" s="37">
        <v>8754</v>
      </c>
      <c r="H69" s="37">
        <v>6834</v>
      </c>
      <c r="I69" s="36">
        <v>6291</v>
      </c>
      <c r="J69" s="36">
        <v>6765</v>
      </c>
      <c r="K69" s="36">
        <v>5364</v>
      </c>
      <c r="L69" s="36">
        <v>4378</v>
      </c>
    </row>
    <row r="70" spans="1:12" x14ac:dyDescent="0.3">
      <c r="A70" t="s">
        <v>28</v>
      </c>
      <c r="B70" s="24">
        <f>(B68-B69)-(C68-C69)</f>
        <v>545</v>
      </c>
      <c r="C70" s="24">
        <f t="shared" ref="C70:J70" si="1">(C68-C69)-(D68-D69)</f>
        <v>-709</v>
      </c>
      <c r="D70" s="24">
        <f t="shared" si="1"/>
        <v>-2504</v>
      </c>
      <c r="E70" s="24">
        <f t="shared" si="1"/>
        <v>1652</v>
      </c>
      <c r="F70" s="24">
        <f t="shared" si="1"/>
        <v>1147</v>
      </c>
      <c r="G70" s="24">
        <f t="shared" si="1"/>
        <v>-799</v>
      </c>
      <c r="H70" s="24">
        <f t="shared" si="1"/>
        <v>625</v>
      </c>
      <c r="I70" s="24">
        <f t="shared" si="1"/>
        <v>233</v>
      </c>
      <c r="J70" s="24">
        <f t="shared" si="1"/>
        <v>-12</v>
      </c>
      <c r="K70" s="24">
        <f>(K68-K69)-(L68-L69)</f>
        <v>-836</v>
      </c>
    </row>
    <row r="71" spans="1:12" s="48" customFormat="1" x14ac:dyDescent="0.3">
      <c r="A71" s="48" t="s">
        <v>115</v>
      </c>
      <c r="B71" s="51">
        <v>0.11700000000000001</v>
      </c>
      <c r="C71" s="51">
        <v>0.106</v>
      </c>
      <c r="D71" s="51">
        <v>0.125</v>
      </c>
      <c r="E71" s="51">
        <v>9.8000000000000004E-2</v>
      </c>
      <c r="F71" s="51">
        <v>9.2999999999999999E-2</v>
      </c>
      <c r="G71" s="51">
        <v>0.127</v>
      </c>
      <c r="H71" s="51">
        <v>0.155</v>
      </c>
      <c r="I71" s="53">
        <v>0.16500000000000001</v>
      </c>
      <c r="J71" s="51">
        <v>0.14499999999999999</v>
      </c>
      <c r="K71" s="51">
        <v>0.154</v>
      </c>
      <c r="L71" s="53">
        <v>0.157</v>
      </c>
    </row>
    <row r="72" spans="1:12" s="48" customFormat="1" x14ac:dyDescent="0.3">
      <c r="A72" s="48" t="s">
        <v>39</v>
      </c>
      <c r="B72" s="51">
        <v>0.24199999999999999</v>
      </c>
      <c r="C72" s="51">
        <v>0.251</v>
      </c>
      <c r="D72" s="51">
        <v>0.29399999999999998</v>
      </c>
      <c r="E72" s="51">
        <v>0.18099999999999999</v>
      </c>
      <c r="F72" s="51">
        <v>0.20899999999999999</v>
      </c>
      <c r="G72" s="51">
        <v>0.19800000000000001</v>
      </c>
      <c r="H72" s="53">
        <v>0.221</v>
      </c>
      <c r="I72" s="53">
        <v>0.26300000000000001</v>
      </c>
      <c r="J72" s="51">
        <v>0.248</v>
      </c>
      <c r="K72" s="51">
        <v>0.23300000000000001</v>
      </c>
      <c r="L72" s="53">
        <v>0.20300000000000001</v>
      </c>
    </row>
    <row r="73" spans="1:12" s="48" customFormat="1" x14ac:dyDescent="0.3">
      <c r="A73" s="48" t="s">
        <v>116</v>
      </c>
      <c r="B73" s="51">
        <v>0.186</v>
      </c>
      <c r="C73" s="51">
        <v>0.20899999999999999</v>
      </c>
      <c r="D73" s="51">
        <v>0.2</v>
      </c>
      <c r="E73" s="51">
        <v>0.245</v>
      </c>
      <c r="F73" s="87">
        <v>0.16800000000000001</v>
      </c>
      <c r="G73" s="87">
        <v>0.17699999999999999</v>
      </c>
      <c r="H73" s="53">
        <v>0.14899999999999999</v>
      </c>
      <c r="I73" s="53">
        <v>0.14199999999999999</v>
      </c>
      <c r="J73" s="51">
        <v>0.154</v>
      </c>
      <c r="K73" s="53">
        <v>0.13700000000000001</v>
      </c>
      <c r="L73" s="53">
        <v>0.154</v>
      </c>
    </row>
    <row r="75" spans="1:12" s="49" customFormat="1" x14ac:dyDescent="0.3">
      <c r="A75" s="49" t="s">
        <v>117</v>
      </c>
      <c r="B75" s="51">
        <v>0.15</v>
      </c>
      <c r="C75" s="51">
        <v>0.126</v>
      </c>
      <c r="D75" s="51">
        <v>0.14299999999999999</v>
      </c>
      <c r="E75" s="51">
        <v>0.104</v>
      </c>
      <c r="F75" s="51">
        <v>0.114</v>
      </c>
      <c r="G75" s="51">
        <v>0.13100000000000001</v>
      </c>
      <c r="H75" s="55">
        <v>0.14699999999999999</v>
      </c>
      <c r="I75" s="55">
        <v>0.14099999999999999</v>
      </c>
      <c r="J75" s="52">
        <v>0.16400000000000001</v>
      </c>
      <c r="K75" s="51">
        <v>0.152</v>
      </c>
      <c r="L75" s="55">
        <v>0.13300000000000001</v>
      </c>
    </row>
    <row r="76" spans="1:12" s="49" customFormat="1" x14ac:dyDescent="0.3">
      <c r="A76" s="49" t="s">
        <v>118</v>
      </c>
      <c r="B76" s="51">
        <v>0.44600000000000001</v>
      </c>
      <c r="C76" s="51">
        <v>0.435</v>
      </c>
      <c r="D76" s="51">
        <v>0.42199999999999999</v>
      </c>
      <c r="E76" s="54">
        <v>0.43</v>
      </c>
      <c r="F76" s="62">
        <v>0.41799999999999998</v>
      </c>
      <c r="G76" s="87">
        <v>0.44900000000000001</v>
      </c>
      <c r="H76" s="55">
        <v>0.33800000000000002</v>
      </c>
      <c r="I76" s="34">
        <v>0.35</v>
      </c>
      <c r="J76" s="52">
        <v>0.28799999999999998</v>
      </c>
      <c r="K76" s="51">
        <v>0.28799999999999998</v>
      </c>
      <c r="L76" s="55">
        <v>0.26400000000000001</v>
      </c>
    </row>
    <row r="78" spans="1:12" s="50" customFormat="1" x14ac:dyDescent="0.3">
      <c r="A78" s="50" t="s">
        <v>119</v>
      </c>
      <c r="B78" s="24">
        <v>20655</v>
      </c>
      <c r="C78" s="56">
        <v>18020</v>
      </c>
      <c r="D78" s="24">
        <v>20296</v>
      </c>
      <c r="E78" s="56">
        <v>22137</v>
      </c>
      <c r="F78" s="56">
        <v>21053</v>
      </c>
      <c r="G78" s="24">
        <v>20680</v>
      </c>
      <c r="H78" s="56">
        <v>15612</v>
      </c>
      <c r="I78" s="56">
        <v>14019</v>
      </c>
      <c r="J78" s="24">
        <v>15176</v>
      </c>
      <c r="K78" s="24">
        <v>13343</v>
      </c>
      <c r="L78" s="50">
        <v>12417</v>
      </c>
    </row>
    <row r="80" spans="1:12" x14ac:dyDescent="0.3">
      <c r="A80" t="s">
        <v>120</v>
      </c>
      <c r="B80" s="24">
        <f t="shared" ref="B80:J80" si="2">(B68-B105*B78)-(B69-B106*B78)</f>
        <v>431.39500000000044</v>
      </c>
      <c r="C80" s="24">
        <f t="shared" si="2"/>
        <v>883.02000000000044</v>
      </c>
      <c r="D80" s="24">
        <f t="shared" si="2"/>
        <v>2211.152</v>
      </c>
      <c r="E80" s="24">
        <f t="shared" si="2"/>
        <v>1171.4360000000015</v>
      </c>
      <c r="F80" s="24">
        <f t="shared" si="2"/>
        <v>21.679000000000087</v>
      </c>
      <c r="G80" s="24">
        <f>(G68-G105*G78)-(G69-G106*G78)</f>
        <v>8.6000000000003638</v>
      </c>
      <c r="H80" s="24">
        <f t="shared" si="2"/>
        <v>418.63199999999961</v>
      </c>
      <c r="I80" s="24">
        <f t="shared" si="2"/>
        <v>896.02399999999943</v>
      </c>
      <c r="J80" s="24">
        <f t="shared" si="2"/>
        <v>1255.9679999999998</v>
      </c>
      <c r="K80" s="24">
        <f>(K68-K105*K78)-(K69-K106*K78)</f>
        <v>1132.2750000000005</v>
      </c>
      <c r="L80" s="24">
        <f>(L68-L105*L78)-(L69-L106*L78)</f>
        <v>1565.8789999999995</v>
      </c>
    </row>
    <row r="81" spans="1:12" x14ac:dyDescent="0.3">
      <c r="A81" t="s">
        <v>28</v>
      </c>
      <c r="B81" s="24">
        <f>B80-C80</f>
        <v>-451.625</v>
      </c>
      <c r="C81" s="24">
        <f t="shared" ref="C81:J81" si="3">C80-D80</f>
        <v>-1328.1319999999996</v>
      </c>
      <c r="D81" s="24">
        <f t="shared" si="3"/>
        <v>1039.7159999999985</v>
      </c>
      <c r="E81" s="24">
        <f t="shared" si="3"/>
        <v>1149.7570000000014</v>
      </c>
      <c r="F81" s="24">
        <f t="shared" si="3"/>
        <v>13.078999999999724</v>
      </c>
      <c r="G81" s="24">
        <f t="shared" si="3"/>
        <v>-410.03199999999924</v>
      </c>
      <c r="H81" s="24">
        <f t="shared" si="3"/>
        <v>-477.39199999999983</v>
      </c>
      <c r="I81" s="24">
        <f t="shared" si="3"/>
        <v>-359.94400000000041</v>
      </c>
      <c r="J81" s="24">
        <f t="shared" si="3"/>
        <v>123.6929999999993</v>
      </c>
      <c r="K81" s="24">
        <f>K80-L80</f>
        <v>-433.6039999999989</v>
      </c>
    </row>
    <row r="83" spans="1:12" x14ac:dyDescent="0.3">
      <c r="A83" s="29" t="s">
        <v>113</v>
      </c>
      <c r="B83" s="29">
        <v>4306</v>
      </c>
      <c r="C83" s="29">
        <v>4154</v>
      </c>
      <c r="D83" s="24">
        <v>5594</v>
      </c>
      <c r="E83" s="24">
        <v>3890</v>
      </c>
      <c r="F83" s="24">
        <v>3960</v>
      </c>
      <c r="G83" s="24">
        <v>4007</v>
      </c>
      <c r="H83" s="24">
        <v>3563</v>
      </c>
      <c r="I83">
        <v>4033</v>
      </c>
      <c r="J83" s="24">
        <v>3468</v>
      </c>
      <c r="K83">
        <v>3138</v>
      </c>
      <c r="L83" s="35">
        <v>2821</v>
      </c>
    </row>
    <row r="84" spans="1:12" x14ac:dyDescent="0.3">
      <c r="A84" t="s">
        <v>132</v>
      </c>
      <c r="B84" s="24">
        <f t="shared" ref="B84:J84" si="4">B83-C83</f>
        <v>152</v>
      </c>
      <c r="C84" s="24">
        <f t="shared" si="4"/>
        <v>-1440</v>
      </c>
      <c r="D84" s="24">
        <f t="shared" si="4"/>
        <v>1704</v>
      </c>
      <c r="E84" s="24">
        <f t="shared" si="4"/>
        <v>-70</v>
      </c>
      <c r="F84" s="24">
        <f t="shared" si="4"/>
        <v>-47</v>
      </c>
      <c r="G84" s="24">
        <f t="shared" si="4"/>
        <v>444</v>
      </c>
      <c r="H84" s="24">
        <f t="shared" si="4"/>
        <v>-470</v>
      </c>
      <c r="I84" s="24">
        <f t="shared" si="4"/>
        <v>565</v>
      </c>
      <c r="J84" s="24">
        <f t="shared" si="4"/>
        <v>330</v>
      </c>
      <c r="K84" s="24">
        <f>K83-L83</f>
        <v>317</v>
      </c>
    </row>
    <row r="86" spans="1:12" s="49" customFormat="1" x14ac:dyDescent="0.3">
      <c r="A86" s="49" t="s">
        <v>121</v>
      </c>
      <c r="K86" s="55">
        <v>0.10199999999999999</v>
      </c>
    </row>
    <row r="87" spans="1:12" s="49" customFormat="1" x14ac:dyDescent="0.3">
      <c r="A87" s="49" t="s">
        <v>122</v>
      </c>
      <c r="K87" s="49">
        <v>460</v>
      </c>
    </row>
    <row r="89" spans="1:12" s="48" customFormat="1" x14ac:dyDescent="0.3">
      <c r="A89" s="48" t="s">
        <v>123</v>
      </c>
      <c r="G89" s="48">
        <v>160</v>
      </c>
      <c r="H89" s="48">
        <v>42</v>
      </c>
      <c r="K89" s="48">
        <v>65</v>
      </c>
    </row>
    <row r="91" spans="1:12" s="29" customFormat="1" x14ac:dyDescent="0.3">
      <c r="A91" s="29" t="s">
        <v>99</v>
      </c>
    </row>
    <row r="93" spans="1:12" s="50" customFormat="1" x14ac:dyDescent="0.3">
      <c r="A93" s="50" t="s">
        <v>133</v>
      </c>
      <c r="B93" s="50">
        <v>3148.9110000000001</v>
      </c>
      <c r="C93" s="50">
        <v>2846.4490000000001</v>
      </c>
      <c r="D93" s="50">
        <v>-572.10500000000002</v>
      </c>
      <c r="E93" s="50">
        <v>3776455</v>
      </c>
      <c r="F93" s="50">
        <v>1697458</v>
      </c>
      <c r="G93" s="50">
        <v>3157.28</v>
      </c>
      <c r="H93" s="50">
        <v>3124.9259999999999</v>
      </c>
      <c r="I93" s="50">
        <v>1862.73</v>
      </c>
      <c r="J93" s="50">
        <v>1491.6969999999999</v>
      </c>
      <c r="K93" s="67">
        <v>1210.336</v>
      </c>
    </row>
    <row r="94" spans="1:12" s="50" customFormat="1" x14ac:dyDescent="0.3">
      <c r="A94" s="50" t="s">
        <v>102</v>
      </c>
      <c r="B94" s="50">
        <f>B93-B64</f>
        <v>2608.9110000000001</v>
      </c>
      <c r="C94" s="50">
        <f t="shared" ref="C94:K94" si="5">C93-C64</f>
        <v>2342.4490000000001</v>
      </c>
      <c r="D94" s="50">
        <f t="shared" si="5"/>
        <v>-1267.105</v>
      </c>
      <c r="E94" s="50">
        <f t="shared" si="5"/>
        <v>3775788</v>
      </c>
      <c r="F94" s="50">
        <f t="shared" si="5"/>
        <v>1697016</v>
      </c>
      <c r="G94" s="50">
        <f t="shared" si="5"/>
        <v>2446.2800000000002</v>
      </c>
      <c r="H94" s="50">
        <f t="shared" si="5"/>
        <v>2330.9259999999999</v>
      </c>
      <c r="I94" s="50">
        <f t="shared" si="5"/>
        <v>1110.73</v>
      </c>
      <c r="J94" s="50">
        <f t="shared" si="5"/>
        <v>840.69699999999989</v>
      </c>
      <c r="K94" s="50">
        <f t="shared" si="5"/>
        <v>697.33600000000001</v>
      </c>
    </row>
    <row r="96" spans="1:12" s="36" customFormat="1" x14ac:dyDescent="0.3">
      <c r="A96" s="36" t="s">
        <v>94</v>
      </c>
      <c r="B96" s="37">
        <v>11904</v>
      </c>
      <c r="C96" s="37">
        <v>9809</v>
      </c>
      <c r="D96" s="37">
        <v>11732</v>
      </c>
      <c r="E96" s="37">
        <v>13944</v>
      </c>
      <c r="F96" s="37">
        <v>12154</v>
      </c>
      <c r="G96" s="37">
        <v>10934</v>
      </c>
      <c r="H96" s="37">
        <v>9813</v>
      </c>
      <c r="I96" s="36">
        <v>8645</v>
      </c>
      <c r="J96" s="36">
        <v>8886</v>
      </c>
      <c r="K96" s="36">
        <v>7497</v>
      </c>
      <c r="L96" s="36">
        <v>7347</v>
      </c>
    </row>
    <row r="97" spans="1:12" s="48" customFormat="1" x14ac:dyDescent="0.3">
      <c r="A97" s="48" t="s">
        <v>116</v>
      </c>
      <c r="B97" s="51">
        <v>0.186</v>
      </c>
      <c r="C97" s="51">
        <v>0.20899999999999999</v>
      </c>
      <c r="D97" s="51">
        <v>0.2</v>
      </c>
      <c r="E97" s="51">
        <v>0.245</v>
      </c>
      <c r="F97" s="87">
        <v>0.16800000000000001</v>
      </c>
      <c r="G97" s="87">
        <v>0.17699999999999999</v>
      </c>
      <c r="H97" s="53">
        <v>0.14899999999999999</v>
      </c>
      <c r="I97" s="53">
        <v>0.14199999999999999</v>
      </c>
      <c r="J97" s="51">
        <v>0.154</v>
      </c>
      <c r="K97" s="53">
        <v>0.13700000000000001</v>
      </c>
      <c r="L97" s="53">
        <v>0.154</v>
      </c>
    </row>
    <row r="98" spans="1:12" s="88" customFormat="1" x14ac:dyDescent="0.3">
      <c r="A98" s="88" t="s">
        <v>150</v>
      </c>
      <c r="B98" s="89">
        <f>(B96/B78)*B97</f>
        <v>0.10719651416122004</v>
      </c>
      <c r="C98" s="89">
        <f t="shared" ref="C98:J98" si="6">(C96/C78)*C97</f>
        <v>0.11376698113207548</v>
      </c>
      <c r="D98" s="89">
        <f t="shared" si="6"/>
        <v>0.11560898699251083</v>
      </c>
      <c r="E98" s="89">
        <f t="shared" si="6"/>
        <v>0.15432443420517686</v>
      </c>
      <c r="F98" s="89">
        <f t="shared" si="6"/>
        <v>9.6987222723602357E-2</v>
      </c>
      <c r="G98" s="89">
        <f t="shared" si="6"/>
        <v>9.3584042553191485E-2</v>
      </c>
      <c r="H98" s="89">
        <f t="shared" si="6"/>
        <v>9.3654688700999231E-2</v>
      </c>
      <c r="I98" s="89">
        <f t="shared" si="6"/>
        <v>8.7566160211142011E-2</v>
      </c>
      <c r="J98" s="89">
        <f t="shared" si="6"/>
        <v>9.0171586715867155E-2</v>
      </c>
      <c r="K98" s="89">
        <v>489</v>
      </c>
      <c r="L98" s="89">
        <v>425</v>
      </c>
    </row>
    <row r="100" spans="1:12" s="36" customFormat="1" x14ac:dyDescent="0.3">
      <c r="A100" s="36" t="s">
        <v>95</v>
      </c>
      <c r="B100" s="37">
        <v>9593</v>
      </c>
      <c r="C100" s="37">
        <v>8043</v>
      </c>
      <c r="D100" s="37">
        <v>9257</v>
      </c>
      <c r="E100" s="37">
        <v>8965</v>
      </c>
      <c r="F100" s="37">
        <v>8827</v>
      </c>
      <c r="G100" s="37">
        <v>8754</v>
      </c>
      <c r="H100" s="37">
        <v>6834</v>
      </c>
      <c r="I100" s="36">
        <v>6291</v>
      </c>
      <c r="J100" s="36">
        <v>6765</v>
      </c>
      <c r="K100" s="36">
        <v>5364</v>
      </c>
      <c r="L100" s="36">
        <v>4378</v>
      </c>
    </row>
    <row r="101" spans="1:12" s="49" customFormat="1" x14ac:dyDescent="0.3">
      <c r="A101" s="49" t="s">
        <v>118</v>
      </c>
      <c r="B101" s="51">
        <v>0.44600000000000001</v>
      </c>
      <c r="C101" s="51">
        <v>0.435</v>
      </c>
      <c r="D101" s="51">
        <v>0.42199999999999999</v>
      </c>
      <c r="E101" s="54">
        <v>0.43</v>
      </c>
      <c r="F101" s="62">
        <v>0.41799999999999998</v>
      </c>
      <c r="G101" s="87">
        <v>0.44900000000000001</v>
      </c>
      <c r="H101" s="55">
        <v>0.33800000000000002</v>
      </c>
      <c r="I101" s="34">
        <v>0.35</v>
      </c>
      <c r="J101" s="52">
        <v>0.28799999999999998</v>
      </c>
      <c r="K101" s="51">
        <v>0.28799999999999998</v>
      </c>
      <c r="L101" s="55">
        <v>0.26400000000000001</v>
      </c>
    </row>
    <row r="102" spans="1:12" x14ac:dyDescent="0.3">
      <c r="A102" t="s">
        <v>147</v>
      </c>
      <c r="B102" s="51">
        <v>0.28399999999999997</v>
      </c>
      <c r="C102" s="51">
        <v>0.27300000000000002</v>
      </c>
      <c r="D102" s="51">
        <v>0.26400000000000001</v>
      </c>
      <c r="E102" s="51">
        <v>0.35399999999999998</v>
      </c>
      <c r="F102" s="51">
        <v>0.318</v>
      </c>
      <c r="G102" s="51">
        <v>0.34100000000000003</v>
      </c>
      <c r="H102" s="51">
        <v>0.40799999999999997</v>
      </c>
      <c r="I102" s="51">
        <v>0.40799999999999997</v>
      </c>
      <c r="J102" s="51">
        <v>0.42499999999999999</v>
      </c>
      <c r="K102" s="51">
        <v>0.42299999999999999</v>
      </c>
      <c r="L102" s="51">
        <v>0.45200000000000001</v>
      </c>
    </row>
    <row r="103" spans="1:12" s="88" customFormat="1" x14ac:dyDescent="0.3">
      <c r="A103" s="88" t="s">
        <v>148</v>
      </c>
      <c r="B103" s="89">
        <f>(B100/((1-B102)*B78))*B101</f>
        <v>0.28930176388094381</v>
      </c>
      <c r="C103" s="89">
        <f>(C100/((1-C102)*C78))*C101</f>
        <v>0.26706570874177704</v>
      </c>
      <c r="D103" s="89">
        <f>(D100/((1-D102)*D78))*D101</f>
        <v>0.26151370049356482</v>
      </c>
      <c r="E103" s="89">
        <f t="shared" ref="E103:J103" si="7">(E100/((1-E102)*E78))*E101</f>
        <v>0.26956745993951819</v>
      </c>
      <c r="F103" s="89">
        <f t="shared" si="7"/>
        <v>0.25697509970994864</v>
      </c>
      <c r="G103" s="89">
        <f>(G100/((1-G102)*G78))*G101</f>
        <v>0.28841439611626546</v>
      </c>
      <c r="H103" s="89">
        <f t="shared" si="7"/>
        <v>0.24992599247979722</v>
      </c>
      <c r="I103" s="89">
        <f t="shared" si="7"/>
        <v>0.26530716999901671</v>
      </c>
      <c r="J103" s="89">
        <f t="shared" si="7"/>
        <v>0.22327244390456327</v>
      </c>
      <c r="K103" s="89">
        <f>311</f>
        <v>311</v>
      </c>
      <c r="L103" s="89">
        <v>287</v>
      </c>
    </row>
    <row r="105" spans="1:12" s="58" customFormat="1" x14ac:dyDescent="0.3">
      <c r="A105" s="58" t="s">
        <v>149</v>
      </c>
      <c r="B105" s="51">
        <v>0.11899999999999999</v>
      </c>
      <c r="C105" s="51">
        <v>7.9000000000000001E-2</v>
      </c>
      <c r="D105" s="51">
        <v>3.9E-2</v>
      </c>
      <c r="E105" s="51">
        <v>0.17299999999999999</v>
      </c>
      <c r="F105" s="51">
        <v>0.19</v>
      </c>
      <c r="G105" s="51">
        <v>0.107</v>
      </c>
      <c r="H105" s="51">
        <v>0.16800000000000001</v>
      </c>
      <c r="I105" s="51">
        <v>0.114</v>
      </c>
      <c r="J105" s="51">
        <v>9.9000000000000005E-2</v>
      </c>
      <c r="K105" s="90">
        <v>0.10199999999999999</v>
      </c>
      <c r="L105" s="90">
        <v>0.13600000000000001</v>
      </c>
    </row>
    <row r="106" spans="1:12" s="58" customFormat="1" x14ac:dyDescent="0.3">
      <c r="A106" s="58" t="s">
        <v>151</v>
      </c>
      <c r="B106" s="51">
        <v>2.8000000000000001E-2</v>
      </c>
      <c r="C106" s="51">
        <v>0.03</v>
      </c>
      <c r="D106" s="51">
        <v>2.5999999999999999E-2</v>
      </c>
      <c r="E106" s="51">
        <v>1E-3</v>
      </c>
      <c r="F106" s="51">
        <v>3.3000000000000002E-2</v>
      </c>
      <c r="G106" s="51">
        <v>2E-3</v>
      </c>
      <c r="H106" s="51">
        <v>4.0000000000000001E-3</v>
      </c>
      <c r="I106" s="91">
        <v>0.01</v>
      </c>
      <c r="J106" s="51">
        <v>4.2000000000000003E-2</v>
      </c>
      <c r="K106" s="90">
        <v>2.7E-2</v>
      </c>
      <c r="L106" s="90">
        <v>2.3E-2</v>
      </c>
    </row>
    <row r="109" spans="1:12" s="29" customFormat="1" x14ac:dyDescent="0.3">
      <c r="A109" s="29" t="s">
        <v>152</v>
      </c>
      <c r="B109" s="31">
        <f>B110+B111-(B114*B78)</f>
        <v>42321.31</v>
      </c>
      <c r="C109" s="31">
        <f t="shared" ref="C109:K109" si="8">C110+C111-(C114*C78)</f>
        <v>34431.72</v>
      </c>
      <c r="D109" s="31">
        <f t="shared" si="8"/>
        <v>25435.071999999996</v>
      </c>
      <c r="E109" s="31">
        <f t="shared" si="8"/>
        <v>47161.642999999996</v>
      </c>
      <c r="F109" s="31">
        <f t="shared" si="8"/>
        <v>57288.932999999997</v>
      </c>
      <c r="G109" s="31">
        <f t="shared" si="8"/>
        <v>56212.959999999999</v>
      </c>
      <c r="H109" s="31">
        <f t="shared" si="8"/>
        <v>35376.667999999998</v>
      </c>
      <c r="I109" s="31">
        <f t="shared" si="8"/>
        <v>33598.353999999999</v>
      </c>
      <c r="J109" s="31">
        <f t="shared" si="8"/>
        <v>30375.407999999999</v>
      </c>
      <c r="K109" s="31">
        <f t="shared" si="8"/>
        <v>18467.005000000001</v>
      </c>
    </row>
    <row r="110" spans="1:12" s="33" customFormat="1" x14ac:dyDescent="0.3">
      <c r="A110" s="33" t="s">
        <v>153</v>
      </c>
      <c r="B110" s="33">
        <v>42280</v>
      </c>
      <c r="C110" s="33">
        <v>32882</v>
      </c>
      <c r="D110" s="33">
        <v>22756</v>
      </c>
      <c r="E110" s="33">
        <v>48512</v>
      </c>
      <c r="F110" s="33">
        <v>58110</v>
      </c>
      <c r="G110" s="33">
        <v>56792</v>
      </c>
      <c r="H110" s="33">
        <v>36329</v>
      </c>
      <c r="I110" s="33">
        <v>34075</v>
      </c>
      <c r="J110" s="33">
        <v>30254</v>
      </c>
      <c r="K110" s="33">
        <v>18000</v>
      </c>
    </row>
    <row r="111" spans="1:12" s="48" customFormat="1" x14ac:dyDescent="0.3">
      <c r="A111" s="48" t="s">
        <v>154</v>
      </c>
      <c r="B111" s="105">
        <f>SUM(B$112:B$113)*B$78</f>
        <v>2499.2550000000001</v>
      </c>
      <c r="C111" s="105">
        <f t="shared" ref="C111:K111" si="9">SUM(C$112:C$113)*C$78</f>
        <v>2973.3</v>
      </c>
      <c r="D111" s="105">
        <f t="shared" si="9"/>
        <v>3470.6159999999995</v>
      </c>
      <c r="E111" s="105">
        <f t="shared" si="9"/>
        <v>2479.3440000000001</v>
      </c>
      <c r="F111" s="105">
        <f t="shared" si="9"/>
        <v>3179.0029999999997</v>
      </c>
      <c r="G111" s="105">
        <f t="shared" si="9"/>
        <v>1633.72</v>
      </c>
      <c r="H111" s="105">
        <f t="shared" si="9"/>
        <v>1670.4839999999999</v>
      </c>
      <c r="I111" s="105">
        <f t="shared" si="9"/>
        <v>1121.52</v>
      </c>
      <c r="J111" s="105">
        <f t="shared" si="9"/>
        <v>1623.8320000000001</v>
      </c>
      <c r="K111" s="105">
        <f t="shared" si="9"/>
        <v>1827.9910000000002</v>
      </c>
      <c r="L111" s="105">
        <f>SUM(L$112:L$113)*L$78</f>
        <v>1874.9669999999999</v>
      </c>
    </row>
    <row r="112" spans="1:12" s="33" customFormat="1" x14ac:dyDescent="0.3">
      <c r="A112" s="33" t="s">
        <v>151</v>
      </c>
      <c r="B112" s="106">
        <v>2.8000000000000001E-2</v>
      </c>
      <c r="C112" s="106">
        <v>0.03</v>
      </c>
      <c r="D112" s="106">
        <v>2.5999999999999999E-2</v>
      </c>
      <c r="E112" s="106">
        <v>1E-3</v>
      </c>
      <c r="F112" s="106">
        <v>3.3000000000000002E-2</v>
      </c>
      <c r="G112" s="106">
        <v>2E-3</v>
      </c>
      <c r="H112" s="106">
        <v>4.0000000000000001E-3</v>
      </c>
      <c r="I112" s="107">
        <v>0.01</v>
      </c>
      <c r="J112" s="106">
        <v>4.2000000000000003E-2</v>
      </c>
      <c r="K112" s="106">
        <v>2.7E-2</v>
      </c>
      <c r="L112" s="106">
        <v>2.3E-2</v>
      </c>
    </row>
    <row r="113" spans="1:12" s="33" customFormat="1" x14ac:dyDescent="0.3">
      <c r="A113" s="33" t="s">
        <v>155</v>
      </c>
      <c r="B113" s="106">
        <v>9.2999999999999999E-2</v>
      </c>
      <c r="C113" s="106">
        <v>0.13500000000000001</v>
      </c>
      <c r="D113" s="106">
        <v>0.14499999999999999</v>
      </c>
      <c r="E113" s="106">
        <v>0.111</v>
      </c>
      <c r="F113" s="106">
        <v>0.11799999999999999</v>
      </c>
      <c r="G113" s="106">
        <v>7.6999999999999999E-2</v>
      </c>
      <c r="H113" s="106">
        <v>0.10299999999999999</v>
      </c>
      <c r="I113" s="106">
        <v>7.0000000000000007E-2</v>
      </c>
      <c r="J113" s="106">
        <v>6.5000000000000002E-2</v>
      </c>
      <c r="K113" s="107">
        <v>0.11</v>
      </c>
      <c r="L113" s="106">
        <v>0.128</v>
      </c>
    </row>
    <row r="114" spans="1:12" s="33" customFormat="1" x14ac:dyDescent="0.3">
      <c r="A114" s="33" t="s">
        <v>149</v>
      </c>
      <c r="B114" s="106">
        <v>0.11899999999999999</v>
      </c>
      <c r="C114" s="106">
        <v>7.9000000000000001E-2</v>
      </c>
      <c r="D114" s="106">
        <v>3.9E-2</v>
      </c>
      <c r="E114" s="106">
        <v>0.17299999999999999</v>
      </c>
      <c r="F114" s="106">
        <v>0.19</v>
      </c>
      <c r="G114" s="106">
        <v>0.107</v>
      </c>
      <c r="H114" s="106">
        <v>0.16800000000000001</v>
      </c>
      <c r="I114" s="106">
        <v>0.114</v>
      </c>
      <c r="J114" s="106">
        <v>9.9000000000000005E-2</v>
      </c>
      <c r="K114" s="106">
        <v>0.10199999999999999</v>
      </c>
      <c r="L114" s="106">
        <v>0.13600000000000001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M F A A B Q S w M E F A A C A A g A i h C 9 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K E L 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h C 9 W g d B M B O u A g A A a B w A A B M A H A B G b 3 J t d W x h c y 9 T Z W N 0 a W 9 u M S 5 t I K I Y A C i g F A A A A A A A A A A A A A A A A A A A A A A A A A A A A O 1 Y X W / a M B R 9 R + I / W O 4 L l R A i g Q L T x q Q K D W 0 v W 1 W 6 T R P i w c B d Q T V O 5 T h b J 8 R / n x 2 H E p J r b U 3 b T Z v M C 9 I 5 4 X 7 5 3 G M g h o V a R 4 J M 7 H v w s l 6 r 1 + I V k 7 A k V 2 z O I S R D w k H V a 0 S / J l E i F 6 C R N 3 c L 4 K 1 R I i U I 9 T m S N / M o u m m c b q f v 2 Q a G 1 H 6 S z n b T U S S U f m T W t A F O 6 G j F x L U J / u M W q I 6 U P t q 6 k k z E X y O 5 G U U 8 2 Q h D x g 2 b r b n d U o s G t E m U Z o i C O 7 V r k i 0 N 2 2 F X g + + E 6 n V b 5 k N 7 t I O i I Y o G K N r G 0 O A F i g 5 Q t I + i P R Q 9 O 0 Z 3 p / f z + i h u 1 9 8 i p S d m h x A f h p Z R H 9 Q K Z E Y 2 C g M 2 4 f f D 0 7 n o u V J y P U + U Y e g n x h O g h 1 S X I P T p I Y k s c U h R r s k c 0 l H s L 8 A k 1 X 3 U a 2 v h i l / S W r e y 1 r p / T G s p K J L N H G R e b A g c 4 n C A w 2 0 U T g W H w A M c 7 u N w D 4 f P C v D / o z p U A c E v J F A u x c S 3 5 T b J B W h 9 C M W u Y b + i e W k f 5 y k J u 1 d Z 2 D 0 v b C / s i n Y 6 q K y 6 g b + 6 / d X 9 I K 0 F 7 c p i C 9 r e 4 7 z H P V x 3 J 3 v 5 k E Z 4 S r 3 8 v P z + g u 1 1 q u u u 8 / y 6 s z g m P c s U T / H A Y M d u G U w n l s G E Z R l M i V n N m H Y z C l N 7 R m H 7 k V H Y R m W U e x A l P e c o 9 y j Q n c k o 9 z B K e 5 n b n Q s Z b V K Z v g W 2 B J l T d M Z k e H l r p t k D 5 5 x P F o w z G Q + V T G B W 9 b d Q q R K j s 7 E E I C M W r 8 i Y R 9 9 j x O f Q Q b p t x G E 6 D o v C D c 1 h f y 6 z d F i r w 4 g d t o 1 3 G e J d h n i X I d 5 l i H f Z K X b 5 V I 4 b p J Z b P N l / w H r 7 1 a 2 3 / 3 T W m 9 b u + g U w X n M F p u J L M 9 P 7 k B P g s F A G K + 8 x s M W K m M 1 1 R A k c Y Y 5 T Z X G m p r o Z e f V a i 4 Z z w s Q y B 1 F 6 N P B C F u y b V v + R 3 7 S e e e y u P 2 T Q X j q P 7 M X f 3 v 7 2 9 r e 3 v 7 3 9 7 f 1 b t / d P U E s B A i 0 A F A A C A A g A i h C 9 W i L k O f y j A A A A 9 g A A A B I A A A A A A A A A A A A A A A A A A A A A A E N v b m Z p Z y 9 Q Y W N r Y W d l L n h t b F B L A Q I t A B Q A A g A I A I o Q v V o P y u m r p A A A A O k A A A A T A A A A A A A A A A A A A A A A A O 8 A A A B b Q 2 9 u d G V u d F 9 U e X B l c 1 0 u e G 1 s U E s B A i 0 A F A A C A A g A i h C 9 W g d B M B O u A g A A a B w A A B M A A A A A A A A A A A A A A A A A 4 A E A A E Z v c m 1 1 b G F z L 1 N l Y 3 R p b 2 4 x L m 1 Q S w U G A A A A A A M A A w D C A A A A 2 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l w A A A A A A A A g X 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m Y 5 M m M y O D A t Y T k 4 Z i 0 0 N D g y L T l i Z W U t N G Y 0 O W I 0 O D g 2 M D A 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N S 0 y O F Q y M T o 1 M T o z N y 4 2 N z c 3 O D Y y W i I g L z 4 8 R W 5 0 c n k g V H l w Z T 0 i R m l s b E N v b H V t b l R 5 c G V z I i B W Y W x 1 Z T 0 i c 0 J n W U Q i I C 8 + P E V u d H J 5 I F R 5 c G U 9 I k Z p b G x D b 2 x 1 b W 5 O Y W 1 l c y I g V m F s d W U 9 I n N b J n F 1 b 3 Q 7 Q 2 9 s d W 1 u M S Z x d W 9 0 O y w m c X V v d D t Z Z W F y 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y L 0 F 1 d G 9 S Z W 1 v d m V k Q 2 9 s d W 1 u c z E u e 0 N v b H V t b j E s M H 0 m c X V v d D s s J n F 1 b 3 Q 7 U 2 V j d G l v b j E v V G F i b G U y L 0 F 1 d G 9 S Z W 1 v d m V k Q 2 9 s d W 1 u c z E u e 1 l l Y X I s M X 0 m c X V v d D s s J n F 1 b 3 Q 7 U 2 V j d G l v b j E v V G F i b G U y L 0 F 1 d G 9 S Z W 1 v d m V k Q 2 9 s d W 1 u c z E u e 1 Z h b H V l L D J 9 J n F 1 b 3 Q 7 X S w m c X V v d D t D b 2 x 1 b W 5 D b 3 V u d C Z x d W 9 0 O z o z L C Z x d W 9 0 O 0 t l e U N v b H V t b k 5 h b W V z J n F 1 b 3 Q 7 O l t d L C Z x d W 9 0 O 0 N v b H V t b k l k Z W 5 0 a X R p Z X M m c X V v d D s 6 W y Z x d W 9 0 O 1 N l Y 3 R p b 2 4 x L 1 R h Y m x l M i 9 B d X R v U m V t b 3 Z l Z E N v b H V t b n M x L n t D b 2 x 1 b W 4 x L D B 9 J n F 1 b 3 Q 7 L C Z x d W 9 0 O 1 N l Y 3 R p b 2 4 x L 1 R h Y m x l M i 9 B d X R v U m V t b 3 Z l Z E N v b H V t b n M x L n t Z Z W F y L D F 9 J n F 1 b 3 Q 7 L C Z x d W 9 0 O 1 N l Y 3 R p b 2 4 x L 1 R h Y m x l M i 9 B d X R v U m V t b 3 Z l Z E N v b H V t b n M x L n t W Y W x 1 Z S w y 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V b n B p d m 9 0 Z W Q l M j B D b 2 x 1 b W 5 z P C 9 J d G V t U G F 0 a D 4 8 L 0 l 0 Z W 1 M b 2 N h d G l v b j 4 8 U 3 R h Y m x l R W 5 0 c m l l c y A v P j w v S X R l b T 4 8 S X R l b T 4 8 S X R l b U x v Y 2 F 0 a W 9 u P j x J d G V t V H l w Z T 5 G b 3 J t d W x h P C 9 J d G V t V H l w Z T 4 8 S X R l b V B h d G g + U 2 V j d G l v b j E v V G F i b G U y L 1 J l b m F t Z W Q l M j B D b 2 x 1 b W 5 z 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Y z N T d k O T Y t M T A x Z C 0 0 M j c 4 L W I 4 Y z k t Z G V i N D Q 1 N z I 1 Z j k 4 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I i I C 8 + P E V u d H J 5 I F R 5 c G U 9 I l J l Y 2 9 2 Z X J 5 V G F y Z 2 V 0 Q 2 9 s d W 1 u I i B W Y W x 1 Z T 0 i b D Y i I C 8 + P E V u d H J 5 I F R 5 c G U 9 I l J l Y 2 9 2 Z X J 5 V G F y Z 2 V 0 U m 9 3 I i B W Y W x 1 Z T 0 i b D E i I C 8 + P E V u d H J 5 I F R 5 c G U 9 I k Z p b G x U Y X J n Z X Q i I F Z h b H V l P S J z V G F i b G U 0 X z E 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U t M D U t M j h U M j E 6 N T I 6 N D k u O T M y M D E x N V o i I C 8 + P E V u d H J 5 I F R 5 c G U 9 I k Z p b G x D b 2 x 1 b W 5 U e X B l c y I g V m F s d W U 9 I n N C Z 1 l F I i A v P j x F b n R y e S B U e X B l P S J G a W x s Q 2 9 s d W 1 u T m F t Z X M i I F Z h b H V l P S J z W y Z x d W 9 0 O 0 N v b H V t b j E m c X V v d D s s J n F 1 b 3 Q 7 W W V h c i 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C 9 B d X R v U m V t b 3 Z l Z E N v b H V t b n M x L n t D b 2 x 1 b W 4 x L D B 9 J n F 1 b 3 Q 7 L C Z x d W 9 0 O 1 N l Y 3 R p b 2 4 x L 1 R h Y m x l N C 9 B d X R v U m V t b 3 Z l Z E N v b H V t b n M x L n t Z Z W F y L D F 9 J n F 1 b 3 Q 7 L C Z x d W 9 0 O 1 N l Y 3 R p b 2 4 x L 1 R h Y m x l N C 9 B d X R v U m V t b 3 Z l Z E N v b H V t b n M x L n t W Y W x 1 Z S w y f S Z x d W 9 0 O 1 0 s J n F 1 b 3 Q 7 Q 2 9 s d W 1 u Q 2 9 1 b n Q m c X V v d D s 6 M y w m c X V v d D t L Z X l D b 2 x 1 b W 5 O Y W 1 l c y Z x d W 9 0 O z p b X S w m c X V v d D t D b 2 x 1 b W 5 J Z G V u d G l 0 a W V z J n F 1 b 3 Q 7 O l s m c X V v d D t T Z W N 0 a W 9 u M S 9 U Y W J s Z T Q v Q X V 0 b 1 J l b W 9 2 Z W R D b 2 x 1 b W 5 z M S 5 7 Q 2 9 s d W 1 u M S w w f S Z x d W 9 0 O y w m c X V v d D t T Z W N 0 a W 9 u M S 9 U Y W J s Z T Q v Q X V 0 b 1 J l b W 9 2 Z W R D b 2 x 1 b W 5 z M S 5 7 W W V h c i w x f S Z x d W 9 0 O y w m c X V v d D t T Z W N 0 a W 9 u M S 9 U Y W J s Z T Q v Q X V 0 b 1 J l b W 9 2 Z W R D b 2 x 1 b W 5 z M S 5 7 V m F s d W U s M 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V W 5 w a X Z v d G V k J T I w Q 2 9 s d W 1 u c z w v S X R l b V B h d G g + P C 9 J d G V t T G 9 j Y X R p b 2 4 + P F N 0 Y W J s Z U V u d H J p Z X M g L z 4 8 L 0 l 0 Z W 0 + P E l 0 Z W 0 + P E l 0 Z W 1 M b 2 N h d G l v b j 4 8 S X R l b V R 5 c G U + R m 9 y b X V s Y T w v S X R l b V R 5 c G U + P E l 0 Z W 1 Q Y X R o P l N l Y 3 R p b 2 4 x L 1 R h Y m x l N C 9 S Z W 5 h b W V k J T I w Q 2 9 s d W 1 u c z w v S X R l b V B h d G g + P C 9 J d G V t T G 9 j Y X R p b 2 4 + P F N 0 Y W J s Z U V u d H J p Z X M g L z 4 8 L 0 l 0 Z W 0 + P E l 0 Z W 0 + P E l 0 Z W 1 M b 2 N h d G l v b j 4 8 S X R l b V R 5 c G U + R m 9 y b X V s Y T w v S X R l b V R 5 c G U + P E l 0 Z W 1 Q Y X R o P l N l Y 3 R p b 2 4 x L 1 R h Y m x l N C 9 D a G F u Z 2 V k J T I w V H l w Z T E 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Z D Y 3 Z D g 4 Y S 1 h O W M 0 L T R k Z G E t O W I 4 M C 1 j Z T I 0 Z j M 0 N T c 1 N j k 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R h Y m x l M i I g L z 4 8 R W 5 0 c n k g V H l w Z T 0 i U m V j b 3 Z l c n l U Y X J n Z X R D b 2 x 1 b W 4 i I F Z h b H V l P S J s M T E i I C 8 + P E V u d H J 5 I F R 5 c G U 9 I l J l Y 2 9 2 Z X J 5 V G F y Z 2 V 0 U m 9 3 I i B W Y W x 1 Z T 0 i b D E i I C 8 + P E V u d H J 5 I F R 5 c G U 9 I k Z p b G x U Y X J n Z X Q i I F Z h b H V l P S J z V G F i b G U 2 X z E 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U t M D U t M j h U M j E 6 N T Q 6 N D A u N D k 4 M z Q w N 1 o i I C 8 + P E V u d H J 5 I F R 5 c G U 9 I k Z p b G x D b 2 x 1 b W 5 U e X B l c y I g V m F s d W U 9 I n N C Z 1 l G I i A v P j x F b n R y e S B U e X B l P S J G a W x s Q 2 9 s d W 1 u T m F t Z X M i I F Z h b H V l P S J z W y Z x d W 9 0 O 0 N v b H V t b j E m c X V v d D s s J n F 1 b 3 Q 7 W W V h c i 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i 9 B d X R v U m V t b 3 Z l Z E N v b H V t b n M x L n t D b 2 x 1 b W 4 x L D B 9 J n F 1 b 3 Q 7 L C Z x d W 9 0 O 1 N l Y 3 R p b 2 4 x L 1 R h Y m x l N i 9 B d X R v U m V t b 3 Z l Z E N v b H V t b n M x L n t Z Z W F y L D F 9 J n F 1 b 3 Q 7 L C Z x d W 9 0 O 1 N l Y 3 R p b 2 4 x L 1 R h Y m x l N i 9 B d X R v U m V t b 3 Z l Z E N v b H V t b n M x L n t W Y W x 1 Z S w y f S Z x d W 9 0 O 1 0 s J n F 1 b 3 Q 7 Q 2 9 s d W 1 u Q 2 9 1 b n Q m c X V v d D s 6 M y w m c X V v d D t L Z X l D b 2 x 1 b W 5 O Y W 1 l c y Z x d W 9 0 O z p b X S w m c X V v d D t D b 2 x 1 b W 5 J Z G V u d G l 0 a W V z J n F 1 b 3 Q 7 O l s m c X V v d D t T Z W N 0 a W 9 u M S 9 U Y W J s Z T Y v Q X V 0 b 1 J l b W 9 2 Z W R D b 2 x 1 b W 5 z M S 5 7 Q 2 9 s d W 1 u M S w w f S Z x d W 9 0 O y w m c X V v d D t T Z W N 0 a W 9 u M S 9 U Y W J s Z T Y v Q X V 0 b 1 J l b W 9 2 Z W R D b 2 x 1 b W 5 z M S 5 7 W W V h c i w x f S Z x d W 9 0 O y w m c X V v d D t T Z W N 0 a W 9 u M S 9 U Y W J s Z T Y v Q X V 0 b 1 J l b W 9 2 Z W R D b 2 x 1 b W 5 z M S 5 7 V m F s d W U s M n 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V W 5 w a X Z v d G V k J T I w Q 2 9 s d W 1 u c z w v S X R l b V B h d G g + P C 9 J d G V t T G 9 j Y X R p b 2 4 + P F N 0 Y W J s Z U V u d H J p Z X M g L z 4 8 L 0 l 0 Z W 0 + P E l 0 Z W 0 + P E l 0 Z W 1 M b 2 N h d G l v b j 4 8 S X R l b V R 5 c G U + R m 9 y b X V s Y T w v S X R l b V R 5 c G U + P E l 0 Z W 1 Q Y X R o P l N l Y 3 R p b 2 4 x L 1 R h Y m x l N i 9 S Z W 5 h b W V k J T I w Q 2 9 s d W 1 u c z 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1 Z G I w M W R m L T Z h M T k t N D I 0 N C 1 h Z T g x L T Z j M T Q w N z c 2 M G R m N i 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y I i A v P j x F b n R y e S B U e X B l P S J S Z W N v d m V y e V R h c m d l d E N v b H V t b i I g V m F s d W U 9 I m w x N i I g L z 4 8 R W 5 0 c n k g V H l w Z T 0 i U m V j b 3 Z l c n l U Y X J n Z X R S b 3 c i I F Z h b H V l P S J s M S I g L z 4 8 R W 5 0 c n k g V H l w Z T 0 i R m l s b F R h c m d l d C I g V m F s d W U 9 I n N U Y W J s Z T h f M 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S 0 y O F Q y M T o 1 O T o 1 O S 4 4 N j g 2 O D A 0 W i I g L z 4 8 R W 5 0 c n k g V H l w Z T 0 i R m l s b E N v b H V t b l R 5 c G V z I i B W Y W x 1 Z T 0 i c 0 J n W U Q i I C 8 + P E V u d H J 5 I F R 5 c G U 9 I k Z p b G x D b 2 x 1 b W 5 O Y W 1 l c y I g V m F s d W U 9 I n N b J n F 1 b 3 Q 7 Q 2 9 s d W 1 u M S Z x d W 9 0 O y w m c X V v d D t Z Z W F y 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4 L 0 F 1 d G 9 S Z W 1 v d m V k Q 2 9 s d W 1 u c z E u e 0 N v b H V t b j E s M H 0 m c X V v d D s s J n F 1 b 3 Q 7 U 2 V j d G l v b j E v V G F i b G U 4 L 0 F 1 d G 9 S Z W 1 v d m V k Q 2 9 s d W 1 u c z E u e 1 l l Y X I s M X 0 m c X V v d D s s J n F 1 b 3 Q 7 U 2 V j d G l v b j E v V G F i b G U 4 L 0 F 1 d G 9 S Z W 1 v d m V k Q 2 9 s d W 1 u c z E u e 1 Z h b H V l L D J 9 J n F 1 b 3 Q 7 X S w m c X V v d D t D b 2 x 1 b W 5 D b 3 V u d C Z x d W 9 0 O z o z L C Z x d W 9 0 O 0 t l e U N v b H V t b k 5 h b W V z J n F 1 b 3 Q 7 O l t d L C Z x d W 9 0 O 0 N v b H V t b k l k Z W 5 0 a X R p Z X M m c X V v d D s 6 W y Z x d W 9 0 O 1 N l Y 3 R p b 2 4 x L 1 R h Y m x l O C 9 B d X R v U m V t b 3 Z l Z E N v b H V t b n M x L n t D b 2 x 1 b W 4 x L D B 9 J n F 1 b 3 Q 7 L C Z x d W 9 0 O 1 N l Y 3 R p b 2 4 x L 1 R h Y m x l O C 9 B d X R v U m V t b 3 Z l Z E N v b H V t b n M x L n t Z Z W F y L D F 9 J n F 1 b 3 Q 7 L C Z x d W 9 0 O 1 N l Y 3 R p b 2 4 x L 1 R h Y m x l O C 9 B d X R v U m V t b 3 Z l Z E N v b H V t b n M x L n t W Y W x 1 Z S w y f S Z x d W 9 0 O 1 0 s J n F 1 b 3 Q 7 U m V s Y X R p b 2 5 z a G l w S W 5 m b y Z x d W 9 0 O z p b X X 0 i I C 8 + P C 9 T d G F i b G V F b n R y a W V z P j w v S X R l b T 4 8 S X R l b T 4 8 S X R l b U x v Y 2 F 0 a W 9 u P j x J d G V t V H l w Z T 5 G b 3 J t d W x h P C 9 J d G V t V H l w Z T 4 8 S X R l b V B h d G g + U 2 V j d G l v b j E v V G F i b G U 4 L 1 N v d X J j Z T w v S X R l b V B h d G g + P C 9 J d G V t T G 9 j Y X R p b 2 4 + P F N 0 Y W J s Z U V u d H J p Z X M g L z 4 8 L 0 l 0 Z W 0 + P E l 0 Z W 0 + P E l 0 Z W 1 M b 2 N h d G l v b j 4 8 S X R l b V R 5 c G U + R m 9 y b X V s Y T w v S X R l b V R 5 c G U + P E l 0 Z W 1 Q Y X R o P l N l Y 3 R p b 2 4 x L 1 R h Y m x l O C 9 D a G F u Z 2 V k J T I w V H l w Z T w v S X R l b V B h d G g + P C 9 J d G V t T G 9 j Y X R p b 2 4 + P F N 0 Y W J s Z U V u d H J p Z X M g L z 4 8 L 0 l 0 Z W 0 + P E l 0 Z W 0 + P E l 0 Z W 1 M b 2 N h d G l v b j 4 8 S X R l b V R 5 c G U + R m 9 y b X V s Y T w v S X R l b V R 5 c G U + P E l 0 Z W 1 Q Y X R o P l N l Y 3 R p b 2 4 x L 1 R h Y m x l O C 9 V b n B p d m 9 0 Z W Q l M j B D b 2 x 1 b W 5 z P C 9 J d G V t U G F 0 a D 4 8 L 0 l 0 Z W 1 M b 2 N h d G l v b j 4 8 U 3 R h Y m x l R W 5 0 c m l l c y A v P j w v S X R l b T 4 8 S X R l b T 4 8 S X R l b U x v Y 2 F 0 a W 9 u P j x J d G V t V H l w Z T 5 G b 3 J t d W x h P C 9 J d G V t V H l w Z T 4 8 S X R l b V B h d G g + U 2 V j d G l v b j E v V G F i b G U 4 L 1 J l b m F t Z W Q l M j B D b 2 x 1 b W 5 z P C 9 J d G V t U G F 0 a D 4 8 L 0 l 0 Z W 1 M b 2 N h d G l v b j 4 8 U 3 R h Y m x l R W 5 0 c m l l c y A v P j w v S X R l b T 4 8 S X R l b T 4 8 S X R l b U x v Y 2 F 0 a W 9 u P j x J d G V t V H l w Z T 5 G b 3 J t d W x h P C 9 J d G V t V H l w Z T 4 8 S X R l b V B h d G g + U 2 V j d G l v b j E v V G F i b G U 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I 0 M j Z i Z j J h L W N i N z U t N D U y Y y 0 5 N D Y x L T d j M j N l Y m U 0 Y z l i 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U t M j h U M j I 6 M D E 6 M T E u M T A 4 N T Q 3 O V o i I C 8 + P E V u d H J 5 I F R 5 c G U 9 I k Z p b G x D b 2 x 1 b W 5 U e X B l c y I g V m F s d W U 9 I n N C Z 1 l G I i A v P j x F b n R y e S B U e X B l P S J G a W x s Q 2 9 s d W 1 u T m F t Z X M i I F Z h b H V l P S J z W y Z x d W 9 0 O 0 N v b H V t b j E m c X V v d D s s J n F 1 b 3 Q 7 W W V h c i Z x d W 9 0 O y w m c X V v d D t W Y W x 1 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T A v Q X V 0 b 1 J l b W 9 2 Z W R D b 2 x 1 b W 5 z M S 5 7 Q 2 9 s d W 1 u M S w w f S Z x d W 9 0 O y w m c X V v d D t T Z W N 0 a W 9 u M S 9 U Y W J s Z T E w L 0 F 1 d G 9 S Z W 1 v d m V k Q 2 9 s d W 1 u c z E u e 1 l l Y X I s M X 0 m c X V v d D s s J n F 1 b 3 Q 7 U 2 V j d G l v b j E v V G F i b G U x M C 9 B d X R v U m V t b 3 Z l Z E N v b H V t b n M x L n t W Y W x 1 Z S w y f S Z x d W 9 0 O 1 0 s J n F 1 b 3 Q 7 Q 2 9 s d W 1 u Q 2 9 1 b n Q m c X V v d D s 6 M y w m c X V v d D t L Z X l D b 2 x 1 b W 5 O Y W 1 l c y Z x d W 9 0 O z p b X S w m c X V v d D t D b 2 x 1 b W 5 J Z G V u d G l 0 a W V z J n F 1 b 3 Q 7 O l s m c X V v d D t T Z W N 0 a W 9 u M S 9 U Y W J s Z T E w L 0 F 1 d G 9 S Z W 1 v d m V k Q 2 9 s d W 1 u c z E u e 0 N v b H V t b j E s M H 0 m c X V v d D s s J n F 1 b 3 Q 7 U 2 V j d G l v b j E v V G F i b G U x M C 9 B d X R v U m V t b 3 Z l Z E N v b H V t b n M x L n t Z Z W F y L D F 9 J n F 1 b 3 Q 7 L C Z x d W 9 0 O 1 N l Y 3 R p b 2 4 x L 1 R h Y m x l M T A v Q X V 0 b 1 J l b W 9 2 Z W R D b 2 x 1 b W 5 z M S 5 7 V m F s d W U s M n 0 m c X V v d D t d L C Z x d W 9 0 O 1 J l b G F 0 a W 9 u c 2 h p c E l u Z m 8 m c X V v d D s 6 W 1 1 9 I i A v P j w v U 3 R h Y m x l R W 5 0 c m l l c z 4 8 L 0 l 0 Z W 0 + P E l 0 Z W 0 + P E l 0 Z W 1 M b 2 N h d G l v b j 4 8 S X R l b V R 5 c G U + R m 9 y b X V s Y T w v S X R l b V R 5 c G U + P E l 0 Z W 1 Q Y X R o P l N l Y 3 R p b 2 4 x L 1 R h Y m x l M T A v U 2 9 1 c m N l P C 9 J d G V t U G F 0 a D 4 8 L 0 l 0 Z W 1 M b 2 N h d G l v b j 4 8 U 3 R h Y m x l R W 5 0 c m l l c y A v P j w v S X R l b T 4 8 S X R l b T 4 8 S X R l b U x v Y 2 F 0 a W 9 u P j x J d G V t V H l w Z T 5 G b 3 J t d W x h P C 9 J d G V t V H l w Z T 4 8 S X R l b V B h d G g + U 2 V j d G l v b j E v V G F i b G U x M C 9 D a G F u Z 2 V k J T I w V H l w Z T w v S X R l b V B h d G g + P C 9 J d G V t T G 9 j Y X R p b 2 4 + P F N 0 Y W J s Z U V u d H J p Z X M g L z 4 8 L 0 l 0 Z W 0 + P E l 0 Z W 0 + P E l 0 Z W 1 M b 2 N h d G l v b j 4 8 S X R l b V R 5 c G U + R m 9 y b X V s Y T w v S X R l b V R 5 c G U + P E l 0 Z W 1 Q Y X R o P l N l Y 3 R p b 2 4 x L 1 R h Y m x l M T A v V W 5 w a X Z v d G V k J T I w Q 2 9 s d W 1 u c z w v S X R l b V B h d G g + P C 9 J d G V t T G 9 j Y X R p b 2 4 + P F N 0 Y W J s Z U V u d H J p Z X M g L z 4 8 L 0 l 0 Z W 0 + P E l 0 Z W 0 + P E l 0 Z W 1 M b 2 N h d G l v b j 4 8 S X R l b V R 5 c G U + R m 9 y b X V s Y T w v S X R l b V R 5 c G U + P E l 0 Z W 1 Q Y X R o P l N l Y 3 R p b 2 4 x L 1 R h Y m x l M T A v U m V u Y W 1 l Z C U y M E N v b H V t b n M 8 L 0 l 0 Z W 1 Q Y X R o P j w v S X R l b U x v Y 2 F 0 a W 9 u P j x T d G F i b G V F b n R y a W V z I C 8 + P C 9 J d G V t P j x J d G V t P j x J d G V t T G 9 j Y X R p b 2 4 + P E l 0 Z W 1 U e X B l P k Z v c m 1 1 b G E 8 L 0 l 0 Z W 1 U e X B l P j x J d G V t U G F 0 a D 5 T Z W N 0 a W 9 u M S 9 U Y W J s Z T E w 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Z i Y m U w Z W Q t M j Q 5 N y 0 0 M 2 Q 0 L W E 2 M T k t N z I z M j J h N T E 0 M D Y w I i A v P j x F b n R y e S B U e X B l P S J O Y X Z p Z 2 F 0 a W 9 u U 3 R l c E 5 h b W U i I F Z h b H V l P S J z T m F 2 a W d h d G l v b i I g L z 4 8 R W 5 0 c n k g V H l w Z T 0 i U m V z d W x 0 V H l w Z S I g V m F s d W U 9 I n N U Y W J s Z S I g L z 4 8 R W 5 0 c n k g V H l w Z T 0 i Q n V m Z m V y T m V 4 d F J l Z n J l c 2 g i I F Z h b H V l P S J s M S I g L z 4 8 R W 5 0 c n k g V H l w Z T 0 i R m l s b F R h c m d l d C I g V m F s d W U 9 I n N U Y W J s Z T E w X z E x 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U t M j h U M j I 6 M D E 6 M T E u M T A 4 N T Q 3 O V o i I C 8 + P E V u d H J 5 I F R 5 c G U 9 I k Z p b G x D b 2 x 1 b W 5 U e X B l c y I g V m F s d W U 9 I n N C Z 1 l G I i A v P j x F b n R y e S B U e X B l P S J G a W x s Q 2 9 s d W 1 u T m F t Z X M i I F Z h b H V l P S J z W y Z x d W 9 0 O 0 N v b H V t b j E m c X V v d D s s J n F 1 b 3 Q 7 W W V h c i Z x d W 9 0 O y w m c X V v d D t W Y W x 1 Z S Z x d W 9 0 O 1 0 i I C 8 + P E V u d H J 5 I F R 5 c G U 9 I k Z p b G x T d G F 0 d X M i I F Z h b H V l P S J z Q 2 9 t c G x l d G U i I C 8 + P E V u d H J 5 I F R 5 c G U 9 I k Z p b G x D b 3 V u d C I g V m F s d W U 9 I m w y M C I g L z 4 8 R W 5 0 c n k g V H l w Z T 0 i U m V s Y X R p b 2 5 z a G l w S W 5 m b 0 N v b n R h a W 5 l c i I g V m F s d W U 9 I n N 7 J n F 1 b 3 Q 7 Y 2 9 s d W 1 u Q 2 9 1 b n Q m c X V v d D s 6 M y w m c X V v d D t r Z X l D b 2 x 1 b W 5 O Y W 1 l c y Z x d W 9 0 O z p b X S w m c X V v d D t x d W V y e V J l b G F 0 a W 9 u c 2 h p c H M m c X V v d D s 6 W 1 0 s J n F 1 b 3 Q 7 Y 2 9 s d W 1 u S W R l b n R p d G l l c y Z x d W 9 0 O z p b J n F 1 b 3 Q 7 U 2 V j d G l v b j E v V G F i b G U x M C 9 B d X R v U m V t b 3 Z l Z E N v b H V t b n M x L n t D b 2 x 1 b W 4 x L D B 9 J n F 1 b 3 Q 7 L C Z x d W 9 0 O 1 N l Y 3 R p b 2 4 x L 1 R h Y m x l M T A v Q X V 0 b 1 J l b W 9 2 Z W R D b 2 x 1 b W 5 z M S 5 7 W W V h c i w x f S Z x d W 9 0 O y w m c X V v d D t T Z W N 0 a W 9 u M S 9 U Y W J s Z T E w L 0 F 1 d G 9 S Z W 1 v d m V k Q 2 9 s d W 1 u c z E u e 1 Z h b H V l L D J 9 J n F 1 b 3 Q 7 X S w m c X V v d D t D b 2 x 1 b W 5 D b 3 V u d C Z x d W 9 0 O z o z L C Z x d W 9 0 O 0 t l e U N v b H V t b k 5 h b W V z J n F 1 b 3 Q 7 O l t d L C Z x d W 9 0 O 0 N v b H V t b k l k Z W 5 0 a X R p Z X M m c X V v d D s 6 W y Z x d W 9 0 O 1 N l Y 3 R p b 2 4 x L 1 R h Y m x l M T A v Q X V 0 b 1 J l b W 9 2 Z W R D b 2 x 1 b W 5 z M S 5 7 Q 2 9 s d W 1 u M S w w f S Z x d W 9 0 O y w m c X V v d D t T Z W N 0 a W 9 u M S 9 U Y W J s Z T E w L 0 F 1 d G 9 S Z W 1 v d m V k Q 2 9 s d W 1 u c z E u e 1 l l Y X I s M X 0 m c X V v d D s s J n F 1 b 3 Q 7 U 2 V j d G l v b j E v V G F i b G U x M C 9 B d X R v U m V t b 3 Z l Z E N v b H V t b n M x L n t W Y W x 1 Z S w y f S Z x d W 9 0 O 1 0 s J n F 1 b 3 Q 7 U m V s Y X R p b 2 5 z a G l w S W 5 m b y Z x d W 9 0 O z p b X X 0 i I C 8 + P E V u d H J 5 I F R 5 c G U 9 I k x v Y W R l Z F R v Q W 5 h b H l z a X N T Z X J 2 a W N l c y I g V m F s d W U 9 I m w w I i A v P j w v U 3 R h Y m x l R W 5 0 c m l l c z 4 8 L 0 l 0 Z W 0 + P E l 0 Z W 0 + P E l 0 Z W 1 M b 2 N h d G l v b j 4 8 S X R l b V R 5 c G U + R m 9 y b X V s Y T w v S X R l b V R 5 c G U + P E l 0 Z W 1 Q Y X R o P l N l Y 3 R p b 2 4 x L 1 R h Y m x l M T A l M j A o M i k v U 2 9 1 c m N l P C 9 J d G V t U G F 0 a D 4 8 L 0 l 0 Z W 1 M b 2 N h d G l v b j 4 8 U 3 R h Y m x l R W 5 0 c m l l c y A v P j w v S X R l b T 4 8 S X R l b T 4 8 S X R l b U x v Y 2 F 0 a W 9 u P j x J d G V t V H l w Z T 5 G b 3 J t d W x h P C 9 J d G V t V H l w Z T 4 8 S X R l b V B h d G g + U 2 V j d G l v b j E v V G F i b G U x M C U y M C g y K S 9 D a G F u Z 2 V k J T I w V H l w Z T w v S X R l b V B h d G g + P C 9 J d G V t T G 9 j Y X R p b 2 4 + P F N 0 Y W J s Z U V u d H J p Z X M g L z 4 8 L 0 l 0 Z W 0 + P E l 0 Z W 0 + P E l 0 Z W 1 M b 2 N h d G l v b j 4 8 S X R l b V R 5 c G U + R m 9 y b X V s Y T w v S X R l b V R 5 c G U + P E l 0 Z W 1 Q Y X R o P l N l Y 3 R p b 2 4 x L 1 R h Y m x l M T A l M j A o M i k v V W 5 w a X Z v d G V k J T I w Q 2 9 s d W 1 u c z w v S X R l b V B h d G g + P C 9 J d G V t T G 9 j Y X R p b 2 4 + P F N 0 Y W J s Z U V u d H J p Z X M g L z 4 8 L 0 l 0 Z W 0 + P E l 0 Z W 0 + P E l 0 Z W 1 M b 2 N h d G l v b j 4 8 S X R l b V R 5 c G U + R m 9 y b X V s Y T w v S X R l b V R 5 c G U + P E l 0 Z W 1 Q Y X R o P l N l Y 3 R p b 2 4 x L 1 R h Y m x l M T A l M j A o M i k v U m V u Y W 1 l Z C U y M E N v b H V t b n M 8 L 0 l 0 Z W 1 Q Y X R o P j w v S X R l b U x v Y 2 F 0 a W 9 u P j x T d G F i b G V F b n R y a W V z I C 8 + P C 9 J d G V t P j x J d G V t P j x J d G V t T G 9 j Y X R p b 2 4 + P E l 0 Z W 1 U e X B l P k Z v c m 1 1 b G E 8 L 0 l 0 Z W 1 U e X B l P j x J d G V t U G F 0 a D 5 T Z W N 0 a W 9 u M S 9 U Y W J s Z T E 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j M 4 N T I 3 Y j Q t N j l l O C 0 0 N D U 1 L T g x N D Q t O T Y y O W I 3 M W I z N z h l 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I i I C 8 + P E V u d H J 5 I F R 5 c G U 9 I l J l Y 2 9 2 Z X J 5 V G F y Z 2 V 0 Q 2 9 s d W 1 u I i B W Y W x 1 Z T 0 i b D I 1 I i A v P j x F b n R y e S B U e X B l P S J S Z W N v d m V y e V R h c m d l d F J v d y I g V m F s d W U 9 I m w x I i A v P j x F b n R y e S B U e X B l P S J G a W x s Z W R D b 2 1 w b G V 0 Z V J l c 3 V s d F R v V 2 9 y a 3 N o Z W V 0 I i B W Y W x 1 Z T 0 i b D E i I C 8 + P E V u d H J 5 I F R 5 c G U 9 I k F k Z G V k V G 9 E Y X R h T W 9 k Z W w i I F Z h b H V l P S J s M C I g L z 4 8 R W 5 0 c n k g V H l w Z T 0 i R m l s b E N v d W 5 0 I i B W Y W x 1 Z T 0 i b D E 2 M C I g L z 4 8 R W 5 0 c n k g V H l w Z T 0 i R m l s b E V y c m 9 y Q 2 9 k Z S I g V m F s d W U 9 I n N V b m t u b 3 d u I i A v P j x F b n R y e S B U e X B l P S J G a W x s R X J y b 3 J D b 3 V u d C I g V m F s d W U 9 I m w w I i A v P j x F b n R y e S B U e X B l P S J G a W x s T G F z d F V w Z G F 0 Z W Q i I F Z h b H V l P S J k M j A y N S 0 w N S 0 y O F Q y M j o x M T o y O S 4 3 N j k w N z E x W i I g L z 4 8 R W 5 0 c n k g V H l w Z T 0 i R m l s b E N v b H V t b l R 5 c G V z I i B W Y W x 1 Z T 0 i c 0 J n W U Y i I C 8 + P E V u d H J 5 I F R 5 c G U 9 I k Z p b G x D b 2 x 1 b W 5 O Y W 1 l c y I g V m F s d W U 9 I n N b J n F 1 b 3 Q 7 R n J l Z S B D Y X N o I E Z s b 3 d z J n F 1 b 3 Q 7 L C Z x d W 9 0 O 1 l l Y X I 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E z L 0 F 1 d G 9 S Z W 1 v d m V k Q 2 9 s d W 1 u c z E u e 0 Z y Z W U g Q 2 F z a C B G b G 9 3 c y w w f S Z x d W 9 0 O y w m c X V v d D t T Z W N 0 a W 9 u M S 9 U Y W J s Z T E z L 0 F 1 d G 9 S Z W 1 v d m V k Q 2 9 s d W 1 u c z E u e 1 l l Y X I s M X 0 m c X V v d D s s J n F 1 b 3 Q 7 U 2 V j d G l v b j E v V G F i b G U x M y 9 B d X R v U m V t b 3 Z l Z E N v b H V t b n M x L n t W Y W x 1 Z S w y f S Z x d W 9 0 O 1 0 s J n F 1 b 3 Q 7 Q 2 9 s d W 1 u Q 2 9 1 b n Q m c X V v d D s 6 M y w m c X V v d D t L Z X l D b 2 x 1 b W 5 O Y W 1 l c y Z x d W 9 0 O z p b X S w m c X V v d D t D b 2 x 1 b W 5 J Z G V u d G l 0 a W V z J n F 1 b 3 Q 7 O l s m c X V v d D t T Z W N 0 a W 9 u M S 9 U Y W J s Z T E z L 0 F 1 d G 9 S Z W 1 v d m V k Q 2 9 s d W 1 u c z E u e 0 Z y Z W U g Q 2 F z a C B G b G 9 3 c y w w f S Z x d W 9 0 O y w m c X V v d D t T Z W N 0 a W 9 u M S 9 U Y W J s Z T E z L 0 F 1 d G 9 S Z W 1 v d m V k Q 2 9 s d W 1 u c z E u e 1 l l Y X I s M X 0 m c X V v d D s s J n F 1 b 3 Q 7 U 2 V j d G l v b j E v V G F i b G U x M y 9 B d X R v U m V t b 3 Z l Z E N v b H V t b n M x L n t W Y W x 1 Z S w y f S Z x d W 9 0 O 1 0 s J n F 1 b 3 Q 7 U m V s Y X R p b 2 5 z a G l w S W 5 m b y Z x d W 9 0 O z p b X X 0 i I C 8 + P C 9 T d G F i b G V F b n R y a W V z P j w v S X R l b T 4 8 S X R l b T 4 8 S X R l b U x v Y 2 F 0 a W 9 u P j x J d G V t V H l w Z T 5 G b 3 J t d W x h P C 9 J d G V t V H l w Z T 4 8 S X R l b V B h d G g + U 2 V j d G l v b j E v V G F i b G U x M y 9 T b 3 V y Y 2 U 8 L 0 l 0 Z W 1 Q Y X R o P j w v S X R l b U x v Y 2 F 0 a W 9 u P j x T d G F i b G V F b n R y a W V z I C 8 + P C 9 J d G V t P j x J d G V t P j x J d G V t T G 9 j Y X R p b 2 4 + P E l 0 Z W 1 U e X B l P k Z v c m 1 1 b G E 8 L 0 l 0 Z W 1 U e X B l P j x J d G V t U G F 0 a D 5 T Z W N 0 a W 9 u M S 9 U Y W J s Z T E z L 0 N o Y W 5 n Z W Q l M j B U e X B l P C 9 J d G V t U G F 0 a D 4 8 L 0 l 0 Z W 1 M b 2 N h d G l v b j 4 8 U 3 R h Y m x l R W 5 0 c m l l c y A v P j w v S X R l b T 4 8 S X R l b T 4 8 S X R l b U x v Y 2 F 0 a W 9 u P j x J d G V t V H l w Z T 5 G b 3 J t d W x h P C 9 J d G V t V H l w Z T 4 8 S X R l b V B h d G g + U 2 V j d G l v b j E v V G F i b G U x M y 9 Q c m 9 t b 3 R l Z C U y M E h l Y W R l c n M 8 L 0 l 0 Z W 1 Q Y X R o P j w v S X R l b U x v Y 2 F 0 a W 9 u P j x T d G F i b G V F b n R y a W V z I C 8 + P C 9 J d G V t P j x J d G V t P j x J d G V t T G 9 j Y X R p b 2 4 + P E l 0 Z W 1 U e X B l P k Z v c m 1 1 b G E 8 L 0 l 0 Z W 1 U e X B l P j x J d G V t U G F 0 a D 5 T Z W N 0 a W 9 u M S 9 U Y W J s Z T E z L 0 N o Y W 5 n Z W Q l M j B U e X B l M T w v S X R l b V B h d G g + P C 9 J d G V t T G 9 j Y X R p b 2 4 + P F N 0 Y W J s Z U V u d H J p Z X M g L z 4 8 L 0 l 0 Z W 0 + P E l 0 Z W 0 + P E l 0 Z W 1 M b 2 N h d G l v b j 4 8 S X R l b V R 5 c G U + R m 9 y b X V s Y T w v S X R l b V R 5 c G U + P E l 0 Z W 1 Q Y X R o P l N l Y 3 R p b 2 4 x L 1 R h Y m x l M T M v V W 5 w a X Z v d G V k J T I w Q 2 9 s d W 1 u c z w v S X R l b V B h d G g + P C 9 J d G V t T G 9 j Y X R p b 2 4 + P F N 0 Y W J s Z U V u d H J p Z X M g L z 4 8 L 0 l 0 Z W 0 + P E l 0 Z W 0 + P E l 0 Z W 1 M b 2 N h d G l v b j 4 8 S X R l b V R 5 c G U + R m 9 y b X V s Y T w v S X R l b V R 5 c G U + P E l 0 Z W 1 Q Y X R o P l N l Y 3 R p b 2 4 x L 1 R h Y m x l M T M v U m V u Y W 1 l Z C U y M E N v b H V t b n M 8 L 0 l 0 Z W 1 Q Y X R o P j w v S X R l b U x v Y 2 F 0 a W 9 u P j x T d G F i b G V F b n R y a W V z I C 8 + P C 9 J d G V t P j x J d G V t P j x J d G V t T G 9 j Y X R p b 2 4 + P E l 0 Z W 1 U e X B l P k Z v c m 1 1 b G E 8 L 0 l 0 Z W 1 U e X B l P j x J d G V t U G F 0 a D 5 T Z W N 0 a W 9 u M S 9 U Y W J s Z T E 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T c 1 N D g 0 Y j g t M D A 2 N y 0 0 N m M 4 L W I 4 Z j A t Z D E 4 Z G F m Z j M 0 N j E 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h U M j I 6 M j Q 6 N D E u N D E x M j Q x M V o i I C 8 + P E V u d H J 5 I F R 5 c G U 9 I k Z p b G x T d G F 0 d X M i I F Z h b H V l P S J z Q 2 9 t c G x l d G U i I C 8 + P C 9 T d G F i b G V F b n R y a W V z P j w v S X R l b T 4 8 S X R l b T 4 8 S X R l b U x v Y 2 F 0 a W 9 u P j x J d G V t V H l w Z T 5 G b 3 J t d W x h P C 9 J d G V t V H l w Z T 4 8 S X R l b V B h d G g + U 2 V j d G l v b j E v V G F i b G U x N y 9 T b 3 V y Y 2 U 8 L 0 l 0 Z W 1 Q Y X R o P j w v S X R l b U x v Y 2 F 0 a W 9 u P j x T d G F i b G V F b n R y a W V z I C 8 + P C 9 J d G V t P j x J d G V t P j x J d G V t T G 9 j Y X R p b 2 4 + P E l 0 Z W 1 U e X B l P k Z v c m 1 1 b G E 8 L 0 l 0 Z W 1 U e X B l P j x J d G V t U G F 0 a D 5 T Z W N 0 a W 9 u M S 9 U Y W J s Z T E 3 L 0 N o Y W 5 n Z W Q l M j B U e X B l P C 9 J d G V t U G F 0 a D 4 8 L 0 l 0 Z W 1 M b 2 N h d G l v b j 4 8 U 3 R h Y m x l R W 5 0 c m l l c y A v P j w v S X R l b T 4 8 S X R l b T 4 8 S X R l b U x v Y 2 F 0 a W 9 u P j x J d G V t V H l w Z T 5 G b 3 J t d W x h P C 9 J d G V t V H l w Z T 4 8 S X R l b V B h d G g + U 2 V j d G l v b j E v V G F i b G U x N y 9 G a W x 0 Z X J l Z C U y M F J v d 3 M 8 L 0 l 0 Z W 1 Q Y X R o P j w v S X R l b U x v Y 2 F 0 a W 9 u P j x T d G F i b G V F b n R y a W V z I C 8 + P C 9 J d G V t P j x J d G V t P j x J d G V t T G 9 j Y X R p b 2 4 + P E l 0 Z W 1 U e X B l P k Z v c m 1 1 b G E 8 L 0 l 0 Z W 1 U e X B l P j x J d G V t U G F 0 a D 5 T Z W N 0 a W 9 u M S 9 U Y W J s Z T E 3 L 0 Z p b H R l c m V k J T I w U m 9 3 c z E 8 L 0 l 0 Z W 1 Q Y X R o P j w v S X R l b U x v Y 2 F 0 a W 9 u P j x T d G F i b G V F b n R y a W V z I C 8 + P C 9 J d G V t P j x J d G V t P j x J d G V t T G 9 j Y X R p b 2 4 + P E l 0 Z W 1 U e X B l P k Z v c m 1 1 b G E 8 L 0 l 0 Z W 1 U e X B l P j x J d G V t U G F 0 a D 5 T Z W N 0 a W 9 u M S 9 U Y W J s Z T E 3 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c 1 N z Q 1 N 2 Q t Y j g 2 N C 0 0 N j Q 4 L T g 0 Y T c t M T M 3 N T B h O D I 4 M D k 0 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I i I C 8 + P E V u d H J 5 I F R 5 c G U 9 I l J l Y 2 9 2 Z X J 5 V G F y Z 2 V 0 Q 2 9 s d W 1 u I i B W Y W x 1 Z T 0 i b D E 2 I i A v P j x F b n R y e S B U e X B l P S J S Z W N v d m V y e V R h c m d l d F J v d y I g V m F s d W U 9 I m w x N C I g L z 4 8 R W 5 0 c n k g V H l w Z T 0 i R m l s b F R h c m d l d C I g V m F s d W U 9 I n N U Y W J s Z T E 3 X 1 8 y 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1 L T A 1 L T I 4 V D I z O j I y O j E w L j U 0 N D M 1 M j l a I i A v P j x F b n R y e S B U e X B l P S J G a W x s Q 2 9 s d W 1 u V H l w Z X M i I F Z h b H V l P S J z Q X c 9 P S I g L z 4 8 R W 5 0 c n k g V H l w Z T 0 i R m l s b E N v b H V t b k 5 h b W V z I i B W Y W x 1 Z T 0 i c 1 s m c X V v d D t Z Z W F y 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N y A o M i k v Q X V 0 b 1 J l b W 9 2 Z W R D b 2 x 1 b W 5 z M S 5 7 W W V h c i w w f S Z x d W 9 0 O 1 0 s J n F 1 b 3 Q 7 Q 2 9 s d W 1 u Q 2 9 1 b n Q m c X V v d D s 6 M S w m c X V v d D t L Z X l D b 2 x 1 b W 5 O Y W 1 l c y Z x d W 9 0 O z p b X S w m c X V v d D t D b 2 x 1 b W 5 J Z G V u d G l 0 a W V z J n F 1 b 3 Q 7 O l s m c X V v d D t T Z W N 0 a W 9 u M S 9 U Y W J s Z T E 3 I C g y K S 9 B d X R v U m V t b 3 Z l Z E N v b H V t b n M x L n t Z Z W F y L D B 9 J n F 1 b 3 Q 7 X S w m c X V v d D t S Z W x h d G l v b n N o a X B J b m Z v J n F 1 b 3 Q 7 O l t d f S I g L z 4 8 L 1 N 0 Y W J s Z U V u d H J p Z X M + P C 9 J d G V t P j x J d G V t P j x J d G V t T G 9 j Y X R p b 2 4 + P E l 0 Z W 1 U e X B l P k Z v c m 1 1 b G E 8 L 0 l 0 Z W 1 U e X B l P j x J d G V t U G F 0 a D 5 T Z W N 0 a W 9 u M S 9 U Y W J s Z T E 3 J T I w K D I p L 1 N v d X J j Z T w v S X R l b V B h d G g + P C 9 J d G V t T G 9 j Y X R p b 2 4 + P F N 0 Y W J s Z U V u d H J p Z X M g L z 4 8 L 0 l 0 Z W 0 + P E l 0 Z W 0 + P E l 0 Z W 1 M b 2 N h d G l v b j 4 8 S X R l b V R 5 c G U + R m 9 y b X V s Y T w v S X R l b V R 5 c G U + P E l 0 Z W 1 Q Y X R o P l N l Y 3 R p b 2 4 x L 1 R h Y m x l M T c l M j A o M i k v Q 2 h h b m d l Z C U y M F R 5 c G U 8 L 0 l 0 Z W 1 Q Y X R o P j w v S X R l b U x v Y 2 F 0 a W 9 u P j x T d G F i b G V F b n R y a W V z I C 8 + P C 9 J d G V t P j x J d G V t P j x J d G V t T G 9 j Y X R p b 2 4 + P E l 0 Z W 1 U e X B l P k Z v c m 1 1 b G E 8 L 0 l 0 Z W 1 U e X B l P j x J d G V t U G F 0 a D 5 T Z W N 0 a W 9 u M S 9 U Y W J s Z T E 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N k N W M w Z j g t N 2 E 5 M i 0 0 M T g 3 L T k x N j Q t Y z M w Y T R l M z h j Z j c 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I i I C 8 + P E V u d H J 5 I F R 5 c G U 9 I l J l Y 2 9 2 Z X J 5 V G F y Z 2 V 0 Q 2 9 s d W 1 u I i B W Y W x 1 Z T 0 i b D I 5 I i A v P j x F b n R y e S B U e X B l P S J S Z W N v d m V y e V R h c m d l d F J v d y I g V m F s d W U 9 I m w x I i A v P j x F b n R y e S B U e X B l P S J G a W x s V G F y Z 2 V 0 I i B W Y W x 1 Z T 0 i c 1 R h Y m x l M T N f X z I i I C 8 + P E V u d H J 5 I F R 5 c G U 9 I k Z p b G x l Z E N v b X B s Z X R l U m V z d W x 0 V G 9 X b 3 J r c 2 h l Z X Q i I F Z h b H V l P S J s M S I g L z 4 8 R W 5 0 c n k g V H l w Z T 0 i Q W R k Z W R U b 0 R h d G F N b 2 R l b C I g V m F s d W U 9 I m w w I i A v P j x F b n R y e S B U e X B l P S J G a W x s Q 2 9 1 b n Q i I F Z h b H V l P S J s O D A i I C 8 + P E V u d H J 5 I F R 5 c G U 9 I k Z p b G x F c n J v c k N v Z G U i I F Z h b H V l P S J z V W 5 r b m 9 3 b i I g L z 4 8 R W 5 0 c n k g V H l w Z T 0 i R m l s b E V y c m 9 y Q 2 9 1 b n Q i I F Z h b H V l P S J s M C I g L z 4 8 R W 5 0 c n k g V H l w Z T 0 i R m l s b E x h c 3 R V c G R h d G V k I i B W Y W x 1 Z T 0 i Z D I w M j U t M D U t M j l U M D A 6 M D Q 6 M D Y u M T g x M j c y O V o i I C 8 + P E V u d H J 5 I F R 5 c G U 9 I k Z p b G x D b 2 x 1 b W 5 U e X B l c y I g V m F s d W U 9 I n N C Z 1 l G I i A v P j x F b n R y e S B U e X B l P S J G a W x s Q 2 9 s d W 1 u T m F t Z X M i I F Z h b H V l P S J z W y Z x d W 9 0 O 0 Z y Z W U g Q 2 F z a C B G b G 9 3 c y Z x d W 9 0 O y w m c X V v d D t Z Z W F y 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x M y A o M i k v Q X V 0 b 1 J l b W 9 2 Z W R D b 2 x 1 b W 5 z M S 5 7 R n J l Z S B D Y X N o I E Z s b 3 d z L D B 9 J n F 1 b 3 Q 7 L C Z x d W 9 0 O 1 N l Y 3 R p b 2 4 x L 1 R h Y m x l M T M g K D I p L 0 F 1 d G 9 S Z W 1 v d m V k Q 2 9 s d W 1 u c z E u e 1 l l Y X I s M X 0 m c X V v d D s s J n F 1 b 3 Q 7 U 2 V j d G l v b j E v V G F i b G U x M y A o M i k v Q X V 0 b 1 J l b W 9 2 Z W R D b 2 x 1 b W 5 z M S 5 7 V m F s d W U s M n 0 m c X V v d D t d L C Z x d W 9 0 O 0 N v b H V t b k N v d W 5 0 J n F 1 b 3 Q 7 O j M s J n F 1 b 3 Q 7 S 2 V 5 Q 2 9 s d W 1 u T m F t Z X M m c X V v d D s 6 W 1 0 s J n F 1 b 3 Q 7 Q 2 9 s d W 1 u S W R l b n R p d G l l c y Z x d W 9 0 O z p b J n F 1 b 3 Q 7 U 2 V j d G l v b j E v V G F i b G U x M y A o M i k v Q X V 0 b 1 J l b W 9 2 Z W R D b 2 x 1 b W 5 z M S 5 7 R n J l Z S B D Y X N o I E Z s b 3 d z L D B 9 J n F 1 b 3 Q 7 L C Z x d W 9 0 O 1 N l Y 3 R p b 2 4 x L 1 R h Y m x l M T M g K D I p L 0 F 1 d G 9 S Z W 1 v d m V k Q 2 9 s d W 1 u c z E u e 1 l l Y X I s M X 0 m c X V v d D s s J n F 1 b 3 Q 7 U 2 V j d G l v b j E v V G F i b G U x M y A o M i k v Q X V 0 b 1 J l b W 9 2 Z W R D b 2 x 1 b W 5 z M S 5 7 V m F s d W U s M n 0 m c X V v d D t d L C Z x d W 9 0 O 1 J l b G F 0 a W 9 u c 2 h p c E l u Z m 8 m c X V v d D s 6 W 1 1 9 I i A v P j w v U 3 R h Y m x l R W 5 0 c m l l c z 4 8 L 0 l 0 Z W 0 + P E l 0 Z W 0 + P E l 0 Z W 1 M b 2 N h d G l v b j 4 8 S X R l b V R 5 c G U + R m 9 y b X V s Y T w v S X R l b V R 5 c G U + P E l 0 Z W 1 Q Y X R o P l N l Y 3 R p b 2 4 x L 1 R h Y m x l M T M l M j A o M i k v U 2 9 1 c m N l P C 9 J d G V t U G F 0 a D 4 8 L 0 l 0 Z W 1 M b 2 N h d G l v b j 4 8 U 3 R h Y m x l R W 5 0 c m l l c y A v P j w v S X R l b T 4 8 S X R l b T 4 8 S X R l b U x v Y 2 F 0 a W 9 u P j x J d G V t V H l w Z T 5 G b 3 J t d W x h P C 9 J d G V t V H l w Z T 4 8 S X R l b V B h d G g + U 2 V j d G l v b j E v V G F i b G U x M y U y M C g y K S 9 D a G F u Z 2 V k J T I w V H l w Z T w v S X R l b V B h d G g + P C 9 J d G V t T G 9 j Y X R p b 2 4 + P F N 0 Y W J s Z U V u d H J p Z X M g L z 4 8 L 0 l 0 Z W 0 + P E l 0 Z W 0 + P E l 0 Z W 1 M b 2 N h d G l v b j 4 8 S X R l b V R 5 c G U + R m 9 y b X V s Y T w v S X R l b V R 5 c G U + P E l 0 Z W 1 Q Y X R o P l N l Y 3 R p b 2 4 x L 1 R h Y m x l M T M l M j A o M i k v U H J v b W 9 0 Z W Q l M j B I Z W F k Z X J z P C 9 J d G V t U G F 0 a D 4 8 L 0 l 0 Z W 1 M b 2 N h d G l v b j 4 8 U 3 R h Y m x l R W 5 0 c m l l c y A v P j w v S X R l b T 4 8 S X R l b T 4 8 S X R l b U x v Y 2 F 0 a W 9 u P j x J d G V t V H l w Z T 5 G b 3 J t d W x h P C 9 J d G V t V H l w Z T 4 8 S X R l b V B h d G g + U 2 V j d G l v b j E v V G F i b G U x M y U y M C g y K S 9 D a G F u Z 2 V k J T I w V H l w Z T E 8 L 0 l 0 Z W 1 Q Y X R o P j w v S X R l b U x v Y 2 F 0 a W 9 u P j x T d G F i b G V F b n R y a W V z I C 8 + P C 9 J d G V t P j x J d G V t P j x J d G V t T G 9 j Y X R p b 2 4 + P E l 0 Z W 1 U e X B l P k Z v c m 1 1 b G E 8 L 0 l 0 Z W 1 U e X B l P j x J d G V t U G F 0 a D 5 T Z W N 0 a W 9 u M S 9 U Y W J s Z T E z J T I w K D I p L 1 V u c G l 2 b 3 R l Z C U y M E N v b H V t b n M 8 L 0 l 0 Z W 1 Q Y X R o P j w v S X R l b U x v Y 2 F 0 a W 9 u P j x T d G F i b G V F b n R y a W V z I C 8 + P C 9 J d G V t P j x J d G V t P j x J d G V t T G 9 j Y X R p b 2 4 + P E l 0 Z W 1 U e X B l P k Z v c m 1 1 b G E 8 L 0 l 0 Z W 1 U e X B l P j x J d G V t U G F 0 a D 5 T Z W N 0 a W 9 u M S 9 U Y W J s Z T E z J T I w K D I p L 1 J l b m F t Z W Q l M j B D b 2 x 1 b W 5 z P C 9 J d G V t U G F 0 a D 4 8 L 0 l 0 Z W 1 M b 2 N h d G l v b j 4 8 U 3 R h Y m x l R W 5 0 c m l l c y A v P j w v S X R l b T 4 8 L 0 l 0 Z W 1 z P j w v T G 9 j Y W x Q Y W N r Y W d l T W V 0 Y W R h d G F G a W x l P h Y A A A B Q S w U G A A A A A A A A A A A A A A A A A A A A A A A A J g E A A A E A A A D Q j J 3 f A R X R E Y x 6 A M B P w p f r A Q A A A M U f u b K + 3 u t O v Y 2 0 n p a e Q i A A A A A A A g A A A A A A E G Y A A A A B A A A g A A A A B S i 7 C 7 e K 7 K 6 n O U T q k 7 E C a O a A g H V 5 O J K O D x i 0 B N A + a l I A A A A A D o A A A A A C A A A g A A A A + F + q a 1 V M 6 t 5 w R W 5 7 0 E Q i p x T 3 L S v / R Y C w Q W E b e B T Q Z L N Q A A A A T E v J t h X 6 w w 3 z I H + M 0 + H / I A z j L / v n X I C 1 z R 5 q O C r J y Q B 5 a h M b r p u V v G 5 m c 2 T J M d J 3 z U l I 1 h U p i l 1 H I d f N f I M B V d a d d s G 0 C N 8 7 Y 4 i + c k s V Y p p A A A A A Y R U R f B A V t / w N S 7 f l K t d 1 Z x h Q 5 b u x 1 q Y m 4 O J l K s V t h v V e Q 2 f 6 T M x v F y L u j R O y W J 5 F T N b T L Z c T U I T 0 g 1 c H 1 S G U K A = = < / D a t a M a s h u p > 
</file>

<file path=customXml/item10.xml>��< ? x m l   v e r s i o n = " 1 . 0 "   e n c o d i n g = " U T F - 1 6 " ? > < G e m i n i   x m l n s = " h t t p : / / g e m i n i / p i v o t c u s t o m i z a t i o n / L i n k e d T a b l e U p d a t e M o d e " > < C u s t o m C o n t e n t > < ! [ C D A T A [ T r u e ] ] > < / C u s t o m C o n t e n t > < / G e m i n i > 
</file>

<file path=customXml/item11.xml>��< ? x m l   v e r s i o n = " 1 . 0 "   e n c o d i n g = " U T F - 1 6 " ? > < G e m i n i   x m l n s = " h t t p : / / g e m i n i / p i v o t c u s t o m i z a t i o n / T a b l e O r d e r " > < C u s t o m C o n t e n t > < ! [ C D A T A [ T a b l e 2 _ 1 , T a b l e 4 _ 1 , T a b l e 6 _ 1 , T a b l e 8 _ 1 , T a b l e 1 0 _ 1 1 3 , T a b l e 1 7 , T a b l e 1 3 _ _ 2 ] ] > < / 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T a b l e X M L _ T a b l e 1 0 _ 1 1 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i t e m > < k e y > < s t r i n g > Y e a r < / s t r i n g > < / k e y > < v a l u e > < i n t > 8 0 < / i n t > < / v a l u e > < / i t e m > < i t e m > < k e y > < s t r i n g > V a l u e < / s t r i n g > < / k e y > < v a l u e > < i n t > 9 0 < / i n t > < / v a l u e > < / i t e m > < / C o l u m n W i d t h s > < C o l u m n D i s p l a y I n d e x > < i t e m > < k e y > < s t r i n g > C o l u m n 1 < / s t r i n g > < / k e y > < v a l u e > < i n t > 0 < / i n t > < / v a l u e > < / i t e m > < i t e m > < k e y > < s t r i n g > Y e a r < / 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15.xml><?xml version="1.0" encoding="utf-8"?>
<p:properties xmlns:p="http://schemas.microsoft.com/office/2006/metadata/properties" xmlns:xsi="http://www.w3.org/2001/XMLSchema-instance" xmlns:pc="http://schemas.microsoft.com/office/infopath/2007/PartnerControls">
  <documentManagement>
    <_activity xmlns="b3f1639b-5fc2-4982-9835-da758166c084" xsi:nil="true"/>
  </documentManagement>
</p:properties>
</file>

<file path=customXml/item16.xml>��< ? x m l   v e r s i o n = " 1 . 0 "   e n c o d i n g = " U T F - 1 6 " ? > < G e m i n i   x m l n s = " h t t p : / / g e m i n i / p i v o t c u s t o m i z a t i o n / S h o w H i d d e n " > < C u s t o m C o n t e n t > < ! [ C D A T A [ F a l s e ] ] > < / C u s t o m C o n t e n t > < / G e m i n i > 
</file>

<file path=customXml/item17.xml>��< ? x m l   v e r s i o n = " 1 . 0 "   e n c o d i n g = " U T F - 1 6 " ? > < G e m i n i   x m l n s = " h t t p : / / g e m i n i / p i v o t c u s t o m i z a t i o n / T a b l e X M L _ T a b l e 8 _ 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i t e m > < k e y > < s t r i n g > Y e a r < / s t r i n g > < / k e y > < v a l u e > < i n t > 8 0 < / i n t > < / v a l u e > < / i t e m > < i t e m > < k e y > < s t r i n g > V a l u e < / s t r i n g > < / k e y > < v a l u e > < i n t > 9 0 < / i n t > < / v a l u e > < / i t e m > < / C o l u m n W i d t h s > < C o l u m n D i s p l a y I n d e x > < i t e m > < k e y > < s t r i n g > C o l u m n 1 < / s t r i n g > < / k e y > < v a l u e > < i n t > 0 < / i n t > < / v a l u e > < / i t e m > < i t e m > < k e y > < s t r i n g > Y e a r < / 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 C o l u m n s \ Y e a r < / 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V i e w S t a t e s > < / D i a g r a m M a n a g e r . S e r i a l i z a b l e D i a g r a m > < D i a g r a m M a n a g e r . S e r i a l i z a b l e D i a g r a m > < A d a p t e r   i : t y p e = " M e a s u r e D i a g r a m S a n d b o x A d a p t e r " > < T a b l e N a m e > R a t i o 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  6 < / K e y > < / D i a g r a m O b j e c t K e y > < D i a g r a m O b j e c t K e y > < K e y > M e a s u r e s \ S u m   o f   V a l u e   6 \ T a g I n f o \ F o r m u l a < / K e y > < / D i a g r a m O b j e c t K e y > < D i a g r a m O b j e c t K e y > < K e y > M e a s u r e s \ S u m   o f   V a l u e   6 \ T a g I n f o \ V a l u e < / K e y > < / D i a g r a m O b j e c t K e y > < D i a g r a m O b j e c t K e y > < K e y > C o l u m n s \ C o l u m n 1 < / K e y > < / D i a g r a m O b j e c t K e y > < D i a g r a m O b j e c t K e y > < K e y > C o l u m n s \ Y e a r < / K e y > < / D i a g r a m O b j e c t K e y > < D i a g r a m O b j e c t K e y > < K e y > C o l u m n s \ V a l u e < / K e y > < / D i a g r a m O b j e c t K e y > < D i a g r a m O b j e c t K e y > < K e y > L i n k s \ & l t ; C o l u m n s \ S u m   o f   V a l u e   6 & g t ; - & l t ; M e a s u r e s \ V a l u e & g t ; < / K e y > < / D i a g r a m O b j e c t K e y > < D i a g r a m O b j e c t K e y > < K e y > L i n k s \ & l t ; C o l u m n s \ S u m   o f   V a l u e   6 & g t ; - & l t ; M e a s u r e s \ V a l u e & g t ; \ C O L U M N < / K e y > < / D i a g r a m O b j e c t K e y > < D i a g r a m O b j e c t K e y > < K e y > L i n k s \ & l t ; C o l u m n s \ S u m   o f   V a l u e   6 & g t ; - & l t ; M e a s u r e s \ V a l u e & g t ; \ M E A S U R E 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  6 < / K e y > < / a : K e y > < a : V a l u e   i : t y p e = " M e a s u r e G r i d N o d e V i e w S t a t e " > < C o l u m n > 2 < / C o l u m n > < L a y e d O u t > t r u e < / L a y e d O u t > < W a s U I I n v i s i b l e > t r u e < / W a s U I I n v i s i b l e > < / a : V a l u e > < / a : K e y V a l u e O f D i a g r a m O b j e c t K e y a n y T y p e z b w N T n L X > < a : K e y V a l u e O f D i a g r a m O b j e c t K e y a n y T y p e z b w N T n L X > < a : K e y > < K e y > M e a s u r e s \ S u m   o f   V a l u e   6 \ T a g I n f o \ F o r m u l a < / K e y > < / a : K e y > < a : V a l u e   i : t y p e = " M e a s u r e G r i d V i e w S t a t e I D i a g r a m T a g A d d i t i o n a l I n f o " / > < / a : K e y V a l u e O f D i a g r a m O b j e c t K e y a n y T y p e z b w N T n L X > < a : K e y V a l u e O f D i a g r a m O b j e c t K e y a n y T y p e z b w N T n L X > < a : K e y > < K e y > M e a s u r e s \ S u m   o f   V a l u e   6 \ T a g I n f o \ V a l u e 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 L i n k s \ & l t ; C o l u m n s \ S u m   o f   V a l u e   6 & g t ; - & l t ; M e a s u r e s \ V a l u e & g t ; < / K e y > < / a : K e y > < a : V a l u e   i : t y p e = " M e a s u r e G r i d V i e w S t a t e I D i a g r a m L i n k " / > < / a : K e y V a l u e O f D i a g r a m O b j e c t K e y a n y T y p e z b w N T n L X > < a : K e y V a l u e O f D i a g r a m O b j e c t K e y a n y T y p e z b w N T n L X > < a : K e y > < K e y > L i n k s \ & l t ; C o l u m n s \ S u m   o f   V a l u e   6 & g t ; - & l t ; M e a s u r e s \ V a l u e & g t ; \ C O L U M N < / K e y > < / a : K e y > < a : V a l u e   i : t y p e = " M e a s u r e G r i d V i e w S t a t e I D i a g r a m L i n k E n d p o i n t " / > < / a : K e y V a l u e O f D i a g r a m O b j e c t K e y a n y T y p e z b w N T n L X > < a : K e y V a l u e O f D i a g r a m O b j e c t K e y a n y T y p e z b w N T n L X > < a : K e y > < K e y > L i n k s \ & l t ; C o l u m n s \ S u m   o f   V a l u e   6 & g t ; - & l t ; M e a s u r e s \ V a l u e & g t ; \ M E A S U R E < / K e y > < / a : K e y > < a : V a l u e   i : t y p e = " M e a s u r e G r i d V i e w S t a t e I D i a g r a m L i n k E n d p o i n t " / > < / a : K e y V a l u e O f D i a g r a m O b j e c t K e y a n y T y p e z b w N T n L X > < / V i e w S t a t e s > < / D i a g r a m M a n a g e r . S e r i a l i z a b l e D i a g r a m > < D i a g r a m M a n a g e r . S e r i a l i z a b l e D i a g r a m > < A d a p t e r   i : t y p e = " M e a s u r e D i a g r a m S a n d b o x A d a p t e r " > < T a b l e N a m e > S h a r e 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 S h a r e 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  5 < / K e y > < / D i a g r a m O b j e c t K e y > < D i a g r a m O b j e c t K e y > < K e y > M e a s u r e s \ S u m   o f   V a l u e   5 \ T a g I n f o \ F o r m u l a < / K e y > < / D i a g r a m O b j e c t K e y > < D i a g r a m O b j e c t K e y > < K e y > M e a s u r e s \ S u m   o f   V a l u e   5 \ T a g I n f o \ V a l u e < / K e y > < / D i a g r a m O b j e c t K e y > < D i a g r a m O b j e c t K e y > < K e y > C o l u m n s \ D a t a   p e r   S h a r e < / K e y > < / D i a g r a m O b j e c t K e y > < D i a g r a m O b j e c t K e y > < K e y > C o l u m n s \ Y e a r < / K e y > < / D i a g r a m O b j e c t K e y > < D i a g r a m O b j e c t K e y > < K e y > C o l u m n s \ V a l u e < / K e y > < / D i a g r a m O b j e c t K e y > < D i a g r a m O b j e c t K e y > < K e y > L i n k s \ & l t ; C o l u m n s \ S u m   o f   V a l u e   5 & g t ; - & l t ; M e a s u r e s \ V a l u e & g t ; < / K e y > < / D i a g r a m O b j e c t K e y > < D i a g r a m O b j e c t K e y > < K e y > L i n k s \ & l t ; C o l u m n s \ S u m   o f   V a l u e   5 & g t ; - & l t ; M e a s u r e s \ V a l u e & g t ; \ C O L U M N < / K e y > < / D i a g r a m O b j e c t K e y > < D i a g r a m O b j e c t K e y > < K e y > L i n k s \ & l t ; C o l u m n s \ S u m   o f   V a l u e   5 & g t ; - & l t ; M e a s u r e s \ V a l u e & g t ; \ M E A S U R E 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  5 < / K e y > < / a : K e y > < a : V a l u e   i : t y p e = " M e a s u r e G r i d N o d e V i e w S t a t e " > < C o l u m n > 2 < / C o l u m n > < L a y e d O u t > t r u e < / L a y e d O u t > < W a s U I I n v i s i b l e > t r u e < / W a s U I I n v i s i b l e > < / a : V a l u e > < / a : K e y V a l u e O f D i a g r a m O b j e c t K e y a n y T y p e z b w N T n L X > < a : K e y V a l u e O f D i a g r a m O b j e c t K e y a n y T y p e z b w N T n L X > < a : K e y > < K e y > M e a s u r e s \ S u m   o f   V a l u e   5 \ T a g I n f o \ F o r m u l a < / K e y > < / a : K e y > < a : V a l u e   i : t y p e = " M e a s u r e G r i d V i e w S t a t e I D i a g r a m T a g A d d i t i o n a l I n f o " / > < / a : K e y V a l u e O f D i a g r a m O b j e c t K e y a n y T y p e z b w N T n L X > < a : K e y V a l u e O f D i a g r a m O b j e c t K e y a n y T y p e z b w N T n L X > < a : K e y > < K e y > M e a s u r e s \ S u m   o f   V a l u e   5 \ T a g I n f o \ V a l u e < / K e y > < / a : K e y > < a : V a l u e   i : t y p e = " M e a s u r e G r i d V i e w S t a t e I D i a g r a m T a g A d d i t i o n a l I n f o " / > < / a : K e y V a l u e O f D i a g r a m O b j e c t K e y a n y T y p e z b w N T n L X > < a : K e y V a l u e O f D i a g r a m O b j e c t K e y a n y T y p e z b w N T n L X > < a : K e y > < K e y > C o l u m n s \ D a t a   p e r   S h a r e 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 L i n k s \ & l t ; C o l u m n s \ S u m   o f   V a l u e   5 & g t ; - & l t ; M e a s u r e s \ V a l u e & g t ; < / K e y > < / a : K e y > < a : V a l u e   i : t y p e = " M e a s u r e G r i d V i e w S t a t e I D i a g r a m L i n k " / > < / a : K e y V a l u e O f D i a g r a m O b j e c t K e y a n y T y p e z b w N T n L X > < a : K e y V a l u e O f D i a g r a m O b j e c t K e y a n y T y p e z b w N T n L X > < a : K e y > < K e y > L i n k s \ & l t ; C o l u m n s \ S u m   o f   V a l u e   5 & g t ; - & l t ; M e a s u r e s \ V a l u e & g t ; \ C O L U M N < / K e y > < / a : K e y > < a : V a l u e   i : t y p e = " M e a s u r e G r i d V i e w S t a t e I D i a g r a m L i n k E n d p o i n t " / > < / a : K e y V a l u e O f D i a g r a m O b j e c t K e y a n y T y p e z b w N T n L X > < a : K e y V a l u e O f D i a g r a m O b j e c t K e y a n y T y p e z b w N T n L X > < a : K e y > < K e y > L i n k s \ & l t ; C o l u m n s \ S u m   o f   V a l u e   5 & g t ; - & l t ; M e a s u r e s \ V a l u e & g t ; \ M E A S U R E < / K e y > < / a : K e y > < a : V a l u e   i : t y p e = " M e a s u r e G r i d V i e w S t a t e I D i a g r a m L i n k E n d p o i n t " / > < / a : K e y V a l u e O f D i a g r a m O b j e c t K e y a n y T y p e z b w N T n L X > < / V i e w S t a t e s > < / D i a g r a m M a n a g e r . S e r i a l i z a b l e D i a g r a m > < D i a g r a m M a n a g e r . S e r i a l i z a b l e D i a g r a m > < A d a p t e r   i : t y p e = " M e a s u r e D i a g r a m S a n d b o x A d a p t e r " > < T a b l e N a m e > B a l a n c e 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 B a l a n c e 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  4 < / K e y > < / D i a g r a m O b j e c t K e y > < D i a g r a m O b j e c t K e y > < K e y > M e a s u r e s \ S u m   o f   V a l u e   4 \ T a g I n f o \ F o r m u l a < / K e y > < / D i a g r a m O b j e c t K e y > < D i a g r a m O b j e c t K e y > < K e y > M e a s u r e s \ S u m   o f   V a l u e   4 \ T a g I n f o \ V a l u e < / K e y > < / D i a g r a m O b j e c t K e y > < D i a g r a m O b j e c t K e y > < K e y > C o l u m n s \ C o l u m n 1 < / K e y > < / D i a g r a m O b j e c t K e y > < D i a g r a m O b j e c t K e y > < K e y > C o l u m n s \ Y e a r < / K e y > < / D i a g r a m O b j e c t K e y > < D i a g r a m O b j e c t K e y > < K e y > C o l u m n s \ V a l u e < / K e y > < / D i a g r a m O b j e c t K e y > < D i a g r a m O b j e c t K e y > < K e y > L i n k s \ & l t ; C o l u m n s \ S u m   o f   V a l u e   4 & g t ; - & l t ; M e a s u r e s \ V a l u e & g t ; < / K e y > < / D i a g r a m O b j e c t K e y > < D i a g r a m O b j e c t K e y > < K e y > L i n k s \ & l t ; C o l u m n s \ S u m   o f   V a l u e   4 & g t ; - & l t ; M e a s u r e s \ V a l u e & g t ; \ C O L U M N < / K e y > < / D i a g r a m O b j e c t K e y > < D i a g r a m O b j e c t K e y > < K e y > L i n k s \ & l t ; C o l u m n s \ S u m   o f   V a l u e   4 & g t ; - & l t ; M e a s u r e s \ V a l u e & g t ; \ M E A S U R E 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  4 < / K e y > < / a : K e y > < a : V a l u e   i : t y p e = " M e a s u r e G r i d N o d e V i e w S t a t e " > < C o l u m n > 2 < / C o l u m n > < L a y e d O u t > t r u e < / L a y e d O u t > < W a s U I I n v i s i b l e > t r u e < / W a s U I I n v i s i b l e > < / a : V a l u e > < / a : K e y V a l u e O f D i a g r a m O b j e c t K e y a n y T y p e z b w N T n L X > < a : K e y V a l u e O f D i a g r a m O b j e c t K e y a n y T y p e z b w N T n L X > < a : K e y > < K e y > M e a s u r e s \ S u m   o f   V a l u e   4 \ T a g I n f o \ F o r m u l a < / K e y > < / a : K e y > < a : V a l u e   i : t y p e = " M e a s u r e G r i d V i e w S t a t e I D i a g r a m T a g A d d i t i o n a l I n f o " / > < / a : K e y V a l u e O f D i a g r a m O b j e c t K e y a n y T y p e z b w N T n L X > < a : K e y V a l u e O f D i a g r a m O b j e c t K e y a n y T y p e z b w N T n L X > < a : K e y > < K e y > M e a s u r e s \ S u m   o f   V a l u e   4 \ T a g I n f o \ V a l u e 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 L i n k s \ & l t ; C o l u m n s \ S u m   o f   V a l u e   4 & g t ; - & l t ; M e a s u r e s \ V a l u e & g t ; < / K e y > < / a : K e y > < a : V a l u e   i : t y p e = " M e a s u r e G r i d V i e w S t a t e I D i a g r a m L i n k " / > < / a : K e y V a l u e O f D i a g r a m O b j e c t K e y a n y T y p e z b w N T n L X > < a : K e y V a l u e O f D i a g r a m O b j e c t K e y a n y T y p e z b w N T n L X > < a : K e y > < K e y > L i n k s \ & l t ; C o l u m n s \ S u m   o f   V a l u e   4 & g t ; - & l t ; M e a s u r e s \ V a l u e & g t ; \ C O L U M N < / K e y > < / a : K e y > < a : V a l u e   i : t y p e = " M e a s u r e G r i d V i e w S t a t e I D i a g r a m L i n k E n d p o i n t " / > < / a : K e y V a l u e O f D i a g r a m O b j e c t K e y a n y T y p e z b w N T n L X > < a : K e y V a l u e O f D i a g r a m O b j e c t K e y a n y T y p e z b w N T n L X > < a : K e y > < K e y > L i n k s \ & l t ; C o l u m n s \ S u m   o f   V a l u e   4 & g t ; - & l t ; M e a s u r e s \ V a l u e & g t ; \ M E A S U R E < / K e y > < / a : K e y > < a : V a l u e   i : t y p e = " M e a s u r e G r i d V i e w S t a t e I D i a g r a m L i n k E n d p o i n t " / > < / a : K e y V a l u e O f D i a g r a m O b j e c t K e y a n y T y p e z b w N T n L X > < / V i e w S t a t e s > < / D i a g r a m M a n a g e r . S e r i a l i z a b l e D i a g r a m > < D i a g r a m M a n a g e r . S e r i a l i z a b l e D i a g r a m > < A d a p t e r   i : t y p e = " M e a s u r e D i a g r a m S a n d b o x A d a p t e r " > < T a b l e N a m e > T a b l e 1 3 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 C o l u m n s \ C o l u m n 4 < / K e y > < / D i a g r a m O b j e c t K e y > < D i a g r a m O b j e c t K e y > < K e y > C o l u m n s \ C o l u m n 5 < / K e y > < / D i a g r a m O b j e c t K e y > < D i a g r a m O b j e c t K e y > < K e y > C o l u m n s \ C o l u m n 6 < / K e y > < / D i a g r a m O b j e c t K e y > < D i a g r a m O b j e c t K e y > < K e y > C o l u m n s \ C o l u m n 7 < / K e y > < / D i a g r a m O b j e c t K e y > < D i a g r a m O b j e c t K e y > < K e y > C o l u m n s \ C o l u m n 8 < / K e y > < / D i a g r a m O b j e c t K e y > < D i a g r a m O b j e c t K e y > < K e y > C o l u m n s \ C o l u m n 9 < / K e y > < / D i a g r a m O b j e c t K e y > < D i a g r a m O b j e c t K e y > < K e y > C o l u m n s \ C o l u m n 1 0 < / K e y > < / D i a g r a m O b j e c t K e y > < D i a g r a m O b j e c t K e y > < K e y > C o l u m n s \ C o l u m n 1 1 < / K e y > < / D i a g r a m O b j e c t K e y > < D i a g r a m O b j e c t K e y > < K e y > C o l u m n s \ C o l u m n 1 2 < / K e y > < / D i a g r a m O b j e c t K e y > < D i a g r a m O b j e c t K e y > < K e y > C o l u m n s \ C o l u m n 1 3 < / K e y > < / D i a g r a m O b j e c t K e y > < D i a g r a m O b j e c t K e y > < K e y > C o l u m n s \ C o l u m n 1 4 < / K e y > < / D i a g r a m O b j e c t K e y > < D i a g r a m O b j e c t K e y > < K e y > C o l u m n s \ C o l u m n 1 5 < / K e y > < / D i a g r a m O b j e c t K e y > < D i a g r a m O b j e c t K e y > < K e y > C o l u m n s \ C o l u m n 1 6 < / K e y > < / D i a g r a m O b j e c t K e y > < D i a g r a m O b j e c t K e y > < K e y > C o l u m n s \ C o l u m n 1 7 < / K e y > < / D i a g r a m O b j e c t K e y > < D i a g r a m O b j e c t K e y > < K e y > C o l u m n s \ C o l u m n 1 8 < / K e y > < / D i a g r a m O b j e c t K e y > < D i a g r a m O b j e c t K e y > < K e y > C o l u m n s \ C o l u m n 1 9 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 C o l u m n s \ C o l u m n 4 < / K e y > < / a : K e y > < a : V a l u e   i : t y p e = " M e a s u r e G r i d N o d e V i e w S t a t e " > < C o l u m n > 1 < / C o l u m n > < L a y e d O u t > t r u e < / L a y e d O u t > < / a : V a l u e > < / a : K e y V a l u e O f D i a g r a m O b j e c t K e y a n y T y p e z b w N T n L X > < a : K e y V a l u e O f D i a g r a m O b j e c t K e y a n y T y p e z b w N T n L X > < a : K e y > < K e y > C o l u m n s \ C o l u m n 5 < / K e y > < / a : K e y > < a : V a l u e   i : t y p e = " M e a s u r e G r i d N o d e V i e w S t a t e " > < C o l u m n > 2 < / C o l u m n > < L a y e d O u t > t r u e < / L a y e d O u t > < / a : V a l u e > < / a : K e y V a l u e O f D i a g r a m O b j e c t K e y a n y T y p e z b w N T n L X > < a : K e y V a l u e O f D i a g r a m O b j e c t K e y a n y T y p e z b w N T n L X > < a : K e y > < K e y > C o l u m n s \ C o l u m n 6 < / K e y > < / a : K e y > < a : V a l u e   i : t y p e = " M e a s u r e G r i d N o d e V i e w S t a t e " > < C o l u m n > 3 < / C o l u m n > < L a y e d O u t > t r u e < / L a y e d O u t > < / a : V a l u e > < / a : K e y V a l u e O f D i a g r a m O b j e c t K e y a n y T y p e z b w N T n L X > < a : K e y V a l u e O f D i a g r a m O b j e c t K e y a n y T y p e z b w N T n L X > < a : K e y > < K e y > C o l u m n s \ C o l u m n 7 < / K e y > < / a : K e y > < a : V a l u e   i : t y p e = " M e a s u r e G r i d N o d e V i e w S t a t e " > < C o l u m n > 4 < / C o l u m n > < L a y e d O u t > t r u e < / L a y e d O u t > < / a : V a l u e > < / a : K e y V a l u e O f D i a g r a m O b j e c t K e y a n y T y p e z b w N T n L X > < a : K e y V a l u e O f D i a g r a m O b j e c t K e y a n y T y p e z b w N T n L X > < a : K e y > < K e y > C o l u m n s \ C o l u m n 8 < / K e y > < / a : K e y > < a : V a l u e   i : t y p e = " M e a s u r e G r i d N o d e V i e w S t a t e " > < C o l u m n > 5 < / C o l u m n > < L a y e d O u t > t r u e < / L a y e d O u t > < / a : V a l u e > < / a : K e y V a l u e O f D i a g r a m O b j e c t K e y a n y T y p e z b w N T n L X > < a : K e y V a l u e O f D i a g r a m O b j e c t K e y a n y T y p e z b w N T n L X > < a : K e y > < K e y > C o l u m n s \ C o l u m n 9 < / K e y > < / a : K e y > < a : V a l u e   i : t y p e = " M e a s u r e G r i d N o d e V i e w S t a t e " > < C o l u m n > 6 < / C o l u m n > < L a y e d O u t > t r u e < / L a y e d O u t > < / a : V a l u e > < / a : K e y V a l u e O f D i a g r a m O b j e c t K e y a n y T y p e z b w N T n L X > < a : K e y V a l u e O f D i a g r a m O b j e c t K e y a n y T y p e z b w N T n L X > < a : K e y > < K e y > C o l u m n s \ C o l u m n 1 0 < / K e y > < / a : K e y > < a : V a l u e   i : t y p e = " M e a s u r e G r i d N o d e V i e w S t a t e " > < C o l u m n > 7 < / C o l u m n > < L a y e d O u t > t r u e < / L a y e d O u t > < / a : V a l u e > < / a : K e y V a l u e O f D i a g r a m O b j e c t K e y a n y T y p e z b w N T n L X > < a : K e y V a l u e O f D i a g r a m O b j e c t K e y a n y T y p e z b w N T n L X > < a : K e y > < K e y > C o l u m n s \ C o l u m n 1 1 < / K e y > < / a : K e y > < a : V a l u e   i : t y p e = " M e a s u r e G r i d N o d e V i e w S t a t e " > < C o l u m n > 8 < / C o l u m n > < L a y e d O u t > t r u e < / L a y e d O u t > < / a : V a l u e > < / a : K e y V a l u e O f D i a g r a m O b j e c t K e y a n y T y p e z b w N T n L X > < a : K e y V a l u e O f D i a g r a m O b j e c t K e y a n y T y p e z b w N T n L X > < a : K e y > < K e y > C o l u m n s \ C o l u m n 1 2 < / K e y > < / a : K e y > < a : V a l u e   i : t y p e = " M e a s u r e G r i d N o d e V i e w S t a t e " > < C o l u m n > 9 < / C o l u m n > < L a y e d O u t > t r u e < / L a y e d O u t > < / a : V a l u e > < / a : K e y V a l u e O f D i a g r a m O b j e c t K e y a n y T y p e z b w N T n L X > < a : K e y V a l u e O f D i a g r a m O b j e c t K e y a n y T y p e z b w N T n L X > < a : K e y > < K e y > C o l u m n s \ C o l u m n 1 3 < / K e y > < / a : K e y > < a : V a l u e   i : t y p e = " M e a s u r e G r i d N o d e V i e w S t a t e " > < C o l u m n > 1 0 < / C o l u m n > < L a y e d O u t > t r u e < / L a y e d O u t > < / a : V a l u e > < / a : K e y V a l u e O f D i a g r a m O b j e c t K e y a n y T y p e z b w N T n L X > < a : K e y V a l u e O f D i a g r a m O b j e c t K e y a n y T y p e z b w N T n L X > < a : K e y > < K e y > C o l u m n s \ C o l u m n 1 4 < / K e y > < / a : K e y > < a : V a l u e   i : t y p e = " M e a s u r e G r i d N o d e V i e w S t a t e " > < C o l u m n > 1 1 < / C o l u m n > < L a y e d O u t > t r u e < / L a y e d O u t > < / a : V a l u e > < / a : K e y V a l u e O f D i a g r a m O b j e c t K e y a n y T y p e z b w N T n L X > < a : K e y V a l u e O f D i a g r a m O b j e c t K e y a n y T y p e z b w N T n L X > < a : K e y > < K e y > C o l u m n s \ C o l u m n 1 5 < / K e y > < / a : K e y > < a : V a l u e   i : t y p e = " M e a s u r e G r i d N o d e V i e w S t a t e " > < C o l u m n > 1 2 < / C o l u m n > < L a y e d O u t > t r u e < / L a y e d O u t > < / a : V a l u e > < / a : K e y V a l u e O f D i a g r a m O b j e c t K e y a n y T y p e z b w N T n L X > < a : K e y V a l u e O f D i a g r a m O b j e c t K e y a n y T y p e z b w N T n L X > < a : K e y > < K e y > C o l u m n s \ C o l u m n 1 6 < / K e y > < / a : K e y > < a : V a l u e   i : t y p e = " M e a s u r e G r i d N o d e V i e w S t a t e " > < C o l u m n > 1 3 < / C o l u m n > < L a y e d O u t > t r u e < / L a y e d O u t > < / a : V a l u e > < / a : K e y V a l u e O f D i a g r a m O b j e c t K e y a n y T y p e z b w N T n L X > < a : K e y V a l u e O f D i a g r a m O b j e c t K e y a n y T y p e z b w N T n L X > < a : K e y > < K e y > C o l u m n s \ C o l u m n 1 7 < / K e y > < / a : K e y > < a : V a l u e   i : t y p e = " M e a s u r e G r i d N o d e V i e w S t a t e " > < C o l u m n > 1 4 < / C o l u m n > < L a y e d O u t > t r u e < / L a y e d O u t > < / a : V a l u e > < / a : K e y V a l u e O f D i a g r a m O b j e c t K e y a n y T y p e z b w N T n L X > < a : K e y V a l u e O f D i a g r a m O b j e c t K e y a n y T y p e z b w N T n L X > < a : K e y > < K e y > C o l u m n s \ C o l u m n 1 8 < / K e y > < / a : K e y > < a : V a l u e   i : t y p e = " M e a s u r e G r i d N o d e V i e w S t a t e " > < C o l u m n > 1 5 < / C o l u m n > < L a y e d O u t > t r u e < / L a y e d O u t > < / a : V a l u e > < / a : K e y V a l u e O f D i a g r a m O b j e c t K e y a n y T y p e z b w N T n L X > < a : K e y V a l u e O f D i a g r a m O b j e c t K e y a n y T y p e z b w N T n L X > < a : K e y > < K e y > C o l u m n s \ C o l u m n 1 9 < / K e y > < / a : K e y > < a : V a l u e   i : t y p e = " M e a s u r e G r i d N o d e V i e w S t a t e " > < C o l u m n > 1 6 < / C o l u m n > < L a y e d O u t > t r u e < / L a y e d O u t > < / a : V a l u e > < / 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 I n c o m e   S t a t e m e n t 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 I n c o m e   S t a t e m e n t 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 C o l u m n s \ I n c o m e   S t a t e m e n t   D a t a < / K e y > < / D i a g r a m O b j e c t K e y > < D i a g r a m O b j e c t K e y > < K e y > C o l u m n s \ Y e a r < / 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 2 < / 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 C o l u m n s \ I n c o m e   S t a t e m e n t   D a t a < / 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D i a g r a m M a n a g e r . S e r i a l i z a b l e D i a g r a m > < A d a p t e r   i : t y p e = " M e a s u r e D i a g r a m S a n d b o x A d a p t e r " > < T a b l e N a m e > F C F < / 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 F C F < / 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 C o l u m n s \ F r e e   C a s h   F l o w s < / K e y > < / D i a g r a m O b j e c t K e y > < D i a g r a m O b j e c t K e y > < K e y > C o l u m n s \ Y e a r < / 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 C o l u m n s \ F r e e   C a s h   F l o w s < / 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 T a g s \ T a b l e s \ & l t ; T a b l e s \ I n c o m e   S t a t e m e n t & g t ; < / K e y > < / D i a g r a m O b j e c t K e y > < D i a g r a m O b j e c t K e y > < K e y > D y n a m i c   T a g s \ T a b l e s \ & l t ; T a b l e s \ R a t i o & g t ; < / K e y > < / D i a g r a m O b j e c t K e y > < D i a g r a m O b j e c t K e y > < K e y > D y n a m i c   T a g s \ T a b l e s \ & l t ; T a b l e s \ S h a r e & g t ; < / K e y > < / D i a g r a m O b j e c t K e y > < D i a g r a m O b j e c t K e y > < K e y > D y n a m i c   T a g s \ T a b l e s \ & l t ; T a b l e s \ B a l a n c e & g t ; < / K e y > < / D i a g r a m O b j e c t K e y > < D i a g r a m O b j e c t K e y > < K e y > D y n a m i c   T a g s \ T a b l e s \ & l t ; T a b l e s \ A c c o u n t s & g t ; < / K e y > < / D i a g r a m O b j e c t K e y > < D i a g r a m O b j e c t K e y > < K e y > D y n a m i c   T a g s \ T a b l e s \ & l t ; T a b l e s \ Y e a r & g t ; < / K e y > < / D i a g r a m O b j e c t K e y > < D i a g r a m O b j e c t K e y > < K e y > D y n a m i c   T a g s \ T a b l e s \ & l t ; T a b l e s \ F C F & g t ; < / K e y > < / D i a g r a m O b j e c t K e y > < D i a g r a m O b j e c t K e y > < K e y > T a b l e s \ I n c o m e   S t a t e m e n t < / K e y > < / D i a g r a m O b j e c t K e y > < D i a g r a m O b j e c t K e y > < K e y > T a b l e s \ I n c o m e   S t a t e m e n t \ C o l u m n s \ I n c o m e   S t a t e m e n t   D a t a < / K e y > < / D i a g r a m O b j e c t K e y > < D i a g r a m O b j e c t K e y > < K e y > T a b l e s \ I n c o m e   S t a t e m e n t \ C o l u m n s \ Y e a r < / K e y > < / D i a g r a m O b j e c t K e y > < D i a g r a m O b j e c t K e y > < K e y > T a b l e s \ I n c o m e   S t a t e m e n t \ C o l u m n s \ V a l u e < / K e y > < / D i a g r a m O b j e c t K e y > < D i a g r a m O b j e c t K e y > < K e y > T a b l e s \ I n c o m e   S t a t e m e n t \ M e a s u r e s \ S u m   o f   V a l u e < / K e y > < / D i a g r a m O b j e c t K e y > < D i a g r a m O b j e c t K e y > < K e y > T a b l e s \ I n c o m e   S t a t e m e n t \ S u m   o f   V a l u e \ A d d i t i o n a l   I n f o \ I m p l i c i t   M e a s u r e < / K e y > < / D i a g r a m O b j e c t K e y > < D i a g r a m O b j e c t K e y > < K e y > T a b l e s \ R a t i o < / K e y > < / D i a g r a m O b j e c t K e y > < D i a g r a m O b j e c t K e y > < K e y > T a b l e s \ R a t i o \ C o l u m n s \ C o l u m n 1 < / K e y > < / D i a g r a m O b j e c t K e y > < D i a g r a m O b j e c t K e y > < K e y > T a b l e s \ R a t i o \ C o l u m n s \ Y e a r < / K e y > < / D i a g r a m O b j e c t K e y > < D i a g r a m O b j e c t K e y > < K e y > T a b l e s \ R a t i o \ C o l u m n s \ V a l u e < / K e y > < / D i a g r a m O b j e c t K e y > < D i a g r a m O b j e c t K e y > < K e y > T a b l e s \ R a t i o \ M e a s u r e s \ S u m   o f   V a l u e   6 < / K e y > < / D i a g r a m O b j e c t K e y > < D i a g r a m O b j e c t K e y > < K e y > T a b l e s \ R a t i o \ S u m   o f   V a l u e   6 \ A d d i t i o n a l   I n f o \ I m p l i c i t   M e a s u r e < / K e y > < / D i a g r a m O b j e c t K e y > < D i a g r a m O b j e c t K e y > < K e y > T a b l e s \ S h a r e < / K e y > < / D i a g r a m O b j e c t K e y > < D i a g r a m O b j e c t K e y > < K e y > T a b l e s \ S h a r e \ C o l u m n s \ D a t a   p e r   S h a r e < / K e y > < / D i a g r a m O b j e c t K e y > < D i a g r a m O b j e c t K e y > < K e y > T a b l e s \ S h a r e \ C o l u m n s \ Y e a r < / K e y > < / D i a g r a m O b j e c t K e y > < D i a g r a m O b j e c t K e y > < K e y > T a b l e s \ S h a r e \ C o l u m n s \ V a l u e < / K e y > < / D i a g r a m O b j e c t K e y > < D i a g r a m O b j e c t K e y > < K e y > T a b l e s \ S h a r e \ M e a s u r e s \ S u m   o f   V a l u e   5 < / K e y > < / D i a g r a m O b j e c t K e y > < D i a g r a m O b j e c t K e y > < K e y > T a b l e s \ S h a r e \ S u m   o f   V a l u e   5 \ A d d i t i o n a l   I n f o \ I m p l i c i t   M e a s u r e < / K e y > < / D i a g r a m O b j e c t K e y > < D i a g r a m O b j e c t K e y > < K e y > T a b l e s \ B a l a n c e < / K e y > < / D i a g r a m O b j e c t K e y > < D i a g r a m O b j e c t K e y > < K e y > T a b l e s \ B a l a n c e \ C o l u m n s \ C o l u m n 1 < / K e y > < / D i a g r a m O b j e c t K e y > < D i a g r a m O b j e c t K e y > < K e y > T a b l e s \ B a l a n c e \ C o l u m n s \ Y e a r < / K e y > < / D i a g r a m O b j e c t K e y > < D i a g r a m O b j e c t K e y > < K e y > T a b l e s \ B a l a n c e \ C o l u m n s \ V a l u e < / K e y > < / D i a g r a m O b j e c t K e y > < D i a g r a m O b j e c t K e y > < K e y > T a b l e s \ B a l a n c e \ M e a s u r e s \ S u m   o f   V a l u e   4 < / K e y > < / D i a g r a m O b j e c t K e y > < D i a g r a m O b j e c t K e y > < K e y > T a b l e s \ B a l a n c e \ S u m   o f   V a l u e   4 \ A d d i t i o n a l   I n f o \ I m p l i c i t   M e a s u r e < / K e y > < / D i a g r a m O b j e c t K e y > < D i a g r a m O b j e c t K e y > < K e y > T a b l e s \ A c c o u n t s < / K e y > < / D i a g r a m O b j e c t K e y > < D i a g r a m O b j e c t K e y > < K e y > T a b l e s \ A c c o u n t s \ C o l u m n s \ C o l u m n 1 < / K e y > < / D i a g r a m O b j e c t K e y > < D i a g r a m O b j e c t K e y > < K e y > T a b l e s \ A c c o u n t s \ C o l u m n s \ Y e a r < / K e y > < / D i a g r a m O b j e c t K e y > < D i a g r a m O b j e c t K e y > < K e y > T a b l e s \ A c c o u n t s \ C o l u m n s \ V a l u e < / K e y > < / D i a g r a m O b j e c t K e y > < D i a g r a m O b j e c t K e y > < K e y > T a b l e s \ A c c o u n t s \ M e a s u r e s \ S u m   o f   V a l u e   3 < / K e y > < / D i a g r a m O b j e c t K e y > < D i a g r a m O b j e c t K e y > < K e y > T a b l e s \ A c c o u n t s \ S u m   o f   V a l u e   3 \ A d d i t i o n a l   I n f o \ I m p l i c i t   M e a s u r e < / K e y > < / D i a g r a m O b j e c t K e y > < D i a g r a m O b j e c t K e y > < K e y > T a b l e s \ Y e a r < / K e y > < / D i a g r a m O b j e c t K e y > < D i a g r a m O b j e c t K e y > < K e y > T a b l e s \ Y e a r \ C o l u m n s \ Y e a r < / K e y > < / D i a g r a m O b j e c t K e y > < D i a g r a m O b j e c t K e y > < K e y > T a b l e s \ F C F < / K e y > < / D i a g r a m O b j e c t K e y > < D i a g r a m O b j e c t K e y > < K e y > T a b l e s \ F C F \ C o l u m n s \ F r e e   C a s h   F l o w s < / K e y > < / D i a g r a m O b j e c t K e y > < D i a g r a m O b j e c t K e y > < K e y > T a b l e s \ F C F \ C o l u m n s \ Y e a r < / K e y > < / D i a g r a m O b j e c t K e y > < D i a g r a m O b j e c t K e y > < K e y > T a b l e s \ F C F \ C o l u m n s \ V a l u e < / K e y > < / D i a g r a m O b j e c t K e y > < D i a g r a m O b j e c t K e y > < K e y > R e l a t i o n s h i p s \ & l t ; T a b l e s \ I n c o m e   S t a t e m e n t \ C o l u m n s \ Y e a r & g t ; - & l t ; T a b l e s \ Y e a r \ C o l u m n s \ Y e a r & g t ; < / K e y > < / D i a g r a m O b j e c t K e y > < D i a g r a m O b j e c t K e y > < K e y > R e l a t i o n s h i p s \ & l t ; T a b l e s \ I n c o m e   S t a t e m e n t \ C o l u m n s \ Y e a r & g t ; - & l t ; T a b l e s \ Y e a r \ C o l u m n s \ Y e a r & g t ; \ F K < / K e y > < / D i a g r a m O b j e c t K e y > < D i a g r a m O b j e c t K e y > < K e y > R e l a t i o n s h i p s \ & l t ; T a b l e s \ I n c o m e   S t a t e m e n t \ C o l u m n s \ Y e a r & g t ; - & l t ; T a b l e s \ Y e a r \ C o l u m n s \ Y e a r & g t ; \ P K < / K e y > < / D i a g r a m O b j e c t K e y > < D i a g r a m O b j e c t K e y > < K e y > R e l a t i o n s h i p s \ & l t ; T a b l e s \ I n c o m e   S t a t e m e n t \ C o l u m n s \ Y e a r & g t ; - & l t ; T a b l e s \ Y e a r \ C o l u m n s \ Y e a r & g t ; \ C r o s s F i l t e r < / K e y > < / D i a g r a m O b j e c t K e y > < D i a g r a m O b j e c t K e y > < K e y > R e l a t i o n s h i p s \ & l t ; T a b l e s \ R a t i o \ C o l u m n s \ Y e a r & g t ; - & l t ; T a b l e s \ Y e a r \ C o l u m n s \ Y e a r & g t ; < / K e y > < / D i a g r a m O b j e c t K e y > < D i a g r a m O b j e c t K e y > < K e y > R e l a t i o n s h i p s \ & l t ; T a b l e s \ R a t i o \ C o l u m n s \ Y e a r & g t ; - & l t ; T a b l e s \ Y e a r \ C o l u m n s \ Y e a r & g t ; \ F K < / K e y > < / D i a g r a m O b j e c t K e y > < D i a g r a m O b j e c t K e y > < K e y > R e l a t i o n s h i p s \ & l t ; T a b l e s \ R a t i o \ C o l u m n s \ Y e a r & g t ; - & l t ; T a b l e s \ Y e a r \ C o l u m n s \ Y e a r & g t ; \ P K < / K e y > < / D i a g r a m O b j e c t K e y > < D i a g r a m O b j e c t K e y > < K e y > R e l a t i o n s h i p s \ & l t ; T a b l e s \ R a t i o \ C o l u m n s \ Y e a r & g t ; - & l t ; T a b l e s \ Y e a r \ C o l u m n s \ Y e a r & g t ; \ C r o s s F i l t e r < / K e y > < / D i a g r a m O b j e c t K e y > < D i a g r a m O b j e c t K e y > < K e y > R e l a t i o n s h i p s \ & l t ; T a b l e s \ S h a r e \ C o l u m n s \ Y e a r & g t ; - & l t ; T a b l e s \ Y e a r \ C o l u m n s \ Y e a r & g t ; < / K e y > < / D i a g r a m O b j e c t K e y > < D i a g r a m O b j e c t K e y > < K e y > R e l a t i o n s h i p s \ & l t ; T a b l e s \ S h a r e \ C o l u m n s \ Y e a r & g t ; - & l t ; T a b l e s \ Y e a r \ C o l u m n s \ Y e a r & g t ; \ F K < / K e y > < / D i a g r a m O b j e c t K e y > < D i a g r a m O b j e c t K e y > < K e y > R e l a t i o n s h i p s \ & l t ; T a b l e s \ S h a r e \ C o l u m n s \ Y e a r & g t ; - & l t ; T a b l e s \ Y e a r \ C o l u m n s \ Y e a r & g t ; \ P K < / K e y > < / D i a g r a m O b j e c t K e y > < D i a g r a m O b j e c t K e y > < K e y > R e l a t i o n s h i p s \ & l t ; T a b l e s \ S h a r e \ C o l u m n s \ Y e a r & g t ; - & l t ; T a b l e s \ Y e a r \ C o l u m n s \ Y e a r & g t ; \ C r o s s F i l t e r < / K e y > < / D i a g r a m O b j e c t K e y > < D i a g r a m O b j e c t K e y > < K e y > R e l a t i o n s h i p s \ & l t ; T a b l e s \ B a l a n c e \ C o l u m n s \ Y e a r & g t ; - & l t ; T a b l e s \ Y e a r \ C o l u m n s \ Y e a r & g t ; < / K e y > < / D i a g r a m O b j e c t K e y > < D i a g r a m O b j e c t K e y > < K e y > R e l a t i o n s h i p s \ & l t ; T a b l e s \ B a l a n c e \ C o l u m n s \ Y e a r & g t ; - & l t ; T a b l e s \ Y e a r \ C o l u m n s \ Y e a r & g t ; \ F K < / K e y > < / D i a g r a m O b j e c t K e y > < D i a g r a m O b j e c t K e y > < K e y > R e l a t i o n s h i p s \ & l t ; T a b l e s \ B a l a n c e \ C o l u m n s \ Y e a r & g t ; - & l t ; T a b l e s \ Y e a r \ C o l u m n s \ Y e a r & g t ; \ P K < / K e y > < / D i a g r a m O b j e c t K e y > < D i a g r a m O b j e c t K e y > < K e y > R e l a t i o n s h i p s \ & l t ; T a b l e s \ B a l a n c e \ C o l u m n s \ Y e a r & g t ; - & l t ; T a b l e s \ Y e a r \ C o l u m n s \ Y e a r & g t ; \ C r o s s F i l t e r < / K e y > < / D i a g r a m O b j e c t K e y > < D i a g r a m O b j e c t K e y > < K e y > R e l a t i o n s h i p s \ & l t ; T a b l e s \ A c c o u n t s \ C o l u m n s \ Y e a r & g t ; - & l t ; T a b l e s \ Y e a r \ C o l u m n s \ Y e a r & g t ; < / K e y > < / D i a g r a m O b j e c t K e y > < D i a g r a m O b j e c t K e y > < K e y > R e l a t i o n s h i p s \ & l t ; T a b l e s \ A c c o u n t s \ C o l u m n s \ Y e a r & g t ; - & l t ; T a b l e s \ Y e a r \ C o l u m n s \ Y e a r & g t ; \ F K < / K e y > < / D i a g r a m O b j e c t K e y > < D i a g r a m O b j e c t K e y > < K e y > R e l a t i o n s h i p s \ & l t ; T a b l e s \ A c c o u n t s \ C o l u m n s \ Y e a r & g t ; - & l t ; T a b l e s \ Y e a r \ C o l u m n s \ Y e a r & g t ; \ P K < / K e y > < / D i a g r a m O b j e c t K e y > < D i a g r a m O b j e c t K e y > < K e y > R e l a t i o n s h i p s \ & l t ; T a b l e s \ A c c o u n t s \ C o l u m n s \ Y e a r & g t ; - & l t ; T a b l e s \ Y e a r \ C o l u m n s \ Y e a r & g t ; \ C r o s s F i l t e r < / K e y > < / D i a g r a m O b j e c t K e y > < D i a g r a m O b j e c t K e y > < K e y > R e l a t i o n s h i p s \ & l t ; T a b l e s \ F C F \ C o l u m n s \ Y e a r & g t ; - & l t ; T a b l e s \ Y e a r \ C o l u m n s \ Y e a r & g t ; < / K e y > < / D i a g r a m O b j e c t K e y > < D i a g r a m O b j e c t K e y > < K e y > R e l a t i o n s h i p s \ & l t ; T a b l e s \ F C F \ C o l u m n s \ Y e a r & g t ; - & l t ; T a b l e s \ Y e a r \ C o l u m n s \ Y e a r & g t ; \ F K < / K e y > < / D i a g r a m O b j e c t K e y > < D i a g r a m O b j e c t K e y > < K e y > R e l a t i o n s h i p s \ & l t ; T a b l e s \ F C F \ C o l u m n s \ Y e a r & g t ; - & l t ; T a b l e s \ Y e a r \ C o l u m n s \ Y e a r & g t ; \ P K < / K e y > < / D i a g r a m O b j e c t K e y > < D i a g r a m O b j e c t K e y > < K e y > R e l a t i o n s h i p s \ & l t ; T a b l e s \ F C F \ C o l u m n s \ Y e a r & g t ; - & l t ; T a b l e s \ Y e a r \ C o l u m n s \ Y e a r & g t ; \ C r o s s F i l t e r < / K e y > < / D i a g r a m O b j e c t K e y > < / A l l K e y s > < S e l e c t e d K e y s > < D i a g r a m O b j e c t K e y > < K e y > R e l a t i o n s h i p s \ & l t ; T a b l e s \ F C F \ C o l u m n s \ Y e a r & g t ; - & l t ; T a b l e s \ Y e a r \ C o l u m n s \ Y e a r & g t ; 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 T a g s \ T a b l e s \ & l t ; T a b l e s \ I n c o m e   S t a t e m e n t & g t ; < / K e y > < / a : K e y > < a : V a l u e   i : t y p e = " D i a g r a m D i s p l a y T a g V i e w S t a t e " > < I s N o t F i l t e r e d O u t > t r u e < / I s N o t F i l t e r e d O u t > < / a : V a l u e > < / a : K e y V a l u e O f D i a g r a m O b j e c t K e y a n y T y p e z b w N T n L X > < a : K e y V a l u e O f D i a g r a m O b j e c t K e y a n y T y p e z b w N T n L X > < a : K e y > < K e y > D y n a m i c   T a g s \ T a b l e s \ & l t ; T a b l e s \ R a t i o & g t ; < / K e y > < / a : K e y > < a : V a l u e   i : t y p e = " D i a g r a m D i s p l a y T a g V i e w S t a t e " > < I s N o t F i l t e r e d O u t > t r u e < / I s N o t F i l t e r e d O u t > < / a : V a l u e > < / a : K e y V a l u e O f D i a g r a m O b j e c t K e y a n y T y p e z b w N T n L X > < a : K e y V a l u e O f D i a g r a m O b j e c t K e y a n y T y p e z b w N T n L X > < a : K e y > < K e y > D y n a m i c   T a g s \ T a b l e s \ & l t ; T a b l e s \ S h a r e & g t ; < / K e y > < / a : K e y > < a : V a l u e   i : t y p e = " D i a g r a m D i s p l a y T a g V i e w S t a t e " > < I s N o t F i l t e r e d O u t > t r u e < / I s N o t F i l t e r e d O u t > < / a : V a l u e > < / a : K e y V a l u e O f D i a g r a m O b j e c t K e y a n y T y p e z b w N T n L X > < a : K e y V a l u e O f D i a g r a m O b j e c t K e y a n y T y p e z b w N T n L X > < a : K e y > < K e y > D y n a m i c   T a g s \ T a b l e s \ & l t ; T a b l e s \ B a l a n c e & g t ; 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 T a g s \ T a b l e s \ & l t ; T a b l e s \ F C F & g t ; < / K e y > < / a : K e y > < a : V a l u e   i : t y p e = " D i a g r a m D i s p l a y T a g V i e w S t a t e " > < I s N o t F i l t e r e d O u t > t r u e < / I s N o t F i l t e r e d O u t > < / a : V a l u e > < / a : K e y V a l u e O f D i a g r a m O b j e c t K e y a n y T y p e z b w N T n L X > < a : K e y V a l u e O f D i a g r a m O b j e c t K e y a n y T y p e z b w N T n L X > < a : K e y > < K e y > T a b l e s \ I n c o m e   S t a t e m e n t < / K e y > < / a : K e y > < a : V a l u e   i : t y p e = " D i a g r a m D i s p l a y N o d e V i e w S t a t e " > < H e i g h t > 1 5 0 < / H e i g h t > < I s E x p a n d e d > t r u e < / I s E x p a n d e d > < L a y e d O u t > t r u e < / L a y e d O u t > < L e f t > 3 9 0 . 8 8 3 0 6 1 6 2 6 0 2 4 4 1 < / L e f t > < T a b I n d e x > 6 < / T a b I n d e x > < T o p > 5 7 6 . 6 7 8 7 4 5 4 5 3 3 3 2 6 8 < / T o p > < W i d t h > 2 0 0 < / W i d t h > < / a : V a l u e > < / a : K e y V a l u e O f D i a g r a m O b j e c t K e y a n y T y p e z b w N T n L X > < a : K e y V a l u e O f D i a g r a m O b j e c t K e y a n y T y p e z b w N T n L X > < a : K e y > < K e y > T a b l e s \ I n c o m e   S t a t e m e n t \ C o l u m n s \ I n c o m e   S t a t e m e n t   D a t a < / K e y > < / a : K e y > < a : V a l u e   i : t y p e = " D i a g r a m D i s p l a y N o d e V i e w S t a t e " > < H e i g h t > 1 5 0 < / H e i g h t > < I s E x p a n d e d > t r u e < / I s E x p a n d e d > < W i d t h > 2 0 0 < / W i d t h > < / a : V a l u e > < / a : K e y V a l u e O f D i a g r a m O b j e c t K e y a n y T y p e z b w N T n L X > < a : K e y V a l u e O f D i a g r a m O b j e c t K e y a n y T y p e z b w N T n L X > < a : K e y > < K e y > T a b l e s \ I n c o m e   S t a t e m e n t \ C o l u m n s \ Y e a r < / K e y > < / a : K e y > < a : V a l u e   i : t y p e = " D i a g r a m D i s p l a y N o d e V i e w S t a t e " > < H e i g h t > 1 5 0 < / H e i g h t > < I s E x p a n d e d > t r u e < / I s E x p a n d e d > < W i d t h > 2 0 0 < / W i d t h > < / a : V a l u e > < / a : K e y V a l u e O f D i a g r a m O b j e c t K e y a n y T y p e z b w N T n L X > < a : K e y V a l u e O f D i a g r a m O b j e c t K e y a n y T y p e z b w N T n L X > < a : K e y > < K e y > T a b l e s \ I n c o m e   S t a t e m e n t \ C o l u m n s \ V a l u e < / K e y > < / a : K e y > < a : V a l u e   i : t y p e = " D i a g r a m D i s p l a y N o d e V i e w S t a t e " > < H e i g h t > 1 5 0 < / H e i g h t > < I s E x p a n d e d > t r u e < / I s E x p a n d e d > < W i d t h > 2 0 0 < / W i d t h > < / a : V a l u e > < / a : K e y V a l u e O f D i a g r a m O b j e c t K e y a n y T y p e z b w N T n L X > < a : K e y V a l u e O f D i a g r a m O b j e c t K e y a n y T y p e z b w N T n L X > < a : K e y > < K e y > T a b l e s \ I n c o m e   S t a t e m e n t \ M e a s u r e s \ S u m   o f   V a l u e < / K e y > < / a : K e y > < a : V a l u e   i : t y p e = " D i a g r a m D i s p l a y N o d e V i e w S t a t e " > < H e i g h t > 1 5 0 < / H e i g h t > < I s E x p a n d e d > t r u e < / I s E x p a n d e d > < W i d t h > 2 0 0 < / W i d t h > < / a : V a l u e > < / a : K e y V a l u e O f D i a g r a m O b j e c t K e y a n y T y p e z b w N T n L X > < a : K e y V a l u e O f D i a g r a m O b j e c t K e y a n y T y p e z b w N T n L X > < a : K e y > < K e y > T a b l e s \ I n c o m e   S t a t e m e n t \ S u m   o f   V a l u e \ A d d i t i o n a l   I n f o \ I m p l i c i t   M e a s u r e < / K e y > < / a : K e y > < a : V a l u e   i : t y p e = " D i a g r a m D i s p l a y V i e w S t a t e I D i a g r a m T a g A d d i t i o n a l I n f o " / > < / a : K e y V a l u e O f D i a g r a m O b j e c t K e y a n y T y p e z b w N T n L X > < a : K e y V a l u e O f D i a g r a m O b j e c t K e y a n y T y p e z b w N T n L X > < a : K e y > < K e y > T a b l e s \ R a t i o < / K e y > < / a : K e y > < a : V a l u e   i : t y p e = " D i a g r a m D i s p l a y N o d e V i e w S t a t e " > < H e i g h t > 1 5 0 < / H e i g h t > < I s E x p a n d e d > t r u e < / I s E x p a n d e d > < L a y e d O u t > t r u e < / L a y e d O u t > < L e f t > 5 9 3 . 5 3 6 7 0 3 9 2 9 2 1 0 6 < / L e f t > < T a b I n d e x > 5 < / T a b I n d e x > < T o p > 3 5 1 . 0 5 8 2 0 4 4 1 6 4 7 3 5 9 < / T o p > < W i d t h > 2 0 0 < / W i d t h > < / a : V a l u e > < / a : K e y V a l u e O f D i a g r a m O b j e c t K e y a n y T y p e z b w N T n L X > < a : K e y V a l u e O f D i a g r a m O b j e c t K e y a n y T y p e z b w N T n L X > < a : K e y > < K e y > T a b l e s \ R a t i o \ C o l u m n s \ C o l u m n 1 < / K e y > < / a : K e y > < a : V a l u e   i : t y p e = " D i a g r a m D i s p l a y N o d e V i e w S t a t e " > < H e i g h t > 1 5 0 < / H e i g h t > < I s E x p a n d e d > t r u e < / I s E x p a n d e d > < W i d t h > 2 0 0 < / W i d t h > < / a : V a l u e > < / a : K e y V a l u e O f D i a g r a m O b j e c t K e y a n y T y p e z b w N T n L X > < a : K e y V a l u e O f D i a g r a m O b j e c t K e y a n y T y p e z b w N T n L X > < a : K e y > < K e y > T a b l e s \ R a t i o \ C o l u m n s \ Y e a r < / K e y > < / a : K e y > < a : V a l u e   i : t y p e = " D i a g r a m D i s p l a y N o d e V i e w S t a t e " > < H e i g h t > 1 5 0 < / H e i g h t > < I s E x p a n d e d > t r u e < / I s E x p a n d e d > < W i d t h > 2 0 0 < / W i d t h > < / a : V a l u e > < / a : K e y V a l u e O f D i a g r a m O b j e c t K e y a n y T y p e z b w N T n L X > < a : K e y V a l u e O f D i a g r a m O b j e c t K e y a n y T y p e z b w N T n L X > < a : K e y > < K e y > T a b l e s \ R a t i o \ C o l u m n s \ V a l u e < / K e y > < / a : K e y > < a : V a l u e   i : t y p e = " D i a g r a m D i s p l a y N o d e V i e w S t a t e " > < H e i g h t > 1 5 0 < / H e i g h t > < I s E x p a n d e d > t r u e < / I s E x p a n d e d > < W i d t h > 2 0 0 < / W i d t h > < / a : V a l u e > < / a : K e y V a l u e O f D i a g r a m O b j e c t K e y a n y T y p e z b w N T n L X > < a : K e y V a l u e O f D i a g r a m O b j e c t K e y a n y T y p e z b w N T n L X > < a : K e y > < K e y > T a b l e s \ R a t i o \ M e a s u r e s \ S u m   o f   V a l u e   6 < / K e y > < / a : K e y > < a : V a l u e   i : t y p e = " D i a g r a m D i s p l a y N o d e V i e w S t a t e " > < H e i g h t > 1 5 0 < / H e i g h t > < I s E x p a n d e d > t r u e < / I s E x p a n d e d > < W i d t h > 2 0 0 < / W i d t h > < / a : V a l u e > < / a : K e y V a l u e O f D i a g r a m O b j e c t K e y a n y T y p e z b w N T n L X > < a : K e y V a l u e O f D i a g r a m O b j e c t K e y a n y T y p e z b w N T n L X > < a : K e y > < K e y > T a b l e s \ R a t i o \ S u m   o f   V a l u e   6 \ A d d i t i o n a l   I n f o \ I m p l i c i t   M e a s u r e < / K e y > < / a : K e y > < a : V a l u e   i : t y p e = " D i a g r a m D i s p l a y V i e w S t a t e I D i a g r a m T a g A d d i t i o n a l I n f o " / > < / a : K e y V a l u e O f D i a g r a m O b j e c t K e y a n y T y p e z b w N T n L X > < a : K e y V a l u e O f D i a g r a m O b j e c t K e y a n y T y p e z b w N T n L X > < a : K e y > < K e y > T a b l e s \ S h a r e < / K e y > < / a : K e y > < a : V a l u e   i : t y p e = " D i a g r a m D i s p l a y N o d e V i e w S t a t e " > < H e i g h t > 1 5 0 < / H e i g h t > < I s E x p a n d e d > t r u e < / I s E x p a n d e d > < L a y e d O u t > t r u e < / L a y e d O u t > < L e f t > 4 9 9 . 4 6 2 8 2 8 7 8 6 0 4 3 3 6 < / L e f t > < T a b I n d e x > 1 < / T a b I n d e x > < T o p > 6 2 . 6 8 1 5 4 5 4 2 5 8 7 6 4 3 6 < / T o p > < W i d t h > 2 0 0 < / W i d t h > < / a : V a l u e > < / a : K e y V a l u e O f D i a g r a m O b j e c t K e y a n y T y p e z b w N T n L X > < a : K e y V a l u e O f D i a g r a m O b j e c t K e y a n y T y p e z b w N T n L X > < a : K e y > < K e y > T a b l e s \ S h a r e \ C o l u m n s \ D a t a   p e r   S h a r e < / K e y > < / a : K e y > < a : V a l u e   i : t y p e = " D i a g r a m D i s p l a y N o d e V i e w S t a t e " > < H e i g h t > 1 5 0 < / H e i g h t > < I s E x p a n d e d > t r u e < / I s E x p a n d e d > < W i d t h > 2 0 0 < / W i d t h > < / a : V a l u e > < / a : K e y V a l u e O f D i a g r a m O b j e c t K e y a n y T y p e z b w N T n L X > < a : K e y V a l u e O f D i a g r a m O b j e c t K e y a n y T y p e z b w N T n L X > < a : K e y > < K e y > T a b l e s \ S h a r e \ C o l u m n s \ Y e a r < / K e y > < / a : K e y > < a : V a l u e   i : t y p e = " D i a g r a m D i s p l a y N o d e V i e w S t a t e " > < H e i g h t > 1 5 0 < / H e i g h t > < I s E x p a n d e d > t r u e < / I s E x p a n d e d > < W i d t h > 2 0 0 < / W i d t h > < / a : V a l u e > < / a : K e y V a l u e O f D i a g r a m O b j e c t K e y a n y T y p e z b w N T n L X > < a : K e y V a l u e O f D i a g r a m O b j e c t K e y a n y T y p e z b w N T n L X > < a : K e y > < K e y > T a b l e s \ S h a r e \ C o l u m n s \ V a l u e < / K e y > < / a : K e y > < a : V a l u e   i : t y p e = " D i a g r a m D i s p l a y N o d e V i e w S t a t e " > < H e i g h t > 1 5 0 < / H e i g h t > < I s E x p a n d e d > t r u e < / I s E x p a n d e d > < W i d t h > 2 0 0 < / W i d t h > < / a : V a l u e > < / a : K e y V a l u e O f D i a g r a m O b j e c t K e y a n y T y p e z b w N T n L X > < a : K e y V a l u e O f D i a g r a m O b j e c t K e y a n y T y p e z b w N T n L X > < a : K e y > < K e y > T a b l e s \ S h a r e \ M e a s u r e s \ S u m   o f   V a l u e   5 < / K e y > < / a : K e y > < a : V a l u e   i : t y p e = " D i a g r a m D i s p l a y N o d e V i e w S t a t e " > < H e i g h t > 1 5 0 < / H e i g h t > < I s E x p a n d e d > t r u e < / I s E x p a n d e d > < W i d t h > 2 0 0 < / W i d t h > < / a : V a l u e > < / a : K e y V a l u e O f D i a g r a m O b j e c t K e y a n y T y p e z b w N T n L X > < a : K e y V a l u e O f D i a g r a m O b j e c t K e y a n y T y p e z b w N T n L X > < a : K e y > < K e y > T a b l e s \ S h a r e \ S u m   o f   V a l u e   5 \ A d d i t i o n a l   I n f o \ I m p l i c i t   M e a s u r e < / K e y > < / a : K e y > < a : V a l u e   i : t y p e = " D i a g r a m D i s p l a y V i e w S t a t e I D i a g r a m T a g A d d i t i o n a l I n f o " / > < / a : K e y V a l u e O f D i a g r a m O b j e c t K e y a n y T y p e z b w N T n L X > < a : K e y V a l u e O f D i a g r a m O b j e c t K e y a n y T y p e z b w N T n L X > < a : K e y > < K e y > T a b l e s \ B a l a n c e < / K e y > < / a : K e y > < a : V a l u e   i : t y p e = " D i a g r a m D i s p l a y N o d e V i e w S t a t e " > < H e i g h t > 1 5 0 < / H e i g h t > < I s E x p a n d e d > t r u e < / I s E x p a n d e d > < L a y e d O u t > t r u e < / L a y e d O u t > < L e f t > 2 0 2 . 6 4 3 0 5 3 3 1 3 9 6 9 5 7 < / L e f t > < W i d t h > 2 0 0 < / W i d t h > < / a : V a l u e > < / a : K e y V a l u e O f D i a g r a m O b j e c t K e y a n y T y p e z b w N T n L X > < a : K e y V a l u e O f D i a g r a m O b j e c t K e y a n y T y p e z b w N T n L X > < a : K e y > < K e y > T a b l e s \ B a l a n c e \ C o l u m n s \ C o l u m n 1 < / K e y > < / a : K e y > < a : V a l u e   i : t y p e = " D i a g r a m D i s p l a y N o d e V i e w S t a t e " > < H e i g h t > 1 5 0 < / H e i g h t > < I s E x p a n d e d > t r u e < / I s E x p a n d e d > < W i d t h > 2 0 0 < / W i d t h > < / a : V a l u e > < / a : K e y V a l u e O f D i a g r a m O b j e c t K e y a n y T y p e z b w N T n L X > < a : K e y V a l u e O f D i a g r a m O b j e c t K e y a n y T y p e z b w N T n L X > < a : K e y > < K e y > T a b l e s \ B a l a n c e \ C o l u m n s \ Y e a r < / K e y > < / a : K e y > < a : V a l u e   i : t y p e = " D i a g r a m D i s p l a y N o d e V i e w S t a t e " > < H e i g h t > 1 5 0 < / H e i g h t > < I s E x p a n d e d > t r u e < / I s E x p a n d e d > < W i d t h > 2 0 0 < / W i d t h > < / a : V a l u e > < / a : K e y V a l u e O f D i a g r a m O b j e c t K e y a n y T y p e z b w N T n L X > < a : K e y V a l u e O f D i a g r a m O b j e c t K e y a n y T y p e z b w N T n L X > < a : K e y > < K e y > T a b l e s \ B a l a n c e \ C o l u m n s \ V a l u e < / K e y > < / a : K e y > < a : V a l u e   i : t y p e = " D i a g r a m D i s p l a y N o d e V i e w S t a t e " > < H e i g h t > 1 5 0 < / H e i g h t > < I s E x p a n d e d > t r u e < / I s E x p a n d e d > < W i d t h > 2 0 0 < / W i d t h > < / a : V a l u e > < / a : K e y V a l u e O f D i a g r a m O b j e c t K e y a n y T y p e z b w N T n L X > < a : K e y V a l u e O f D i a g r a m O b j e c t K e y a n y T y p e z b w N T n L X > < a : K e y > < K e y > T a b l e s \ B a l a n c e \ M e a s u r e s \ S u m   o f   V a l u e   4 < / K e y > < / a : K e y > < a : V a l u e   i : t y p e = " D i a g r a m D i s p l a y N o d e V i e w S t a t e " > < H e i g h t > 1 5 0 < / H e i g h t > < I s E x p a n d e d > t r u e < / I s E x p a n d e d > < W i d t h > 2 0 0 < / W i d t h > < / a : V a l u e > < / a : K e y V a l u e O f D i a g r a m O b j e c t K e y a n y T y p e z b w N T n L X > < a : K e y V a l u e O f D i a g r a m O b j e c t K e y a n y T y p e z b w N T n L X > < a : K e y > < K e y > T a b l e s \ B a l a n c e \ S u m   o f   V a l u e   4 \ A d d i t i o n a l   I n f o \ I m p l i c i t   M e a s u r e < / K e y > < / a : K e y > < a : V a l u e   i : t y p e = " D i a g r a m D i s p l a y V i e w S t a t e I D i a g r a m T a g A d d i t i o n a l I n f o " / > < / a : K e y V a l u e O f D i a g r a m O b j e c t K e y a n y T y p e z b w N T n L X > < a : K e y V a l u e O f D i a g r a m O b j e c t K e y a n y T y p e z b w N T n L X > < a : K e y > < K e y > T a b l e s \ A c c o u n t s < / K e y > < / a : K e y > < a : V a l u e   i : t y p e = " D i a g r a m D i s p l a y N o d e V i e w S t a t e " > < H e i g h t > 1 5 0 < / H e i g h t > < I s E x p a n d e d > t r u e < / I s E x p a n d e d > < L a y e d O u t > t r u e < / L a y e d O u t > < T a b I n d e x > 2 < / T a b I n d e x > < T o p > 2 2 5 . 7 3 4 8 2 4 9 8 7 1 4 5 0 3 < / T o p > < W i d t h > 2 0 0 < / W i d t h > < / a : V a l u e > < / a : K e y V a l u e O f D i a g r a m O b j e c t K e y a n y T y p e z b w N T n L X > < a : K e y V a l u e O f D i a g r a m O b j e c t K e y a n y T y p e z b w N T n L X > < a : K e y > < K e y > T a b l e s \ A c c o u n t s \ C o l u m n s \ C o l u m n 1 < / K e y > < / a : K e y > < a : V a l u e   i : t y p e = " D i a g r a m D i s p l a y N o d e V i e w S t a t e " > < H e i g h t > 1 5 0 < / H e i g h t > < I s E x p a n d e d > t r u e < / I s E x p a n d e d > < W i d t h > 2 0 0 < / W i d t h > < / a : V a l u e > < / a : K e y V a l u e O f D i a g r a m O b j e c t K e y a n y T y p e z b w N T n L X > < a : K e y V a l u e O f D i a g r a m O b j e c t K e y a n y T y p e z b w N T n L X > < a : K e y > < K e y > T a b l e s \ A c c o u n t s \ C o l u m n s \ Y e a r < / K e y > < / a : K e y > < a : V a l u e   i : t y p e = " D i a g r a m D i s p l a y N o d e V i e w S t a t e " > < H e i g h t > 1 5 0 < / H e i g h t > < I s E x p a n d e d > t r u e < / I s E x p a n d e d > < W i d t h > 2 0 0 < / W i d t h > < / a : V a l u e > < / a : K e y V a l u e O f D i a g r a m O b j e c t K e y a n y T y p e z b w N T n L X > < a : K e y V a l u e O f D i a g r a m O b j e c t K e y a n y T y p e z b w N T n L X > < a : K e y > < K e y > T a b l e s \ A c c o u n t s \ C o l u m n s \ V a l u e < / K e y > < / a : K e y > < a : V a l u e   i : t y p e = " D i a g r a m D i s p l a y N o d e V i e w S t a t e " > < H e i g h t > 1 5 0 < / H e i g h t > < I s E x p a n d e d > t r u e < / I s E x p a n d e d > < W i d t h > 2 0 0 < / W i d t h > < / a : V a l u e > < / a : K e y V a l u e O f D i a g r a m O b j e c t K e y a n y T y p e z b w N T n L X > < a : K e y V a l u e O f D i a g r a m O b j e c t K e y a n y T y p e z b w N T n L X > < a : K e y > < K e y > T a b l e s \ A c c o u n t s \ M e a s u r e s \ S u m   o f   V a l u e   3 < / K e y > < / a : K e y > < a : V a l u e   i : t y p e = " D i a g r a m D i s p l a y N o d e V i e w S t a t e " > < H e i g h t > 1 5 0 < / H e i g h t > < I s E x p a n d e d > t r u e < / I s E x p a n d e d > < W i d t h > 2 0 0 < / W i d t h > < / a : V a l u e > < / a : K e y V a l u e O f D i a g r a m O b j e c t K e y a n y T y p e z b w N T n L X > < a : K e y V a l u e O f D i a g r a m O b j e c t K e y a n y T y p e z b w N T n L X > < a : K e y > < K e y > T a b l e s \ A c c o u n t s \ S u m   o f   V a l u e   3 \ A d d i t i o n a l   I n f o \ I m p l i c i t   M e a s u r e < / K e y > < / a : K e y > < a : V a l u e   i : t y p e = " D i a g r a m D i s p l a y V i e w S t a t e I D i a g r a m T a g A d d i t i o n a l I n f o " / > < / a : K e y V a l u e O f D i a g r a m O b j e c t K e y a n y T y p e z b w N T n L X > < a : K e y V a l u e O f D i a g r a m O b j e c t K e y a n y T y p e z b w N T n L X > < a : K e y > < K e y > T a b l e s \ Y e a r < / K e y > < / a : K e y > < a : V a l u e   i : t y p e = " D i a g r a m D i s p l a y N o d e V i e w S t a t e " > < H e i g h t > 1 5 0 < / H e i g h t > < I s E x p a n d e d > t r u e < / I s E x p a n d e d > < L a y e d O u t > t r u e < / L a y e d O u t > < L e f t > 2 9 6 . 7 8 2 5 6 4 1 0 6 9 6 0 4 2 < / L e f t > < T a b I n d e x > 3 < / T a b I n d e x > < T o p > 2 8 8 . 3 3 3 0 2 7 9 9 1 1 3 4 5 4 < / T o p > < 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 T a b l e s \ F C F < / K e y > < / a : K e y > < a : V a l u e   i : t y p e = " D i a g r a m D i s p l a y N o d e V i e w S t a t e " > < H e i g h t > 1 5 0 < / H e i g h t > < I s E x p a n d e d > t r u e < / I s E x p a n d e d > < L a y e d O u t > t r u e < / L a y e d O u t > < L e f t > 8 3 3 . 5 3 6 7 0 3 9 2 9 2 1 0 4 9 < / L e f t > < T a b I n d e x > 4 < / T a b I n d e x > < T o p > 2 8 8 . 3 3 9 3 7 2 7 2 6 6 6 6 3 4 < / T o p > < W i d t h > 2 0 0 < / W i d t h > < / a : V a l u e > < / a : K e y V a l u e O f D i a g r a m O b j e c t K e y a n y T y p e z b w N T n L X > < a : K e y V a l u e O f D i a g r a m O b j e c t K e y a n y T y p e z b w N T n L X > < a : K e y > < K e y > T a b l e s \ F C F \ C o l u m n s \ F r e e   C a s h   F l o w s < / K e y > < / a : K e y > < a : V a l u e   i : t y p e = " D i a g r a m D i s p l a y N o d e V i e w S t a t e " > < H e i g h t > 1 5 0 < / H e i g h t > < I s E x p a n d e d > t r u e < / I s E x p a n d e d > < W i d t h > 2 0 0 < / W i d t h > < / a : V a l u e > < / a : K e y V a l u e O f D i a g r a m O b j e c t K e y a n y T y p e z b w N T n L X > < a : K e y V a l u e O f D i a g r a m O b j e c t K e y a n y T y p e z b w N T n L X > < a : K e y > < K e y > T a b l e s \ F C F \ C o l u m n s \ Y e a r < / K e y > < / a : K e y > < a : V a l u e   i : t y p e = " D i a g r a m D i s p l a y N o d e V i e w S t a t e " > < H e i g h t > 1 5 0 < / H e i g h t > < I s E x p a n d e d > t r u e < / I s E x p a n d e d > < W i d t h > 2 0 0 < / W i d t h > < / a : V a l u e > < / a : K e y V a l u e O f D i a g r a m O b j e c t K e y a n y T y p e z b w N T n L X > < a : K e y V a l u e O f D i a g r a m O b j e c t K e y a n y T y p e z b w N T n L X > < a : K e y > < K e y > T a b l e s \ F C F \ C o l u m n s \ V a l u e < / K e y > < / a : K e y > < a : V a l u e   i : t y p e = " D i a g r a m D i s p l a y N o d e V i e w S t a t e " > < H e i g h t > 1 5 0 < / H e i g h t > < I s E x p a n d e d > t r u e < / I s E x p a n d e d > < W i d t h > 2 0 0 < / W i d t h > < / a : V a l u e > < / a : K e y V a l u e O f D i a g r a m O b j e c t K e y a n y T y p e z b w N T n L X > < a : K e y V a l u e O f D i a g r a m O b j e c t K e y a n y T y p e z b w N T n L X > < a : K e y > < K e y > R e l a t i o n s h i p s \ & l t ; T a b l e s \ I n c o m e   S t a t e m e n t \ C o l u m n s \ Y e a r & g t ; - & l t ; T a b l e s \ Y e a r \ C o l u m n s \ Y e a r & g t ; < / K e y > < / a : K e y > < a : V a l u e   i : t y p e = " D i a g r a m D i s p l a y L i n k V i e w S t a t e " > < A u t o m a t i o n P r o p e r t y H e l p e r T e x t > E n d   p o i n t   1 :   ( 4 9 0 . 8 8 3 0 6 2 , 5 6 0 . 6 7 8 7 4 5 4 5 3 3 3 3 ) .   E n d   p o i n t   2 :   ( 3 9 6 . 7 8 2 5 6 4 , 4 5 4 . 3 3 3 0 2 7 9 9 1 1 3 4 )   < / A u t o m a t i o n P r o p e r t y H e l p e r T e x t > < L a y e d O u t > t r u e < / L a y e d O u t > < P o i n t s   x m l n s : b = " h t t p : / / s c h e m a s . d a t a c o n t r a c t . o r g / 2 0 0 4 / 0 7 / S y s t e m . W i n d o w s " > < b : P o i n t > < b : _ x > 4 9 0 . 8 8 3 0 6 2 < / b : _ x > < b : _ y > 5 6 0 . 6 7 8 7 4 5 4 5 3 3 3 2 5 7 < / b : _ y > < / b : P o i n t > < b : P o i n t > < b : _ x > 4 9 0 . 8 8 3 0 6 2 < / b : _ x > < b : _ y > 5 0 9 . 5 0 5 8 8 7 < / b : _ y > < / b : P o i n t > < b : P o i n t > < b : _ x > 4 8 8 . 8 8 3 0 6 2 < / b : _ x > < b : _ y > 5 0 7 . 5 0 5 8 8 7 < / b : _ y > < / b : P o i n t > < b : P o i n t > < b : _ x > 3 9 8 . 7 8 2 5 6 4 < / b : _ x > < b : _ y > 5 0 7 . 5 0 5 8 8 7 < / b : _ y > < / b : P o i n t > < b : P o i n t > < b : _ x > 3 9 6 . 7 8 2 5 6 4 < / b : _ x > < b : _ y > 5 0 5 . 5 0 5 8 8 7 < / b : _ y > < / b : P o i n t > < b : P o i n t > < b : _ x > 3 9 6 . 7 8 2 5 6 4 < / b : _ x > < b : _ y > 4 5 4 . 3 3 3 0 2 7 9 9 1 1 3 4 4 9 < / b : _ y > < / b : P o i n t > < / P o i n t s > < / a : V a l u e > < / a : K e y V a l u e O f D i a g r a m O b j e c t K e y a n y T y p e z b w N T n L X > < a : K e y V a l u e O f D i a g r a m O b j e c t K e y a n y T y p e z b w N T n L X > < a : K e y > < K e y > R e l a t i o n s h i p s \ & l t ; T a b l e s \ I n c o m e   S t a t e m e n t \ C o l u m n s \ Y e a r & g t ; - & l t ; T a b l e s \ Y e a r \ C o l u m n s \ Y e a r & g t ; \ F K < / K e y > < / a : K e y > < a : V a l u e   i : t y p e = " D i a g r a m D i s p l a y L i n k E n d p o i n t V i e w S t a t e " > < H e i g h t > 1 6 < / H e i g h t > < L a b e l L o c a t i o n   x m l n s : b = " h t t p : / / s c h e m a s . d a t a c o n t r a c t . o r g / 2 0 0 4 / 0 7 / S y s t e m . W i n d o w s " > < b : _ x > 4 8 2 . 8 8 3 0 6 2 < / b : _ x > < b : _ y > 5 6 0 . 6 7 8 7 4 5 4 5 3 3 3 2 5 7 < / b : _ y > < / L a b e l L o c a t i o n > < L o c a t i o n   x m l n s : b = " h t t p : / / s c h e m a s . d a t a c o n t r a c t . o r g / 2 0 0 4 / 0 7 / S y s t e m . W i n d o w s " > < b : _ x > 4 9 0 . 8 8 3 0 6 2 < / b : _ x > < b : _ y > 5 7 6 . 6 7 8 7 4 5 4 5 3 3 3 2 5 7 < / b : _ y > < / L o c a t i o n > < S h a p e R o t a t e A n g l e > 2 7 0 < / S h a p e R o t a t e A n g l e > < W i d t h > 1 6 < / W i d t h > < / a : V a l u e > < / a : K e y V a l u e O f D i a g r a m O b j e c t K e y a n y T y p e z b w N T n L X > < a : K e y V a l u e O f D i a g r a m O b j e c t K e y a n y T y p e z b w N T n L X > < a : K e y > < K e y > R e l a t i o n s h i p s \ & l t ; T a b l e s \ I n c o m e   S t a t e m e n t \ C o l u m n s \ Y e a r & g t ; - & l t ; T a b l e s \ Y e a r \ C o l u m n s \ Y e a r & g t ; \ P K < / K e y > < / a : K e y > < a : V a l u e   i : t y p e = " D i a g r a m D i s p l a y L i n k E n d p o i n t V i e w S t a t e " > < H e i g h t > 1 6 < / H e i g h t > < L a b e l L o c a t i o n   x m l n s : b = " h t t p : / / s c h e m a s . d a t a c o n t r a c t . o r g / 2 0 0 4 / 0 7 / S y s t e m . W i n d o w s " > < b : _ x > 3 8 8 . 7 8 2 5 6 4 < / b : _ x > < b : _ y > 4 3 8 . 3 3 3 0 2 7 9 9 1 1 3 4 4 9 < / b : _ y > < / L a b e l L o c a t i o n > < L o c a t i o n   x m l n s : b = " h t t p : / / s c h e m a s . d a t a c o n t r a c t . o r g / 2 0 0 4 / 0 7 / S y s t e m . W i n d o w s " > < b : _ x > 3 9 6 . 7 8 2 5 6 4 < / b : _ x > < b : _ y > 4 3 8 . 3 3 3 0 2 7 9 9 1 1 3 4 4 9 < / b : _ y > < / L o c a t i o n > < S h a p e R o t a t e A n g l e > 9 0 < / S h a p e R o t a t e A n g l e > < W i d t h > 1 6 < / W i d t h > < / a : V a l u e > < / a : K e y V a l u e O f D i a g r a m O b j e c t K e y a n y T y p e z b w N T n L X > < a : K e y V a l u e O f D i a g r a m O b j e c t K e y a n y T y p e z b w N T n L X > < a : K e y > < K e y > R e l a t i o n s h i p s \ & l t ; T a b l e s \ I n c o m e   S t a t e m e n t \ C o l u m n s \ Y e a r & g t ; - & l t ; T a b l e s \ Y e a r \ C o l u m n s \ Y e a r & g t ; \ C r o s s F i l t e r < / K e y > < / a : K e y > < a : V a l u e   i : t y p e = " D i a g r a m D i s p l a y L i n k C r o s s F i l t e r V i e w S t a t e " > < P o i n t s   x m l n s : b = " h t t p : / / s c h e m a s . d a t a c o n t r a c t . o r g / 2 0 0 4 / 0 7 / S y s t e m . W i n d o w s " > < b : P o i n t > < b : _ x > 4 9 0 . 8 8 3 0 6 2 < / b : _ x > < b : _ y > 5 6 0 . 6 7 8 7 4 5 4 5 3 3 3 2 5 7 < / b : _ y > < / b : P o i n t > < b : P o i n t > < b : _ x > 4 9 0 . 8 8 3 0 6 2 < / b : _ x > < b : _ y > 5 0 9 . 5 0 5 8 8 7 < / b : _ y > < / b : P o i n t > < b : P o i n t > < b : _ x > 4 8 8 . 8 8 3 0 6 2 < / b : _ x > < b : _ y > 5 0 7 . 5 0 5 8 8 7 < / b : _ y > < / b : P o i n t > < b : P o i n t > < b : _ x > 3 9 8 . 7 8 2 5 6 4 < / b : _ x > < b : _ y > 5 0 7 . 5 0 5 8 8 7 < / b : _ y > < / b : P o i n t > < b : P o i n t > < b : _ x > 3 9 6 . 7 8 2 5 6 4 < / b : _ x > < b : _ y > 5 0 5 . 5 0 5 8 8 7 < / b : _ y > < / b : P o i n t > < b : P o i n t > < b : _ x > 3 9 6 . 7 8 2 5 6 4 < / b : _ x > < b : _ y > 4 5 4 . 3 3 3 0 2 7 9 9 1 1 3 4 4 9 < / b : _ y > < / b : P o i n t > < / P o i n t s > < / a : V a l u e > < / a : K e y V a l u e O f D i a g r a m O b j e c t K e y a n y T y p e z b w N T n L X > < a : K e y V a l u e O f D i a g r a m O b j e c t K e y a n y T y p e z b w N T n L X > < a : K e y > < K e y > R e l a t i o n s h i p s \ & l t ; T a b l e s \ R a t i o \ C o l u m n s \ Y e a r & g t ; - & l t ; T a b l e s \ Y e a r \ C o l u m n s \ Y e a r & g t ; < / K e y > < / a : K e y > < a : V a l u e   i : t y p e = " D i a g r a m D i s p l a y L i n k V i e w S t a t e " > < A u t o m a t i o n P r o p e r t y H e l p e r T e x t > E n d   p o i n t   1 :   ( 5 7 7 . 5 3 6 7 0 3 9 2 9 2 1 1 , 4 2 6 . 0 5 8 2 0 4 ) .   E n d   p o i n t   2 :   ( 5 1 2 . 7 8 2 5 6 4 1 0 6 9 6 , 3 7 3 . 3 3 3 0 2 8 )   < / A u t o m a t i o n P r o p e r t y H e l p e r T e x t > < L a y e d O u t > t r u e < / L a y e d O u t > < P o i n t s   x m l n s : b = " h t t p : / / s c h e m a s . d a t a c o n t r a c t . o r g / 2 0 0 4 / 0 7 / S y s t e m . W i n d o w s " > < b : P o i n t > < b : _ x > 5 7 7 . 5 3 6 7 0 3 9 2 9 2 1 0 6 < / b : _ x > < b : _ y > 4 2 6 . 0 5 8 2 0 4 0 0 0 0 0 0 0 5 < / b : _ y > < / b : P o i n t > < b : P o i n t > < b : _ x > 5 4 7 . 1 5 9 6 3 4 < / b : _ x > < b : _ y > 4 2 6 . 0 5 8 2 0 4 < / b : _ y > < / b : P o i n t > < b : P o i n t > < b : _ x > 5 4 5 . 1 5 9 6 3 4 < / b : _ x > < b : _ y > 4 2 4 . 0 5 8 2 0 4 < / b : _ y > < / b : P o i n t > < b : P o i n t > < b : _ x > 5 4 5 . 1 5 9 6 3 4 < / b : _ x > < b : _ y > 3 7 5 . 3 3 3 0 2 8 < / b : _ y > < / b : P o i n t > < b : P o i n t > < b : _ x > 5 4 3 . 1 5 9 6 3 4 < / b : _ x > < b : _ y > 3 7 3 . 3 3 3 0 2 8 < / b : _ y > < / b : P o i n t > < b : P o i n t > < b : _ x > 5 1 2 . 7 8 2 5 6 4 1 0 6 9 6 0 4 2 < / b : _ x > < b : _ y > 3 7 3 . 3 3 3 0 2 8 < / b : _ y > < / b : P o i n t > < / P o i n t s > < / a : V a l u e > < / a : K e y V a l u e O f D i a g r a m O b j e c t K e y a n y T y p e z b w N T n L X > < a : K e y V a l u e O f D i a g r a m O b j e c t K e y a n y T y p e z b w N T n L X > < a : K e y > < K e y > R e l a t i o n s h i p s \ & l t ; T a b l e s \ R a t i o \ C o l u m n s \ Y e a r & g t ; - & l t ; T a b l e s \ Y e a r \ C o l u m n s \ Y e a r & g t ; \ F K < / K e y > < / a : K e y > < a : V a l u e   i : t y p e = " D i a g r a m D i s p l a y L i n k E n d p o i n t V i e w S t a t e " > < H e i g h t > 1 6 < / H e i g h t > < L a b e l L o c a t i o n   x m l n s : b = " h t t p : / / s c h e m a s . d a t a c o n t r a c t . o r g / 2 0 0 4 / 0 7 / S y s t e m . W i n d o w s " > < b : _ x > 5 7 7 . 5 3 6 7 0 3 9 2 9 2 1 0 6 < / b : _ x > < b : _ y > 4 1 8 . 0 5 8 2 0 4 0 0 0 0 0 0 0 5 < / b : _ y > < / L a b e l L o c a t i o n > < L o c a t i o n   x m l n s : b = " h t t p : / / s c h e m a s . d a t a c o n t r a c t . o r g / 2 0 0 4 / 0 7 / S y s t e m . W i n d o w s " > < b : _ x > 5 9 3 . 5 3 6 7 0 3 9 2 9 2 1 0 6 < / b : _ x > < b : _ y > 4 2 6 . 0 5 8 2 0 4 0 0 0 0 0 0 0 5 < / b : _ y > < / L o c a t i o n > < S h a p e R o t a t e A n g l e > 1 8 0 < / S h a p e R o t a t e A n g l e > < W i d t h > 1 6 < / W i d t h > < / a : V a l u e > < / a : K e y V a l u e O f D i a g r a m O b j e c t K e y a n y T y p e z b w N T n L X > < a : K e y V a l u e O f D i a g r a m O b j e c t K e y a n y T y p e z b w N T n L X > < a : K e y > < K e y > R e l a t i o n s h i p s \ & l t ; T a b l e s \ R a t i o \ C o l u m n s \ Y e a r & g t ; - & l t ; T a b l e s \ Y e a r \ C o l u m n s \ Y e a r & g t ; \ P K < / K e y > < / a : K e y > < a : V a l u e   i : t y p e = " D i a g r a m D i s p l a y L i n k E n d p o i n t V i e w S t a t e " > < H e i g h t > 1 6 < / H e i g h t > < L a b e l L o c a t i o n   x m l n s : b = " h t t p : / / s c h e m a s . d a t a c o n t r a c t . o r g / 2 0 0 4 / 0 7 / S y s t e m . W i n d o w s " > < b : _ x > 4 9 6 . 7 8 2 5 6 4 1 0 6 9 6 0 4 2 < / b : _ x > < b : _ y > 3 6 5 . 3 3 3 0 2 8 < / b : _ y > < / L a b e l L o c a t i o n > < L o c a t i o n   x m l n s : b = " h t t p : / / s c h e m a s . d a t a c o n t r a c t . o r g / 2 0 0 4 / 0 7 / S y s t e m . W i n d o w s " > < b : _ x > 4 9 6 . 7 8 2 5 6 4 1 0 6 9 6 0 4 2 < / b : _ x > < b : _ y > 3 7 3 . 3 3 3 0 2 8 < / b : _ y > < / L o c a t i o n > < S h a p e R o t a t e A n g l e > 3 6 0 < / S h a p e R o t a t e A n g l e > < W i d t h > 1 6 < / W i d t h > < / a : V a l u e > < / a : K e y V a l u e O f D i a g r a m O b j e c t K e y a n y T y p e z b w N T n L X > < a : K e y V a l u e O f D i a g r a m O b j e c t K e y a n y T y p e z b w N T n L X > < a : K e y > < K e y > R e l a t i o n s h i p s \ & l t ; T a b l e s \ R a t i o \ C o l u m n s \ Y e a r & g t ; - & l t ; T a b l e s \ Y e a r \ C o l u m n s \ Y e a r & g t ; \ C r o s s F i l t e r < / K e y > < / a : K e y > < a : V a l u e   i : t y p e = " D i a g r a m D i s p l a y L i n k C r o s s F i l t e r V i e w S t a t e " > < P o i n t s   x m l n s : b = " h t t p : / / s c h e m a s . d a t a c o n t r a c t . o r g / 2 0 0 4 / 0 7 / S y s t e m . W i n d o w s " > < b : P o i n t > < b : _ x > 5 7 7 . 5 3 6 7 0 3 9 2 9 2 1 0 6 < / b : _ x > < b : _ y > 4 2 6 . 0 5 8 2 0 4 0 0 0 0 0 0 0 5 < / b : _ y > < / b : P o i n t > < b : P o i n t > < b : _ x > 5 4 7 . 1 5 9 6 3 4 < / b : _ x > < b : _ y > 4 2 6 . 0 5 8 2 0 4 < / b : _ y > < / b : P o i n t > < b : P o i n t > < b : _ x > 5 4 5 . 1 5 9 6 3 4 < / b : _ x > < b : _ y > 4 2 4 . 0 5 8 2 0 4 < / b : _ y > < / b : P o i n t > < b : P o i n t > < b : _ x > 5 4 5 . 1 5 9 6 3 4 < / b : _ x > < b : _ y > 3 7 5 . 3 3 3 0 2 8 < / b : _ y > < / b : P o i n t > < b : P o i n t > < b : _ x > 5 4 3 . 1 5 9 6 3 4 < / b : _ x > < b : _ y > 3 7 3 . 3 3 3 0 2 8 < / b : _ y > < / b : P o i n t > < b : P o i n t > < b : _ x > 5 1 2 . 7 8 2 5 6 4 1 0 6 9 6 0 4 2 < / b : _ x > < b : _ y > 3 7 3 . 3 3 3 0 2 8 < / b : _ y > < / b : P o i n t > < / P o i n t s > < / a : V a l u e > < / a : K e y V a l u e O f D i a g r a m O b j e c t K e y a n y T y p e z b w N T n L X > < a : K e y V a l u e O f D i a g r a m O b j e c t K e y a n y T y p e z b w N T n L X > < a : K e y > < K e y > R e l a t i o n s h i p s \ & l t ; T a b l e s \ S h a r e \ C o l u m n s \ Y e a r & g t ; - & l t ; T a b l e s \ Y e a r \ C o l u m n s \ Y e a r & g t ; < / K e y > < / a : K e y > < a : V a l u e   i : t y p e = " D i a g r a m D i s p l a y L i n k V i e w S t a t e " > < A u t o m a t i o n P r o p e r t y H e l p e r T e x t > E n d   p o i n t   1 :   ( 4 8 3 . 4 6 2 8 2 8 7 8 6 0 4 3 , 1 3 7 . 6 8 1 5 4 5 ) .   E n d   p o i n t   2 :   ( 4 0 6 . 7 8 2 5 6 4 , 2 7 2 . 3 3 3 0 2 7 9 9 1 1 3 4 )   < / A u t o m a t i o n P r o p e r t y H e l p e r T e x t > < L a y e d O u t > t r u e < / L a y e d O u t > < P o i n t s   x m l n s : b = " h t t p : / / s c h e m a s . d a t a c o n t r a c t . o r g / 2 0 0 4 / 0 7 / S y s t e m . W i n d o w s " > < b : P o i n t > < b : _ x > 4 8 3 . 4 6 2 8 2 8 7 8 6 0 4 3 3 6 < / b : _ x > < b : _ y > 1 3 7 . 6 8 1 5 4 5 < / b : _ y > < / b : P o i n t > < b : P o i n t > < b : _ x > 4 5 5 . 1 2 2 6 9 6 4 9 9 9 9 9 9 6 < / b : _ x > < b : _ y > 1 3 7 . 6 8 1 5 4 5 < / b : _ y > < / b : P o i n t > < b : P o i n t > < b : _ x > 4 5 3 . 1 2 2 6 9 6 4 9 9 9 9 9 9 6 < / b : _ x > < b : _ y > 1 3 9 . 6 8 1 5 4 5 < / b : _ y > < / b : P o i n t > < b : P o i n t > < b : _ x > 4 5 3 . 1 2 2 6 9 6 4 9 9 9 9 9 9 6 < / b : _ x > < b : _ y > 2 1 1 . 0 0 7 2 8 7 < / b : _ y > < / b : P o i n t > < b : P o i n t > < b : _ x > 4 5 1 . 1 2 2 6 9 6 4 9 9 9 9 9 9 6 < / b : _ x > < b : _ y > 2 1 3 . 0 0 7 2 8 7 < / b : _ y > < / b : P o i n t > < b : P o i n t > < b : _ x > 4 0 8 . 7 8 2 5 6 4 < / b : _ x > < b : _ y > 2 1 3 . 0 0 7 2 8 7 < / b : _ y > < / b : P o i n t > < b : P o i n t > < b : _ x > 4 0 6 . 7 8 2 5 6 4 < / b : _ x > < b : _ y > 2 1 5 . 0 0 7 2 8 7 < / b : _ y > < / b : P o i n t > < b : P o i n t > < b : _ x > 4 0 6 . 7 8 2 5 6 4 < / b : _ x > < b : _ y > 2 7 2 . 3 3 3 0 2 7 9 9 1 1 3 4 4 3 < / b : _ y > < / b : P o i n t > < / P o i n t s > < / a : V a l u e > < / a : K e y V a l u e O f D i a g r a m O b j e c t K e y a n y T y p e z b w N T n L X > < a : K e y V a l u e O f D i a g r a m O b j e c t K e y a n y T y p e z b w N T n L X > < a : K e y > < K e y > R e l a t i o n s h i p s \ & l t ; T a b l e s \ S h a r e \ C o l u m n s \ Y e a r & g t ; - & l t ; T a b l e s \ Y e a r \ C o l u m n s \ Y e a r & g t ; \ F K < / K e y > < / a : K e y > < a : V a l u e   i : t y p e = " D i a g r a m D i s p l a y L i n k E n d p o i n t V i e w S t a t e " > < H e i g h t > 1 6 < / H e i g h t > < L a b e l L o c a t i o n   x m l n s : b = " h t t p : / / s c h e m a s . d a t a c o n t r a c t . o r g / 2 0 0 4 / 0 7 / S y s t e m . W i n d o w s " > < b : _ x > 4 8 3 . 4 6 2 8 2 8 7 8 6 0 4 3 3 6 < / b : _ x > < b : _ y > 1 2 9 . 6 8 1 5 4 5 < / b : _ y > < / L a b e l L o c a t i o n > < L o c a t i o n   x m l n s : b = " h t t p : / / s c h e m a s . d a t a c o n t r a c t . o r g / 2 0 0 4 / 0 7 / S y s t e m . W i n d o w s " > < b : _ x > 4 9 9 . 4 6 2 8 2 8 7 8 6 0 4 3 3 6 < / b : _ x > < b : _ y > 1 3 7 . 6 8 1 5 4 5 < / b : _ y > < / L o c a t i o n > < S h a p e R o t a t e A n g l e > 1 8 0 < / S h a p e R o t a t e A n g l e > < W i d t h > 1 6 < / W i d t h > < / a : V a l u e > < / a : K e y V a l u e O f D i a g r a m O b j e c t K e y a n y T y p e z b w N T n L X > < a : K e y V a l u e O f D i a g r a m O b j e c t K e y a n y T y p e z b w N T n L X > < a : K e y > < K e y > R e l a t i o n s h i p s \ & l t ; T a b l e s \ S h a r e \ C o l u m n s \ Y e a r & g t ; - & l t ; T a b l e s \ Y e a r \ C o l u m n s \ Y e a r & g t ; \ P K < / K e y > < / a : K e y > < a : V a l u e   i : t y p e = " D i a g r a m D i s p l a y L i n k E n d p o i n t V i e w S t a t e " > < H e i g h t > 1 6 < / H e i g h t > < L a b e l L o c a t i o n   x m l n s : b = " h t t p : / / s c h e m a s . d a t a c o n t r a c t . o r g / 2 0 0 4 / 0 7 / S y s t e m . W i n d o w s " > < b : _ x > 3 9 8 . 7 8 2 5 6 4 < / b : _ x > < b : _ y > 2 7 2 . 3 3 3 0 2 7 9 9 1 1 3 4 4 3 < / b : _ y > < / L a b e l L o c a t i o n > < L o c a t i o n   x m l n s : b = " h t t p : / / s c h e m a s . d a t a c o n t r a c t . o r g / 2 0 0 4 / 0 7 / S y s t e m . W i n d o w s " > < b : _ x > 4 0 6 . 7 8 2 5 6 4 < / b : _ x > < b : _ y > 2 8 8 . 3 3 3 0 2 7 9 9 1 1 3 4 4 3 < / b : _ y > < / L o c a t i o n > < S h a p e R o t a t e A n g l e > 2 7 0 < / S h a p e R o t a t e A n g l e > < W i d t h > 1 6 < / W i d t h > < / a : V a l u e > < / a : K e y V a l u e O f D i a g r a m O b j e c t K e y a n y T y p e z b w N T n L X > < a : K e y V a l u e O f D i a g r a m O b j e c t K e y a n y T y p e z b w N T n L X > < a : K e y > < K e y > R e l a t i o n s h i p s \ & l t ; T a b l e s \ S h a r e \ C o l u m n s \ Y e a r & g t ; - & l t ; T a b l e s \ Y e a r \ C o l u m n s \ Y e a r & g t ; \ C r o s s F i l t e r < / K e y > < / a : K e y > < a : V a l u e   i : t y p e = " D i a g r a m D i s p l a y L i n k C r o s s F i l t e r V i e w S t a t e " > < P o i n t s   x m l n s : b = " h t t p : / / s c h e m a s . d a t a c o n t r a c t . o r g / 2 0 0 4 / 0 7 / S y s t e m . W i n d o w s " > < b : P o i n t > < b : _ x > 4 8 3 . 4 6 2 8 2 8 7 8 6 0 4 3 3 6 < / b : _ x > < b : _ y > 1 3 7 . 6 8 1 5 4 5 < / b : _ y > < / b : P o i n t > < b : P o i n t > < b : _ x > 4 5 5 . 1 2 2 6 9 6 4 9 9 9 9 9 9 6 < / b : _ x > < b : _ y > 1 3 7 . 6 8 1 5 4 5 < / b : _ y > < / b : P o i n t > < b : P o i n t > < b : _ x > 4 5 3 . 1 2 2 6 9 6 4 9 9 9 9 9 9 6 < / b : _ x > < b : _ y > 1 3 9 . 6 8 1 5 4 5 < / b : _ y > < / b : P o i n t > < b : P o i n t > < b : _ x > 4 5 3 . 1 2 2 6 9 6 4 9 9 9 9 9 9 6 < / b : _ x > < b : _ y > 2 1 1 . 0 0 7 2 8 7 < / b : _ y > < / b : P o i n t > < b : P o i n t > < b : _ x > 4 5 1 . 1 2 2 6 9 6 4 9 9 9 9 9 9 6 < / b : _ x > < b : _ y > 2 1 3 . 0 0 7 2 8 7 < / b : _ y > < / b : P o i n t > < b : P o i n t > < b : _ x > 4 0 8 . 7 8 2 5 6 4 < / b : _ x > < b : _ y > 2 1 3 . 0 0 7 2 8 7 < / b : _ y > < / b : P o i n t > < b : P o i n t > < b : _ x > 4 0 6 . 7 8 2 5 6 4 < / b : _ x > < b : _ y > 2 1 5 . 0 0 7 2 8 7 < / b : _ y > < / b : P o i n t > < b : P o i n t > < b : _ x > 4 0 6 . 7 8 2 5 6 4 < / b : _ x > < b : _ y > 2 7 2 . 3 3 3 0 2 7 9 9 1 1 3 4 4 3 < / b : _ y > < / b : P o i n t > < / P o i n t s > < / a : V a l u e > < / a : K e y V a l u e O f D i a g r a m O b j e c t K e y a n y T y p e z b w N T n L X > < a : K e y V a l u e O f D i a g r a m O b j e c t K e y a n y T y p e z b w N T n L X > < a : K e y > < K e y > R e l a t i o n s h i p s \ & l t ; T a b l e s \ B a l a n c e \ C o l u m n s \ Y e a r & g t ; - & l t ; T a b l e s \ Y e a r \ C o l u m n s \ Y e a r & g t ; < / K e y > < / a : K e y > < a : V a l u e   i : t y p e = " D i a g r a m D i s p l a y L i n k V i e w S t a t e " > < A u t o m a t i o n P r o p e r t y H e l p e r T e x t > E n d   p o i n t   1 :   ( 3 0 2 . 6 4 3 0 5 3 , 1 6 6 ) .   E n d   p o i n t   2 :   ( 3 8 6 . 7 8 2 5 6 4 , 2 7 2 . 3 3 3 0 2 7 9 9 1 1 3 5 )   < / A u t o m a t i o n P r o p e r t y H e l p e r T e x t > < L a y e d O u t > t r u e < / L a y e d O u t > < P o i n t s   x m l n s : b = " h t t p : / / s c h e m a s . d a t a c o n t r a c t . o r g / 2 0 0 4 / 0 7 / S y s t e m . W i n d o w s " > < b : P o i n t > < b : _ x > 3 0 2 . 6 4 3 0 5 3 < / b : _ x > < b : _ y > 1 6 6 < / b : _ y > < / b : P o i n t > < b : P o i n t > < b : _ x > 3 0 2 . 6 4 3 0 5 3 < / b : _ x > < b : _ y > 2 1 7 . 1 6 6 5 1 4 < / b : _ y > < / b : P o i n t > < b : P o i n t > < b : _ x > 3 0 4 . 6 4 3 0 5 3 < / b : _ x > < b : _ y > 2 1 9 . 1 6 6 5 1 4 < / b : _ y > < / b : P o i n t > < b : P o i n t > < b : _ x > 3 8 4 . 7 8 2 5 6 4 < / b : _ x > < b : _ y > 2 1 9 . 1 6 6 5 1 4 < / b : _ y > < / b : P o i n t > < b : P o i n t > < b : _ x > 3 8 6 . 7 8 2 5 6 4 < / b : _ x > < b : _ y > 2 2 1 . 1 6 6 5 1 4 < / b : _ y > < / b : P o i n t > < b : P o i n t > < b : _ x > 3 8 6 . 7 8 2 5 6 4 < / b : _ x > < b : _ y > 2 7 2 . 3 3 3 0 2 7 9 9 1 1 3 4 6 < / b : _ y > < / b : P o i n t > < / P o i n t s > < / a : V a l u e > < / a : K e y V a l u e O f D i a g r a m O b j e c t K e y a n y T y p e z b w N T n L X > < a : K e y V a l u e O f D i a g r a m O b j e c t K e y a n y T y p e z b w N T n L X > < a : K e y > < K e y > R e l a t i o n s h i p s \ & l t ; T a b l e s \ B a l a n c e \ C o l u m n s \ Y e a r & g t ; - & l t ; T a b l e s \ Y e a r \ C o l u m n s \ Y e a r & g t ; \ F K < / K e y > < / a : K e y > < a : V a l u e   i : t y p e = " D i a g r a m D i s p l a y L i n k E n d p o i n t V i e w S t a t e " > < H e i g h t > 1 6 < / H e i g h t > < L a b e l L o c a t i o n   x m l n s : b = " h t t p : / / s c h e m a s . d a t a c o n t r a c t . o r g / 2 0 0 4 / 0 7 / S y s t e m . W i n d o w s " > < b : _ x > 2 9 4 . 6 4 3 0 5 3 < / b : _ x > < b : _ y > 1 5 0 < / b : _ y > < / L a b e l L o c a t i o n > < L o c a t i o n   x m l n s : b = " h t t p : / / s c h e m a s . d a t a c o n t r a c t . o r g / 2 0 0 4 / 0 7 / S y s t e m . W i n d o w s " > < b : _ x > 3 0 2 . 6 4 3 0 5 3 < / b : _ x > < b : _ y > 1 5 0 < / b : _ y > < / L o c a t i o n > < S h a p e R o t a t e A n g l e > 9 0 < / S h a p e R o t a t e A n g l e > < W i d t h > 1 6 < / W i d t h > < / a : V a l u e > < / a : K e y V a l u e O f D i a g r a m O b j e c t K e y a n y T y p e z b w N T n L X > < a : K e y V a l u e O f D i a g r a m O b j e c t K e y a n y T y p e z b w N T n L X > < a : K e y > < K e y > R e l a t i o n s h i p s \ & l t ; T a b l e s \ B a l a n c e \ C o l u m n s \ Y e a r & g t ; - & l t ; T a b l e s \ Y e a r \ C o l u m n s \ Y e a r & g t ; \ P K < / K e y > < / a : K e y > < a : V a l u e   i : t y p e = " D i a g r a m D i s p l a y L i n k E n d p o i n t V i e w S t a t e " > < H e i g h t > 1 6 < / H e i g h t > < L a b e l L o c a t i o n   x m l n s : b = " h t t p : / / s c h e m a s . d a t a c o n t r a c t . o r g / 2 0 0 4 / 0 7 / S y s t e m . W i n d o w s " > < b : _ x > 3 7 8 . 7 8 2 5 6 4 < / b : _ x > < b : _ y > 2 7 2 . 3 3 3 0 2 7 9 9 1 1 3 4 6 < / b : _ y > < / L a b e l L o c a t i o n > < L o c a t i o n   x m l n s : b = " h t t p : / / s c h e m a s . d a t a c o n t r a c t . o r g / 2 0 0 4 / 0 7 / S y s t e m . W i n d o w s " > < b : _ x > 3 8 6 . 7 8 2 5 6 4 < / b : _ x > < b : _ y > 2 8 8 . 3 3 3 0 2 7 9 9 1 1 3 4 6 < / b : _ y > < / L o c a t i o n > < S h a p e R o t a t e A n g l e > 2 7 0 < / S h a p e R o t a t e A n g l e > < W i d t h > 1 6 < / W i d t h > < / a : V a l u e > < / a : K e y V a l u e O f D i a g r a m O b j e c t K e y a n y T y p e z b w N T n L X > < a : K e y V a l u e O f D i a g r a m O b j e c t K e y a n y T y p e z b w N T n L X > < a : K e y > < K e y > R e l a t i o n s h i p s \ & l t ; T a b l e s \ B a l a n c e \ C o l u m n s \ Y e a r & g t ; - & l t ; T a b l e s \ Y e a r \ C o l u m n s \ Y e a r & g t ; \ C r o s s F i l t e r < / K e y > < / a : K e y > < a : V a l u e   i : t y p e = " D i a g r a m D i s p l a y L i n k C r o s s F i l t e r V i e w S t a t e " > < P o i n t s   x m l n s : b = " h t t p : / / s c h e m a s . d a t a c o n t r a c t . o r g / 2 0 0 4 / 0 7 / S y s t e m . W i n d o w s " > < b : P o i n t > < b : _ x > 3 0 2 . 6 4 3 0 5 3 < / b : _ x > < b : _ y > 1 6 6 < / b : _ y > < / b : P o i n t > < b : P o i n t > < b : _ x > 3 0 2 . 6 4 3 0 5 3 < / b : _ x > < b : _ y > 2 1 7 . 1 6 6 5 1 4 < / b : _ y > < / b : P o i n t > < b : P o i n t > < b : _ x > 3 0 4 . 6 4 3 0 5 3 < / b : _ x > < b : _ y > 2 1 9 . 1 6 6 5 1 4 < / b : _ y > < / b : P o i n t > < b : P o i n t > < b : _ x > 3 8 4 . 7 8 2 5 6 4 < / b : _ x > < b : _ y > 2 1 9 . 1 6 6 5 1 4 < / b : _ y > < / b : P o i n t > < b : P o i n t > < b : _ x > 3 8 6 . 7 8 2 5 6 4 < / b : _ x > < b : _ y > 2 2 1 . 1 6 6 5 1 4 < / b : _ y > < / b : P o i n t > < b : P o i n t > < b : _ x > 3 8 6 . 7 8 2 5 6 4 < / b : _ x > < b : _ y > 2 7 2 . 3 3 3 0 2 7 9 9 1 1 3 4 6 < / b : _ y > < / b : P o i n t > < / P o i n t s > < / a : V a l u e > < / a : K e y V a l u e O f D i a g r a m O b j e c t K e y a n y T y p e z b w N T n L X > < a : K e y V a l u e O f D i a g r a m O b j e c t K e y a n y T y p e z b w N T n L X > < a : K e y > < K e y > R e l a t i o n s h i p s \ & l t ; T a b l e s \ A c c o u n t s \ C o l u m n s \ Y e a r & g t ; - & l t ; T a b l e s \ Y e a r \ C o l u m n s \ Y e a r & g t ; < / K e y > < / a : K e y > < a : V a l u e   i : t y p e = " D i a g r a m D i s p l a y L i n k V i e w S t a t e " > < A u t o m a t i o n P r o p e r t y H e l p e r T e x t > E n d   p o i n t   1 :   ( 2 1 6 , 3 0 0 . 7 3 4 8 2 5 ) .   E n d   p o i n t   2 :   ( 2 8 0 . 7 8 2 5 6 4 1 0 6 9 6 , 3 6 3 . 3 3 3 0 2 8 )   < / A u t o m a t i o n P r o p e r t y H e l p e r T e x t > < L a y e d O u t > t r u e < / L a y e d O u t > < P o i n t s   x m l n s : b = " h t t p : / / s c h e m a s . d a t a c o n t r a c t . o r g / 2 0 0 4 / 0 7 / S y s t e m . W i n d o w s " > < b : P o i n t > < b : _ x > 2 1 6 . 0 0 0 0 0 0 0 0 0 0 0 0 0 3 < / b : _ x > < b : _ y > 3 0 0 . 7 3 4 8 2 5 < / b : _ y > < / b : P o i n t > < b : P o i n t > < b : _ x > 2 4 6 . 3 9 1 2 8 2 < / b : _ x > < b : _ y > 3 0 0 . 7 3 4 8 2 5 < / b : _ y > < / b : P o i n t > < b : P o i n t > < b : _ x > 2 4 8 . 3 9 1 2 8 2 < / b : _ x > < b : _ y > 3 0 2 . 7 3 4 8 2 5 < / b : _ y > < / b : P o i n t > < b : P o i n t > < b : _ x > 2 4 8 . 3 9 1 2 8 2 < / b : _ x > < b : _ y > 3 6 1 . 3 3 3 0 2 8 < / b : _ y > < / b : P o i n t > < b : P o i n t > < b : _ x > 2 5 0 . 3 9 1 2 8 2 < / b : _ x > < b : _ y > 3 6 3 . 3 3 3 0 2 8 < / b : _ y > < / b : P o i n t > < b : P o i n t > < b : _ x > 2 8 0 . 7 8 2 5 6 4 1 0 6 9 6 0 4 2 < / b : _ x > < b : _ y > 3 6 3 . 3 3 3 0 2 8 < / b : _ y > < / b : P o i n t > < / P o i n t s > < / a : V a l u e > < / a : K e y V a l u e O f D i a g r a m O b j e c t K e y a n y T y p e z b w N T n L X > < a : K e y V a l u e O f D i a g r a m O b j e c t K e y a n y T y p e z b w N T n L X > < a : K e y > < K e y > R e l a t i o n s h i p s \ & l t ; T a b l e s \ A c c o u n t s \ C o l u m n s \ Y e a r & g t ; - & l t ; T a b l e s \ Y e a r \ C o l u m n s \ Y e a r & g t ; \ F K < / K e y > < / a : K e y > < a : V a l u e   i : t y p e = " D i a g r a m D i s p l a y L i n k E n d p o i n t V i e w S t a t e " > < H e i g h t > 1 6 < / H e i g h t > < L a b e l L o c a t i o n   x m l n s : b = " h t t p : / / s c h e m a s . d a t a c o n t r a c t . o r g / 2 0 0 4 / 0 7 / S y s t e m . W i n d o w s " > < b : _ x > 2 0 0 . 0 0 0 0 0 0 0 0 0 0 0 0 0 3 < / b : _ x > < b : _ y > 2 9 2 . 7 3 4 8 2 5 < / b : _ y > < / L a b e l L o c a t i o n > < L o c a t i o n   x m l n s : b = " h t t p : / / s c h e m a s . d a t a c o n t r a c t . o r g / 2 0 0 4 / 0 7 / S y s t e m . W i n d o w s " > < b : _ x > 2 0 0 < / b : _ x > < b : _ y > 3 0 0 . 7 3 4 8 2 5 < / b : _ y > < / L o c a t i o n > < S h a p e R o t a t e A n g l e > 3 6 0 < / S h a p e R o t a t e A n g l e > < W i d t h > 1 6 < / W i d t h > < / a : V a l u e > < / a : K e y V a l u e O f D i a g r a m O b j e c t K e y a n y T y p e z b w N T n L X > < a : K e y V a l u e O f D i a g r a m O b j e c t K e y a n y T y p e z b w N T n L X > < a : K e y > < K e y > R e l a t i o n s h i p s \ & l t ; T a b l e s \ A c c o u n t s \ C o l u m n s \ Y e a r & g t ; - & l t ; T a b l e s \ Y e a r \ C o l u m n s \ Y e a r & g t ; \ P K < / K e y > < / a : K e y > < a : V a l u e   i : t y p e = " D i a g r a m D i s p l a y L i n k E n d p o i n t V i e w S t a t e " > < H e i g h t > 1 6 < / H e i g h t > < L a b e l L o c a t i o n   x m l n s : b = " h t t p : / / s c h e m a s . d a t a c o n t r a c t . o r g / 2 0 0 4 / 0 7 / S y s t e m . W i n d o w s " > < b : _ x > 2 8 0 . 7 8 2 5 6 4 1 0 6 9 6 0 4 2 < / b : _ x > < b : _ y > 3 5 5 . 3 3 3 0 2 8 < / b : _ y > < / L a b e l L o c a t i o n > < L o c a t i o n   x m l n s : b = " h t t p : / / s c h e m a s . d a t a c o n t r a c t . o r g / 2 0 0 4 / 0 7 / S y s t e m . W i n d o w s " > < b : _ x > 2 9 6 . 7 8 2 5 6 4 1 0 6 9 6 0 4 2 < / b : _ x > < b : _ y > 3 6 3 . 3 3 3 0 2 8 < / b : _ y > < / L o c a t i o n > < S h a p e R o t a t e A n g l e > 1 8 0 < / S h a p e R o t a t e A n g l e > < W i d t h > 1 6 < / W i d t h > < / a : V a l u e > < / a : K e y V a l u e O f D i a g r a m O b j e c t K e y a n y T y p e z b w N T n L X > < a : K e y V a l u e O f D i a g r a m O b j e c t K e y a n y T y p e z b w N T n L X > < a : K e y > < K e y > R e l a t i o n s h i p s \ & l t ; T a b l e s \ A c c o u n t s \ C o l u m n s \ Y e a r & g t ; - & l t ; T a b l e s \ Y e a r \ C o l u m n s \ Y e a r & g t ; \ C r o s s F i l t e r < / K e y > < / a : K e y > < a : V a l u e   i : t y p e = " D i a g r a m D i s p l a y L i n k C r o s s F i l t e r V i e w S t a t e " > < P o i n t s   x m l n s : b = " h t t p : / / s c h e m a s . d a t a c o n t r a c t . o r g / 2 0 0 4 / 0 7 / S y s t e m . W i n d o w s " > < b : P o i n t > < b : _ x > 2 1 6 . 0 0 0 0 0 0 0 0 0 0 0 0 0 3 < / b : _ x > < b : _ y > 3 0 0 . 7 3 4 8 2 5 < / b : _ y > < / b : P o i n t > < b : P o i n t > < b : _ x > 2 4 6 . 3 9 1 2 8 2 < / b : _ x > < b : _ y > 3 0 0 . 7 3 4 8 2 5 < / b : _ y > < / b : P o i n t > < b : P o i n t > < b : _ x > 2 4 8 . 3 9 1 2 8 2 < / b : _ x > < b : _ y > 3 0 2 . 7 3 4 8 2 5 < / b : _ y > < / b : P o i n t > < b : P o i n t > < b : _ x > 2 4 8 . 3 9 1 2 8 2 < / b : _ x > < b : _ y > 3 6 1 . 3 3 3 0 2 8 < / b : _ y > < / b : P o i n t > < b : P o i n t > < b : _ x > 2 5 0 . 3 9 1 2 8 2 < / b : _ x > < b : _ y > 3 6 3 . 3 3 3 0 2 8 < / b : _ y > < / b : P o i n t > < b : P o i n t > < b : _ x > 2 8 0 . 7 8 2 5 6 4 1 0 6 9 6 0 4 2 < / b : _ x > < b : _ y > 3 6 3 . 3 3 3 0 2 8 < / b : _ y > < / b : P o i n t > < / P o i n t s > < / a : V a l u e > < / a : K e y V a l u e O f D i a g r a m O b j e c t K e y a n y T y p e z b w N T n L X > < a : K e y V a l u e O f D i a g r a m O b j e c t K e y a n y T y p e z b w N T n L X > < a : K e y > < K e y > R e l a t i o n s h i p s \ & l t ; T a b l e s \ F C F \ C o l u m n s \ Y e a r & g t ; - & l t ; T a b l e s \ Y e a r \ C o l u m n s \ Y e a r & g t ; < / K e y > < / a : K e y > < a : V a l u e   i : t y p e = " D i a g r a m D i s p l a y L i n k V i e w S t a t e " > < A u t o m a t i o n P r o p e r t y H e l p e r T e x t > E n d   p o i n t   1 :   ( 8 1 7 . 5 3 6 7 0 3 9 2 9 2 1 , 3 6 3 . 3 3 9 3 7 3 ) .   E n d   p o i n t   2 :   ( 5 1 2 . 7 8 2 5 6 4 1 0 6 9 6 , 3 5 3 . 3 3 3 0 2 8 )   < / A u t o m a t i o n P r o p e r t y H e l p e r T e x t > < I s F o c u s e d > t r u e < / I s F o c u s e d > < L a y e d O u t > t r u e < / L a y e d O u t > < P o i n t s   x m l n s : b = " h t t p : / / s c h e m a s . d a t a c o n t r a c t . o r g / 2 0 0 4 / 0 7 / S y s t e m . W i n d o w s " > < b : P o i n t > < b : _ x > 8 1 7 . 5 3 6 7 0 3 9 2 9 2 1 0 4 9 < / b : _ x > < b : _ y > 3 6 3 . 3 3 9 3 7 3 < / b : _ y > < / b : P o i n t > < b : P o i n t > < b : _ x > 8 1 5 . 0 3 6 7 0 3 9 9 5 5 < / b : _ x > < b : _ y > 3 6 3 . 3 3 9 3 7 3 < / b : _ y > < / b : P o i n t > < b : P o i n t > < b : _ x > 8 1 3 . 0 3 6 7 0 3 9 9 5 5 < / b : _ x > < b : _ y > 3 6 1 . 3 3 9 3 7 3 < / b : _ y > < / b : P o i n t > < b : P o i n t > < b : _ x > 8 1 3 . 0 3 6 7 0 3 9 9 5 5 < / b : _ x > < b : _ y > 3 3 3 . 5 5 8 2 0 4 < / b : _ y > < / b : P o i n t > < b : P o i n t > < b : _ x > 8 1 1 . 0 3 6 7 0 3 9 9 5 5 < / b : _ x > < b : _ y > 3 3 1 . 5 5 8 2 0 4 < / b : _ y > < / b : P o i n t > < b : P o i n t > < b : _ x > 5 7 6 . 0 3 6 7 0 4 0 0 4 5 < / b : _ x > < b : _ y > 3 3 1 . 5 5 8 2 0 4 < / b : _ y > < / b : P o i n t > < b : P o i n t > < b : _ x > 5 7 4 . 0 3 6 7 0 4 0 0 4 5 < / b : _ x > < b : _ y > 3 3 3 . 5 5 8 2 0 4 < / b : _ y > < / b : P o i n t > < b : P o i n t > < b : _ x > 5 7 4 . 0 3 6 7 0 4 0 0 4 5 < / b : _ x > < b : _ y > 3 5 1 . 3 3 3 0 2 8 < / b : _ y > < / b : P o i n t > < b : P o i n t > < b : _ x > 5 7 2 . 0 3 6 7 0 4 0 0 4 5 < / b : _ x > < b : _ y > 3 5 3 . 3 3 3 0 2 8 < / b : _ y > < / b : P o i n t > < b : P o i n t > < b : _ x > 5 1 2 . 7 8 2 5 6 4 1 0 6 9 6 0 4 2 < / b : _ x > < b : _ y > 3 5 3 . 3 3 3 0 2 8 < / b : _ y > < / b : P o i n t > < / P o i n t s > < / a : V a l u e > < / a : K e y V a l u e O f D i a g r a m O b j e c t K e y a n y T y p e z b w N T n L X > < a : K e y V a l u e O f D i a g r a m O b j e c t K e y a n y T y p e z b w N T n L X > < a : K e y > < K e y > R e l a t i o n s h i p s \ & l t ; T a b l e s \ F C F \ C o l u m n s \ Y e a r & g t ; - & l t ; T a b l e s \ Y e a r \ C o l u m n s \ Y e a r & g t ; \ F K < / K e y > < / a : K e y > < a : V a l u e   i : t y p e = " D i a g r a m D i s p l a y L i n k E n d p o i n t V i e w S t a t e " > < H e i g h t > 1 6 < / H e i g h t > < L a b e l L o c a t i o n   x m l n s : b = " h t t p : / / s c h e m a s . d a t a c o n t r a c t . o r g / 2 0 0 4 / 0 7 / S y s t e m . W i n d o w s " > < b : _ x > 8 1 7 . 5 3 6 7 0 3 9 2 9 2 1 0 4 9 < / b : _ x > < b : _ y > 3 5 5 . 3 3 9 3 7 3 < / b : _ y > < / L a b e l L o c a t i o n > < L o c a t i o n   x m l n s : b = " h t t p : / / s c h e m a s . d a t a c o n t r a c t . o r g / 2 0 0 4 / 0 7 / S y s t e m . W i n d o w s " > < b : _ x > 8 3 3 . 5 3 6 7 0 3 9 2 9 2 1 0 4 9 < / b : _ x > < b : _ y > 3 6 3 . 3 3 9 3 7 3 < / b : _ y > < / L o c a t i o n > < S h a p e R o t a t e A n g l e > 1 8 0 < / S h a p e R o t a t e A n g l e > < W i d t h > 1 6 < / W i d t h > < / a : V a l u e > < / a : K e y V a l u e O f D i a g r a m O b j e c t K e y a n y T y p e z b w N T n L X > < a : K e y V a l u e O f D i a g r a m O b j e c t K e y a n y T y p e z b w N T n L X > < a : K e y > < K e y > R e l a t i o n s h i p s \ & l t ; T a b l e s \ F C F \ C o l u m n s \ Y e a r & g t ; - & l t ; T a b l e s \ Y e a r \ C o l u m n s \ Y e a r & g t ; \ P K < / K e y > < / a : K e y > < a : V a l u e   i : t y p e = " D i a g r a m D i s p l a y L i n k E n d p o i n t V i e w S t a t e " > < H e i g h t > 1 6 < / H e i g h t > < L a b e l L o c a t i o n   x m l n s : b = " h t t p : / / s c h e m a s . d a t a c o n t r a c t . o r g / 2 0 0 4 / 0 7 / S y s t e m . W i n d o w s " > < b : _ x > 4 9 6 . 7 8 2 5 6 4 1 0 6 9 6 0 4 2 < / b : _ x > < b : _ y > 3 4 5 . 3 3 3 0 2 8 < / b : _ y > < / L a b e l L o c a t i o n > < L o c a t i o n   x m l n s : b = " h t t p : / / s c h e m a s . d a t a c o n t r a c t . o r g / 2 0 0 4 / 0 7 / S y s t e m . W i n d o w s " > < b : _ x > 4 9 6 . 7 8 2 5 6 4 1 0 6 9 6 0 4 8 < / b : _ x > < b : _ y > 3 5 3 . 3 3 3 0 2 8 < / b : _ y > < / L o c a t i o n > < S h a p e R o t a t e A n g l e > 3 6 0 < / S h a p e R o t a t e A n g l e > < W i d t h > 1 6 < / W i d t h > < / a : V a l u e > < / a : K e y V a l u e O f D i a g r a m O b j e c t K e y a n y T y p e z b w N T n L X > < a : K e y V a l u e O f D i a g r a m O b j e c t K e y a n y T y p e z b w N T n L X > < a : K e y > < K e y > R e l a t i o n s h i p s \ & l t ; T a b l e s \ F C F \ C o l u m n s \ Y e a r & g t ; - & l t ; T a b l e s \ Y e a r \ C o l u m n s \ Y e a r & g t ; \ C r o s s F i l t e r < / K e y > < / a : K e y > < a : V a l u e   i : t y p e = " D i a g r a m D i s p l a y L i n k C r o s s F i l t e r V i e w S t a t e " > < P o i n t s   x m l n s : b = " h t t p : / / s c h e m a s . d a t a c o n t r a c t . o r g / 2 0 0 4 / 0 7 / S y s t e m . W i n d o w s " > < b : P o i n t > < b : _ x > 8 1 7 . 5 3 6 7 0 3 9 2 9 2 1 0 4 9 < / b : _ x > < b : _ y > 3 6 3 . 3 3 9 3 7 3 < / b : _ y > < / b : P o i n t > < b : P o i n t > < b : _ x > 8 1 5 . 0 3 6 7 0 3 9 9 5 5 < / b : _ x > < b : _ y > 3 6 3 . 3 3 9 3 7 3 < / b : _ y > < / b : P o i n t > < b : P o i n t > < b : _ x > 8 1 3 . 0 3 6 7 0 3 9 9 5 5 < / b : _ x > < b : _ y > 3 6 1 . 3 3 9 3 7 3 < / b : _ y > < / b : P o i n t > < b : P o i n t > < b : _ x > 8 1 3 . 0 3 6 7 0 3 9 9 5 5 < / b : _ x > < b : _ y > 3 3 3 . 5 5 8 2 0 4 < / b : _ y > < / b : P o i n t > < b : P o i n t > < b : _ x > 8 1 1 . 0 3 6 7 0 3 9 9 5 5 < / b : _ x > < b : _ y > 3 3 1 . 5 5 8 2 0 4 < / b : _ y > < / b : P o i n t > < b : P o i n t > < b : _ x > 5 7 6 . 0 3 6 7 0 4 0 0 4 5 < / b : _ x > < b : _ y > 3 3 1 . 5 5 8 2 0 4 < / b : _ y > < / b : P o i n t > < b : P o i n t > < b : _ x > 5 7 4 . 0 3 6 7 0 4 0 0 4 5 < / b : _ x > < b : _ y > 3 3 3 . 5 5 8 2 0 4 < / b : _ y > < / b : P o i n t > < b : P o i n t > < b : _ x > 5 7 4 . 0 3 6 7 0 4 0 0 4 5 < / b : _ x > < b : _ y > 3 5 1 . 3 3 3 0 2 8 < / b : _ y > < / b : P o i n t > < b : P o i n t > < b : _ x > 5 7 2 . 0 3 6 7 0 4 0 0 4 5 < / b : _ x > < b : _ y > 3 5 3 . 3 3 3 0 2 8 < / b : _ y > < / b : P o i n t > < b : P o i n t > < b : _ x > 5 1 2 . 7 8 2 5 6 4 1 0 6 9 6 0 4 2 < / b : _ x > < b : _ y > 3 5 3 . 3 3 3 0 2 8 < / b : _ y > < / b : P o i n t > < / P o i n t s > < / a : V a l u e > < / a : K e y V a l u e O f D i a g r a m O b j e c t K e y a n y T y p e z b w N T n L X > < / V i e w S t a t e s > < / D i a g r a m M a n a g e r . S e r i a l i z a b l e D i a g r a m > < / A r r a y O f D i a g r a m M a n a g e r . S e r i a l i z a b l e D i a g r a m > ] ] > < / 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C l i e n t W i n d o w X M L " > < C u s t o m C o n t e n t > < ! [ C D A T A [ T a b l e 1 3 _ _ 2 ] ] > < / 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 I n c o m e   S t a t e m e n t 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  S t a t e m e n t 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 C o l u m n s \ I n c o m e   S t a t e m e n t   D a t a < / 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 B a l a n c e 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 B a l a n c e 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 S h a r e 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 S h a r e 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  p e r   S h a r e 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 C o l u m n s \ C o l u m n 9 < / K e y > < / a : K e y > < a : V a l u e   i : t y p e = " T a b l e W i d g e t B a s e V i e w S t a t e " / > < / a : K e y V a l u e O f D i a g r a m O b j e c t K e y a n y T y p e z b w N T n L X > < a : K e y V a l u e O f D i a g r a m O b j e c t K e y a n y T y p e z b w N T n L X > < a : K e y > < K e y > C o l u m n s \ C o l u m n 1 0 < / K e y > < / a : K e y > < a : V a l u e   i : t y p e = " T a b l e W i d g e t B a s e V i e w S t a t e " / > < / a : K e y V a l u e O f D i a g r a m O b j e c t K e y a n y T y p e z b w N T n L X > < a : K e y V a l u e O f D i a g r a m O b j e c t K e y a n y T y p e z b w N T n L X > < a : K e y > < K e y > C o l u m n s \ C o l u m n 1 1 < / K e y > < / a : K e y > < a : V a l u e   i : t y p e = " T a b l e W i d g e t B a s e V i e w S t a t e " / > < / a : K e y V a l u e O f D i a g r a m O b j e c t K e y a n y T y p e z b w N T n L X > < a : K e y V a l u e O f D i a g r a m O b j e c t K e y a n y T y p e z b w N T n L X > < a : K e y > < K e y > C o l u m n s \ C o l u m n 1 2 < / K e y > < / a : K e y > < a : V a l u e   i : t y p e = " T a b l e W i d g e t B a s e V i e w S t a t e " / > < / a : K e y V a l u e O f D i a g r a m O b j e c t K e y a n y T y p e z b w N T n L X > < a : K e y V a l u e O f D i a g r a m O b j e c t K e y a n y T y p e z b w N T n L X > < a : K e y > < K e y > C o l u m n s \ C o l u m n 1 3 < / K e y > < / a : K e y > < a : V a l u e   i : t y p e = " T a b l e W i d g e t B a s e V i e w S t a t e " / > < / a : K e y V a l u e O f D i a g r a m O b j e c t K e y a n y T y p e z b w N T n L X > < a : K e y V a l u e O f D i a g r a m O b j e c t K e y a n y T y p e z b w N T n L X > < a : K e y > < K e y > C o l u m n s \ C o l u m n 1 4 < / K e y > < / a : K e y > < a : V a l u e   i : t y p e = " T a b l e W i d g e t B a s e V i e w S t a t e " / > < / a : K e y V a l u e O f D i a g r a m O b j e c t K e y a n y T y p e z b w N T n L X > < a : K e y V a l u e O f D i a g r a m O b j e c t K e y a n y T y p e z b w N T n L X > < a : K e y > < K e y > C o l u m n s \ C o l u m n 1 5 < / K e y > < / a : K e y > < a : V a l u e   i : t y p e = " T a b l e W i d g e t B a s e V i e w S t a t e " / > < / a : K e y V a l u e O f D i a g r a m O b j e c t K e y a n y T y p e z b w N T n L X > < a : K e y V a l u e O f D i a g r a m O b j e c t K e y a n y T y p e z b w N T n L X > < a : K e y > < K e y > C o l u m n s \ C o l u m n 1 6 < / K e y > < / a : K e y > < a : V a l u e   i : t y p e = " T a b l e W i d g e t B a s e V i e w S t a t e " / > < / a : K e y V a l u e O f D i a g r a m O b j e c t K e y a n y T y p e z b w N T n L X > < a : K e y V a l u e O f D i a g r a m O b j e c t K e y a n y T y p e z b w N T n L X > < a : K e y > < K e y > C o l u m n s \ C o l u m n 1 7 < / K e y > < / a : K e y > < a : V a l u e   i : t y p e = " T a b l e W i d g e t B a s e V i e w S t a t e " / > < / a : K e y V a l u e O f D i a g r a m O b j e c t K e y a n y T y p e z b w N T n L X > < a : K e y V a l u e O f D i a g r a m O b j e c t K e y a n y T y p e z b w N T n L X > < a : K e y > < K e y > C o l u m n s \ C o l u m n 1 8 < / K e y > < / a : K e y > < a : V a l u e   i : t y p e = " T a b l e W i d g e t B a s e V i e w S t a t e " / > < / a : K e y V a l u e O f D i a g r a m O b j e c t K e y a n y T y p e z b w N T n L X > < a : K e y V a l u e O f D i a g r a m O b j e c t K e y a n y T y p e z b w N T n L X > < a : K e y > < K e y > C o l u m n s \ C o l u m n 1 9 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 F C F < / 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 F C F < / 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 C o l u m n s \ F r e e   C a s h   F l o w s 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X M L _ T a b l e 2 _ 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 V a l u e < / s t r i n g > < / k e y > < v a l u e > < i n t > 9 0 < / i n t > < / v a l u e > < / i t e m > < i t e m > < k e y > < s t r i n g > I n c o m e   S t a t e m e n t   D a t a < / s t r i n g > < / k e y > < v a l u e > < i n t > 1 1 7 < / i n t > < / v a l u e > < / i t e m > < / C o l u m n W i d t h s > < C o l u m n D i s p l a y I n d e x > < i t e m > < k e y > < s t r i n g > Y e a r < / s t r i n g > < / k e y > < v a l u e > < i n t > 1 < / i n t > < / v a l u e > < / i t e m > < i t e m > < k e y > < s t r i n g > V a l u e < / s t r i n g > < / k e y > < v a l u e > < i n t > 2 < / i n t > < / v a l u e > < / i t e m > < i t e m > < k e y > < s t r i n g > I n c o m e   S t a t e m e n t   D a t a < / 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 2 0 2 5 - 0 5 - 2 9 T 0 2 : 0 9 : 0 8 . 0 4 9 1 4 2 5 + 0 2 : 0 0 < / L a s t P r o c e s s e d T i m e > < / D a t a M o d e l i n g S a n d b o x . S e r i a l i z e d S a n d b o x E r r o r C a c h e > ] ] > < / C u s t o m C o n t e n t > < / G e m i n i > 
</file>

<file path=customXml/item3.xml>��< ? x m l   v e r s i o n = " 1 . 0 "   e n c o d i n g = " U T F - 1 6 " ? > < G e m i n i   x m l n s = " h t t p : / / g e m i n i / p i v o t c u s t o m i z a t i o n / T a b l e X M L _ T a b l e 6 _ 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 V a l u e < / s t r i n g > < / k e y > < v a l u e > < i n t > 9 0 < / i n t > < / v a l u e > < / i t e m > < i t e m > < k e y > < s t r i n g > D a t a   p e r   S h a r e < / s t r i n g > < / k e y > < v a l u e > < i n t > 1 1 7 < / i n t > < / v a l u e > < / i t e m > < / C o l u m n W i d t h s > < C o l u m n D i s p l a y I n d e x > < i t e m > < k e y > < s t r i n g > Y e a r < / s t r i n g > < / k e y > < v a l u e > < i n t > 1 < / i n t > < / v a l u e > < / i t e m > < i t e m > < k e y > < s t r i n g > V a l u e < / s t r i n g > < / k e y > < v a l u e > < i n t > 2 < / i n t > < / v a l u e > < / i t e m > < i t e m > < k e y > < s t r i n g > D a t a   p e r   S h a r e 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7 " > < 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4 _ 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i t e m > < k e y > < s t r i n g > Y e a r < / s t r i n g > < / k e y > < v a l u e > < i n t > 8 0 < / i n t > < / v a l u e > < / i t e m > < i t e m > < k e y > < s t r i n g > V a l u e < / s t r i n g > < / k e y > < v a l u e > < i n t > 9 0 < / i n t > < / v a l u e > < / i t e m > < / C o l u m n W i d t h s > < C o l u m n D i s p l a y I n d e x > < i t e m > < k e y > < s t r i n g > C o l u m n 1 < / s t r i n g > < / k e y > < v a l u e > < i n t > 0 < / i n t > < / v a l u e > < / i t e m > < i t e m > < k e y > < s t r i n g > Y e a r < / 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8"?>
<ct:contentTypeSchema xmlns:ct="http://schemas.microsoft.com/office/2006/metadata/contentType" xmlns:ma="http://schemas.microsoft.com/office/2006/metadata/properties/metaAttributes" ct:_="" ma:_="" ma:contentTypeName="Dokument" ma:contentTypeID="0x01010048963D7C579FE547888BAC99C54DEF41" ma:contentTypeVersion="14" ma:contentTypeDescription="Ein neues Dokument erstellen." ma:contentTypeScope="" ma:versionID="b6912b00e90c2a6d0a967a7d05de1319">
  <xsd:schema xmlns:xsd="http://www.w3.org/2001/XMLSchema" xmlns:xs="http://www.w3.org/2001/XMLSchema" xmlns:p="http://schemas.microsoft.com/office/2006/metadata/properties" xmlns:ns3="aa3c0d43-5de0-4069-8978-a3679d70ba3a" xmlns:ns4="b3f1639b-5fc2-4982-9835-da758166c084" targetNamespace="http://schemas.microsoft.com/office/2006/metadata/properties" ma:root="true" ma:fieldsID="55ef69cf7519594b13de001c1869976d" ns3:_="" ns4:_="">
    <xsd:import namespace="aa3c0d43-5de0-4069-8978-a3679d70ba3a"/>
    <xsd:import namespace="b3f1639b-5fc2-4982-9835-da758166c08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3c0d43-5de0-4069-8978-a3679d70ba3a"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f1639b-5fc2-4982-9835-da758166c08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1 6 " ? > < G e m i n i   x m l n s = " h t t p : / / g e m i n i / p i v o t c u s t o m i z a t i o n / T a b l e X M L _ T a b l e 1 3 _ _ 2 " > < C u s t o m C o n t e n t > < ! [ C D A T A [ < T a b l e W i d g e t G r i d S e r i a l i z a t i o n   x m l n s : x s d = " h t t p : / / w w w . w 3 . o r g / 2 0 0 1 / X M L S c h e m a "   x m l n s : x s i = " h t t p : / / w w w . w 3 . o r g / 2 0 0 1 / X M L S c h e m a - i n s t a n c e " > < C o l u m n S u g g e s t e d T y p e   / > < C o l u m n F o r m a t   / > < C o l u m n A c c u r a c y   / > < C o l u m n C u r r e n c y S y m b o l   / > < C o l u m n P o s i t i v e P a t t e r n   / > < C o l u m n N e g a t i v e P a t t e r n   / > < C o l u m n W i d t h s > < i t e m > < k e y > < s t r i n g > F r e e   C a s h   F l o w s < / s t r i n g > < / k e y > < v a l u e > < i n t > 1 8 4 < / i n t > < / v a l u e > < / i t e m > < i t e m > < k e y > < s t r i n g > Y e a r < / s t r i n g > < / k e y > < v a l u e > < i n t > 8 0 < / i n t > < / v a l u e > < / i t e m > < i t e m > < k e y > < s t r i n g > V a l u e < / s t r i n g > < / k e y > < v a l u e > < i n t > 9 0 < / i n t > < / v a l u e > < / i t e m > < / C o l u m n W i d t h s > < C o l u m n D i s p l a y I n d e x > < i t e m > < k e y > < s t r i n g > F r e e   C a s h   F l o w s < / s t r i n g > < / k e y > < v a l u e > < i n t > 0 < / i n t > < / v a l u e > < / i t e m > < i t e m > < k e y > < s t r i n g > Y e a r < / s t r i n g > < / k e y > < v a l u e > < i n t > 1 < / i n t > < / v a l u e > < / i t e m > < i t e m > < k e y > < s t r i n g > V a l u e 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 T a b l e 2 _ 1 < / K e y > < V a l u e   x m l n s : a = " h t t p : / / s c h e m a s . d a t a c o n t r a c t . o r g / 2 0 0 4 / 0 7 / M i c r o s o f t . A n a l y s i s S e r v i c e s . C o m m o n " > < a : H a s F o c u s > t r u e < / a : H a s F o c u s > < a : S i z e A t D p i 9 6 > 1 1 7 < / a : S i z e A t D p i 9 6 > < a : V i s i b l e > t r u e < / a : V i s i b l e > < / V a l u e > < / K e y V a l u e O f s t r i n g S a n d b o x E d i t o r . M e a s u r e G r i d S t a t e S c d E 3 5 R y > < K e y V a l u e O f s t r i n g S a n d b o x E d i t o r . M e a s u r e G r i d S t a t e S c d E 3 5 R y > < K e y > T a b l e 4 _ 1 < / K e y > < V a l u e   x m l n s : a = " h t t p : / / s c h e m a s . d a t a c o n t r a c t . o r g / 2 0 0 4 / 0 7 / M i c r o s o f t . A n a l y s i s S e r v i c e s . C o m m o n " > < a : H a s F o c u s > t r u e < / a : H a s F o c u s > < a : S i z e A t D p i 9 6 > 1 1 6 < / a : S i z e A t D p i 9 6 > < a : V i s i b l e > t r u e < / a : V i s i b l e > < / V a l u e > < / K e y V a l u e O f s t r i n g S a n d b o x E d i t o r . M e a s u r e G r i d S t a t e S c d E 3 5 R y > < K e y V a l u e O f s t r i n g S a n d b o x E d i t o r . M e a s u r e G r i d S t a t e S c d E 3 5 R y > < K e y > T a b l e 6 _ 1 < / K e y > < V a l u e   x m l n s : a = " h t t p : / / s c h e m a s . d a t a c o n t r a c t . o r g / 2 0 0 4 / 0 7 / M i c r o s o f t . A n a l y s i s S e r v i c e s . C o m m o n " > < a : H a s F o c u s > t r u e < / a : H a s F o c u s > < a : S i z e A t D p i 9 6 > 1 1 7 < / a : S i z e A t D p i 9 6 > < a : V i s i b l e > t r u e < / a : V i s i b l e > < / V a l u e > < / K e y V a l u e O f s t r i n g S a n d b o x E d i t o r . M e a s u r e G r i d S t a t e S c d E 3 5 R y > < K e y V a l u e O f s t r i n g S a n d b o x E d i t o r . M e a s u r e G r i d S t a t e S c d E 3 5 R y > < K e y > T a b l e 8 _ 1 < / K e y > < V a l u e   x m l n s : a = " h t t p : / / s c h e m a s . d a t a c o n t r a c t . o r g / 2 0 0 4 / 0 7 / M i c r o s o f t . A n a l y s i s S e r v i c e s . C o m m o n " > < a : H a s F o c u s > t r u e < / a : H a s F o c u s > < a : S i z e A t D p i 9 6 > 1 1 6 < / a : S i z e A t D p i 9 6 > < a : V i s i b l e > t r u e < / a : V i s i b l e > < / V a l u e > < / K e y V a l u e O f s t r i n g S a n d b o x E d i t o r . M e a s u r e G r i d S t a t e S c d E 3 5 R y > < K e y V a l u e O f s t r i n g S a n d b o x E d i t o r . M e a s u r e G r i d S t a t e S c d E 3 5 R y > < K e y > T a b l e 1 0 _ 1 1 3 < / K e y > < V a l u e   x m l n s : a = " h t t p : / / s c h e m a s . d a t a c o n t r a c t . o r g / 2 0 0 4 / 0 7 / M i c r o s o f t . A n a l y s i s S e r v i c e s . C o m m o n " > < a : H a s F o c u s > t r u e < / a : H a s F o c u s > < a : S i z e A t D p i 9 6 > 1 1 6 < / a : S i z e A t D p i 9 6 > < a : V i s i b l e > t r u e < / a : V i s i b l e > < / V a l u e > < / K e y V a l u e O f s t r i n g S a n d b o x E d i t o r . M e a s u r e G r i d S t a t e S c d E 3 5 R y > < K e y V a l u e O f s t r i n g S a n d b o x E d i t o r . M e a s u r e G r i d S t a t e S c d E 3 5 R y > < K e y > T a b l e 1 7 < / K e y > < V a l u e   x m l n s : a = " h t t p : / / s c h e m a s . d a t a c o n t r a c t . o r g / 2 0 0 4 / 0 7 / M i c r o s o f t . A n a l y s i s S e r v i c e s . C o m m o n " > < a : H a s F o c u s > t r u e < / a : H a s F o c u s > < a : S i z e A t D p i 9 6 > 1 1 7 < / a : S i z e A t D p i 9 6 > < a : V i s i b l e > t r u e < / a : V i s i b l e > < / V a l u e > < / K e y V a l u e O f s t r i n g S a n d b o x E d i t o r . M e a s u r e G r i d S t a t e S c d E 3 5 R y > < K e y V a l u e O f s t r i n g S a n d b o x E d i t o r . M e a s u r e G r i d S t a t e S c d E 3 5 R y > < K e y > T a b l e 1 3 _ _ 2 < / 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354B88F-5E79-4478-A04F-6A21900BD593}">
  <ds:schemaRefs>
    <ds:schemaRef ds:uri="http://schemas.microsoft.com/DataMashup"/>
  </ds:schemaRefs>
</ds:datastoreItem>
</file>

<file path=customXml/itemProps10.xml><?xml version="1.0" encoding="utf-8"?>
<ds:datastoreItem xmlns:ds="http://schemas.openxmlformats.org/officeDocument/2006/customXml" ds:itemID="{69437628-40A5-4BDC-BE01-1502A5CA1812}">
  <ds:schemaRefs/>
</ds:datastoreItem>
</file>

<file path=customXml/itemProps11.xml><?xml version="1.0" encoding="utf-8"?>
<ds:datastoreItem xmlns:ds="http://schemas.openxmlformats.org/officeDocument/2006/customXml" ds:itemID="{F9DB3B1A-1027-44D6-831E-024ECBD350CE}">
  <ds:schemaRefs/>
</ds:datastoreItem>
</file>

<file path=customXml/itemProps12.xml><?xml version="1.0" encoding="utf-8"?>
<ds:datastoreItem xmlns:ds="http://schemas.openxmlformats.org/officeDocument/2006/customXml" ds:itemID="{F7725B3C-E521-4B85-B7C0-3AA1D1F66B2E}">
  <ds:schemaRefs/>
</ds:datastoreItem>
</file>

<file path=customXml/itemProps13.xml><?xml version="1.0" encoding="utf-8"?>
<ds:datastoreItem xmlns:ds="http://schemas.openxmlformats.org/officeDocument/2006/customXml" ds:itemID="{8DC61417-607D-4C16-9700-F198AF477EEC}">
  <ds:schemaRefs/>
</ds:datastoreItem>
</file>

<file path=customXml/itemProps14.xml><?xml version="1.0" encoding="utf-8"?>
<ds:datastoreItem xmlns:ds="http://schemas.openxmlformats.org/officeDocument/2006/customXml" ds:itemID="{1AE8316D-0A1D-4606-91B8-3026B7F0FBAF}">
  <ds:schemaRefs/>
</ds:datastoreItem>
</file>

<file path=customXml/itemProps15.xml><?xml version="1.0" encoding="utf-8"?>
<ds:datastoreItem xmlns:ds="http://schemas.openxmlformats.org/officeDocument/2006/customXml" ds:itemID="{024D2FE7-8526-4575-9380-5E041FDC1568}">
  <ds:schemaRefs>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http://schemas.microsoft.com/office/infopath/2007/PartnerControls"/>
    <ds:schemaRef ds:uri="aa3c0d43-5de0-4069-8978-a3679d70ba3a"/>
    <ds:schemaRef ds:uri="b3f1639b-5fc2-4982-9835-da758166c084"/>
    <ds:schemaRef ds:uri="http://schemas.openxmlformats.org/package/2006/metadata/core-properties"/>
    <ds:schemaRef ds:uri="http://purl.org/dc/dcmitype/"/>
  </ds:schemaRefs>
</ds:datastoreItem>
</file>

<file path=customXml/itemProps16.xml><?xml version="1.0" encoding="utf-8"?>
<ds:datastoreItem xmlns:ds="http://schemas.openxmlformats.org/officeDocument/2006/customXml" ds:itemID="{8E2DBC46-7C63-47B0-BCEB-185586FD418A}">
  <ds:schemaRefs/>
</ds:datastoreItem>
</file>

<file path=customXml/itemProps17.xml><?xml version="1.0" encoding="utf-8"?>
<ds:datastoreItem xmlns:ds="http://schemas.openxmlformats.org/officeDocument/2006/customXml" ds:itemID="{8199EFFD-4379-4F4D-B99E-2AD47F7ADA1D}">
  <ds:schemaRefs/>
</ds:datastoreItem>
</file>

<file path=customXml/itemProps18.xml><?xml version="1.0" encoding="utf-8"?>
<ds:datastoreItem xmlns:ds="http://schemas.openxmlformats.org/officeDocument/2006/customXml" ds:itemID="{226447BD-6E40-476C-A8A5-485A2127CA41}">
  <ds:schemaRefs/>
</ds:datastoreItem>
</file>

<file path=customXml/itemProps19.xml><?xml version="1.0" encoding="utf-8"?>
<ds:datastoreItem xmlns:ds="http://schemas.openxmlformats.org/officeDocument/2006/customXml" ds:itemID="{6E141162-8A12-4C40-BF17-0F8B6BA2961A}">
  <ds:schemaRefs/>
</ds:datastoreItem>
</file>

<file path=customXml/itemProps2.xml><?xml version="1.0" encoding="utf-8"?>
<ds:datastoreItem xmlns:ds="http://schemas.openxmlformats.org/officeDocument/2006/customXml" ds:itemID="{B348BD5E-561A-4B5A-B084-2E8893100D5F}">
  <ds:schemaRefs>
    <ds:schemaRef ds:uri="http://schemas.microsoft.com/sharepoint/v3/contenttype/forms"/>
  </ds:schemaRefs>
</ds:datastoreItem>
</file>

<file path=customXml/itemProps20.xml><?xml version="1.0" encoding="utf-8"?>
<ds:datastoreItem xmlns:ds="http://schemas.openxmlformats.org/officeDocument/2006/customXml" ds:itemID="{7F6528D9-3075-40B1-A05A-377D0F8C4DBF}">
  <ds:schemaRefs/>
</ds:datastoreItem>
</file>

<file path=customXml/itemProps21.xml><?xml version="1.0" encoding="utf-8"?>
<ds:datastoreItem xmlns:ds="http://schemas.openxmlformats.org/officeDocument/2006/customXml" ds:itemID="{5507A31A-76CD-4EA9-B53C-631A8910FA81}">
  <ds:schemaRefs/>
</ds:datastoreItem>
</file>

<file path=customXml/itemProps22.xml><?xml version="1.0" encoding="utf-8"?>
<ds:datastoreItem xmlns:ds="http://schemas.openxmlformats.org/officeDocument/2006/customXml" ds:itemID="{1FF35AF7-D161-4136-A89A-137DB0A8BFFD}">
  <ds:schemaRefs/>
</ds:datastoreItem>
</file>

<file path=customXml/itemProps23.xml><?xml version="1.0" encoding="utf-8"?>
<ds:datastoreItem xmlns:ds="http://schemas.openxmlformats.org/officeDocument/2006/customXml" ds:itemID="{D0576C63-00A6-416E-B4F1-FE4A7B13C2B6}">
  <ds:schemaRefs/>
</ds:datastoreItem>
</file>

<file path=customXml/itemProps24.xml><?xml version="1.0" encoding="utf-8"?>
<ds:datastoreItem xmlns:ds="http://schemas.openxmlformats.org/officeDocument/2006/customXml" ds:itemID="{288F6D88-4483-467D-B37C-FEEB1E3C4B59}">
  <ds:schemaRefs/>
</ds:datastoreItem>
</file>

<file path=customXml/itemProps25.xml><?xml version="1.0" encoding="utf-8"?>
<ds:datastoreItem xmlns:ds="http://schemas.openxmlformats.org/officeDocument/2006/customXml" ds:itemID="{93D1978A-5A8A-4DDE-8479-535F3F4DE036}">
  <ds:schemaRefs/>
</ds:datastoreItem>
</file>

<file path=customXml/itemProps26.xml><?xml version="1.0" encoding="utf-8"?>
<ds:datastoreItem xmlns:ds="http://schemas.openxmlformats.org/officeDocument/2006/customXml" ds:itemID="{4CFCEAFA-1DD2-42CB-8675-77AFE2F34036}">
  <ds:schemaRefs/>
</ds:datastoreItem>
</file>

<file path=customXml/itemProps3.xml><?xml version="1.0" encoding="utf-8"?>
<ds:datastoreItem xmlns:ds="http://schemas.openxmlformats.org/officeDocument/2006/customXml" ds:itemID="{9C567E0D-C1F0-4855-84EE-E0D878FEB956}">
  <ds:schemaRefs/>
</ds:datastoreItem>
</file>

<file path=customXml/itemProps4.xml><?xml version="1.0" encoding="utf-8"?>
<ds:datastoreItem xmlns:ds="http://schemas.openxmlformats.org/officeDocument/2006/customXml" ds:itemID="{134EA518-D0BD-432D-BF4E-C0E26388D1F0}">
  <ds:schemaRefs/>
</ds:datastoreItem>
</file>

<file path=customXml/itemProps5.xml><?xml version="1.0" encoding="utf-8"?>
<ds:datastoreItem xmlns:ds="http://schemas.openxmlformats.org/officeDocument/2006/customXml" ds:itemID="{BDCB2F42-27F9-4E6F-96AC-E2BB3BD28162}">
  <ds:schemaRefs/>
</ds:datastoreItem>
</file>

<file path=customXml/itemProps6.xml><?xml version="1.0" encoding="utf-8"?>
<ds:datastoreItem xmlns:ds="http://schemas.openxmlformats.org/officeDocument/2006/customXml" ds:itemID="{F56B24D1-E43F-4464-B681-7DBDDB63FFEB}">
  <ds:schemaRefs/>
</ds:datastoreItem>
</file>

<file path=customXml/itemProps7.xml><?xml version="1.0" encoding="utf-8"?>
<ds:datastoreItem xmlns:ds="http://schemas.openxmlformats.org/officeDocument/2006/customXml" ds:itemID="{899032AF-6CDD-44AF-AA11-0F723243B5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3c0d43-5de0-4069-8978-a3679d70ba3a"/>
    <ds:schemaRef ds:uri="b3f1639b-5fc2-4982-9835-da758166c0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8.xml><?xml version="1.0" encoding="utf-8"?>
<ds:datastoreItem xmlns:ds="http://schemas.openxmlformats.org/officeDocument/2006/customXml" ds:itemID="{EE4EB70E-D84E-4338-82CB-0ED915502AF7}">
  <ds:schemaRefs/>
</ds:datastoreItem>
</file>

<file path=customXml/itemProps9.xml><?xml version="1.0" encoding="utf-8"?>
<ds:datastoreItem xmlns:ds="http://schemas.openxmlformats.org/officeDocument/2006/customXml" ds:itemID="{A5CDEF6F-7A4D-4BAE-B76F-DBDC075F14E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DCF</vt:lpstr>
      <vt:lpstr>WACC</vt:lpstr>
      <vt:lpstr>Dashboard</vt:lpstr>
      <vt:lpstr>Pivot Table</vt:lpstr>
      <vt:lpstr>Table2</vt:lpstr>
      <vt:lpstr>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Anh Viet</dc:creator>
  <cp:lastModifiedBy>Ngo, Anh Viet</cp:lastModifiedBy>
  <dcterms:created xsi:type="dcterms:W3CDTF">2025-05-25T18:54:37Z</dcterms:created>
  <dcterms:modified xsi:type="dcterms:W3CDTF">2025-09-24T19:22:33Z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0x01010048963D7C579FE547888BAC99C54DEF41</vt:lpwstr>
  </property>
</Properties>
</file>