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hidden" name="AU Freight" sheetId="4" r:id="rId7"/>
    <sheet state="visible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0" name="_xlnm._FilterDatabase">'Wk - Margins'!$A$2:$AQ$612</definedName>
    <definedName hidden="1" localSheetId="1" name="_xlnm._FilterDatabase">'Input - Bookings'!$B$2:$AF$433</definedName>
    <definedName hidden="1" localSheetId="3" name="_xlnm._FilterDatabase">'AU Freight'!$A$3:$I$270</definedName>
    <definedName hidden="1" localSheetId="5" name="_xlnm._FilterDatabase">'Australia Plants'!$A$1:$J$252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<sst xmlns="http://schemas.openxmlformats.org/spreadsheetml/2006/main" count="12242" uniqueCount="2005">
  <si>
    <t>DO NOT CHANGE SEQUENCE - FORMATED</t>
  </si>
  <si>
    <t>Get from NOVO download</t>
  </si>
  <si>
    <t>Calculated</t>
  </si>
  <si>
    <t>check from description</t>
  </si>
  <si>
    <t>check from last column in quote (NOVO)</t>
  </si>
  <si>
    <t>MFG Cost</t>
  </si>
  <si>
    <t>AU BT Duty</t>
  </si>
  <si>
    <t>Date</t>
  </si>
  <si>
    <t>Region 2</t>
  </si>
  <si>
    <t>Region</t>
  </si>
  <si>
    <t>Country</t>
  </si>
  <si>
    <t>Mkt / Brand</t>
  </si>
  <si>
    <t>Dealer</t>
  </si>
  <si>
    <t>Order #</t>
  </si>
  <si>
    <t>Billto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</si>
  <si>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</si>
  <si>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</si>
  <si>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</si>
  <si>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</si>
  <si>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</si>
  <si>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</si>
  <si>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</si>
  <si>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</si>
  <si>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</si>
  <si>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</si>
  <si>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</si>
  <si>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</si>
  <si>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</si>
  <si>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</si>
  <si>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</si>
  <si>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</si>
  <si>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</si>
  <si>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</si>
  <si>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</si>
  <si>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</si>
  <si>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</si>
  <si>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</si>
  <si>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</si>
  <si>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</si>
  <si>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</si>
  <si>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</si>
  <si>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</si>
  <si>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</si>
  <si>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</si>
  <si>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</si>
  <si>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</si>
  <si>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</si>
  <si>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LP in USD</t>
  </si>
  <si>
    <t xml:space="preserve">Dnet in USD </t>
  </si>
  <si>
    <t>Supplement 720</t>
  </si>
  <si>
    <t>C915</t>
  </si>
  <si>
    <t>R1.25EX 2</t>
  </si>
  <si>
    <t>`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</si>
  <si>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</si>
  <si>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</si>
  <si>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</si>
  <si>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</si>
  <si>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</si>
  <si>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</si>
  <si>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ORDERNO</t>
  </si>
  <si>
    <t>BILLTO</t>
  </si>
  <si>
    <t>DEALERNAME</t>
  </si>
  <si>
    <t>CTRYCODE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</si>
  <si>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</si>
  <si>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</si>
  <si>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</si>
  <si>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</si>
  <si>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</si>
  <si>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</si>
  <si>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</si>
  <si>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</si>
  <si>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H33869</t>
  </si>
  <si>
    <t>814065</t>
  </si>
  <si>
    <t>JENBUNJERD CO LTD</t>
  </si>
  <si>
    <t>TH</t>
  </si>
  <si>
    <t>R</t>
  </si>
  <si>
    <t>POI2300443</t>
  </si>
  <si>
    <t>A7S4</t>
  </si>
  <si>
    <t>ERP35UX</t>
  </si>
  <si>
    <t/>
  </si>
  <si>
    <t>1</t>
  </si>
  <si>
    <t>H34405</t>
  </si>
  <si>
    <t>880805</t>
  </si>
  <si>
    <t>ELECTROMECH LIFT TRUCKS</t>
  </si>
  <si>
    <t>IN</t>
  </si>
  <si>
    <t>23-24/I0051</t>
  </si>
  <si>
    <t>ERP20UX</t>
  </si>
  <si>
    <t>H34408</t>
  </si>
  <si>
    <t>23-24/I0051-02</t>
  </si>
  <si>
    <t>H34409</t>
  </si>
  <si>
    <t>23-24/I0051-03</t>
  </si>
  <si>
    <t>H34410</t>
  </si>
  <si>
    <t>23-24/I0051-04</t>
  </si>
  <si>
    <t>H34411</t>
  </si>
  <si>
    <t>23-24/I0051-05</t>
  </si>
  <si>
    <t>H34412</t>
  </si>
  <si>
    <t>23-24/I0051-06</t>
  </si>
  <si>
    <t>H34413</t>
  </si>
  <si>
    <t>23-24/I0051-07</t>
  </si>
  <si>
    <t>H34414</t>
  </si>
  <si>
    <t>23-24/I0051-08</t>
  </si>
  <si>
    <t>H34415</t>
  </si>
  <si>
    <t>23-24/I0051-09</t>
  </si>
  <si>
    <t>H34416</t>
  </si>
  <si>
    <t>23-24/I0051-10</t>
  </si>
  <si>
    <t>H34417</t>
  </si>
  <si>
    <t>23-24/I0051-11</t>
  </si>
  <si>
    <t>H34418</t>
  </si>
  <si>
    <t>23-24/I0051-12</t>
  </si>
  <si>
    <t>H34406</t>
  </si>
  <si>
    <t>23-24/I0051-13</t>
  </si>
  <si>
    <t>ERP30UX</t>
  </si>
  <si>
    <t>H34419</t>
  </si>
  <si>
    <t>23-24/I0051-14</t>
  </si>
  <si>
    <t>H34420</t>
  </si>
  <si>
    <t>23-24/I0051-15</t>
  </si>
  <si>
    <t>H34421</t>
  </si>
  <si>
    <t>23-24/I0051-16</t>
  </si>
  <si>
    <t>H34407</t>
  </si>
  <si>
    <t>23-24/I0051-17</t>
  </si>
  <si>
    <t>A7R7</t>
  </si>
  <si>
    <t>MSL15XUX</t>
  </si>
  <si>
    <t>3</t>
  </si>
  <si>
    <t>H34422</t>
  </si>
  <si>
    <t>23-24/I0051-18</t>
  </si>
  <si>
    <t>H34423</t>
  </si>
  <si>
    <t>23-24/I0051-19</t>
  </si>
  <si>
    <t>H34424</t>
  </si>
  <si>
    <t>23-24/I0051-20</t>
  </si>
  <si>
    <t>H34401</t>
  </si>
  <si>
    <t>23-24/I0052</t>
  </si>
  <si>
    <t>C900</t>
  </si>
  <si>
    <t>FBR15SZ</t>
  </si>
  <si>
    <t>2</t>
  </si>
  <si>
    <t>H34402</t>
  </si>
  <si>
    <t>23-24/I0052-02</t>
  </si>
  <si>
    <t>H34403</t>
  </si>
  <si>
    <t>23-24/I0052-03</t>
  </si>
  <si>
    <t>H35950</t>
  </si>
  <si>
    <t>017005</t>
  </si>
  <si>
    <t>KY LUC CO., LTD</t>
  </si>
  <si>
    <t>VN</t>
  </si>
  <si>
    <t>Y-U-02023</t>
  </si>
  <si>
    <t>D871</t>
  </si>
  <si>
    <t>GP25MX</t>
  </si>
  <si>
    <t>5</t>
  </si>
  <si>
    <t>065</t>
  </si>
  <si>
    <t>H36924</t>
  </si>
  <si>
    <t>006065</t>
  </si>
  <si>
    <t>DILOK AND SONS CO.,LTD.</t>
  </si>
  <si>
    <t>TH2023/8549</t>
  </si>
  <si>
    <t>A3D0</t>
  </si>
  <si>
    <t>H7.0UT6</t>
  </si>
  <si>
    <t>H37545</t>
  </si>
  <si>
    <t>081645</t>
  </si>
  <si>
    <t>HYSTER KOREA INC.</t>
  </si>
  <si>
    <t>KR</t>
  </si>
  <si>
    <t>23053HKT0616</t>
  </si>
  <si>
    <t>A3C4</t>
  </si>
  <si>
    <t>J2.0UT</t>
  </si>
  <si>
    <t>H37546</t>
  </si>
  <si>
    <t>23054HKT0616</t>
  </si>
  <si>
    <t>J2.5UT</t>
  </si>
  <si>
    <t>H37547</t>
  </si>
  <si>
    <t>23055HKT0616</t>
  </si>
  <si>
    <t>H37548</t>
  </si>
  <si>
    <t>23056HKT0617</t>
  </si>
  <si>
    <t>H37549</t>
  </si>
  <si>
    <t>23057HKT0616</t>
  </si>
  <si>
    <t>H37550</t>
  </si>
  <si>
    <t>23058HKT0616</t>
  </si>
  <si>
    <t>H37953</t>
  </si>
  <si>
    <t>804105</t>
  </si>
  <si>
    <t>PT UNIVERSAL TRAKTOR</t>
  </si>
  <si>
    <t>ID</t>
  </si>
  <si>
    <t>Universal Traktor</t>
  </si>
  <si>
    <t>A7S1</t>
  </si>
  <si>
    <t>GP30UX</t>
  </si>
  <si>
    <t>H37954</t>
  </si>
  <si>
    <t>H37955</t>
  </si>
  <si>
    <t>H37956</t>
  </si>
  <si>
    <t>H37957</t>
  </si>
  <si>
    <t>H37958</t>
  </si>
  <si>
    <t>TH2023/8550</t>
  </si>
  <si>
    <t>J3.0UT</t>
  </si>
  <si>
    <t>H37959</t>
  </si>
  <si>
    <t>Y-U-02123</t>
  </si>
  <si>
    <t>C881</t>
  </si>
  <si>
    <t>FB25RZ</t>
  </si>
  <si>
    <t>H38077</t>
  </si>
  <si>
    <t>001255</t>
  </si>
  <si>
    <t>ID2023/1665</t>
  </si>
  <si>
    <t>A3C3</t>
  </si>
  <si>
    <t>S1.5UT</t>
  </si>
  <si>
    <t>H37964</t>
  </si>
  <si>
    <t>POI2300482</t>
  </si>
  <si>
    <t>E861</t>
  </si>
  <si>
    <t>NDR035EC</t>
  </si>
  <si>
    <t>H37965</t>
  </si>
  <si>
    <t>POI2300483</t>
  </si>
  <si>
    <t>H37966</t>
  </si>
  <si>
    <t>POI2300484</t>
  </si>
  <si>
    <t>H38071</t>
  </si>
  <si>
    <t>TH2023/8551</t>
  </si>
  <si>
    <t>A3C1</t>
  </si>
  <si>
    <t>H2.5UT</t>
  </si>
  <si>
    <t>H38072</t>
  </si>
  <si>
    <t>TH2023/8552</t>
  </si>
  <si>
    <t>H38073</t>
  </si>
  <si>
    <t>TH2023/8553</t>
  </si>
  <si>
    <t>H38074</t>
  </si>
  <si>
    <t>TH2023/8554</t>
  </si>
  <si>
    <t>H38075</t>
  </si>
  <si>
    <t>TH2023/8555</t>
  </si>
  <si>
    <t>H38076</t>
  </si>
  <si>
    <t>TH2023/8556</t>
  </si>
  <si>
    <t>H38367</t>
  </si>
  <si>
    <t>005065</t>
  </si>
  <si>
    <t>HYSTER-YALE LIFT TRUCKS</t>
  </si>
  <si>
    <t>SG</t>
  </si>
  <si>
    <t>HYS2023-021</t>
  </si>
  <si>
    <t>A185</t>
  </si>
  <si>
    <t>R30XMA3</t>
  </si>
  <si>
    <t>H38368</t>
  </si>
  <si>
    <t>HYS2023-022</t>
  </si>
  <si>
    <t>H38369</t>
  </si>
  <si>
    <t>HYS2023-023</t>
  </si>
  <si>
    <t>H38370</t>
  </si>
  <si>
    <t>HYS2023-024</t>
  </si>
  <si>
    <t>H38371</t>
  </si>
  <si>
    <t>TH2023/8557</t>
  </si>
  <si>
    <t>H38372</t>
  </si>
  <si>
    <t>TH2023/8558</t>
  </si>
  <si>
    <t>H38373</t>
  </si>
  <si>
    <t>TH2023/8559</t>
  </si>
  <si>
    <t>H38374</t>
  </si>
  <si>
    <t>TH2023/8560</t>
  </si>
  <si>
    <t>H38375</t>
  </si>
  <si>
    <t>TH2023/8561</t>
  </si>
  <si>
    <t>H38376</t>
  </si>
  <si>
    <t>TH2023/8562</t>
  </si>
  <si>
    <t>H38377</t>
  </si>
  <si>
    <t>TH2023/8563</t>
  </si>
  <si>
    <t>H38378</t>
  </si>
  <si>
    <t>TH2023/8564</t>
  </si>
  <si>
    <t>H38379</t>
  </si>
  <si>
    <t>TH2023/8565</t>
  </si>
  <si>
    <t>H38380</t>
  </si>
  <si>
    <t>TH2023/8566</t>
  </si>
  <si>
    <t>H38381</t>
  </si>
  <si>
    <t>TH2023/8567</t>
  </si>
  <si>
    <t>H38382</t>
  </si>
  <si>
    <t>Y-U-02223-1</t>
  </si>
  <si>
    <t>ERP25UX</t>
  </si>
  <si>
    <t>H38383</t>
  </si>
  <si>
    <t>Y-U-02223-2</t>
  </si>
  <si>
    <t>H38384</t>
  </si>
  <si>
    <t>082065</t>
  </si>
  <si>
    <t>PORTXGROUP PTY LTD</t>
  </si>
  <si>
    <t>PO-0318</t>
  </si>
  <si>
    <t>E264</t>
  </si>
  <si>
    <t>N30ZDR3</t>
  </si>
  <si>
    <t>H38385</t>
  </si>
  <si>
    <t>PO-0319</t>
  </si>
  <si>
    <t>H38388</t>
  </si>
  <si>
    <t>TH2023/8568</t>
  </si>
  <si>
    <t>D466</t>
  </si>
  <si>
    <t>H3.0XT</t>
  </si>
  <si>
    <t>H38389</t>
  </si>
  <si>
    <t>TH2023/8569</t>
  </si>
  <si>
    <t>H38390</t>
  </si>
  <si>
    <t>TH2023/8570</t>
  </si>
  <si>
    <t>H38391</t>
  </si>
  <si>
    <t>TH2023/8571</t>
  </si>
  <si>
    <t>H38644</t>
  </si>
  <si>
    <t>TH2023/8572</t>
  </si>
  <si>
    <t>H38645</t>
  </si>
  <si>
    <t>TH2023/8573</t>
  </si>
  <si>
    <t>R1.50EX  2</t>
  </si>
  <si>
    <t>H38450</t>
  </si>
  <si>
    <t>Y-U-02323</t>
  </si>
  <si>
    <t>FBR18SZ</t>
  </si>
  <si>
    <t>H38988</t>
  </si>
  <si>
    <t>011005</t>
  </si>
  <si>
    <t>SIME DARBY MATERIAL</t>
  </si>
  <si>
    <t>MY</t>
  </si>
  <si>
    <t>3030035854-1</t>
  </si>
  <si>
    <t>A3C9</t>
  </si>
  <si>
    <t>T3.0UT</t>
  </si>
  <si>
    <t>H38989</t>
  </si>
  <si>
    <t>3030035854-2</t>
  </si>
  <si>
    <t>H38990</t>
  </si>
  <si>
    <t>3030035854-3</t>
  </si>
  <si>
    <t>H38991</t>
  </si>
  <si>
    <t>3030035854-4</t>
  </si>
  <si>
    <t>H38992</t>
  </si>
  <si>
    <t>3030035854-5</t>
  </si>
  <si>
    <t>H38993</t>
  </si>
  <si>
    <t>3030035854-6</t>
  </si>
  <si>
    <t>H38994</t>
  </si>
  <si>
    <t>3030035854-7</t>
  </si>
  <si>
    <t>H39197</t>
  </si>
  <si>
    <t>816405</t>
  </si>
  <si>
    <t>YALE EQUIPMENT, INC</t>
  </si>
  <si>
    <t>23031YKT0626</t>
  </si>
  <si>
    <t>B869</t>
  </si>
  <si>
    <t>MTC15</t>
  </si>
  <si>
    <t>H39200</t>
  </si>
  <si>
    <t>808065</t>
  </si>
  <si>
    <t>YALETRAK PHILIPPINES, INC</t>
  </si>
  <si>
    <t>PH</t>
  </si>
  <si>
    <t>TRK-2103-23</t>
  </si>
  <si>
    <t>C295</t>
  </si>
  <si>
    <t>NR035DC</t>
  </si>
  <si>
    <t>H39397</t>
  </si>
  <si>
    <t>23059HKT0627</t>
  </si>
  <si>
    <t>A3B5</t>
  </si>
  <si>
    <t>P2.0UTE</t>
  </si>
  <si>
    <t>H39398</t>
  </si>
  <si>
    <t>23060HKT0627</t>
  </si>
  <si>
    <t>H39399</t>
  </si>
  <si>
    <t>23061HKT0627</t>
  </si>
  <si>
    <t>H39400</t>
  </si>
  <si>
    <t>23062HKT0627</t>
  </si>
  <si>
    <t>H39401</t>
  </si>
  <si>
    <t>23063HKT0627</t>
  </si>
  <si>
    <t>H39402</t>
  </si>
  <si>
    <t>23064HKT0627</t>
  </si>
  <si>
    <t>H39403</t>
  </si>
  <si>
    <t>23065HKT0627</t>
  </si>
  <si>
    <t>H39404</t>
  </si>
  <si>
    <t>23066HKT0627</t>
  </si>
  <si>
    <t>H39405</t>
  </si>
  <si>
    <t>23067HKT0627</t>
  </si>
  <si>
    <t>H39406</t>
  </si>
  <si>
    <t>23068HKT0627</t>
  </si>
  <si>
    <t>H39407</t>
  </si>
  <si>
    <t>23069HKT0627</t>
  </si>
  <si>
    <t>H39408</t>
  </si>
  <si>
    <t>23070HKT0627</t>
  </si>
  <si>
    <t>H39409</t>
  </si>
  <si>
    <t>23071HKT0627</t>
  </si>
  <si>
    <t>H39410</t>
  </si>
  <si>
    <t>23072HKT0627</t>
  </si>
  <si>
    <t>H39411</t>
  </si>
  <si>
    <t>23073HKT0627</t>
  </si>
  <si>
    <t>H39412</t>
  </si>
  <si>
    <t>23074HKT0627</t>
  </si>
  <si>
    <t>H39413</t>
  </si>
  <si>
    <t>23075HKT0627</t>
  </si>
  <si>
    <t>H39414</t>
  </si>
  <si>
    <t>23076HKT0627</t>
  </si>
  <si>
    <t>H39415</t>
  </si>
  <si>
    <t>23077HKT0627</t>
  </si>
  <si>
    <t>H39416</t>
  </si>
  <si>
    <t>23078HKT0627</t>
  </si>
  <si>
    <t>H39417</t>
  </si>
  <si>
    <t>23079HKT0627</t>
  </si>
  <si>
    <t>H39418</t>
  </si>
  <si>
    <t>23080HKT0627</t>
  </si>
  <si>
    <t>H39419</t>
  </si>
  <si>
    <t>23081HKT0627</t>
  </si>
  <si>
    <t>H39420</t>
  </si>
  <si>
    <t>23082HKT0627</t>
  </si>
  <si>
    <t>H39421</t>
  </si>
  <si>
    <t>23083HKT0627</t>
  </si>
  <si>
    <t>H39422</t>
  </si>
  <si>
    <t>23084HKT0627</t>
  </si>
  <si>
    <t>H39423</t>
  </si>
  <si>
    <t>23085HKT0627</t>
  </si>
  <si>
    <t>H39424</t>
  </si>
  <si>
    <t>23086HKT0627</t>
  </si>
  <si>
    <t>H39425</t>
  </si>
  <si>
    <t>23087HKT0627</t>
  </si>
  <si>
    <t>H39426</t>
  </si>
  <si>
    <t>23088HKT0627</t>
  </si>
  <si>
    <t>H39427</t>
  </si>
  <si>
    <t>23089HKT0627</t>
  </si>
  <si>
    <t>H39428</t>
  </si>
  <si>
    <t>23090HKT0627</t>
  </si>
  <si>
    <t>H39429</t>
  </si>
  <si>
    <t>23091HKT0627</t>
  </si>
  <si>
    <t>H39430</t>
  </si>
  <si>
    <t>23092HKT0627</t>
  </si>
  <si>
    <t>H39431</t>
  </si>
  <si>
    <t>23093HKT0627</t>
  </si>
  <si>
    <t>H39432</t>
  </si>
  <si>
    <t>23094HKT0627</t>
  </si>
  <si>
    <t>H39433</t>
  </si>
  <si>
    <t>23095HKT0627</t>
  </si>
  <si>
    <t>H39434</t>
  </si>
  <si>
    <t>23096HKT0627</t>
  </si>
  <si>
    <t>H39435</t>
  </si>
  <si>
    <t>23097HKT0627</t>
  </si>
  <si>
    <t>H39436</t>
  </si>
  <si>
    <t>23098HKT0627</t>
  </si>
  <si>
    <t>H39437</t>
  </si>
  <si>
    <t>23099HKT0627</t>
  </si>
  <si>
    <t>H39438</t>
  </si>
  <si>
    <t>23100HKT0627</t>
  </si>
  <si>
    <t>H39439</t>
  </si>
  <si>
    <t>23101HKT0627</t>
  </si>
  <si>
    <t>H39440</t>
  </si>
  <si>
    <t>23102HKT0627</t>
  </si>
  <si>
    <t>H39441</t>
  </si>
  <si>
    <t>23103HKT0627</t>
  </si>
  <si>
    <t>H39442</t>
  </si>
  <si>
    <t>23104HKT0627</t>
  </si>
  <si>
    <t>H39443</t>
  </si>
  <si>
    <t>23105HKT0627</t>
  </si>
  <si>
    <t>H39444</t>
  </si>
  <si>
    <t>23106HKT0627</t>
  </si>
  <si>
    <t>H39445</t>
  </si>
  <si>
    <t>23107HKT0627</t>
  </si>
  <si>
    <t>H39446</t>
  </si>
  <si>
    <t>23108HKT0627</t>
  </si>
  <si>
    <t>H39447</t>
  </si>
  <si>
    <t>23109HKT0627</t>
  </si>
  <si>
    <t>H39448</t>
  </si>
  <si>
    <t>23110HKT0627</t>
  </si>
  <si>
    <t>H39449</t>
  </si>
  <si>
    <t>23111HKT0627</t>
  </si>
  <si>
    <t>H39450</t>
  </si>
  <si>
    <t>23112HKT0627</t>
  </si>
  <si>
    <t>H39451</t>
  </si>
  <si>
    <t>23113HKT0627</t>
  </si>
  <si>
    <t>H39452</t>
  </si>
  <si>
    <t>23114HKT0627</t>
  </si>
  <si>
    <t>H39480</t>
  </si>
  <si>
    <t>23-24/I0074</t>
  </si>
  <si>
    <t>A7R3</t>
  </si>
  <si>
    <t>MS15XUX</t>
  </si>
  <si>
    <t>H39482</t>
  </si>
  <si>
    <t>23-24/I0074-02</t>
  </si>
  <si>
    <t>H39483</t>
  </si>
  <si>
    <t>23-24/I0074-03</t>
  </si>
  <si>
    <t>H39481</t>
  </si>
  <si>
    <t>23-24/I0074-04</t>
  </si>
  <si>
    <t>H39484</t>
  </si>
  <si>
    <t>23-24/I0074-05</t>
  </si>
  <si>
    <t>H39489</t>
  </si>
  <si>
    <t>23-24/I0075</t>
  </si>
  <si>
    <t>A7R1</t>
  </si>
  <si>
    <t>MP20XUX</t>
  </si>
  <si>
    <t>H39490</t>
  </si>
  <si>
    <t>23-24/I0075-02</t>
  </si>
  <si>
    <t>H39491</t>
  </si>
  <si>
    <t>23-24/I0075-03</t>
  </si>
  <si>
    <t>H39492</t>
  </si>
  <si>
    <t>23-24/I0075-04</t>
  </si>
  <si>
    <t>H39493</t>
  </si>
  <si>
    <t>23-24/I0075-05</t>
  </si>
  <si>
    <t>H39494</t>
  </si>
  <si>
    <t>23-24/I0076</t>
  </si>
  <si>
    <t>H39495</t>
  </si>
  <si>
    <t>23-24/I0076-02</t>
  </si>
  <si>
    <t>H39688</t>
  </si>
  <si>
    <t>ID2023/1666</t>
  </si>
  <si>
    <t>H39689</t>
  </si>
  <si>
    <t>ID2023/1667</t>
  </si>
  <si>
    <t>H39690</t>
  </si>
  <si>
    <t>ID2023/1668</t>
  </si>
  <si>
    <t>H39477</t>
  </si>
  <si>
    <t>Y-U-02423</t>
  </si>
  <si>
    <t>C224</t>
  </si>
  <si>
    <t>FBR20SZ</t>
  </si>
  <si>
    <t>H40817</t>
  </si>
  <si>
    <t>ID2023/1676</t>
  </si>
  <si>
    <t>A3B0</t>
  </si>
  <si>
    <t>P2.0UT</t>
  </si>
  <si>
    <t>H40818</t>
  </si>
  <si>
    <t>ID2023/1677</t>
  </si>
  <si>
    <t>H40780</t>
  </si>
  <si>
    <t>Y-U-02523-A</t>
  </si>
  <si>
    <t>H40781</t>
  </si>
  <si>
    <t>Y-U-02523-B</t>
  </si>
  <si>
    <t>H40815</t>
  </si>
  <si>
    <t>Y-U-02623-A</t>
  </si>
  <si>
    <t>H40816</t>
  </si>
  <si>
    <t>Y-U-02623-B</t>
  </si>
  <si>
    <t>H40944</t>
  </si>
  <si>
    <t>030/June/2023</t>
  </si>
  <si>
    <t>A7S6</t>
  </si>
  <si>
    <t>GP50UXS6</t>
  </si>
  <si>
    <t>H40946</t>
  </si>
  <si>
    <t>031/Yale-PO/June/202</t>
  </si>
  <si>
    <t>H40947</t>
  </si>
  <si>
    <t>032/Yale-PO/June/202</t>
  </si>
  <si>
    <t>H40948</t>
  </si>
  <si>
    <t>033/Yale-PO/June/202</t>
  </si>
  <si>
    <t>H41612</t>
  </si>
  <si>
    <t>034/Yale/June/23</t>
  </si>
  <si>
    <t>H41614</t>
  </si>
  <si>
    <t>035/Yale/June/23</t>
  </si>
  <si>
    <t>A961</t>
  </si>
  <si>
    <t>MR16 961</t>
  </si>
  <si>
    <t>H41615</t>
  </si>
  <si>
    <t>036/Yale/June/23</t>
  </si>
  <si>
    <t>H41616</t>
  </si>
  <si>
    <t>037/Yale/June/2023</t>
  </si>
  <si>
    <t>H41660</t>
  </si>
  <si>
    <t>2023/8575</t>
  </si>
  <si>
    <t>H41661</t>
  </si>
  <si>
    <t>2023/8576</t>
  </si>
  <si>
    <t>H41662</t>
  </si>
  <si>
    <t>2023/8577</t>
  </si>
  <si>
    <t>H41663</t>
  </si>
  <si>
    <t>2023/8578</t>
  </si>
  <si>
    <t>H41664</t>
  </si>
  <si>
    <t>2023/8579</t>
  </si>
  <si>
    <t>H41665</t>
  </si>
  <si>
    <t>2023/8580</t>
  </si>
  <si>
    <t>H40856</t>
  </si>
  <si>
    <t>23032YKT0629</t>
  </si>
  <si>
    <t>H40860</t>
  </si>
  <si>
    <t>23033YKT0629</t>
  </si>
  <si>
    <t>H40861</t>
  </si>
  <si>
    <t>23034YKT0629</t>
  </si>
  <si>
    <t>H40862</t>
  </si>
  <si>
    <t>23035YKT0629</t>
  </si>
  <si>
    <t>H40863</t>
  </si>
  <si>
    <t>23036YKT0629</t>
  </si>
  <si>
    <t>H40857</t>
  </si>
  <si>
    <t>23037YKT0629</t>
  </si>
  <si>
    <t>H40864</t>
  </si>
  <si>
    <t>23038YKT0629</t>
  </si>
  <si>
    <t>H40865</t>
  </si>
  <si>
    <t>23039YKT0629</t>
  </si>
  <si>
    <t>H40866</t>
  </si>
  <si>
    <t>23040YKT0629</t>
  </si>
  <si>
    <t>H40858</t>
  </si>
  <si>
    <t>23041YKT0629</t>
  </si>
  <si>
    <t>E843</t>
  </si>
  <si>
    <t>MP25X</t>
  </si>
  <si>
    <t>H40867</t>
  </si>
  <si>
    <t>23042YKT0629</t>
  </si>
  <si>
    <t>H40868</t>
  </si>
  <si>
    <t>23043YKT0629</t>
  </si>
  <si>
    <t>H40859</t>
  </si>
  <si>
    <t>23044YKT0629</t>
  </si>
  <si>
    <t>MP20X</t>
  </si>
  <si>
    <t>H40869</t>
  </si>
  <si>
    <t>23045YKT0629</t>
  </si>
  <si>
    <t>H40870</t>
  </si>
  <si>
    <t>23046YKT0629</t>
  </si>
  <si>
    <t>H40871</t>
  </si>
  <si>
    <t>23047YKT0629</t>
  </si>
  <si>
    <t>H40872</t>
  </si>
  <si>
    <t>23048YKT0629</t>
  </si>
  <si>
    <t>H40874</t>
  </si>
  <si>
    <t>23049YKT0629</t>
  </si>
  <si>
    <t>H40875</t>
  </si>
  <si>
    <t>23050YKT0629</t>
  </si>
  <si>
    <t>H40876</t>
  </si>
  <si>
    <t>23051YKT0629</t>
  </si>
  <si>
    <t>D819</t>
  </si>
  <si>
    <t>MCW025-E</t>
  </si>
  <si>
    <t>H40877</t>
  </si>
  <si>
    <t>23052YKT0629</t>
  </si>
  <si>
    <t>H40819</t>
  </si>
  <si>
    <t>23-24/I0078</t>
  </si>
  <si>
    <t>A3D4</t>
  </si>
  <si>
    <t>MPC15</t>
  </si>
  <si>
    <t>H40821</t>
  </si>
  <si>
    <t>23-24/I0078-02</t>
  </si>
  <si>
    <t>H40822</t>
  </si>
  <si>
    <t>23-24/I0078-03</t>
  </si>
  <si>
    <t>H40823</t>
  </si>
  <si>
    <t>23-24/I0078-04</t>
  </si>
  <si>
    <t>H40824</t>
  </si>
  <si>
    <t>23-24/I0078-05</t>
  </si>
  <si>
    <t>H40825</t>
  </si>
  <si>
    <t>23-24/I0078-06</t>
  </si>
  <si>
    <t>H40826</t>
  </si>
  <si>
    <t>23-24/I0078-07</t>
  </si>
  <si>
    <t>H40827</t>
  </si>
  <si>
    <t>23-24/I0078-08</t>
  </si>
  <si>
    <t>H40828</t>
  </si>
  <si>
    <t>23-24/I0078-09</t>
  </si>
  <si>
    <t>H40829</t>
  </si>
  <si>
    <t>23-24/I0078-10</t>
  </si>
  <si>
    <t>H40830</t>
  </si>
  <si>
    <t>23-24/I0078-11</t>
  </si>
  <si>
    <t>H40831</t>
  </si>
  <si>
    <t>23-24/I0078-12</t>
  </si>
  <si>
    <t>H40832</t>
  </si>
  <si>
    <t>23-24/I0078-13</t>
  </si>
  <si>
    <t>H40820</t>
  </si>
  <si>
    <t>23-24/I0078-14</t>
  </si>
  <si>
    <t>H40833</t>
  </si>
  <si>
    <t>23-24/I0078-15</t>
  </si>
  <si>
    <t>H40834</t>
  </si>
  <si>
    <t>23-24/I0078-16</t>
  </si>
  <si>
    <t>H40835</t>
  </si>
  <si>
    <t>23-24/I0078-17</t>
  </si>
  <si>
    <t>H40836</t>
  </si>
  <si>
    <t>23-24/I0078-18</t>
  </si>
  <si>
    <t>H40837</t>
  </si>
  <si>
    <t>23-24/I0078-19</t>
  </si>
  <si>
    <t>H40838</t>
  </si>
  <si>
    <t>23-24/I0078-20</t>
  </si>
  <si>
    <t>H40873</t>
  </si>
  <si>
    <t>ID2023/1669</t>
  </si>
  <si>
    <t>N35ZDR3</t>
  </si>
  <si>
    <t>H40847</t>
  </si>
  <si>
    <t>ID2023/1670</t>
  </si>
  <si>
    <t>H3.5XT</t>
  </si>
  <si>
    <t>H40849</t>
  </si>
  <si>
    <t>ID2023/1671</t>
  </si>
  <si>
    <t>H40850</t>
  </si>
  <si>
    <t>ID2023/1672</t>
  </si>
  <si>
    <t>H40848</t>
  </si>
  <si>
    <t>ID2023/1673</t>
  </si>
  <si>
    <t>H40851</t>
  </si>
  <si>
    <t>ID2023/1674</t>
  </si>
  <si>
    <t>H40852</t>
  </si>
  <si>
    <t>ID2023/1675</t>
  </si>
  <si>
    <t>H40853</t>
  </si>
  <si>
    <t>ID2023/1678</t>
  </si>
  <si>
    <t>C453</t>
  </si>
  <si>
    <t>W40ZA</t>
  </si>
  <si>
    <t>H40854</t>
  </si>
  <si>
    <t>ID2023/1679</t>
  </si>
  <si>
    <t>H40878</t>
  </si>
  <si>
    <t>ID2023/1680</t>
  </si>
  <si>
    <t>H40880</t>
  </si>
  <si>
    <t>ID2023/1681</t>
  </si>
  <si>
    <t>H40881</t>
  </si>
  <si>
    <t>ID2023/1682</t>
  </si>
  <si>
    <t>A6W9</t>
  </si>
  <si>
    <t>PC1.5</t>
  </si>
  <si>
    <t>H40882</t>
  </si>
  <si>
    <t>ID2023/1683</t>
  </si>
  <si>
    <t>H40883</t>
  </si>
  <si>
    <t>ID2023/1684</t>
  </si>
  <si>
    <t>H40884</t>
  </si>
  <si>
    <t>ID2023/1685</t>
  </si>
  <si>
    <t>H40893</t>
  </si>
  <si>
    <t>ID2023/1686</t>
  </si>
  <si>
    <t>D435</t>
  </si>
  <si>
    <t>R1.6N</t>
  </si>
  <si>
    <t>H40896</t>
  </si>
  <si>
    <t>ID2023/1687</t>
  </si>
  <si>
    <t>R2.0HD</t>
  </si>
  <si>
    <t>H40897</t>
  </si>
  <si>
    <t>ID2023/1688</t>
  </si>
  <si>
    <t>H40920</t>
  </si>
  <si>
    <t>ID2023/1689</t>
  </si>
  <si>
    <t>R1.6</t>
  </si>
  <si>
    <t>H40968</t>
  </si>
  <si>
    <t>ID2023/1690</t>
  </si>
  <si>
    <t>H40969</t>
  </si>
  <si>
    <t>H40971</t>
  </si>
  <si>
    <t>ID2023/1691</t>
  </si>
  <si>
    <t>H40985</t>
  </si>
  <si>
    <t>ID2023/1693</t>
  </si>
  <si>
    <t>H41031</t>
  </si>
  <si>
    <t>ID2023/1694</t>
  </si>
  <si>
    <t>H41033</t>
  </si>
  <si>
    <t>ID2023/1695</t>
  </si>
  <si>
    <t>H41037</t>
  </si>
  <si>
    <t>ID2023/1696</t>
  </si>
  <si>
    <t>J3.5UT</t>
  </si>
  <si>
    <t>H41097</t>
  </si>
  <si>
    <t>ID2023/1697</t>
  </si>
  <si>
    <t>H41098</t>
  </si>
  <si>
    <t>ID2023/1698</t>
  </si>
  <si>
    <t>H41099</t>
  </si>
  <si>
    <t>ID2023/1699</t>
  </si>
  <si>
    <t>H41100</t>
  </si>
  <si>
    <t>ID2023/1700</t>
  </si>
  <si>
    <t>H41101</t>
  </si>
  <si>
    <t>ID2023/1701</t>
  </si>
  <si>
    <t>H41102</t>
  </si>
  <si>
    <t>ID2023/1702</t>
  </si>
  <si>
    <t>H41105</t>
  </si>
  <si>
    <t>ID2023/1703</t>
  </si>
  <si>
    <t>H40879</t>
  </si>
  <si>
    <t>TRK-2104-23</t>
  </si>
  <si>
    <t>E812</t>
  </si>
  <si>
    <t>GP15MX</t>
  </si>
  <si>
    <t>H41671</t>
  </si>
  <si>
    <t>POI2300516</t>
  </si>
  <si>
    <t>MR14 961</t>
  </si>
  <si>
    <t>H41674</t>
  </si>
  <si>
    <t>POI2300517</t>
  </si>
  <si>
    <t>H41677</t>
  </si>
  <si>
    <t>POI2300518</t>
  </si>
  <si>
    <t>H41659</t>
  </si>
  <si>
    <t>TH2023/8574</t>
  </si>
  <si>
    <t>H3.5UT</t>
  </si>
  <si>
    <t>H41693</t>
  </si>
  <si>
    <t>23-24/I0081</t>
  </si>
  <si>
    <t>A7S5</t>
  </si>
  <si>
    <t>ERP16UXT</t>
  </si>
  <si>
    <t>H41694</t>
  </si>
  <si>
    <t>23-24/I0081-02</t>
  </si>
  <si>
    <t>H42189</t>
  </si>
  <si>
    <t>038</t>
  </si>
  <si>
    <t>A7R0</t>
  </si>
  <si>
    <t>MP20KUX</t>
  </si>
  <si>
    <t>H42212</t>
  </si>
  <si>
    <t>H42185</t>
  </si>
  <si>
    <t>A7R5</t>
  </si>
  <si>
    <t>MP20UX</t>
  </si>
  <si>
    <t>H42190</t>
  </si>
  <si>
    <t>H42187</t>
  </si>
  <si>
    <t>H42192</t>
  </si>
  <si>
    <t>039</t>
  </si>
  <si>
    <t>H42193</t>
  </si>
  <si>
    <t>040</t>
  </si>
  <si>
    <t>H42194</t>
  </si>
  <si>
    <t>041</t>
  </si>
  <si>
    <t>H42195</t>
  </si>
  <si>
    <t>042</t>
  </si>
  <si>
    <t>H42196</t>
  </si>
  <si>
    <t>043</t>
  </si>
  <si>
    <t>H42197</t>
  </si>
  <si>
    <t>044</t>
  </si>
  <si>
    <t>H42198</t>
  </si>
  <si>
    <t>045</t>
  </si>
  <si>
    <t>H42199</t>
  </si>
  <si>
    <t>046</t>
  </si>
  <si>
    <t>H42200</t>
  </si>
  <si>
    <t>047</t>
  </si>
  <si>
    <t>H42201</t>
  </si>
  <si>
    <t>048</t>
  </si>
  <si>
    <t>H42202</t>
  </si>
  <si>
    <t>049</t>
  </si>
  <si>
    <t>H42203</t>
  </si>
  <si>
    <t>050</t>
  </si>
  <si>
    <t>H42204</t>
  </si>
  <si>
    <t>061</t>
  </si>
  <si>
    <t>H42205</t>
  </si>
  <si>
    <t>062</t>
  </si>
  <si>
    <t>H42206</t>
  </si>
  <si>
    <t>063</t>
  </si>
  <si>
    <t>H42207</t>
  </si>
  <si>
    <t>064</t>
  </si>
  <si>
    <t>H42209</t>
  </si>
  <si>
    <t>H42210</t>
  </si>
  <si>
    <t>066</t>
  </si>
  <si>
    <t>H42211</t>
  </si>
  <si>
    <t>P</t>
  </si>
  <si>
    <t>H34556</t>
  </si>
  <si>
    <t>087575</t>
  </si>
  <si>
    <t>ADAPT-A-LIFT GROUP (QLD)</t>
  </si>
  <si>
    <t>AU</t>
  </si>
  <si>
    <t>955424/001</t>
  </si>
  <si>
    <t>H34555</t>
  </si>
  <si>
    <t>087595</t>
  </si>
  <si>
    <t>ADAPT-A-LIFT GROUP (SA)</t>
  </si>
  <si>
    <t>955428/001</t>
  </si>
  <si>
    <t>H34919</t>
  </si>
  <si>
    <t>087585</t>
  </si>
  <si>
    <t>ADAPT-A-LIFT GROUP (NSW)</t>
  </si>
  <si>
    <t>952908/001</t>
  </si>
  <si>
    <t>A406</t>
  </si>
  <si>
    <t>R1.6 406</t>
  </si>
  <si>
    <t>H35891</t>
  </si>
  <si>
    <t>053665</t>
  </si>
  <si>
    <t>RIVERINA L/TRUCKS (YALE)</t>
  </si>
  <si>
    <t>102273</t>
  </si>
  <si>
    <t>H35892</t>
  </si>
  <si>
    <t>102274</t>
  </si>
  <si>
    <t>H35893</t>
  </si>
  <si>
    <t>102275</t>
  </si>
  <si>
    <t>H35894</t>
  </si>
  <si>
    <t>102276</t>
  </si>
  <si>
    <t>H35895</t>
  </si>
  <si>
    <t>102277</t>
  </si>
  <si>
    <t>H35897</t>
  </si>
  <si>
    <t>065005</t>
  </si>
  <si>
    <t>COLES SUPERMARKETS</t>
  </si>
  <si>
    <t>5200154718</t>
  </si>
  <si>
    <t>H35898</t>
  </si>
  <si>
    <t>5200154718/2</t>
  </si>
  <si>
    <t>H35899</t>
  </si>
  <si>
    <t>5200154718/3</t>
  </si>
  <si>
    <t>H35900</t>
  </si>
  <si>
    <t>5200154718/4</t>
  </si>
  <si>
    <t>H35901</t>
  </si>
  <si>
    <t>5200154718/5</t>
  </si>
  <si>
    <t>H35902</t>
  </si>
  <si>
    <t>5200154718/6</t>
  </si>
  <si>
    <t>H35903</t>
  </si>
  <si>
    <t>5200154718/7</t>
  </si>
  <si>
    <t>H35904</t>
  </si>
  <si>
    <t>5200154718/8</t>
  </si>
  <si>
    <t>H35905</t>
  </si>
  <si>
    <t>5200154718/9</t>
  </si>
  <si>
    <t>H35906</t>
  </si>
  <si>
    <t>5200154718/10</t>
  </si>
  <si>
    <t>H35907</t>
  </si>
  <si>
    <t>5200154718/11</t>
  </si>
  <si>
    <t>H35908</t>
  </si>
  <si>
    <t>5200154718/12</t>
  </si>
  <si>
    <t>H35909</t>
  </si>
  <si>
    <t>5200154718/13</t>
  </si>
  <si>
    <t>H35910</t>
  </si>
  <si>
    <t>5200154718/14</t>
  </si>
  <si>
    <t>H35911</t>
  </si>
  <si>
    <t>5200154718/15</t>
  </si>
  <si>
    <t>H35912</t>
  </si>
  <si>
    <t>5200154718/16</t>
  </si>
  <si>
    <t>H35913</t>
  </si>
  <si>
    <t>5200154718/17</t>
  </si>
  <si>
    <t>H35914</t>
  </si>
  <si>
    <t>5200154718/18</t>
  </si>
  <si>
    <t>H35915</t>
  </si>
  <si>
    <t>5200154718/19</t>
  </si>
  <si>
    <t>H35916</t>
  </si>
  <si>
    <t>5200154718/20</t>
  </si>
  <si>
    <t>H35917</t>
  </si>
  <si>
    <t>5200154718/21</t>
  </si>
  <si>
    <t>H35918</t>
  </si>
  <si>
    <t>5200154718/22</t>
  </si>
  <si>
    <t>H35919</t>
  </si>
  <si>
    <t>5200154718/23</t>
  </si>
  <si>
    <t>H35920</t>
  </si>
  <si>
    <t>5200154718/24</t>
  </si>
  <si>
    <t>H35921</t>
  </si>
  <si>
    <t>5200154718/25</t>
  </si>
  <si>
    <t>H35922</t>
  </si>
  <si>
    <t>5200154718/26</t>
  </si>
  <si>
    <t>H35923</t>
  </si>
  <si>
    <t>5200154718/27</t>
  </si>
  <si>
    <t>H35924</t>
  </si>
  <si>
    <t>5200154718/28</t>
  </si>
  <si>
    <t>H35925</t>
  </si>
  <si>
    <t>5200154718/29</t>
  </si>
  <si>
    <t>H35926</t>
  </si>
  <si>
    <t>5200154718/30</t>
  </si>
  <si>
    <t>H36870</t>
  </si>
  <si>
    <t>862065</t>
  </si>
  <si>
    <t>S.G EQUIPMENT LTD</t>
  </si>
  <si>
    <t>NZ</t>
  </si>
  <si>
    <t>C1574</t>
  </si>
  <si>
    <t>H36872</t>
  </si>
  <si>
    <t>C1575</t>
  </si>
  <si>
    <t>H36873</t>
  </si>
  <si>
    <t>C1576</t>
  </si>
  <si>
    <t>H36874</t>
  </si>
  <si>
    <t>C1577</t>
  </si>
  <si>
    <t>H36871</t>
  </si>
  <si>
    <t>N3059</t>
  </si>
  <si>
    <t>A497</t>
  </si>
  <si>
    <t>FS030BF</t>
  </si>
  <si>
    <t>H37333</t>
  </si>
  <si>
    <t>955500/001</t>
  </si>
  <si>
    <t>A3C6</t>
  </si>
  <si>
    <t>H5.0UT</t>
  </si>
  <si>
    <t>H37334</t>
  </si>
  <si>
    <t>087605</t>
  </si>
  <si>
    <t>ADAPT-A-LIFT GROUP (WA)</t>
  </si>
  <si>
    <t>956805/001</t>
  </si>
  <si>
    <t>H37544</t>
  </si>
  <si>
    <t>087805</t>
  </si>
  <si>
    <t>ADAPT-A-LIFT GROUP(NSW)</t>
  </si>
  <si>
    <t>955925/001</t>
  </si>
  <si>
    <t>GP30MX</t>
  </si>
  <si>
    <t>H38079</t>
  </si>
  <si>
    <t>087565</t>
  </si>
  <si>
    <t>ADAPT-A-LIFT GROUP (VIC)</t>
  </si>
  <si>
    <t>955499/002</t>
  </si>
  <si>
    <t>A244</t>
  </si>
  <si>
    <t>BE100ZHD</t>
  </si>
  <si>
    <t>H38080</t>
  </si>
  <si>
    <t>955499/003</t>
  </si>
  <si>
    <t>H38387</t>
  </si>
  <si>
    <t>956793/001</t>
  </si>
  <si>
    <t>H38386</t>
  </si>
  <si>
    <t>956956/001</t>
  </si>
  <si>
    <t>H38979</t>
  </si>
  <si>
    <t>952908/002</t>
  </si>
  <si>
    <t>H38654</t>
  </si>
  <si>
    <t>956712/001</t>
  </si>
  <si>
    <t>R007</t>
  </si>
  <si>
    <t>H16XD6</t>
  </si>
  <si>
    <t>H38655</t>
  </si>
  <si>
    <t>956712/002</t>
  </si>
  <si>
    <t>P006</t>
  </si>
  <si>
    <t>H155FT</t>
  </si>
  <si>
    <t>H38656</t>
  </si>
  <si>
    <t>956712/003</t>
  </si>
  <si>
    <t>U005</t>
  </si>
  <si>
    <t>H5.0FT</t>
  </si>
  <si>
    <t>H38657</t>
  </si>
  <si>
    <t>956712/004</t>
  </si>
  <si>
    <t>H38663</t>
  </si>
  <si>
    <t>956712/005</t>
  </si>
  <si>
    <t>H38658</t>
  </si>
  <si>
    <t>956712/006</t>
  </si>
  <si>
    <t>H4.5FT6</t>
  </si>
  <si>
    <t>H38664</t>
  </si>
  <si>
    <t>956712/007</t>
  </si>
  <si>
    <t>H38659</t>
  </si>
  <si>
    <t>956712/008</t>
  </si>
  <si>
    <t>H4.0FT6</t>
  </si>
  <si>
    <t>H38660</t>
  </si>
  <si>
    <t>956712/009</t>
  </si>
  <si>
    <t>H38665</t>
  </si>
  <si>
    <t>956712/010</t>
  </si>
  <si>
    <t>H38661</t>
  </si>
  <si>
    <t>956712/011</t>
  </si>
  <si>
    <t>H38662</t>
  </si>
  <si>
    <t>956712/012</t>
  </si>
  <si>
    <t>H38646</t>
  </si>
  <si>
    <t>957084/001</t>
  </si>
  <si>
    <t>H38648</t>
  </si>
  <si>
    <t>957085/001</t>
  </si>
  <si>
    <t>H38649</t>
  </si>
  <si>
    <t>957085/002</t>
  </si>
  <si>
    <t>H38647</t>
  </si>
  <si>
    <t>957272/001</t>
  </si>
  <si>
    <t>H39199</t>
  </si>
  <si>
    <t>102278</t>
  </si>
  <si>
    <t>D909</t>
  </si>
  <si>
    <t>GP190VX</t>
  </si>
  <si>
    <t>H39198</t>
  </si>
  <si>
    <t>957797/001</t>
  </si>
  <si>
    <t>H39453</t>
  </si>
  <si>
    <t>N3060</t>
  </si>
  <si>
    <t>H39457</t>
  </si>
  <si>
    <t>N3061</t>
  </si>
  <si>
    <t>H39454</t>
  </si>
  <si>
    <t>N3062</t>
  </si>
  <si>
    <t>H39458</t>
  </si>
  <si>
    <t>N3063</t>
  </si>
  <si>
    <t>H39455</t>
  </si>
  <si>
    <t>N3064</t>
  </si>
  <si>
    <t>H39459</t>
  </si>
  <si>
    <t>N3065</t>
  </si>
  <si>
    <t>H39456</t>
  </si>
  <si>
    <t>N3066</t>
  </si>
  <si>
    <t>GP35MX</t>
  </si>
  <si>
    <t>H39460</t>
  </si>
  <si>
    <t>N3067</t>
  </si>
  <si>
    <t>H39884</t>
  </si>
  <si>
    <t>080065</t>
  </si>
  <si>
    <t>SIME DARBY TRANSPORT (NZ)</t>
  </si>
  <si>
    <t>8861</t>
  </si>
  <si>
    <t>H39472</t>
  </si>
  <si>
    <t>955614/001</t>
  </si>
  <si>
    <t>A276</t>
  </si>
  <si>
    <t>J3.0XN</t>
  </si>
  <si>
    <t>H39473</t>
  </si>
  <si>
    <t>955614/002</t>
  </si>
  <si>
    <t>H39474</t>
  </si>
  <si>
    <t>955614/003</t>
  </si>
  <si>
    <t>H39475</t>
  </si>
  <si>
    <t>955614/004</t>
  </si>
  <si>
    <t>H39933</t>
  </si>
  <si>
    <t>958573/001</t>
  </si>
  <si>
    <t>H39934</t>
  </si>
  <si>
    <t>958573/002</t>
  </si>
  <si>
    <t>H39935</t>
  </si>
  <si>
    <t>958573/003</t>
  </si>
  <si>
    <t>H39936</t>
  </si>
  <si>
    <t>958573/004</t>
  </si>
  <si>
    <t>H39937</t>
  </si>
  <si>
    <t>958573/005</t>
  </si>
  <si>
    <t>H39938</t>
  </si>
  <si>
    <t>958573/006</t>
  </si>
  <si>
    <t>H39939</t>
  </si>
  <si>
    <t>958573/007</t>
  </si>
  <si>
    <t>H39940</t>
  </si>
  <si>
    <t>958573/008</t>
  </si>
  <si>
    <t>H39941</t>
  </si>
  <si>
    <t>958573/009</t>
  </si>
  <si>
    <t>H39942</t>
  </si>
  <si>
    <t>958573/010</t>
  </si>
  <si>
    <t>H39943</t>
  </si>
  <si>
    <t>958573/011</t>
  </si>
  <si>
    <t>H39944</t>
  </si>
  <si>
    <t>958573/012</t>
  </si>
  <si>
    <t>H39945</t>
  </si>
  <si>
    <t>958573/013</t>
  </si>
  <si>
    <t>H39946</t>
  </si>
  <si>
    <t>958573/014</t>
  </si>
  <si>
    <t>H39947</t>
  </si>
  <si>
    <t>958573/015</t>
  </si>
  <si>
    <t>H39948</t>
  </si>
  <si>
    <t>958573/016</t>
  </si>
  <si>
    <t>H39949</t>
  </si>
  <si>
    <t>958573/017</t>
  </si>
  <si>
    <t>H39950</t>
  </si>
  <si>
    <t>958573/018</t>
  </si>
  <si>
    <t>H39951</t>
  </si>
  <si>
    <t>958573/019</t>
  </si>
  <si>
    <t>H39952</t>
  </si>
  <si>
    <t>958573/020</t>
  </si>
  <si>
    <t>H39953</t>
  </si>
  <si>
    <t>958573/021</t>
  </si>
  <si>
    <t>H39954</t>
  </si>
  <si>
    <t>958573/022</t>
  </si>
  <si>
    <t>H39955</t>
  </si>
  <si>
    <t>958573/023</t>
  </si>
  <si>
    <t>H39956</t>
  </si>
  <si>
    <t>958573/024</t>
  </si>
  <si>
    <t>H39957</t>
  </si>
  <si>
    <t>958573/025</t>
  </si>
  <si>
    <t>H39958</t>
  </si>
  <si>
    <t>958573/026</t>
  </si>
  <si>
    <t>H39959</t>
  </si>
  <si>
    <t>958573/027</t>
  </si>
  <si>
    <t>H39960</t>
  </si>
  <si>
    <t>958573/028</t>
  </si>
  <si>
    <t>H39961</t>
  </si>
  <si>
    <t>958573/029</t>
  </si>
  <si>
    <t>H39962</t>
  </si>
  <si>
    <t>958573/030</t>
  </si>
  <si>
    <t>H39903</t>
  </si>
  <si>
    <t>958594/001</t>
  </si>
  <si>
    <t>H39904</t>
  </si>
  <si>
    <t>958594/002</t>
  </si>
  <si>
    <t>H39905</t>
  </si>
  <si>
    <t>958594/003</t>
  </si>
  <si>
    <t>H39906</t>
  </si>
  <si>
    <t>958594/004</t>
  </si>
  <si>
    <t>H39907</t>
  </si>
  <si>
    <t>958594/005</t>
  </si>
  <si>
    <t>H39908</t>
  </si>
  <si>
    <t>958594/006</t>
  </si>
  <si>
    <t>H39909</t>
  </si>
  <si>
    <t>958594/007</t>
  </si>
  <si>
    <t>H39910</t>
  </si>
  <si>
    <t>958594/008</t>
  </si>
  <si>
    <t>H39911</t>
  </si>
  <si>
    <t>958594/009</t>
  </si>
  <si>
    <t>H39912</t>
  </si>
  <si>
    <t>958594/010</t>
  </si>
  <si>
    <t>H39913</t>
  </si>
  <si>
    <t>958594/011</t>
  </si>
  <si>
    <t>H39914</t>
  </si>
  <si>
    <t>958594/012</t>
  </si>
  <si>
    <t>H39915</t>
  </si>
  <si>
    <t>958594/013</t>
  </si>
  <si>
    <t>H39916</t>
  </si>
  <si>
    <t>958594/014</t>
  </si>
  <si>
    <t>H39917</t>
  </si>
  <si>
    <t>958594/015</t>
  </si>
  <si>
    <t>H39918</t>
  </si>
  <si>
    <t>958594/016</t>
  </si>
  <si>
    <t>H39919</t>
  </si>
  <si>
    <t>958594/017</t>
  </si>
  <si>
    <t>H39920</t>
  </si>
  <si>
    <t>958594/018</t>
  </si>
  <si>
    <t>H39921</t>
  </si>
  <si>
    <t>958594/019</t>
  </si>
  <si>
    <t>H39922</t>
  </si>
  <si>
    <t>958594/020</t>
  </si>
  <si>
    <t>H39923</t>
  </si>
  <si>
    <t>958594/021</t>
  </si>
  <si>
    <t>H39924</t>
  </si>
  <si>
    <t>958594/022</t>
  </si>
  <si>
    <t>H39925</t>
  </si>
  <si>
    <t>958594/023</t>
  </si>
  <si>
    <t>H39926</t>
  </si>
  <si>
    <t>958594/024</t>
  </si>
  <si>
    <t>H39927</t>
  </si>
  <si>
    <t>958594/025</t>
  </si>
  <si>
    <t>H39928</t>
  </si>
  <si>
    <t>958594/026</t>
  </si>
  <si>
    <t>H39929</t>
  </si>
  <si>
    <t>958594/027</t>
  </si>
  <si>
    <t>H39930</t>
  </si>
  <si>
    <t>958594/028</t>
  </si>
  <si>
    <t>H39931</t>
  </si>
  <si>
    <t>958594/029</t>
  </si>
  <si>
    <t>H39932</t>
  </si>
  <si>
    <t>958594/030</t>
  </si>
  <si>
    <t>H39963</t>
  </si>
  <si>
    <t>958602/031</t>
  </si>
  <si>
    <t>H39964</t>
  </si>
  <si>
    <t>958602/032</t>
  </si>
  <si>
    <t>H39965</t>
  </si>
  <si>
    <t>958602/033</t>
  </si>
  <si>
    <t>H39966</t>
  </si>
  <si>
    <t>958602/034</t>
  </si>
  <si>
    <t>H39967</t>
  </si>
  <si>
    <t>958602/035</t>
  </si>
  <si>
    <t>H39968</t>
  </si>
  <si>
    <t>958602/036</t>
  </si>
  <si>
    <t>H39969</t>
  </si>
  <si>
    <t>958602/037</t>
  </si>
  <si>
    <t>H39970</t>
  </si>
  <si>
    <t>958602/038</t>
  </si>
  <si>
    <t>H39971</t>
  </si>
  <si>
    <t>958602/039</t>
  </si>
  <si>
    <t>H39972</t>
  </si>
  <si>
    <t>958602/040</t>
  </si>
  <si>
    <t>H39461</t>
  </si>
  <si>
    <t>958640/001</t>
  </si>
  <si>
    <t>H39462</t>
  </si>
  <si>
    <t>C1578</t>
  </si>
  <si>
    <t>H39466</t>
  </si>
  <si>
    <t>C1579</t>
  </si>
  <si>
    <t>H39467</t>
  </si>
  <si>
    <t>C1580</t>
  </si>
  <si>
    <t>H39465</t>
  </si>
  <si>
    <t>C1581</t>
  </si>
  <si>
    <t>H39463</t>
  </si>
  <si>
    <t>C1582</t>
  </si>
  <si>
    <t>H39464</t>
  </si>
  <si>
    <t>C1583</t>
  </si>
  <si>
    <t>H39468</t>
  </si>
  <si>
    <t>C1584</t>
  </si>
  <si>
    <t>H39469</t>
  </si>
  <si>
    <t>C1585</t>
  </si>
  <si>
    <t>H39470</t>
  </si>
  <si>
    <t>C1586</t>
  </si>
  <si>
    <t>H39471</t>
  </si>
  <si>
    <t>C1587</t>
  </si>
  <si>
    <t>H40773</t>
  </si>
  <si>
    <t>956790/001</t>
  </si>
  <si>
    <t>H40752</t>
  </si>
  <si>
    <t>958585/001</t>
  </si>
  <si>
    <t>H3.0UT</t>
  </si>
  <si>
    <t>H40760</t>
  </si>
  <si>
    <t>958585/002</t>
  </si>
  <si>
    <t>H40753</t>
  </si>
  <si>
    <t>958585/003</t>
  </si>
  <si>
    <t>H40761</t>
  </si>
  <si>
    <t>958585/004</t>
  </si>
  <si>
    <t>H40754</t>
  </si>
  <si>
    <t>958585/005</t>
  </si>
  <si>
    <t>H40755</t>
  </si>
  <si>
    <t>958585/006</t>
  </si>
  <si>
    <t>H40756</t>
  </si>
  <si>
    <t>958585/007</t>
  </si>
  <si>
    <t>H40757</t>
  </si>
  <si>
    <t>958585/008</t>
  </si>
  <si>
    <t>H40758</t>
  </si>
  <si>
    <t>958585/009</t>
  </si>
  <si>
    <t>H40762</t>
  </si>
  <si>
    <t>958585/010</t>
  </si>
  <si>
    <t>H40759</t>
  </si>
  <si>
    <t>958585/011</t>
  </si>
  <si>
    <t>H40775</t>
  </si>
  <si>
    <t>958585/012</t>
  </si>
  <si>
    <t>ERP18UXT</t>
  </si>
  <si>
    <t>H40741</t>
  </si>
  <si>
    <t>958587/001</t>
  </si>
  <si>
    <t>H40748</t>
  </si>
  <si>
    <t>958587/002</t>
  </si>
  <si>
    <t>H40742</t>
  </si>
  <si>
    <t>958587/003</t>
  </si>
  <si>
    <t>H40749</t>
  </si>
  <si>
    <t>958587/004</t>
  </si>
  <si>
    <t>H40743</t>
  </si>
  <si>
    <t>958587/005</t>
  </si>
  <si>
    <t>H40744</t>
  </si>
  <si>
    <t>958587/006</t>
  </si>
  <si>
    <t>H40745</t>
  </si>
  <si>
    <t>958587/007</t>
  </si>
  <si>
    <t>H40746</t>
  </si>
  <si>
    <t>958587/008</t>
  </si>
  <si>
    <t>H40750</t>
  </si>
  <si>
    <t>958587/009</t>
  </si>
  <si>
    <t>H40747</t>
  </si>
  <si>
    <t>958587/010</t>
  </si>
  <si>
    <t>H40751</t>
  </si>
  <si>
    <t>958587/011</t>
  </si>
  <si>
    <t>H40776</t>
  </si>
  <si>
    <t>087505</t>
  </si>
  <si>
    <t>958587/012</t>
  </si>
  <si>
    <t>GP50UX</t>
  </si>
  <si>
    <t>H40777</t>
  </si>
  <si>
    <t>958587/013</t>
  </si>
  <si>
    <t>H40731</t>
  </si>
  <si>
    <t>958591/001</t>
  </si>
  <si>
    <t>H40739</t>
  </si>
  <si>
    <t>958591/002</t>
  </si>
  <si>
    <t>H40732</t>
  </si>
  <si>
    <t>958591/003</t>
  </si>
  <si>
    <t>H40740</t>
  </si>
  <si>
    <t>958591/004</t>
  </si>
  <si>
    <t>H40733</t>
  </si>
  <si>
    <t>958591/005</t>
  </si>
  <si>
    <t>H40734</t>
  </si>
  <si>
    <t>958591/006</t>
  </si>
  <si>
    <t>H40735</t>
  </si>
  <si>
    <t>958591/007</t>
  </si>
  <si>
    <t>H40736</t>
  </si>
  <si>
    <t>958591/008</t>
  </si>
  <si>
    <t>H40737</t>
  </si>
  <si>
    <t>958591/009</t>
  </si>
  <si>
    <t>H40738</t>
  </si>
  <si>
    <t>958591/010</t>
  </si>
  <si>
    <t>H40763</t>
  </si>
  <si>
    <t>958599/001</t>
  </si>
  <si>
    <t>H40771</t>
  </si>
  <si>
    <t>958599/002</t>
  </si>
  <si>
    <t>H40764</t>
  </si>
  <si>
    <t>958599/003</t>
  </si>
  <si>
    <t>H40772</t>
  </si>
  <si>
    <t>958599/004</t>
  </si>
  <si>
    <t>H40765</t>
  </si>
  <si>
    <t>958599/005</t>
  </si>
  <si>
    <t>H40766</t>
  </si>
  <si>
    <t>958599/006</t>
  </si>
  <si>
    <t>H40767</t>
  </si>
  <si>
    <t>958599/007</t>
  </si>
  <si>
    <t>H40768</t>
  </si>
  <si>
    <t>958599/008</t>
  </si>
  <si>
    <t>H40769</t>
  </si>
  <si>
    <t>958599/009</t>
  </si>
  <si>
    <t>H40770</t>
  </si>
  <si>
    <t>958599/010</t>
  </si>
  <si>
    <t>H40778</t>
  </si>
  <si>
    <t>087705</t>
  </si>
  <si>
    <t>958599/011</t>
  </si>
  <si>
    <t>H40779</t>
  </si>
  <si>
    <t>958599/012</t>
  </si>
  <si>
    <t>H39977</t>
  </si>
  <si>
    <t>958602/001</t>
  </si>
  <si>
    <t>H39978</t>
  </si>
  <si>
    <t>958602/002</t>
  </si>
  <si>
    <t>H39979</t>
  </si>
  <si>
    <t>958602/003</t>
  </si>
  <si>
    <t>H39980</t>
  </si>
  <si>
    <t>958602/004</t>
  </si>
  <si>
    <t>H39981</t>
  </si>
  <si>
    <t>958602/005</t>
  </si>
  <si>
    <t>H39982</t>
  </si>
  <si>
    <t>958602/006</t>
  </si>
  <si>
    <t>H39983</t>
  </si>
  <si>
    <t>958602/007</t>
  </si>
  <si>
    <t>H39984</t>
  </si>
  <si>
    <t>958602/008</t>
  </si>
  <si>
    <t>H39985</t>
  </si>
  <si>
    <t>958602/009</t>
  </si>
  <si>
    <t>H39986</t>
  </si>
  <si>
    <t>958602/010</t>
  </si>
  <si>
    <t>H39987</t>
  </si>
  <si>
    <t>958602/011</t>
  </si>
  <si>
    <t>H39988</t>
  </si>
  <si>
    <t>958602/012</t>
  </si>
  <si>
    <t>H39989</t>
  </si>
  <si>
    <t>958602/013</t>
  </si>
  <si>
    <t>H39990</t>
  </si>
  <si>
    <t>958602/014</t>
  </si>
  <si>
    <t>H39991</t>
  </si>
  <si>
    <t>958602/015</t>
  </si>
  <si>
    <t>H39992</t>
  </si>
  <si>
    <t>958602/016</t>
  </si>
  <si>
    <t>H39993</t>
  </si>
  <si>
    <t>958602/017</t>
  </si>
  <si>
    <t>H39994</t>
  </si>
  <si>
    <t>958602/018</t>
  </si>
  <si>
    <t>H39995</t>
  </si>
  <si>
    <t>958602/019</t>
  </si>
  <si>
    <t>H39996</t>
  </si>
  <si>
    <t>958602/020</t>
  </si>
  <si>
    <t>H39997</t>
  </si>
  <si>
    <t>958602/021</t>
  </si>
  <si>
    <t>H39998</t>
  </si>
  <si>
    <t>958602/022</t>
  </si>
  <si>
    <t>H39999</t>
  </si>
  <si>
    <t>958602/023</t>
  </si>
  <si>
    <t>H40000</t>
  </si>
  <si>
    <t>958602/024</t>
  </si>
  <si>
    <t>H40001</t>
  </si>
  <si>
    <t>958602/025</t>
  </si>
  <si>
    <t>H40002</t>
  </si>
  <si>
    <t>958602/026</t>
  </si>
  <si>
    <t>H40003</t>
  </si>
  <si>
    <t>958602/027</t>
  </si>
  <si>
    <t>H40004</t>
  </si>
  <si>
    <t>958602/028</t>
  </si>
  <si>
    <t>H40005</t>
  </si>
  <si>
    <t>958602/029</t>
  </si>
  <si>
    <t>H40006</t>
  </si>
  <si>
    <t>958602/030</t>
  </si>
  <si>
    <t>H40785</t>
  </si>
  <si>
    <t>958806/001</t>
  </si>
  <si>
    <t>C225</t>
  </si>
  <si>
    <t>J3.0GX</t>
  </si>
  <si>
    <t>H40788</t>
  </si>
  <si>
    <t>958806/002</t>
  </si>
  <si>
    <t>H40789</t>
  </si>
  <si>
    <t>958806/003</t>
  </si>
  <si>
    <t>H40790</t>
  </si>
  <si>
    <t>958806/004</t>
  </si>
  <si>
    <t>H40791</t>
  </si>
  <si>
    <t>958806/005</t>
  </si>
  <si>
    <t>H40792</t>
  </si>
  <si>
    <t>958806/006</t>
  </si>
  <si>
    <t>H40786</t>
  </si>
  <si>
    <t>958806/007</t>
  </si>
  <si>
    <t>H40793</t>
  </si>
  <si>
    <t>958806/008</t>
  </si>
  <si>
    <t>H40794</t>
  </si>
  <si>
    <t>958806/009</t>
  </si>
  <si>
    <t>H40795</t>
  </si>
  <si>
    <t>958806/010</t>
  </si>
  <si>
    <t>H40796</t>
  </si>
  <si>
    <t>958806/011</t>
  </si>
  <si>
    <t>H40797</t>
  </si>
  <si>
    <t>958806/012</t>
  </si>
  <si>
    <t>H40798</t>
  </si>
  <si>
    <t>958806/013</t>
  </si>
  <si>
    <t>H40799</t>
  </si>
  <si>
    <t>958806/014</t>
  </si>
  <si>
    <t>H40800</t>
  </si>
  <si>
    <t>958806/015</t>
  </si>
  <si>
    <t>H40801</t>
  </si>
  <si>
    <t>958806/016</t>
  </si>
  <si>
    <t>H40802</t>
  </si>
  <si>
    <t>958806/017</t>
  </si>
  <si>
    <t>H40803</t>
  </si>
  <si>
    <t>958806/018</t>
  </si>
  <si>
    <t>H40804</t>
  </si>
  <si>
    <t>958806/019</t>
  </si>
  <si>
    <t>H40805</t>
  </si>
  <si>
    <t>958806/020</t>
  </si>
  <si>
    <t>H40806</t>
  </si>
  <si>
    <t>958806/021</t>
  </si>
  <si>
    <t>H40807</t>
  </si>
  <si>
    <t>958806/022</t>
  </si>
  <si>
    <t>H40808</t>
  </si>
  <si>
    <t>958806/023</t>
  </si>
  <si>
    <t>H40809</t>
  </si>
  <si>
    <t>958806/024</t>
  </si>
  <si>
    <t>H40810</t>
  </si>
  <si>
    <t>958806/025</t>
  </si>
  <si>
    <t>H40787</t>
  </si>
  <si>
    <t>958806/026</t>
  </si>
  <si>
    <t>E444</t>
  </si>
  <si>
    <t>LO2.5</t>
  </si>
  <si>
    <t>H40811</t>
  </si>
  <si>
    <t>958806/027</t>
  </si>
  <si>
    <t>H40812</t>
  </si>
  <si>
    <t>958806/028</t>
  </si>
  <si>
    <t>H40813</t>
  </si>
  <si>
    <t>958806/029</t>
  </si>
  <si>
    <t>H40814</t>
  </si>
  <si>
    <t>958806/030</t>
  </si>
  <si>
    <t>H40782</t>
  </si>
  <si>
    <t>958806/031</t>
  </si>
  <si>
    <t>H40783</t>
  </si>
  <si>
    <t>958806/032</t>
  </si>
  <si>
    <t>H40784</t>
  </si>
  <si>
    <t>958806/033</t>
  </si>
  <si>
    <t>H40774</t>
  </si>
  <si>
    <t>958853/001</t>
  </si>
  <si>
    <t>H40008</t>
  </si>
  <si>
    <t>999000</t>
  </si>
  <si>
    <t>UNALLOCATED - HYSTER AUS</t>
  </si>
  <si>
    <t>PCSTOCKJUN23-1</t>
  </si>
  <si>
    <t>H40017</t>
  </si>
  <si>
    <t>PCSTOCKJUN23-10</t>
  </si>
  <si>
    <t>H40018</t>
  </si>
  <si>
    <t>PCSTOCKJUN23-11</t>
  </si>
  <si>
    <t>H40019</t>
  </si>
  <si>
    <t>PCSTOCKJUN23-12</t>
  </si>
  <si>
    <t>H40020</t>
  </si>
  <si>
    <t>PCSTOCKJUN23-13</t>
  </si>
  <si>
    <t>H40021</t>
  </si>
  <si>
    <t>PCSTOCKJUN23-14</t>
  </si>
  <si>
    <t>H40022</t>
  </si>
  <si>
    <t>PCSTOCKJUN23-15</t>
  </si>
  <si>
    <t>H40023</t>
  </si>
  <si>
    <t>PCSTOCKJUN23-16</t>
  </si>
  <si>
    <t>H40024</t>
  </si>
  <si>
    <t>PCSTOCKJUN23-17</t>
  </si>
  <si>
    <t>H40025</t>
  </si>
  <si>
    <t>PCSTOCKJUN23-18</t>
  </si>
  <si>
    <t>H40026</t>
  </si>
  <si>
    <t>PCSTOCKJUN23-19</t>
  </si>
  <si>
    <t>H40009</t>
  </si>
  <si>
    <t>PCSTOCKJUN23-2</t>
  </si>
  <si>
    <t>H40027</t>
  </si>
  <si>
    <t>PCSTOCKJUN23-20</t>
  </si>
  <si>
    <t>H40028</t>
  </si>
  <si>
    <t>PCSTOCKJUN23-21</t>
  </si>
  <si>
    <t>H40029</t>
  </si>
  <si>
    <t>PCSTOCKJUN23-22</t>
  </si>
  <si>
    <t>H40030</t>
  </si>
  <si>
    <t>PCSTOCKJUN23-23</t>
  </si>
  <si>
    <t>H40031</t>
  </si>
  <si>
    <t>PCSTOCKJUN23-24</t>
  </si>
  <si>
    <t>H40032</t>
  </si>
  <si>
    <t>PCSTOCKJUN23-25</t>
  </si>
  <si>
    <t>H40033</t>
  </si>
  <si>
    <t>PCSTOCKJUN23-26</t>
  </si>
  <si>
    <t>H40034</t>
  </si>
  <si>
    <t>PCSTOCKJUN23-27</t>
  </si>
  <si>
    <t>H40035</t>
  </si>
  <si>
    <t>PCSTOCKJUN23-28</t>
  </si>
  <si>
    <t>H40036</t>
  </si>
  <si>
    <t>PCSTOCKJUN23-29</t>
  </si>
  <si>
    <t>H40010</t>
  </si>
  <si>
    <t>PCSTOCKJUN23-3</t>
  </si>
  <si>
    <t>H40037</t>
  </si>
  <si>
    <t>PCSTOCKJUN23-30</t>
  </si>
  <si>
    <t>H40038</t>
  </si>
  <si>
    <t>PCSTOCKJUN23-31</t>
  </si>
  <si>
    <t>H40039</t>
  </si>
  <si>
    <t>PCSTOCKJUN23-32</t>
  </si>
  <si>
    <t>H40040</t>
  </si>
  <si>
    <t>PCSTOCKJUN23-33</t>
  </si>
  <si>
    <t>H40041</t>
  </si>
  <si>
    <t>PCSTOCKJUN23-34</t>
  </si>
  <si>
    <t>H40042</t>
  </si>
  <si>
    <t>PCSTOCKJUN23-35</t>
  </si>
  <si>
    <t>H40043</t>
  </si>
  <si>
    <t>PCSTOCKJUN23-36</t>
  </si>
  <si>
    <t>H40044</t>
  </si>
  <si>
    <t>PCSTOCKJUN23-37</t>
  </si>
  <si>
    <t>H40045</t>
  </si>
  <si>
    <t>PCSTOCKJUN23-38</t>
  </si>
  <si>
    <t>H40046</t>
  </si>
  <si>
    <t>PCSTOCKJUN23-39</t>
  </si>
  <si>
    <t>H40011</t>
  </si>
  <si>
    <t>PCSTOCKJUN23-4</t>
  </si>
  <si>
    <t>H40047</t>
  </si>
  <si>
    <t>PCSTOCKJUN23-40</t>
  </si>
  <si>
    <t>H40012</t>
  </si>
  <si>
    <t>PCSTOCKJUN23-5</t>
  </si>
  <si>
    <t>H40013</t>
  </si>
  <si>
    <t>PCSTOCKJUN23-6</t>
  </si>
  <si>
    <t>H40014</t>
  </si>
  <si>
    <t>PCSTOCKJUN23-7</t>
  </si>
  <si>
    <t>H40015</t>
  </si>
  <si>
    <t>PCSTOCKJUN23-8</t>
  </si>
  <si>
    <t>H40016</t>
  </si>
  <si>
    <t>PCSTOCKJUN23-9</t>
  </si>
  <si>
    <t>H41669</t>
  </si>
  <si>
    <t>957454/001</t>
  </si>
  <si>
    <t>H41686</t>
  </si>
  <si>
    <t>958224/001</t>
  </si>
  <si>
    <t>F214</t>
  </si>
  <si>
    <t>H10XD-ECD8</t>
  </si>
  <si>
    <t>H41687</t>
  </si>
  <si>
    <t>958224/002</t>
  </si>
  <si>
    <t>H41668</t>
  </si>
  <si>
    <t>958709/001</t>
  </si>
  <si>
    <t>N35ZR3</t>
  </si>
  <si>
    <t>H41666</t>
  </si>
  <si>
    <t>959018/001</t>
  </si>
  <si>
    <t>H41667</t>
  </si>
  <si>
    <t>959018/002</t>
  </si>
  <si>
    <t>H41670</t>
  </si>
  <si>
    <t>959112/001</t>
  </si>
  <si>
    <t>H41684</t>
  </si>
  <si>
    <t>087625</t>
  </si>
  <si>
    <t>959168/007</t>
  </si>
  <si>
    <t>H41685</t>
  </si>
  <si>
    <t>959168/008</t>
  </si>
  <si>
    <t>H41656</t>
  </si>
  <si>
    <t>C1588</t>
  </si>
  <si>
    <t>ERP20UXT</t>
  </si>
  <si>
    <t>H41657</t>
  </si>
  <si>
    <t>C1589</t>
  </si>
  <si>
    <t>H41658</t>
  </si>
  <si>
    <t>N3068</t>
  </si>
  <si>
    <t>D849</t>
  </si>
  <si>
    <t>MR20HD</t>
  </si>
  <si>
    <t>H41688</t>
  </si>
  <si>
    <t>959151/001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</si>
  <si>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</si>
  <si>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</si>
  <si>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</si>
  <si>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</si>
  <si>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</si>
  <si>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</si>
  <si>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</si>
  <si>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</si>
  <si>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</si>
  <si>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</si>
  <si>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</si>
  <si>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</si>
  <si>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</si>
  <si>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</si>
  <si>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</si>
  <si>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</si>
  <si>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</si>
  <si>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</si>
  <si>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AUD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</si>
  <si>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</si>
  <si>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</si>
  <si>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</si>
  <si>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</si>
  <si>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</si>
  <si>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</si>
  <si>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</si>
  <si>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</si>
  <si>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</si>
  <si>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</si>
  <si>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</si>
  <si>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</si>
  <si>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</si>
  <si>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</si>
  <si>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</si>
  <si>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</si>
  <si>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</si>
  <si>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</si>
  <si>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</si>
  <si>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</si>
  <si>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</si>
  <si>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</si>
  <si>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</si>
  <si>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</si>
  <si>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</si>
  <si>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</si>
  <si>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</si>
  <si>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</si>
  <si>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</si>
  <si>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</si>
  <si>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</si>
  <si>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</si>
  <si>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</si>
  <si>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</si>
  <si>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</si>
  <si>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</si>
  <si>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</si>
  <si>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</si>
  <si>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</si>
  <si>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</si>
  <si>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</si>
  <si>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</si>
  <si>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</si>
  <si>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</si>
  <si>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</si>
  <si>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</si>
  <si>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</si>
  <si>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</si>
  <si>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</si>
  <si>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</si>
  <si>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</si>
  <si>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</si>
  <si>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</si>
  <si>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</si>
  <si>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</si>
  <si>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</si>
  <si>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</si>
  <si>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</si>
  <si>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</si>
  <si>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</si>
  <si>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</si>
  <si>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</si>
  <si>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</si>
  <si>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</si>
  <si>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</si>
  <si>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</si>
  <si>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</si>
  <si>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</si>
  <si>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</si>
  <si>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</si>
  <si>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</si>
  <si>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</si>
  <si>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</si>
  <si>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</si>
  <si>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</si>
  <si>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</si>
  <si>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</si>
  <si>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</si>
  <si>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</si>
  <si>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</si>
  <si>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</si>
  <si>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</si>
  <si>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</si>
  <si>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</si>
  <si>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</si>
  <si>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</si>
  <si>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</si>
  <si>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</si>
  <si>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</si>
  <si>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</si>
  <si>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</si>
  <si>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</si>
  <si>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</si>
  <si>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</si>
  <si>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</si>
  <si>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</si>
  <si>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</si>
  <si>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</si>
  <si>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</si>
  <si>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</si>
  <si>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</si>
  <si>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</si>
  <si>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</si>
  <si>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</si>
  <si>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</si>
  <si>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</si>
  <si>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</si>
  <si>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</si>
  <si>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</si>
  <si>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</si>
  <si>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</si>
  <si>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</si>
  <si>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</si>
  <si>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</si>
  <si>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</si>
  <si>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</si>
  <si>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</si>
  <si>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</si>
  <si>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</si>
  <si>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</si>
  <si>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</si>
  <si>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</si>
  <si>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</si>
  <si>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</si>
  <si>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</si>
  <si>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</si>
  <si>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</si>
  <si>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</si>
  <si>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</si>
  <si>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</si>
  <si>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</si>
  <si>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</si>
  <si>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</si>
  <si>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</si>
  <si>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</si>
  <si>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</si>
  <si>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</si>
  <si>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</si>
  <si>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</si>
  <si>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</si>
  <si>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</si>
  <si>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</si>
  <si>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</si>
  <si>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</si>
  <si>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</si>
  <si>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</si>
  <si>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</si>
  <si>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</si>
  <si>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</si>
  <si>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</si>
  <si>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</si>
  <si>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</si>
  <si>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</si>
  <si>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</si>
  <si>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</si>
  <si>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</si>
  <si>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</si>
  <si>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</si>
  <si>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</si>
  <si>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</si>
  <si>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</si>
  <si>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</si>
  <si>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</si>
  <si>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</si>
  <si>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</si>
  <si>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</si>
  <si>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</si>
  <si>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</si>
  <si>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</si>
  <si>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</si>
  <si>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</si>
  <si>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</si>
  <si>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</si>
  <si>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</si>
  <si>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</si>
  <si>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</si>
  <si>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</si>
  <si>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</si>
  <si>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</si>
  <si>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</si>
  <si>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</si>
  <si>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</si>
  <si>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</si>
  <si>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</si>
  <si>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</si>
  <si>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</si>
  <si>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</si>
  <si>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</si>
  <si>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</si>
  <si>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</si>
  <si>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</si>
  <si>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</si>
  <si>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</si>
  <si>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</si>
  <si>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</si>
  <si>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</si>
  <si>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</si>
  <si>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</si>
  <si>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</si>
  <si>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</si>
  <si>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</si>
  <si>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</si>
  <si>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</si>
  <si>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</si>
  <si>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</si>
  <si>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</si>
  <si>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</si>
  <si>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</si>
  <si>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</si>
  <si>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</si>
  <si>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</si>
  <si>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</si>
  <si>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</si>
  <si>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</si>
  <si>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</si>
  <si>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</si>
  <si>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</si>
  <si>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</si>
  <si>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</si>
  <si>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</si>
  <si>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</si>
  <si>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</si>
  <si>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</si>
  <si>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</si>
  <si>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</si>
  <si>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</si>
  <si>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</si>
  <si>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</si>
  <si>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</si>
  <si>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</si>
  <si>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</si>
  <si>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</si>
  <si>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</si>
  <si>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</si>
  <si>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</si>
  <si>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</si>
  <si>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</si>
  <si>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</si>
  <si>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</si>
  <si>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</si>
  <si>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</si>
  <si>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</si>
  <si>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</si>
  <si>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</si>
  <si>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</si>
  <si>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</si>
  <si>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</si>
  <si>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</si>
  <si>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</si>
  <si>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</si>
  <si>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</si>
  <si>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</si>
  <si>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</si>
  <si>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</si>
  <si>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</si>
  <si>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</si>
  <si>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</si>
  <si>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</si>
  <si>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</si>
  <si>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</si>
  <si>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</si>
  <si>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</si>
  <si>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</si>
  <si>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</si>
  <si>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</si>
  <si>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</si>
  <si>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</si>
  <si>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</si>
  <si>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</si>
  <si>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</si>
  <si>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</si>
  <si>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</si>
  <si>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</si>
  <si>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</si>
  <si>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</si>
  <si>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</si>
  <si>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</si>
  <si>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</si>
  <si>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</si>
  <si>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</si>
  <si>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</si>
  <si>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</si>
  <si>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</si>
  <si>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</si>
  <si>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</si>
  <si>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</si>
  <si>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</si>
  <si>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</si>
  <si>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</si>
  <si>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</si>
  <si>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</si>
  <si>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</si>
  <si>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</si>
  <si>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</si>
  <si>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</si>
  <si>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</si>
  <si>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</si>
  <si>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</si>
  <si>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</si>
  <si>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</si>
  <si>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</si>
  <si>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</si>
  <si>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</si>
  <si>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</si>
  <si>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</si>
  <si>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</si>
  <si>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</si>
  <si>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</si>
  <si>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</si>
  <si>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</si>
  <si>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</si>
  <si>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</si>
  <si>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</si>
  <si>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A976</t>
  </si>
  <si>
    <t>A970</t>
  </si>
  <si>
    <t>A985</t>
  </si>
  <si>
    <t>A250</t>
  </si>
  <si>
    <t>A410</t>
  </si>
  <si>
    <t>250</t>
  </si>
  <si>
    <t>SN</t>
  </si>
  <si>
    <t>A920</t>
  </si>
  <si>
    <t>A901</t>
  </si>
  <si>
    <t>Maximal</t>
  </si>
  <si>
    <t>A3C5</t>
  </si>
  <si>
    <t>C265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</si>
  <si>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</si>
  <si>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</si>
  <si>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</si>
  <si>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</si>
  <si>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</si>
  <si>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</si>
  <si>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</si>
  <si>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</si>
  <si>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</si>
  <si>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A474</t>
  </si>
  <si>
    <t>A169</t>
  </si>
  <si>
    <t>A432</t>
  </si>
  <si>
    <t>A942</t>
  </si>
  <si>
    <t>E857</t>
  </si>
  <si>
    <t>C457</t>
  </si>
  <si>
    <t>C862</t>
  </si>
  <si>
    <t>B460</t>
  </si>
  <si>
    <t>B865</t>
  </si>
  <si>
    <t>B463</t>
  </si>
  <si>
    <t>B868</t>
  </si>
  <si>
    <t>B464</t>
  </si>
  <si>
    <t>B925</t>
  </si>
  <si>
    <t>B234</t>
  </si>
  <si>
    <t>B891</t>
  </si>
  <si>
    <t>B495</t>
  </si>
  <si>
    <t>B895</t>
  </si>
  <si>
    <t>D820</t>
  </si>
  <si>
    <t>C455</t>
  </si>
  <si>
    <t>D821</t>
  </si>
  <si>
    <t>C454</t>
  </si>
  <si>
    <t>E439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</si>
  <si>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</si>
  <si>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</si>
  <si>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</si>
  <si>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</si>
  <si>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</si>
  <si>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</si>
  <si>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</si>
  <si>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</si>
  <si>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</si>
  <si>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</si>
  <si>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</si>
  <si>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</si>
  <si>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</si>
  <si>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</si>
  <si>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</si>
  <si>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A3B1</t>
  </si>
  <si>
    <t>A7S3</t>
  </si>
  <si>
    <t>A3B6</t>
  </si>
  <si>
    <t>A7R6</t>
  </si>
  <si>
    <t>A3B3</t>
  </si>
  <si>
    <t>A3B7</t>
  </si>
  <si>
    <t>A3C7</t>
  </si>
  <si>
    <t>A7S7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</si>
  <si>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</si>
  <si>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</si>
  <si>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</si>
  <si>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</si>
  <si>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</si>
  <si>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</si>
  <si>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</si>
  <si>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</si>
  <si>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</si>
  <si>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</si>
  <si>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</si>
  <si>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</si>
  <si>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</si>
  <si>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</si>
  <si>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</si>
  <si>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</si>
  <si>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</si>
  <si>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</si>
  <si>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</si>
  <si>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</si>
  <si>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</si>
  <si>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</si>
  <si>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</si>
  <si>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</si>
  <si>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</si>
  <si>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</si>
  <si>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</si>
  <si>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</si>
  <si>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H878</t>
  </si>
  <si>
    <t>D299</t>
  </si>
  <si>
    <t>G001</t>
  </si>
  <si>
    <t>D810</t>
  </si>
  <si>
    <t>P177</t>
  </si>
  <si>
    <t>D875</t>
  </si>
  <si>
    <t>K813</t>
  </si>
  <si>
    <t>D475</t>
  </si>
  <si>
    <t>A7T0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</si>
  <si>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</si>
  <si>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</si>
  <si>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</si>
  <si>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</si>
  <si>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</si>
  <si>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</si>
  <si>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</si>
  <si>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</si>
  <si>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</si>
  <si>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</si>
  <si>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</si>
  <si>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J117</t>
  </si>
  <si>
    <t>F222</t>
  </si>
  <si>
    <t>K117</t>
  </si>
  <si>
    <t>A404</t>
  </si>
  <si>
    <t>A3C0</t>
  </si>
  <si>
    <t>A921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</si>
  <si>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</si>
  <si>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</si>
  <si>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</si>
  <si>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</si>
  <si>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</si>
  <si>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</si>
  <si>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</si>
  <si>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</si>
  <si>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</si>
  <si>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</si>
  <si>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</si>
  <si>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</si>
  <si>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</si>
  <si>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</si>
  <si>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</si>
  <si>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</si>
  <si>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</si>
  <si>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</si>
  <si>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</si>
  <si>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</si>
  <si>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</si>
  <si>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</si>
  <si>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</si>
  <si>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</si>
  <si>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</si>
  <si>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</si>
  <si>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</si>
  <si>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</si>
  <si>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</si>
  <si>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</si>
  <si>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</si>
  <si>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</si>
  <si>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</si>
  <si>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</si>
  <si>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</si>
  <si>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</si>
  <si>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</si>
  <si>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</si>
  <si>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</si>
  <si>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</si>
  <si>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</si>
  <si>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</si>
  <si>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</si>
  <si>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</si>
  <si>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</si>
  <si>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</si>
  <si>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</si>
  <si>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</si>
  <si>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</si>
  <si>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</si>
  <si>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</si>
  <si>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</si>
  <si>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</si>
  <si>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</si>
  <si>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</si>
  <si>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</si>
  <si>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</si>
  <si>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</si>
  <si>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</si>
  <si>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</si>
  <si>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</si>
  <si>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</si>
  <si>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</si>
  <si>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</si>
  <si>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</si>
  <si>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</si>
  <si>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</si>
  <si>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</si>
  <si>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A7T9</t>
  </si>
  <si>
    <t>A3D9</t>
  </si>
  <si>
    <t>7T9</t>
  </si>
  <si>
    <t>3D9</t>
  </si>
  <si>
    <t>B245</t>
  </si>
  <si>
    <t>K876</t>
  </si>
  <si>
    <t>A3B4</t>
  </si>
  <si>
    <t>A7S0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</si>
  <si>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</si>
  <si>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</si>
  <si>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</si>
  <si>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</si>
  <si>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</si>
  <si>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</si>
  <si>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</si>
  <si>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</si>
  <si>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</si>
  <si>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</si>
  <si>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</si>
  <si>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</si>
  <si>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</si>
  <si>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</si>
  <si>
    <t>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</si>
</sst>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9" fillId="4" fontId="3" numFmtId="9" xfId="0" applyAlignment="1" applyBorder="1" applyFill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10" fillId="2" fontId="4" numFmtId="14" xfId="0" applyAlignment="1" applyBorder="1" applyFont="1" applyNumberFormat="1">
      <alignment horizontal="center" shrinkToFit="0" vertical="center" wrapText="1"/>
    </xf>
    <xf borderId="11" fillId="2" fontId="4" numFmtId="14" xfId="0" applyAlignment="1" applyBorder="1" applyFont="1" applyNumberForma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2" fillId="4" fontId="4" numFmtId="164" xfId="0" applyAlignment="1" applyBorder="1" applyFont="1" applyNumberFormat="1">
      <alignment horizontal="center" shrinkToFit="0" vertical="center" wrapText="1"/>
    </xf>
    <xf borderId="14" fillId="4" fontId="4" numFmtId="167" xfId="0" applyAlignment="1" applyBorder="1" applyFont="1" applyNumberFormat="1">
      <alignment horizontal="center" shrinkToFit="0" vertical="center" wrapText="1"/>
    </xf>
    <xf borderId="14" fillId="2" fontId="4" numFmtId="167" xfId="0" applyAlignment="1" applyBorder="1" applyFont="1" applyNumberFormat="1">
      <alignment horizontal="center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1" fillId="5" fontId="4" numFmtId="0" xfId="0" applyAlignment="1" applyBorder="1" applyFill="1" applyFont="1">
      <alignment horizontal="left" shrinkToFit="0" vertical="center" wrapText="1"/>
    </xf>
    <xf borderId="11" fillId="6" fontId="4" numFmtId="0" xfId="0" applyAlignment="1" applyBorder="1" applyFill="1" applyFont="1">
      <alignment horizontal="left" shrinkToFit="0" vertical="center" wrapText="1"/>
    </xf>
    <xf borderId="15" fillId="0" fontId="4" numFmtId="164" xfId="0" applyAlignment="1" applyBorder="1" applyFont="1" applyNumberFormat="1">
      <alignment horizontal="left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6" fillId="7" fontId="6" numFmtId="0" xfId="0" applyAlignment="1" applyBorder="1" applyFill="1" applyFont="1">
      <alignment horizontal="center" shrinkToFit="0" vertical="center" wrapText="1"/>
    </xf>
    <xf borderId="15" fillId="0" fontId="7" numFmtId="165" xfId="0" applyAlignment="1" applyBorder="1" applyFont="1" applyNumberForma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1" fillId="2" fontId="4" numFmtId="166" xfId="0" applyAlignment="1" applyBorder="1" applyFont="1" applyNumberFormat="1">
      <alignment horizontal="center" shrinkToFit="0" vertical="center" wrapText="1"/>
    </xf>
    <xf borderId="11" fillId="8" fontId="4" numFmtId="166" xfId="0" applyAlignment="1" applyBorder="1" applyFill="1" applyFont="1" applyNumberFormat="1">
      <alignment horizontal="center" shrinkToFit="0" vertical="center" wrapText="1"/>
    </xf>
    <xf borderId="15" fillId="0" fontId="4" numFmtId="10" xfId="0" applyAlignment="1" applyBorder="1" applyFont="1" applyNumberFormat="1">
      <alignment horizontal="center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5" fillId="0" fontId="4" numFmtId="167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8" fillId="2" fontId="3" numFmtId="14" xfId="0" applyAlignment="1" applyBorder="1" applyFont="1" applyNumberFormat="1">
      <alignment horizontal="left" vertical="center"/>
    </xf>
    <xf borderId="9" fillId="2" fontId="3" numFmtId="14" xfId="0" applyAlignment="1" applyBorder="1" applyFont="1" applyNumberFormat="1">
      <alignment horizontal="left" vertical="center"/>
    </xf>
    <xf borderId="9" fillId="2" fontId="3" numFmtId="0" xfId="0" applyAlignment="1" applyBorder="1" applyFont="1">
      <alignment horizontal="left" vertical="center"/>
    </xf>
    <xf borderId="9" fillId="2" fontId="8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9" fillId="4" fontId="3" numFmtId="167" xfId="0" applyAlignment="1" applyBorder="1" applyFont="1" applyNumberFormat="1">
      <alignment vertical="center"/>
    </xf>
    <xf borderId="9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9" fillId="5" fontId="3" numFmtId="0" xfId="0" applyAlignment="1" applyBorder="1" applyFont="1">
      <alignment horizontal="left" vertical="center"/>
    </xf>
    <xf borderId="9" fillId="5" fontId="3" numFmtId="168" xfId="0" applyAlignment="1" applyBorder="1" applyFont="1" applyNumberFormat="1">
      <alignment horizontal="left" vertical="center"/>
    </xf>
    <xf borderId="9" fillId="6" fontId="3" numFmtId="169" xfId="0" applyAlignment="1" applyBorder="1" applyFont="1" applyNumberFormat="1">
      <alignment horizontal="left" vertical="center"/>
    </xf>
    <xf borderId="20" fillId="0" fontId="3" numFmtId="0" xfId="0" applyAlignment="1" applyBorder="1" applyFon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9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9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20" fillId="0" fontId="8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9" fillId="4" fontId="3" numFmtId="2" xfId="0" applyAlignment="1" applyBorder="1" applyFont="1" applyNumberFormat="1">
      <alignment horizontal="right" vertical="center"/>
    </xf>
    <xf borderId="9" fillId="9" fontId="3" numFmtId="167" xfId="0" applyAlignment="1" applyBorder="1" applyFont="1" applyNumberFormat="1">
      <alignment horizontal="right" vertical="center"/>
    </xf>
    <xf borderId="0" fillId="0" fontId="3" numFmtId="165" xfId="0" applyAlignment="1" applyFont="1" applyNumberFormat="1">
      <alignment horizontal="right" vertical="center"/>
    </xf>
    <xf borderId="9" fillId="4" fontId="8" numFmtId="167" xfId="0" applyAlignment="1" applyBorder="1" applyFont="1" applyNumberFormat="1">
      <alignment vertical="center"/>
    </xf>
    <xf borderId="9" fillId="2" fontId="3" numFmtId="167" xfId="0" applyAlignment="1" applyBorder="1" applyFont="1" applyNumberFormat="1">
      <alignment horizontal="left" vertical="center"/>
    </xf>
    <xf borderId="9" fillId="4" fontId="3" numFmtId="0" xfId="0" applyAlignment="1" applyBorder="1" applyFont="1">
      <alignment horizontal="right" vertical="center"/>
    </xf>
    <xf borderId="0" fillId="0" fontId="3" numFmtId="167" xfId="0" applyAlignment="1" applyFont="1" applyNumberForma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0" fillId="0" fontId="10" numFmtId="0" xfId="0" applyFont="1"/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9" fillId="4" fontId="10" numFmtId="0" xfId="0" applyBorder="1" applyFont="1"/>
    <xf borderId="9" fillId="4" fontId="13" numFmtId="0" xfId="0" applyBorder="1" applyFont="1"/>
    <xf borderId="18" fillId="4" fontId="13" numFmtId="0" xfId="0" applyBorder="1" applyFont="1"/>
    <xf borderId="19" fillId="4" fontId="13" numFmtId="0" xfId="0" applyBorder="1" applyFont="1"/>
    <xf borderId="9" fillId="4" fontId="11" numFmtId="0" xfId="0" applyBorder="1" applyFont="1"/>
    <xf borderId="0" fillId="0" fontId="14" numFmtId="0" xfId="0" applyFont="1"/>
    <xf borderId="0" fillId="0" fontId="10" numFmtId="0" xfId="0" applyAlignment="1" applyFont="1">
      <alignment horizontal="left"/>
    </xf>
    <xf borderId="0" fillId="0" fontId="10" numFmtId="166" xfId="0" applyFont="1" applyNumberFormat="1"/>
    <xf borderId="0" fillId="0" fontId="3" numFmtId="167" xfId="0" applyAlignment="1" applyFont="1" applyNumberFormat="1">
      <alignment vertical="center"/>
    </xf>
    <xf borderId="0" fillId="0" fontId="15" numFmtId="0" xfId="0" applyFont="1"/>
    <xf borderId="25" fillId="0" fontId="10" numFmtId="0" xfId="0" applyBorder="1" applyFont="1"/>
    <xf borderId="26" fillId="0" fontId="10" numFmtId="0" xfId="0" applyBorder="1" applyFont="1"/>
    <xf borderId="9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5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1" xfId="0" applyAlignment="1" applyFont="1" applyNumberFormat="1">
      <alignment vertical="center"/>
    </xf>
    <xf borderId="0" fillId="0" fontId="10" numFmtId="171" xfId="0" applyFont="1" applyNumberFormat="1"/>
    <xf borderId="0" fillId="0" fontId="10" numFmtId="9" xfId="0" applyFont="1" applyNumberFormat="1"/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0" fillId="0" fontId="10" numFmtId="17" xfId="0" applyFont="1" applyNumberFormat="1"/>
    <xf borderId="37" fillId="10" fontId="16" numFmtId="0" xfId="0" applyAlignment="1" applyBorder="1" applyFill="1" applyFont="1">
      <alignment horizontal="center" shrinkToFit="0" vertical="center" wrapText="1"/>
    </xf>
    <xf borderId="38" fillId="10" fontId="11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21" fillId="0" fontId="10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9" fillId="11" fontId="10" numFmtId="0" xfId="0" applyAlignment="1" applyBorder="1" applyFill="1" applyFont="1">
      <alignment horizontal="left" vertical="center"/>
    </xf>
    <xf borderId="9" fillId="4" fontId="13" numFmtId="0" xfId="0" applyAlignment="1" applyBorder="1" applyFont="1">
      <alignment horizontal="left" vertical="center"/>
    </xf>
    <xf borderId="9" fillId="4" fontId="10" numFmtId="0" xfId="0" applyAlignment="1" applyBorder="1" applyFont="1">
      <alignment horizontal="left" vertical="center"/>
    </xf>
    <xf borderId="9" fillId="11" fontId="13" numFmtId="0" xfId="0" applyAlignment="1" applyBorder="1" applyFont="1">
      <alignment horizontal="left" vertical="center"/>
    </xf>
    <xf borderId="9" fillId="4" fontId="13" numFmtId="0" xfId="0" applyAlignment="1" applyBorder="1" applyFont="1">
      <alignment horizontal="left"/>
    </xf>
    <xf borderId="9" fillId="12" fontId="10" numFmtId="0" xfId="0" applyAlignment="1" applyBorder="1" applyFill="1" applyFont="1">
      <alignment horizontal="left" vertical="center"/>
    </xf>
    <xf borderId="9" fillId="13" fontId="10" numFmtId="0" xfId="0" applyAlignment="1" applyBorder="1" applyFill="1" applyFont="1">
      <alignment horizontal="right" vertical="center"/>
    </xf>
    <xf borderId="0" fillId="0" fontId="10" numFmtId="0" xfId="0" applyAlignment="1" applyFont="1">
      <alignment horizontal="right" vertical="center"/>
    </xf>
    <xf borderId="9" fillId="14" fontId="18" numFmtId="0" xfId="0" applyAlignment="1" applyBorder="1" applyFill="1" applyFont="1">
      <alignment horizontal="left" vertical="center"/>
    </xf>
    <xf borderId="9" fillId="9" fontId="10" numFmtId="0" xfId="0" applyAlignment="1" applyBorder="1" applyFont="1">
      <alignment horizontal="left"/>
    </xf>
    <xf quotePrefix="1" borderId="9" fillId="12" fontId="10" numFmtId="0" xfId="0" applyAlignment="1" applyBorder="1" applyFont="1">
      <alignment horizontal="left" vertical="center"/>
    </xf>
    <xf borderId="9" fillId="11" fontId="10" numFmtId="0" xfId="0" applyAlignment="1" applyBorder="1" applyFont="1">
      <alignment horizontal="left"/>
    </xf>
    <xf borderId="39" fillId="15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2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0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0.43"/>
    <col customWidth="1" min="6" max="6" width="10.14"/>
    <col customWidth="1" min="7" max="7" width="23.71"/>
    <col customWidth="1" min="8" max="9" width="12.43"/>
    <col customWidth="1" min="10" max="10" width="10.0"/>
    <col customWidth="1" min="11" max="11" width="13.29"/>
    <col customWidth="1" min="12" max="13" width="9.0"/>
    <col customWidth="1" min="14" max="14" width="5.86"/>
    <col customWidth="1" min="15" max="15" width="12.29"/>
    <col customWidth="1" min="16" max="16" width="13.71"/>
    <col customWidth="1" min="17" max="17" width="12.57"/>
    <col customWidth="1" min="18" max="18" width="12.29"/>
    <col customWidth="1" hidden="1" min="19" max="19" width="11.0"/>
    <col customWidth="1" hidden="1" min="20" max="20" width="9.29"/>
    <col customWidth="1" hidden="1" min="21" max="21" width="9.43"/>
    <col customWidth="1" hidden="1" min="22" max="22" width="11.0"/>
    <col customWidth="1" hidden="1" min="23" max="23" width="8.86"/>
    <col customWidth="1" hidden="1" min="24" max="24" width="11.71"/>
    <col customWidth="1" hidden="1" min="25" max="25" width="1.57"/>
    <col customWidth="1" hidden="1" min="26" max="26" width="7.43"/>
    <col customWidth="1" hidden="1" min="27" max="27" width="11.0"/>
    <col customWidth="1" hidden="1" min="28" max="28" width="21.57"/>
    <col customWidth="1" hidden="1" min="29" max="29" width="6.86"/>
    <col customWidth="1" min="30" max="30" width="14.71"/>
    <col customWidth="1" min="31" max="31" width="12.29"/>
    <col customWidth="1" min="32" max="32" width="11.71"/>
    <col customWidth="1" min="33" max="34" width="10.86"/>
    <col customWidth="1" min="35" max="35" width="12.71"/>
    <col customWidth="1" min="36" max="36" width="13.14"/>
    <col customWidth="1" min="37" max="37" width="13.0"/>
    <col customWidth="1" min="38" max="38" width="11.71"/>
    <col customWidth="1" min="39" max="39" width="11.14"/>
    <col customWidth="1" min="40" max="40" width="11.86"/>
    <col customWidth="1" min="41" max="41" width="13.43"/>
    <col customWidth="1" min="42" max="42" width="12.86"/>
    <col customWidth="1" min="43" max="43" width="9.0"/>
    <col customWidth="1" min="44" max="45" width="12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5"/>
      <c r="P1" s="6"/>
      <c r="Q1" s="7" t="s">
        <v>2</v>
      </c>
      <c r="R1" s="6"/>
      <c r="S1" s="8"/>
      <c r="T1" s="8"/>
      <c r="U1" s="8"/>
      <c r="V1" s="8"/>
      <c r="W1" s="8"/>
      <c r="X1" s="9"/>
      <c r="Y1" s="8"/>
      <c r="Z1" s="8"/>
      <c r="AA1" s="8"/>
      <c r="AB1" s="8"/>
      <c r="AC1" s="8"/>
      <c r="AD1" s="10"/>
      <c r="AE1" s="11" t="s">
        <v>3</v>
      </c>
      <c r="AF1" s="11" t="s">
        <v>4</v>
      </c>
      <c r="AG1" s="12" t="s">
        <v>5</v>
      </c>
      <c r="AH1" s="13"/>
      <c r="AI1" s="10"/>
      <c r="AJ1" s="14"/>
      <c r="AK1" s="14" t="s">
        <v>6</v>
      </c>
      <c r="AL1" s="10"/>
      <c r="AM1" s="10"/>
      <c r="AN1" s="10"/>
      <c r="AO1" s="15"/>
      <c r="AP1" s="16"/>
      <c r="AQ1" s="17"/>
      <c r="AR1" s="10"/>
      <c r="AS1" s="10"/>
    </row>
    <row r="2" ht="12.75" customHeight="1">
      <c r="A2" s="18" t="s">
        <v>7</v>
      </c>
      <c r="B2" s="19" t="s">
        <v>8</v>
      </c>
      <c r="C2" s="19"/>
      <c r="D2" s="20" t="s">
        <v>9</v>
      </c>
      <c r="E2" s="20" t="s">
        <v>10</v>
      </c>
      <c r="F2" s="20" t="s">
        <v>11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1" t="s">
        <v>18</v>
      </c>
      <c r="N2" s="22" t="s">
        <v>19</v>
      </c>
      <c r="O2" s="23" t="s">
        <v>20</v>
      </c>
      <c r="P2" s="24" t="s">
        <v>21</v>
      </c>
      <c r="Q2" s="25" t="s">
        <v>22</v>
      </c>
      <c r="R2" s="26" t="s">
        <v>23</v>
      </c>
      <c r="S2" s="27" t="s">
        <v>24</v>
      </c>
      <c r="T2" s="27" t="s">
        <v>25</v>
      </c>
      <c r="U2" s="28" t="s">
        <v>26</v>
      </c>
      <c r="V2" s="28" t="s">
        <v>27</v>
      </c>
      <c r="W2" s="29" t="s">
        <v>28</v>
      </c>
      <c r="X2" s="30" t="s">
        <v>29</v>
      </c>
      <c r="Y2" s="27"/>
      <c r="Z2" s="27" t="s">
        <v>17</v>
      </c>
      <c r="AA2" s="31" t="s">
        <v>30</v>
      </c>
      <c r="AB2" s="27" t="s">
        <v>31</v>
      </c>
      <c r="AC2" s="27" t="s">
        <v>32</v>
      </c>
      <c r="AD2" s="32" t="s">
        <v>33</v>
      </c>
      <c r="AE2" s="33" t="s">
        <v>34</v>
      </c>
      <c r="AF2" s="33" t="s">
        <v>35</v>
      </c>
      <c r="AG2" s="34" t="s">
        <v>36</v>
      </c>
      <c r="AH2" s="34" t="s">
        <v>37</v>
      </c>
      <c r="AI2" s="35" t="s">
        <v>38</v>
      </c>
      <c r="AJ2" s="36" t="s">
        <v>39</v>
      </c>
      <c r="AK2" s="37" t="s">
        <v>40</v>
      </c>
      <c r="AL2" s="35" t="s">
        <v>41</v>
      </c>
      <c r="AM2" s="35" t="s">
        <v>42</v>
      </c>
      <c r="AN2" s="35" t="s">
        <v>43</v>
      </c>
      <c r="AO2" s="38" t="s">
        <v>44</v>
      </c>
      <c r="AP2" s="39" t="s">
        <v>45</v>
      </c>
      <c r="AQ2" s="40" t="s">
        <v>46</v>
      </c>
      <c r="AR2" s="41" t="s">
        <v>47</v>
      </c>
      <c r="AS2" s="41" t="s">
        <v>48</v>
      </c>
    </row>
    <row r="3" ht="12.75" hidden="1" customHeight="1">
      <c r="A3" s="42" t="str">
        <f>'Input - Bookings'!A3</f>
        <v>01/06/2023</v>
      </c>
      <c r="B3" s="43" t="str">
        <f t="shared" ref="B3:B611" si="1">IF(C3="AIN","India",IF(C3="PAU","Australia",IF(C3="PNZ","Pacific","Asia")))</f>
        <v>Asia</v>
      </c>
      <c r="C3" s="43" t="str">
        <f t="shared" ref="C3:C611" si="2">D3&amp;E3</f>
        <v>ATH</v>
      </c>
      <c r="D3" s="43" t="str">
        <f>'Input - Bookings'!D3</f>
        <v>A</v>
      </c>
      <c r="E3" s="43" t="str">
        <f>'Input - Bookings'!J3</f>
        <v>TH</v>
      </c>
      <c r="F3" s="44" t="str">
        <f>'Input - Bookings'!F3</f>
        <v>067</v>
      </c>
      <c r="G3" s="44" t="str">
        <f>'Input - Bookings'!I3</f>
        <v>JENBUNJERD CO LTD</v>
      </c>
      <c r="H3" s="45" t="str">
        <f>'Input - Bookings'!K3</f>
        <v>H33869</v>
      </c>
      <c r="I3" s="45" t="str">
        <f>VLOOKUP(H3,'Input - Bookings'!$G$2:$H$611,2,0)</f>
        <v>814065</v>
      </c>
      <c r="J3" s="44" t="str">
        <f>'Input - Bookings'!N3</f>
        <v>A7S4</v>
      </c>
      <c r="K3" s="44" t="str">
        <f>'Input - Bookings'!O3</f>
        <v>ERP35UX</v>
      </c>
      <c r="L3" s="44" t="str">
        <f>'Input - Bookings'!C3</f>
        <v>USD</v>
      </c>
      <c r="M3" s="46" t="str">
        <f t="array" ref="M3">IF(L3="USD",INDEX('AP Plants'!A:A,MATCH(J3,'AP Plants'!D:D,0)),INDEX('Australia Plants'!A:A,MATCH(J3,'Australia Plants'!D:D,0)))</f>
        <v>Maximal</v>
      </c>
      <c r="N3" s="10">
        <v>1.0</v>
      </c>
      <c r="O3" s="9">
        <v>34188.0</v>
      </c>
      <c r="P3" s="9">
        <v>25930.0</v>
      </c>
      <c r="Q3" s="47">
        <v>0.19387433113739283</v>
      </c>
      <c r="R3" s="48">
        <f t="shared" ref="R3:R611" si="3">1-P3/O3</f>
        <v>0.2415467415</v>
      </c>
      <c r="S3" s="49">
        <f t="shared" ref="S3:S611" si="4">IFERROR(IF(OR(D3&amp;E3="PAU",D3&amp;E3="AIN"),VLOOKUP(D3&amp;E3&amp;J3,#REF!,8,0),VLOOKUP(D3&amp;J3,#REF!,8,0)),0)</f>
        <v>0</v>
      </c>
      <c r="T3" s="49">
        <f t="shared" ref="T3:T46" si="5">Q3-S3</f>
        <v>0.1938743311</v>
      </c>
      <c r="U3" s="50" t="str">
        <f t="shared" ref="U3:U611" si="6">IF(T3&gt;=0%,"AOP",IF(T3&gt;=-2%,"GM",IF(T3&gt;=-6%,"MD","VP")))</f>
        <v>AOP</v>
      </c>
      <c r="V3" s="51">
        <f t="shared" ref="V3:V43" si="7">N3*P3*(Q3-S3)</f>
        <v>5027.161406</v>
      </c>
      <c r="W3" s="52">
        <f t="shared" ref="W3:W611" si="8">IF(L3="USD",V3,V3/$AA$6)</f>
        <v>5027.161406</v>
      </c>
      <c r="X3" s="9">
        <f t="shared" ref="X3:X43" si="9">IF(L3="USD",P3,P3/$AA$6)</f>
        <v>25930</v>
      </c>
      <c r="Y3" s="8"/>
      <c r="Z3" s="8"/>
      <c r="AA3" s="8"/>
      <c r="AB3" s="8" t="str">
        <f t="shared" ref="AB3:AB611" si="10">D3&amp;E3&amp;H3&amp;K3</f>
        <v>ATHH33869ERP35UX</v>
      </c>
      <c r="AC3" s="8" t="str">
        <f>IF(AB3='Input - Bookings'!S34,"OK","Check")</f>
        <v>Check</v>
      </c>
      <c r="AD3" s="53"/>
      <c r="AE3" s="54"/>
      <c r="AF3" s="54"/>
      <c r="AG3" s="55"/>
      <c r="AH3" s="55"/>
      <c r="AI3" s="8" t="str">
        <f t="array" ref="AI3">XLOOKUP($J3,'AP Plants'!D:D,'AP Plants'!B:B)</f>
        <v>Class 1</v>
      </c>
      <c r="AJ3" s="56"/>
      <c r="AK3" s="56"/>
      <c r="AL3" s="49">
        <v>0.015</v>
      </c>
      <c r="AM3" s="49">
        <f t="array" ref="AM3">XLOOKUP($AI3,Warranty!B:B,Warranty!E:E)</f>
        <v>0.005</v>
      </c>
      <c r="AN3" s="8">
        <f>IF($L3="AUD",VLOOKUP(RIGHT('Wk - Margins'!$J3,3),'AU Freight'!C:G,5,0),0)</f>
        <v>0</v>
      </c>
      <c r="AO3" s="49">
        <f t="shared" ref="AO3:AO611" si="11">IF(AND($L3="AUD",$AI3="Class 5 BT"),5%,0%)</f>
        <v>0</v>
      </c>
      <c r="AP3" s="57">
        <f t="shared" ref="AP3:AP611" si="12">SUM(AJ3:AK3)*(1+AL3+AM3+AO3)+AN3</f>
        <v>0</v>
      </c>
      <c r="AQ3" s="58">
        <f t="shared" ref="AQ3:AQ611" si="13">1-AP3/P3</f>
        <v>1</v>
      </c>
      <c r="AR3" s="59">
        <f>IF(L3="AUD",O3*'Currency &amp; Conversion'!$L$7,'Wk - Margins'!O3)</f>
        <v>34188</v>
      </c>
      <c r="AS3" s="59">
        <f>IF(L3="AUD",P3*'Currency &amp; Conversion'!$L$7,'Wk - Margins'!P3)</f>
        <v>25930</v>
      </c>
    </row>
    <row r="4" ht="12.75" hidden="1" customHeight="1">
      <c r="A4" s="42" t="str">
        <f>'Input - Bookings'!A4</f>
        <v>05/06/2023</v>
      </c>
      <c r="B4" s="43" t="str">
        <f t="shared" si="1"/>
        <v>India</v>
      </c>
      <c r="C4" s="43" t="str">
        <f t="shared" si="2"/>
        <v>AIN</v>
      </c>
      <c r="D4" s="43" t="str">
        <f>'Input - Bookings'!D4</f>
        <v>A</v>
      </c>
      <c r="E4" s="43" t="str">
        <f>'Input - Bookings'!J4</f>
        <v>IN</v>
      </c>
      <c r="F4" s="44" t="str">
        <f>'Input - Bookings'!F4</f>
        <v>067</v>
      </c>
      <c r="G4" s="44" t="str">
        <f>'Input - Bookings'!I4</f>
        <v>ELECTROMECH LIFT TRUCKS</v>
      </c>
      <c r="H4" s="44" t="str">
        <f>'Input - Bookings'!K4</f>
        <v>H34405</v>
      </c>
      <c r="I4" s="45" t="str">
        <f>VLOOKUP(H4,'Input - Bookings'!$G$2:$H$611,2,0)</f>
        <v>880805</v>
      </c>
      <c r="J4" s="44" t="str">
        <f>'Input - Bookings'!N4</f>
        <v>A7S4</v>
      </c>
      <c r="K4" s="44" t="str">
        <f>'Input - Bookings'!O4</f>
        <v>ERP20UX</v>
      </c>
      <c r="L4" s="44" t="str">
        <f>'Input - Bookings'!C4</f>
        <v>USD</v>
      </c>
      <c r="M4" s="46" t="str">
        <f t="array" ref="M4">IF(L4="USD",INDEX('AP Plants'!A:A,MATCH(J4,'AP Plants'!D:D,0)),INDEX('Australia Plants'!A:A,MATCH(J4,'Australia Plants'!D:D,0)))</f>
        <v>Maximal</v>
      </c>
      <c r="N4" s="10">
        <v>1.0</v>
      </c>
      <c r="O4" s="9">
        <v>17390.0</v>
      </c>
      <c r="P4" s="9">
        <v>11501.05</v>
      </c>
      <c r="Q4" s="47">
        <v>0.12318742544349415</v>
      </c>
      <c r="R4" s="48">
        <f t="shared" si="3"/>
        <v>0.338640023</v>
      </c>
      <c r="S4" s="49">
        <f t="shared" si="4"/>
        <v>0</v>
      </c>
      <c r="T4" s="49">
        <f t="shared" si="5"/>
        <v>0.1231874254</v>
      </c>
      <c r="U4" s="50" t="str">
        <f t="shared" si="6"/>
        <v>AOP</v>
      </c>
      <c r="V4" s="51">
        <f t="shared" si="7"/>
        <v>1416.784739</v>
      </c>
      <c r="W4" s="52">
        <f t="shared" si="8"/>
        <v>1416.784739</v>
      </c>
      <c r="X4" s="9">
        <f t="shared" si="9"/>
        <v>11501.05</v>
      </c>
      <c r="Y4" s="8"/>
      <c r="Z4" s="8"/>
      <c r="AA4" s="8"/>
      <c r="AB4" s="8" t="str">
        <f t="shared" si="10"/>
        <v>AINH34405ERP20UX</v>
      </c>
      <c r="AC4" s="8" t="str">
        <f>IF(AB4='Input - Bookings'!S35,"OK","Check")</f>
        <v>Check</v>
      </c>
      <c r="AD4" s="53"/>
      <c r="AE4" s="54"/>
      <c r="AF4" s="54"/>
      <c r="AG4" s="55"/>
      <c r="AH4" s="55"/>
      <c r="AI4" s="8" t="str">
        <f t="array" ref="AI4">XLOOKUP($J4,'AP Plants'!D:D,'AP Plants'!B:B)</f>
        <v>Class 1</v>
      </c>
      <c r="AJ4" s="56"/>
      <c r="AK4" s="56"/>
      <c r="AL4" s="49">
        <v>0.015</v>
      </c>
      <c r="AM4" s="49">
        <f t="array" ref="AM4">XLOOKUP($AI4,Warranty!B:B,Warranty!E:E)</f>
        <v>0.005</v>
      </c>
      <c r="AN4" s="8">
        <f>IF($L4="AUD",VLOOKUP(RIGHT('Wk - Margins'!$J4,3),'AU Freight'!C:G,5,0),0)</f>
        <v>0</v>
      </c>
      <c r="AO4" s="49">
        <f t="shared" si="11"/>
        <v>0</v>
      </c>
      <c r="AP4" s="57">
        <f t="shared" si="12"/>
        <v>0</v>
      </c>
      <c r="AQ4" s="58">
        <f t="shared" si="13"/>
        <v>1</v>
      </c>
      <c r="AR4" s="59">
        <f>IF(L4="AUD",O4*'Currency &amp; Conversion'!$L$7,'Wk - Margins'!O4)</f>
        <v>17390</v>
      </c>
      <c r="AS4" s="59">
        <f>IF(L4="AUD",P4*'Currency &amp; Conversion'!$L$7,'Wk - Margins'!P4)</f>
        <v>11501.05</v>
      </c>
    </row>
    <row r="5" ht="12.75" hidden="1" customHeight="1">
      <c r="A5" s="42" t="str">
        <f>'Input - Bookings'!A5</f>
        <v>05/06/2023</v>
      </c>
      <c r="B5" s="43" t="str">
        <f t="shared" si="1"/>
        <v>India</v>
      </c>
      <c r="C5" s="43" t="str">
        <f t="shared" si="2"/>
        <v>AIN</v>
      </c>
      <c r="D5" s="43" t="str">
        <f>'Input - Bookings'!D5</f>
        <v>A</v>
      </c>
      <c r="E5" s="43" t="str">
        <f>'Input - Bookings'!J5</f>
        <v>IN</v>
      </c>
      <c r="F5" s="44" t="str">
        <f>'Input - Bookings'!F5</f>
        <v>067</v>
      </c>
      <c r="G5" s="44" t="str">
        <f>'Input - Bookings'!I5</f>
        <v>ELECTROMECH LIFT TRUCKS</v>
      </c>
      <c r="H5" s="44" t="str">
        <f>'Input - Bookings'!K5</f>
        <v>H34408</v>
      </c>
      <c r="I5" s="45" t="str">
        <f>VLOOKUP(H5,'Input - Bookings'!$G$2:$H$611,2,0)</f>
        <v>880805</v>
      </c>
      <c r="J5" s="44" t="str">
        <f>'Input - Bookings'!N5</f>
        <v>A7S4</v>
      </c>
      <c r="K5" s="44" t="str">
        <f>'Input - Bookings'!O5</f>
        <v>ERP20UX</v>
      </c>
      <c r="L5" s="44" t="str">
        <f>'Input - Bookings'!C5</f>
        <v>USD</v>
      </c>
      <c r="M5" s="46" t="str">
        <f t="array" ref="M5">IF(L5="USD",INDEX('AP Plants'!A:A,MATCH(J5,'AP Plants'!D:D,0)),INDEX('Australia Plants'!A:A,MATCH(J5,'Australia Plants'!D:D,0)))</f>
        <v>Maximal</v>
      </c>
      <c r="N5" s="10">
        <v>1.0</v>
      </c>
      <c r="O5" s="9">
        <v>17390.0</v>
      </c>
      <c r="P5" s="9">
        <v>11501.05</v>
      </c>
      <c r="Q5" s="47">
        <v>0.12318742544349415</v>
      </c>
      <c r="R5" s="48">
        <f t="shared" si="3"/>
        <v>0.338640023</v>
      </c>
      <c r="S5" s="49">
        <f t="shared" si="4"/>
        <v>0</v>
      </c>
      <c r="T5" s="49">
        <f t="shared" si="5"/>
        <v>0.1231874254</v>
      </c>
      <c r="U5" s="50" t="str">
        <f t="shared" si="6"/>
        <v>AOP</v>
      </c>
      <c r="V5" s="51">
        <f t="shared" si="7"/>
        <v>1416.784739</v>
      </c>
      <c r="W5" s="52">
        <f t="shared" si="8"/>
        <v>1416.784739</v>
      </c>
      <c r="X5" s="9">
        <f t="shared" si="9"/>
        <v>11501.05</v>
      </c>
      <c r="Y5" s="8"/>
      <c r="Z5" s="8"/>
      <c r="AA5" s="8"/>
      <c r="AB5" s="8" t="str">
        <f t="shared" si="10"/>
        <v>AINH34408ERP20UX</v>
      </c>
      <c r="AC5" s="8" t="str">
        <f>IF(AB5='Input - Bookings'!S13,"OK","Check")</f>
        <v>Check</v>
      </c>
      <c r="AD5" s="60"/>
      <c r="AE5" s="54"/>
      <c r="AF5" s="54"/>
      <c r="AG5" s="55"/>
      <c r="AH5" s="55"/>
      <c r="AI5" s="8" t="str">
        <f t="array" ref="AI5">XLOOKUP($J5,'AP Plants'!D:D,'AP Plants'!B:B)</f>
        <v>Class 1</v>
      </c>
      <c r="AJ5" s="56"/>
      <c r="AK5" s="56"/>
      <c r="AL5" s="49">
        <v>0.015</v>
      </c>
      <c r="AM5" s="49">
        <f t="array" ref="AM5">XLOOKUP($AI5,Warranty!B:B,Warranty!E:E)</f>
        <v>0.005</v>
      </c>
      <c r="AN5" s="8">
        <f>IF($L5="AUD",VLOOKUP(RIGHT('Wk - Margins'!$J5,3),'AU Freight'!C:G,5,0),0)</f>
        <v>0</v>
      </c>
      <c r="AO5" s="49">
        <f t="shared" si="11"/>
        <v>0</v>
      </c>
      <c r="AP5" s="57">
        <f t="shared" si="12"/>
        <v>0</v>
      </c>
      <c r="AQ5" s="58">
        <f t="shared" si="13"/>
        <v>1</v>
      </c>
      <c r="AR5" s="59">
        <f>IF(L5="AUD",O5*'Currency &amp; Conversion'!$L$7,'Wk - Margins'!O5)</f>
        <v>17390</v>
      </c>
      <c r="AS5" s="59">
        <f>IF(L5="AUD",P5*'Currency &amp; Conversion'!$L$7,'Wk - Margins'!P5)</f>
        <v>11501.05</v>
      </c>
    </row>
    <row r="6" ht="12.75" hidden="1" customHeight="1">
      <c r="A6" s="42" t="str">
        <f>'Input - Bookings'!A6</f>
        <v>05/06/2023</v>
      </c>
      <c r="B6" s="43" t="str">
        <f t="shared" si="1"/>
        <v>India</v>
      </c>
      <c r="C6" s="43" t="str">
        <f t="shared" si="2"/>
        <v>AIN</v>
      </c>
      <c r="D6" s="43" t="str">
        <f>'Input - Bookings'!D6</f>
        <v>A</v>
      </c>
      <c r="E6" s="43" t="str">
        <f>'Input - Bookings'!J6</f>
        <v>IN</v>
      </c>
      <c r="F6" s="44" t="str">
        <f>'Input - Bookings'!F6</f>
        <v>067</v>
      </c>
      <c r="G6" s="44" t="str">
        <f>'Input - Bookings'!I6</f>
        <v>ELECTROMECH LIFT TRUCKS</v>
      </c>
      <c r="H6" s="44" t="str">
        <f>'Input - Bookings'!K6</f>
        <v>H34409</v>
      </c>
      <c r="I6" s="45" t="str">
        <f>VLOOKUP(H6,'Input - Bookings'!$G$2:$H$611,2,0)</f>
        <v>880805</v>
      </c>
      <c r="J6" s="44" t="str">
        <f>'Input - Bookings'!N6</f>
        <v>A7S4</v>
      </c>
      <c r="K6" s="44" t="str">
        <f>'Input - Bookings'!O6</f>
        <v>ERP20UX</v>
      </c>
      <c r="L6" s="44" t="str">
        <f>'Input - Bookings'!C6</f>
        <v>USD</v>
      </c>
      <c r="M6" s="46" t="str">
        <f t="array" ref="M6">IF(L6="USD",INDEX('AP Plants'!A:A,MATCH(J6,'AP Plants'!D:D,0)),INDEX('Australia Plants'!A:A,MATCH(J6,'Australia Plants'!D:D,0)))</f>
        <v>Maximal</v>
      </c>
      <c r="N6" s="10">
        <v>1.0</v>
      </c>
      <c r="O6" s="9">
        <v>17390.0</v>
      </c>
      <c r="P6" s="9">
        <v>11501.05</v>
      </c>
      <c r="Q6" s="47">
        <v>0.12318742544349415</v>
      </c>
      <c r="R6" s="48">
        <f t="shared" si="3"/>
        <v>0.338640023</v>
      </c>
      <c r="S6" s="49">
        <f t="shared" si="4"/>
        <v>0</v>
      </c>
      <c r="T6" s="49">
        <f t="shared" si="5"/>
        <v>0.1231874254</v>
      </c>
      <c r="U6" s="50" t="str">
        <f t="shared" si="6"/>
        <v>AOP</v>
      </c>
      <c r="V6" s="51">
        <f t="shared" si="7"/>
        <v>1416.784739</v>
      </c>
      <c r="W6" s="52">
        <f t="shared" si="8"/>
        <v>1416.784739</v>
      </c>
      <c r="X6" s="9">
        <f t="shared" si="9"/>
        <v>11501.05</v>
      </c>
      <c r="Y6" s="8"/>
      <c r="Z6" s="8"/>
      <c r="AA6" s="8"/>
      <c r="AB6" s="8" t="str">
        <f t="shared" si="10"/>
        <v>AINH34409ERP20UX</v>
      </c>
      <c r="AC6" s="8" t="str">
        <f>IF(AB6='Input - Bookings'!S148,"OK","Check")</f>
        <v>Check</v>
      </c>
      <c r="AD6" s="60"/>
      <c r="AE6" s="54"/>
      <c r="AF6" s="54"/>
      <c r="AG6" s="55"/>
      <c r="AH6" s="55"/>
      <c r="AI6" s="8" t="str">
        <f t="array" ref="AI6">XLOOKUP($J6,'AP Plants'!D:D,'AP Plants'!B:B)</f>
        <v>Class 1</v>
      </c>
      <c r="AJ6" s="56"/>
      <c r="AK6" s="56"/>
      <c r="AL6" s="49">
        <v>0.015</v>
      </c>
      <c r="AM6" s="49">
        <f t="array" ref="AM6">XLOOKUP($AI6,Warranty!B:B,Warranty!E:E)</f>
        <v>0.005</v>
      </c>
      <c r="AN6" s="8">
        <f>IF($L6="AUD",VLOOKUP(RIGHT('Wk - Margins'!$J6,3),'AU Freight'!C:G,5,0),0)</f>
        <v>0</v>
      </c>
      <c r="AO6" s="49">
        <f t="shared" si="11"/>
        <v>0</v>
      </c>
      <c r="AP6" s="57">
        <f t="shared" si="12"/>
        <v>0</v>
      </c>
      <c r="AQ6" s="58">
        <f t="shared" si="13"/>
        <v>1</v>
      </c>
      <c r="AR6" s="59">
        <f>IF(L6="AUD",O6*'Currency &amp; Conversion'!$L$7,'Wk - Margins'!O6)</f>
        <v>17390</v>
      </c>
      <c r="AS6" s="59">
        <f>IF(L6="AUD",P6*'Currency &amp; Conversion'!$L$7,'Wk - Margins'!P6)</f>
        <v>11501.05</v>
      </c>
    </row>
    <row r="7" ht="12.75" hidden="1" customHeight="1">
      <c r="A7" s="42" t="str">
        <f>'Input - Bookings'!A7</f>
        <v>05/06/2023</v>
      </c>
      <c r="B7" s="43" t="str">
        <f t="shared" si="1"/>
        <v>India</v>
      </c>
      <c r="C7" s="43" t="str">
        <f t="shared" si="2"/>
        <v>AIN</v>
      </c>
      <c r="D7" s="43" t="str">
        <f>'Input - Bookings'!D7</f>
        <v>A</v>
      </c>
      <c r="E7" s="43" t="str">
        <f>'Input - Bookings'!J7</f>
        <v>IN</v>
      </c>
      <c r="F7" s="44" t="str">
        <f>'Input - Bookings'!F7</f>
        <v>067</v>
      </c>
      <c r="G7" s="44" t="str">
        <f>'Input - Bookings'!I7</f>
        <v>ELECTROMECH LIFT TRUCKS</v>
      </c>
      <c r="H7" s="44" t="str">
        <f>'Input - Bookings'!K7</f>
        <v>H34410</v>
      </c>
      <c r="I7" s="45" t="str">
        <f>VLOOKUP(H7,'Input - Bookings'!$G$2:$H$611,2,0)</f>
        <v>880805</v>
      </c>
      <c r="J7" s="44" t="str">
        <f>'Input - Bookings'!N7</f>
        <v>A7S4</v>
      </c>
      <c r="K7" s="44" t="str">
        <f>'Input - Bookings'!O7</f>
        <v>ERP20UX</v>
      </c>
      <c r="L7" s="44" t="str">
        <f>'Input - Bookings'!C7</f>
        <v>USD</v>
      </c>
      <c r="M7" s="46" t="str">
        <f t="array" ref="M7">IF(L7="USD",INDEX('AP Plants'!A:A,MATCH(J7,'AP Plants'!D:D,0)),INDEX('Australia Plants'!A:A,MATCH(J7,'Australia Plants'!D:D,0)))</f>
        <v>Maximal</v>
      </c>
      <c r="N7" s="10">
        <v>1.0</v>
      </c>
      <c r="O7" s="9">
        <v>17390.0</v>
      </c>
      <c r="P7" s="9">
        <v>11501.05</v>
      </c>
      <c r="Q7" s="47">
        <v>0.12318742544349415</v>
      </c>
      <c r="R7" s="48">
        <f t="shared" si="3"/>
        <v>0.338640023</v>
      </c>
      <c r="S7" s="49">
        <f t="shared" si="4"/>
        <v>0</v>
      </c>
      <c r="T7" s="49">
        <f t="shared" si="5"/>
        <v>0.1231874254</v>
      </c>
      <c r="U7" s="50" t="str">
        <f t="shared" si="6"/>
        <v>AOP</v>
      </c>
      <c r="V7" s="51">
        <f t="shared" si="7"/>
        <v>1416.784739</v>
      </c>
      <c r="W7" s="52">
        <f t="shared" si="8"/>
        <v>1416.784739</v>
      </c>
      <c r="X7" s="9">
        <f t="shared" si="9"/>
        <v>11501.05</v>
      </c>
      <c r="Y7" s="8"/>
      <c r="Z7" s="8"/>
      <c r="AA7" s="8"/>
      <c r="AB7" s="8" t="str">
        <f t="shared" si="10"/>
        <v>AINH34410ERP20UX</v>
      </c>
      <c r="AC7" s="8" t="str">
        <f>IF(AB7='Input - Bookings'!S161,"OK","Check")</f>
        <v>Check</v>
      </c>
      <c r="AD7" s="60"/>
      <c r="AE7" s="54"/>
      <c r="AF7" s="54"/>
      <c r="AG7" s="55"/>
      <c r="AH7" s="55"/>
      <c r="AI7" s="8" t="str">
        <f t="array" ref="AI7">XLOOKUP($J7,'AP Plants'!D:D,'AP Plants'!B:B)</f>
        <v>Class 1</v>
      </c>
      <c r="AJ7" s="56"/>
      <c r="AK7" s="56"/>
      <c r="AL7" s="49">
        <v>0.015</v>
      </c>
      <c r="AM7" s="49">
        <f t="array" ref="AM7">XLOOKUP($AI7,Warranty!B:B,Warranty!E:E)</f>
        <v>0.005</v>
      </c>
      <c r="AN7" s="8">
        <f>IF($L7="AUD",VLOOKUP(RIGHT('Wk - Margins'!$J7,3),'AU Freight'!C:G,5,0),0)</f>
        <v>0</v>
      </c>
      <c r="AO7" s="49">
        <f t="shared" si="11"/>
        <v>0</v>
      </c>
      <c r="AP7" s="57">
        <f t="shared" si="12"/>
        <v>0</v>
      </c>
      <c r="AQ7" s="58">
        <f t="shared" si="13"/>
        <v>1</v>
      </c>
      <c r="AR7" s="59">
        <f>IF(L7="AUD",O7*'Currency &amp; Conversion'!$L$7,'Wk - Margins'!O7)</f>
        <v>17390</v>
      </c>
      <c r="AS7" s="59">
        <f>IF(L7="AUD",P7*'Currency &amp; Conversion'!$L$7,'Wk - Margins'!P7)</f>
        <v>11501.05</v>
      </c>
    </row>
    <row r="8" ht="12.75" hidden="1" customHeight="1">
      <c r="A8" s="42" t="str">
        <f>'Input - Bookings'!A8</f>
        <v>05/06/2023</v>
      </c>
      <c r="B8" s="43" t="str">
        <f t="shared" si="1"/>
        <v>India</v>
      </c>
      <c r="C8" s="43" t="str">
        <f t="shared" si="2"/>
        <v>AIN</v>
      </c>
      <c r="D8" s="43" t="str">
        <f>'Input - Bookings'!D8</f>
        <v>A</v>
      </c>
      <c r="E8" s="43" t="str">
        <f>'Input - Bookings'!J8</f>
        <v>IN</v>
      </c>
      <c r="F8" s="44" t="str">
        <f>'Input - Bookings'!F8</f>
        <v>067</v>
      </c>
      <c r="G8" s="44" t="str">
        <f>'Input - Bookings'!I8</f>
        <v>ELECTROMECH LIFT TRUCKS</v>
      </c>
      <c r="H8" s="44" t="str">
        <f>'Input - Bookings'!K8</f>
        <v>H34411</v>
      </c>
      <c r="I8" s="45" t="str">
        <f>VLOOKUP(H8,'Input - Bookings'!$G$2:$H$611,2,0)</f>
        <v>880805</v>
      </c>
      <c r="J8" s="44" t="str">
        <f>'Input - Bookings'!N8</f>
        <v>A7S4</v>
      </c>
      <c r="K8" s="44" t="str">
        <f>'Input - Bookings'!O8</f>
        <v>ERP20UX</v>
      </c>
      <c r="L8" s="44" t="str">
        <f>'Input - Bookings'!C8</f>
        <v>USD</v>
      </c>
      <c r="M8" s="46" t="str">
        <f t="array" ref="M8">IF(L8="USD",INDEX('AP Plants'!A:A,MATCH(J8,'AP Plants'!D:D,0)),INDEX('Australia Plants'!A:A,MATCH(J8,'Australia Plants'!D:D,0)))</f>
        <v>Maximal</v>
      </c>
      <c r="N8" s="10">
        <v>1.0</v>
      </c>
      <c r="O8" s="9">
        <v>17390.0</v>
      </c>
      <c r="P8" s="9">
        <v>11501.05</v>
      </c>
      <c r="Q8" s="47">
        <v>0.12318742544349415</v>
      </c>
      <c r="R8" s="48">
        <f t="shared" si="3"/>
        <v>0.338640023</v>
      </c>
      <c r="S8" s="49">
        <f t="shared" si="4"/>
        <v>0</v>
      </c>
      <c r="T8" s="49">
        <f t="shared" si="5"/>
        <v>0.1231874254</v>
      </c>
      <c r="U8" s="50" t="str">
        <f t="shared" si="6"/>
        <v>AOP</v>
      </c>
      <c r="V8" s="51">
        <f t="shared" si="7"/>
        <v>1416.784739</v>
      </c>
      <c r="W8" s="52">
        <f t="shared" si="8"/>
        <v>1416.784739</v>
      </c>
      <c r="X8" s="9">
        <f t="shared" si="9"/>
        <v>11501.05</v>
      </c>
      <c r="Y8" s="8"/>
      <c r="Z8" s="8"/>
      <c r="AA8" s="8"/>
      <c r="AB8" s="8" t="str">
        <f t="shared" si="10"/>
        <v>AINH34411ERP20UX</v>
      </c>
      <c r="AC8" s="8" t="str">
        <f>IF(AB8='Input - Bookings'!S162,"OK","Check")</f>
        <v>Check</v>
      </c>
      <c r="AD8" s="53"/>
      <c r="AE8" s="54"/>
      <c r="AF8" s="54"/>
      <c r="AG8" s="55"/>
      <c r="AH8" s="55"/>
      <c r="AI8" s="8" t="str">
        <f t="array" ref="AI8">XLOOKUP($J8,'AP Plants'!D:D,'AP Plants'!B:B)</f>
        <v>Class 1</v>
      </c>
      <c r="AJ8" s="56"/>
      <c r="AK8" s="56"/>
      <c r="AL8" s="49">
        <v>0.015</v>
      </c>
      <c r="AM8" s="49">
        <f t="array" ref="AM8">XLOOKUP($AI8,Warranty!B:B,Warranty!E:E)</f>
        <v>0.005</v>
      </c>
      <c r="AN8" s="8">
        <f>IF($L8="AUD",VLOOKUP(RIGHT('Wk - Margins'!$J8,3),'AU Freight'!C:G,5,0),0)</f>
        <v>0</v>
      </c>
      <c r="AO8" s="49">
        <f t="shared" si="11"/>
        <v>0</v>
      </c>
      <c r="AP8" s="57">
        <f t="shared" si="12"/>
        <v>0</v>
      </c>
      <c r="AQ8" s="58">
        <f t="shared" si="13"/>
        <v>1</v>
      </c>
      <c r="AR8" s="59">
        <f>IF(L8="AUD",O8*'Currency &amp; Conversion'!$L$7,'Wk - Margins'!O8)</f>
        <v>17390</v>
      </c>
      <c r="AS8" s="59">
        <f>IF(L8="AUD",P8*'Currency &amp; Conversion'!$L$7,'Wk - Margins'!P8)</f>
        <v>11501.05</v>
      </c>
    </row>
    <row r="9" ht="12.75" hidden="1" customHeight="1">
      <c r="A9" s="42" t="str">
        <f>'Input - Bookings'!A9</f>
        <v>05/06/2023</v>
      </c>
      <c r="B9" s="43" t="str">
        <f t="shared" si="1"/>
        <v>India</v>
      </c>
      <c r="C9" s="43" t="str">
        <f t="shared" si="2"/>
        <v>AIN</v>
      </c>
      <c r="D9" s="43" t="str">
        <f>'Input - Bookings'!D9</f>
        <v>A</v>
      </c>
      <c r="E9" s="43" t="str">
        <f>'Input - Bookings'!J9</f>
        <v>IN</v>
      </c>
      <c r="F9" s="44" t="str">
        <f>'Input - Bookings'!F9</f>
        <v>067</v>
      </c>
      <c r="G9" s="44" t="str">
        <f>'Input - Bookings'!I9</f>
        <v>ELECTROMECH LIFT TRUCKS</v>
      </c>
      <c r="H9" s="44" t="str">
        <f>'Input - Bookings'!K9</f>
        <v>H34412</v>
      </c>
      <c r="I9" s="45" t="str">
        <f>VLOOKUP(H9,'Input - Bookings'!$G$2:$H$611,2,0)</f>
        <v>880805</v>
      </c>
      <c r="J9" s="44" t="str">
        <f>'Input - Bookings'!N9</f>
        <v>A7S4</v>
      </c>
      <c r="K9" s="44" t="str">
        <f>'Input - Bookings'!O9</f>
        <v>ERP20UX</v>
      </c>
      <c r="L9" s="44" t="str">
        <f>'Input - Bookings'!C9</f>
        <v>USD</v>
      </c>
      <c r="M9" s="46" t="str">
        <f t="array" ref="M9">IF(L9="USD",INDEX('AP Plants'!A:A,MATCH(J9,'AP Plants'!D:D,0)),INDEX('Australia Plants'!A:A,MATCH(J9,'Australia Plants'!D:D,0)))</f>
        <v>Maximal</v>
      </c>
      <c r="N9" s="10">
        <v>1.0</v>
      </c>
      <c r="O9" s="9">
        <v>17390.0</v>
      </c>
      <c r="P9" s="9">
        <v>11501.05</v>
      </c>
      <c r="Q9" s="47">
        <v>0.12318742544349415</v>
      </c>
      <c r="R9" s="48">
        <f t="shared" si="3"/>
        <v>0.338640023</v>
      </c>
      <c r="S9" s="49">
        <f t="shared" si="4"/>
        <v>0</v>
      </c>
      <c r="T9" s="49">
        <f t="shared" si="5"/>
        <v>0.1231874254</v>
      </c>
      <c r="U9" s="50" t="str">
        <f t="shared" si="6"/>
        <v>AOP</v>
      </c>
      <c r="V9" s="51">
        <f t="shared" si="7"/>
        <v>1416.784739</v>
      </c>
      <c r="W9" s="52">
        <f t="shared" si="8"/>
        <v>1416.784739</v>
      </c>
      <c r="X9" s="9">
        <f t="shared" si="9"/>
        <v>11501.05</v>
      </c>
      <c r="Y9" s="8"/>
      <c r="Z9" s="8"/>
      <c r="AA9" s="8"/>
      <c r="AB9" s="8" t="str">
        <f t="shared" si="10"/>
        <v>AINH34412ERP20UX</v>
      </c>
      <c r="AC9" s="8" t="str">
        <f>IF(AB9='Input - Bookings'!S163,"OK","Check")</f>
        <v>Check</v>
      </c>
      <c r="AD9" s="53"/>
      <c r="AE9" s="54"/>
      <c r="AF9" s="54"/>
      <c r="AG9" s="55"/>
      <c r="AH9" s="55"/>
      <c r="AI9" s="8" t="str">
        <f t="array" ref="AI9">XLOOKUP($J9,'AP Plants'!D:D,'AP Plants'!B:B)</f>
        <v>Class 1</v>
      </c>
      <c r="AJ9" s="56"/>
      <c r="AK9" s="56"/>
      <c r="AL9" s="49">
        <v>0.015</v>
      </c>
      <c r="AM9" s="49">
        <f t="array" ref="AM9">XLOOKUP($AI9,Warranty!B:B,Warranty!E:E)</f>
        <v>0.005</v>
      </c>
      <c r="AN9" s="8">
        <f>IF($L9="AUD",VLOOKUP(RIGHT('Wk - Margins'!$J9,3),'AU Freight'!C:G,5,0),0)</f>
        <v>0</v>
      </c>
      <c r="AO9" s="49">
        <f t="shared" si="11"/>
        <v>0</v>
      </c>
      <c r="AP9" s="57">
        <f t="shared" si="12"/>
        <v>0</v>
      </c>
      <c r="AQ9" s="58">
        <f t="shared" si="13"/>
        <v>1</v>
      </c>
      <c r="AR9" s="59">
        <f>IF(L9="AUD",O9*'Currency &amp; Conversion'!$L$7,'Wk - Margins'!O9)</f>
        <v>17390</v>
      </c>
      <c r="AS9" s="59">
        <f>IF(L9="AUD",P9*'Currency &amp; Conversion'!$L$7,'Wk - Margins'!P9)</f>
        <v>11501.05</v>
      </c>
    </row>
    <row r="10" ht="12.75" hidden="1" customHeight="1">
      <c r="A10" s="42" t="str">
        <f>'Input - Bookings'!A10</f>
        <v>05/06/2023</v>
      </c>
      <c r="B10" s="43" t="str">
        <f t="shared" si="1"/>
        <v>India</v>
      </c>
      <c r="C10" s="43" t="str">
        <f t="shared" si="2"/>
        <v>AIN</v>
      </c>
      <c r="D10" s="43" t="str">
        <f>'Input - Bookings'!D10</f>
        <v>A</v>
      </c>
      <c r="E10" s="43" t="str">
        <f>'Input - Bookings'!J10</f>
        <v>IN</v>
      </c>
      <c r="F10" s="44" t="str">
        <f>'Input - Bookings'!F10</f>
        <v>067</v>
      </c>
      <c r="G10" s="44" t="str">
        <f>'Input - Bookings'!I10</f>
        <v>ELECTROMECH LIFT TRUCKS</v>
      </c>
      <c r="H10" s="44" t="str">
        <f>'Input - Bookings'!K10</f>
        <v>H34413</v>
      </c>
      <c r="I10" s="45" t="str">
        <f>VLOOKUP(H10,'Input - Bookings'!$G$2:$H$611,2,0)</f>
        <v>880805</v>
      </c>
      <c r="J10" s="44" t="str">
        <f>'Input - Bookings'!N10</f>
        <v>A7S4</v>
      </c>
      <c r="K10" s="44" t="str">
        <f>'Input - Bookings'!O10</f>
        <v>ERP20UX</v>
      </c>
      <c r="L10" s="44" t="str">
        <f>'Input - Bookings'!C10</f>
        <v>USD</v>
      </c>
      <c r="M10" s="46" t="str">
        <f t="array" ref="M10">IF(L10="USD",INDEX('AP Plants'!A:A,MATCH(J10,'AP Plants'!D:D,0)),INDEX('Australia Plants'!A:A,MATCH(J10,'Australia Plants'!D:D,0)))</f>
        <v>Maximal</v>
      </c>
      <c r="N10" s="10">
        <v>1.0</v>
      </c>
      <c r="O10" s="9">
        <v>17390.0</v>
      </c>
      <c r="P10" s="9">
        <v>11501.05</v>
      </c>
      <c r="Q10" s="47">
        <v>0.12318742544349415</v>
      </c>
      <c r="R10" s="48">
        <f t="shared" si="3"/>
        <v>0.338640023</v>
      </c>
      <c r="S10" s="49">
        <f t="shared" si="4"/>
        <v>0</v>
      </c>
      <c r="T10" s="49">
        <f t="shared" si="5"/>
        <v>0.1231874254</v>
      </c>
      <c r="U10" s="50" t="str">
        <f t="shared" si="6"/>
        <v>AOP</v>
      </c>
      <c r="V10" s="51">
        <f t="shared" si="7"/>
        <v>1416.784739</v>
      </c>
      <c r="W10" s="52">
        <f t="shared" si="8"/>
        <v>1416.784739</v>
      </c>
      <c r="X10" s="9">
        <f t="shared" si="9"/>
        <v>11501.05</v>
      </c>
      <c r="Y10" s="8"/>
      <c r="Z10" s="8"/>
      <c r="AA10" s="8"/>
      <c r="AB10" s="8" t="str">
        <f t="shared" si="10"/>
        <v>AINH34413ERP20UX</v>
      </c>
      <c r="AC10" s="8" t="str">
        <f>IF(AB10='Input - Bookings'!S291,"OK","Check")</f>
        <v>Check</v>
      </c>
      <c r="AD10" s="53"/>
      <c r="AE10" s="54"/>
      <c r="AF10" s="54"/>
      <c r="AG10" s="55"/>
      <c r="AH10" s="55"/>
      <c r="AI10" s="8" t="str">
        <f t="array" ref="AI10">XLOOKUP($J10,'AP Plants'!D:D,'AP Plants'!B:B)</f>
        <v>Class 1</v>
      </c>
      <c r="AJ10" s="56"/>
      <c r="AK10" s="56"/>
      <c r="AL10" s="49">
        <v>0.015</v>
      </c>
      <c r="AM10" s="49">
        <f t="array" ref="AM10">XLOOKUP($AI10,Warranty!B:B,Warranty!E:E)</f>
        <v>0.005</v>
      </c>
      <c r="AN10" s="8">
        <f>IF($L10="AUD",VLOOKUP(RIGHT('Wk - Margins'!$J10,3),'AU Freight'!C:G,5,0),0)</f>
        <v>0</v>
      </c>
      <c r="AO10" s="49">
        <f t="shared" si="11"/>
        <v>0</v>
      </c>
      <c r="AP10" s="57">
        <f t="shared" si="12"/>
        <v>0</v>
      </c>
      <c r="AQ10" s="58">
        <f t="shared" si="13"/>
        <v>1</v>
      </c>
      <c r="AR10" s="59">
        <f>IF(L10="AUD",O10*'Currency &amp; Conversion'!$L$7,'Wk - Margins'!O10)</f>
        <v>17390</v>
      </c>
      <c r="AS10" s="59">
        <f>IF(L10="AUD",P10*'Currency &amp; Conversion'!$L$7,'Wk - Margins'!P10)</f>
        <v>11501.05</v>
      </c>
    </row>
    <row r="11" ht="12.75" hidden="1" customHeight="1">
      <c r="A11" s="42" t="str">
        <f>'Input - Bookings'!A11</f>
        <v>05/06/2023</v>
      </c>
      <c r="B11" s="43" t="str">
        <f t="shared" si="1"/>
        <v>India</v>
      </c>
      <c r="C11" s="43" t="str">
        <f t="shared" si="2"/>
        <v>AIN</v>
      </c>
      <c r="D11" s="43" t="str">
        <f>'Input - Bookings'!D11</f>
        <v>A</v>
      </c>
      <c r="E11" s="43" t="str">
        <f>'Input - Bookings'!J11</f>
        <v>IN</v>
      </c>
      <c r="F11" s="44" t="str">
        <f>'Input - Bookings'!F11</f>
        <v>067</v>
      </c>
      <c r="G11" s="44" t="str">
        <f>'Input - Bookings'!I11</f>
        <v>ELECTROMECH LIFT TRUCKS</v>
      </c>
      <c r="H11" s="44" t="str">
        <f>'Input - Bookings'!K11</f>
        <v>H34414</v>
      </c>
      <c r="I11" s="45" t="str">
        <f>VLOOKUP(H11,'Input - Bookings'!$G$2:$H$611,2,0)</f>
        <v>880805</v>
      </c>
      <c r="J11" s="44" t="str">
        <f>'Input - Bookings'!N11</f>
        <v>A7S4</v>
      </c>
      <c r="K11" s="44" t="str">
        <f>'Input - Bookings'!O11</f>
        <v>ERP20UX</v>
      </c>
      <c r="L11" s="44" t="str">
        <f>'Input - Bookings'!C11</f>
        <v>USD</v>
      </c>
      <c r="M11" s="46" t="str">
        <f t="array" ref="M11">IF(L11="USD",INDEX('AP Plants'!A:A,MATCH(J11,'AP Plants'!D:D,0)),INDEX('Australia Plants'!A:A,MATCH(J11,'Australia Plants'!D:D,0)))</f>
        <v>Maximal</v>
      </c>
      <c r="N11" s="10">
        <v>1.0</v>
      </c>
      <c r="O11" s="9">
        <v>17390.0</v>
      </c>
      <c r="P11" s="9">
        <v>11501.05</v>
      </c>
      <c r="Q11" s="47">
        <v>0.12318742544349415</v>
      </c>
      <c r="R11" s="48">
        <f t="shared" si="3"/>
        <v>0.338640023</v>
      </c>
      <c r="S11" s="49">
        <f t="shared" si="4"/>
        <v>0</v>
      </c>
      <c r="T11" s="49">
        <f t="shared" si="5"/>
        <v>0.1231874254</v>
      </c>
      <c r="U11" s="50" t="str">
        <f t="shared" si="6"/>
        <v>AOP</v>
      </c>
      <c r="V11" s="51">
        <f t="shared" si="7"/>
        <v>1416.784739</v>
      </c>
      <c r="W11" s="52">
        <f t="shared" si="8"/>
        <v>1416.784739</v>
      </c>
      <c r="X11" s="9">
        <f t="shared" si="9"/>
        <v>11501.05</v>
      </c>
      <c r="Y11" s="8"/>
      <c r="Z11" s="8"/>
      <c r="AA11" s="8"/>
      <c r="AB11" s="8" t="str">
        <f t="shared" si="10"/>
        <v>AINH34414ERP20UX</v>
      </c>
      <c r="AC11" s="8" t="str">
        <f>IF(AB11='Input - Bookings'!S292,"OK","Check")</f>
        <v>Check</v>
      </c>
      <c r="AD11" s="53"/>
      <c r="AE11" s="54"/>
      <c r="AF11" s="54"/>
      <c r="AG11" s="55"/>
      <c r="AH11" s="55"/>
      <c r="AI11" s="8" t="str">
        <f t="array" ref="AI11">XLOOKUP($J11,'AP Plants'!D:D,'AP Plants'!B:B)</f>
        <v>Class 1</v>
      </c>
      <c r="AJ11" s="56"/>
      <c r="AK11" s="56"/>
      <c r="AL11" s="49">
        <v>0.015</v>
      </c>
      <c r="AM11" s="49">
        <f t="array" ref="AM11">XLOOKUP($AI11,Warranty!B:B,Warranty!E:E)</f>
        <v>0.005</v>
      </c>
      <c r="AN11" s="8">
        <f>IF($L11="AUD",VLOOKUP(RIGHT('Wk - Margins'!$J11,3),'AU Freight'!C:G,5,0),0)</f>
        <v>0</v>
      </c>
      <c r="AO11" s="49">
        <f t="shared" si="11"/>
        <v>0</v>
      </c>
      <c r="AP11" s="57">
        <f t="shared" si="12"/>
        <v>0</v>
      </c>
      <c r="AQ11" s="58">
        <f t="shared" si="13"/>
        <v>1</v>
      </c>
      <c r="AR11" s="59">
        <f>IF(L11="AUD",O11*'Currency &amp; Conversion'!$L$7,'Wk - Margins'!O11)</f>
        <v>17390</v>
      </c>
      <c r="AS11" s="59">
        <f>IF(L11="AUD",P11*'Currency &amp; Conversion'!$L$7,'Wk - Margins'!P11)</f>
        <v>11501.05</v>
      </c>
    </row>
    <row r="12" ht="12.75" hidden="1" customHeight="1">
      <c r="A12" s="42" t="str">
        <f>'Input - Bookings'!A12</f>
        <v>05/06/2023</v>
      </c>
      <c r="B12" s="43" t="str">
        <f t="shared" si="1"/>
        <v>India</v>
      </c>
      <c r="C12" s="43" t="str">
        <f t="shared" si="2"/>
        <v>AIN</v>
      </c>
      <c r="D12" s="43" t="str">
        <f>'Input - Bookings'!D12</f>
        <v>A</v>
      </c>
      <c r="E12" s="43" t="str">
        <f>'Input - Bookings'!J12</f>
        <v>IN</v>
      </c>
      <c r="F12" s="44" t="str">
        <f>'Input - Bookings'!F12</f>
        <v>067</v>
      </c>
      <c r="G12" s="44" t="str">
        <f>'Input - Bookings'!I12</f>
        <v>ELECTROMECH LIFT TRUCKS</v>
      </c>
      <c r="H12" s="44" t="str">
        <f>'Input - Bookings'!K12</f>
        <v>H34415</v>
      </c>
      <c r="I12" s="45" t="str">
        <f>VLOOKUP(H12,'Input - Bookings'!$G$2:$H$611,2,0)</f>
        <v>880805</v>
      </c>
      <c r="J12" s="44" t="str">
        <f>'Input - Bookings'!N12</f>
        <v>A7S4</v>
      </c>
      <c r="K12" s="44" t="str">
        <f>'Input - Bookings'!O12</f>
        <v>ERP20UX</v>
      </c>
      <c r="L12" s="44" t="str">
        <f>'Input - Bookings'!C12</f>
        <v>USD</v>
      </c>
      <c r="M12" s="46" t="str">
        <f t="array" ref="M12">IF(L12="USD",INDEX('AP Plants'!A:A,MATCH(J12,'AP Plants'!D:D,0)),INDEX('Australia Plants'!A:A,MATCH(J12,'Australia Plants'!D:D,0)))</f>
        <v>Maximal</v>
      </c>
      <c r="N12" s="10">
        <v>1.0</v>
      </c>
      <c r="O12" s="9">
        <v>17390.0</v>
      </c>
      <c r="P12" s="9">
        <v>11501.05</v>
      </c>
      <c r="Q12" s="47">
        <v>0.12318742544349415</v>
      </c>
      <c r="R12" s="48">
        <f t="shared" si="3"/>
        <v>0.338640023</v>
      </c>
      <c r="S12" s="49">
        <f t="shared" si="4"/>
        <v>0</v>
      </c>
      <c r="T12" s="49">
        <f t="shared" si="5"/>
        <v>0.1231874254</v>
      </c>
      <c r="U12" s="50" t="str">
        <f t="shared" si="6"/>
        <v>AOP</v>
      </c>
      <c r="V12" s="51">
        <f t="shared" si="7"/>
        <v>1416.784739</v>
      </c>
      <c r="W12" s="52">
        <f t="shared" si="8"/>
        <v>1416.784739</v>
      </c>
      <c r="X12" s="9">
        <f t="shared" si="9"/>
        <v>11501.05</v>
      </c>
      <c r="Y12" s="8"/>
      <c r="Z12" s="8"/>
      <c r="AA12" s="8"/>
      <c r="AB12" s="8" t="str">
        <f t="shared" si="10"/>
        <v>AINH34415ERP20UX</v>
      </c>
      <c r="AC12" s="8" t="str">
        <f>IF(AB12='Input - Bookings'!S294,"OK","Check")</f>
        <v>Check</v>
      </c>
      <c r="AD12" s="53"/>
      <c r="AE12" s="54"/>
      <c r="AF12" s="54"/>
      <c r="AG12" s="55"/>
      <c r="AH12" s="55"/>
      <c r="AI12" s="8" t="str">
        <f t="array" ref="AI12">XLOOKUP($J12,'AP Plants'!D:D,'AP Plants'!B:B)</f>
        <v>Class 1</v>
      </c>
      <c r="AJ12" s="56"/>
      <c r="AK12" s="56"/>
      <c r="AL12" s="49">
        <v>0.015</v>
      </c>
      <c r="AM12" s="49">
        <f t="array" ref="AM12">XLOOKUP($AI12,Warranty!B:B,Warranty!E:E)</f>
        <v>0.005</v>
      </c>
      <c r="AN12" s="8">
        <f>IF($L12="AUD",VLOOKUP(RIGHT('Wk - Margins'!$J12,3),'AU Freight'!C:G,5,0),0)</f>
        <v>0</v>
      </c>
      <c r="AO12" s="49">
        <f t="shared" si="11"/>
        <v>0</v>
      </c>
      <c r="AP12" s="57">
        <f t="shared" si="12"/>
        <v>0</v>
      </c>
      <c r="AQ12" s="58">
        <f t="shared" si="13"/>
        <v>1</v>
      </c>
      <c r="AR12" s="59">
        <f>IF(L12="AUD",O12*'Currency &amp; Conversion'!$L$7,'Wk - Margins'!O12)</f>
        <v>17390</v>
      </c>
      <c r="AS12" s="59">
        <f>IF(L12="AUD",P12*'Currency &amp; Conversion'!$L$7,'Wk - Margins'!P12)</f>
        <v>11501.05</v>
      </c>
    </row>
    <row r="13" ht="12.75" hidden="1" customHeight="1">
      <c r="A13" s="42" t="str">
        <f>'Input - Bookings'!A13</f>
        <v>05/06/2023</v>
      </c>
      <c r="B13" s="43" t="str">
        <f t="shared" si="1"/>
        <v>India</v>
      </c>
      <c r="C13" s="43" t="str">
        <f t="shared" si="2"/>
        <v>AIN</v>
      </c>
      <c r="D13" s="43" t="str">
        <f>'Input - Bookings'!D13</f>
        <v>A</v>
      </c>
      <c r="E13" s="43" t="str">
        <f>'Input - Bookings'!J13</f>
        <v>IN</v>
      </c>
      <c r="F13" s="44" t="str">
        <f>'Input - Bookings'!F13</f>
        <v>067</v>
      </c>
      <c r="G13" s="44" t="str">
        <f>'Input - Bookings'!I13</f>
        <v>ELECTROMECH LIFT TRUCKS</v>
      </c>
      <c r="H13" s="44" t="str">
        <f>'Input - Bookings'!K13</f>
        <v>H34416</v>
      </c>
      <c r="I13" s="45" t="str">
        <f>VLOOKUP(H13,'Input - Bookings'!$G$2:$H$611,2,0)</f>
        <v>880805</v>
      </c>
      <c r="J13" s="44" t="str">
        <f>'Input - Bookings'!N13</f>
        <v>A7S4</v>
      </c>
      <c r="K13" s="44" t="str">
        <f>'Input - Bookings'!O13</f>
        <v>ERP20UX</v>
      </c>
      <c r="L13" s="44" t="str">
        <f>'Input - Bookings'!C13</f>
        <v>USD</v>
      </c>
      <c r="M13" s="46" t="str">
        <f t="array" ref="M13">IF(L13="USD",INDEX('AP Plants'!A:A,MATCH(J13,'AP Plants'!D:D,0)),INDEX('Australia Plants'!A:A,MATCH(J13,'Australia Plants'!D:D,0)))</f>
        <v>Maximal</v>
      </c>
      <c r="N13" s="10">
        <v>1.0</v>
      </c>
      <c r="O13" s="9">
        <v>17390.0</v>
      </c>
      <c r="P13" s="9">
        <v>11501.05</v>
      </c>
      <c r="Q13" s="47">
        <v>0.12318742544349415</v>
      </c>
      <c r="R13" s="48">
        <f t="shared" si="3"/>
        <v>0.338640023</v>
      </c>
      <c r="S13" s="49">
        <f t="shared" si="4"/>
        <v>0</v>
      </c>
      <c r="T13" s="49">
        <f t="shared" si="5"/>
        <v>0.1231874254</v>
      </c>
      <c r="U13" s="50" t="str">
        <f t="shared" si="6"/>
        <v>AOP</v>
      </c>
      <c r="V13" s="51">
        <f t="shared" si="7"/>
        <v>1416.784739</v>
      </c>
      <c r="W13" s="52">
        <f t="shared" si="8"/>
        <v>1416.784739</v>
      </c>
      <c r="X13" s="9">
        <f t="shared" si="9"/>
        <v>11501.05</v>
      </c>
      <c r="Y13" s="8"/>
      <c r="Z13" s="8"/>
      <c r="AA13" s="8"/>
      <c r="AB13" s="8" t="str">
        <f t="shared" si="10"/>
        <v>AINH34416ERP20UX</v>
      </c>
      <c r="AC13" s="8" t="str">
        <f>IF(AB13='Input - Bookings'!S3,"OK","Check")</f>
        <v>Check</v>
      </c>
      <c r="AD13" s="53"/>
      <c r="AE13" s="54"/>
      <c r="AF13" s="54"/>
      <c r="AG13" s="55"/>
      <c r="AH13" s="55"/>
      <c r="AI13" s="8" t="str">
        <f t="array" ref="AI13">XLOOKUP($J13,'AP Plants'!D:D,'AP Plants'!B:B)</f>
        <v>Class 1</v>
      </c>
      <c r="AJ13" s="56"/>
      <c r="AK13" s="56"/>
      <c r="AL13" s="49">
        <v>0.015</v>
      </c>
      <c r="AM13" s="49">
        <f t="array" ref="AM13">XLOOKUP($AI13,Warranty!B:B,Warranty!E:E)</f>
        <v>0.005</v>
      </c>
      <c r="AN13" s="8">
        <f>IF($L13="AUD",VLOOKUP(RIGHT('Wk - Margins'!$J13,3),'AU Freight'!C:G,5,0),0)</f>
        <v>0</v>
      </c>
      <c r="AO13" s="49">
        <f t="shared" si="11"/>
        <v>0</v>
      </c>
      <c r="AP13" s="57">
        <f t="shared" si="12"/>
        <v>0</v>
      </c>
      <c r="AQ13" s="58">
        <f t="shared" si="13"/>
        <v>1</v>
      </c>
      <c r="AR13" s="59">
        <f>IF(L13="AUD",O13*'Currency &amp; Conversion'!$L$7,'Wk - Margins'!O13)</f>
        <v>17390</v>
      </c>
      <c r="AS13" s="59">
        <f>IF(L13="AUD",P13*'Currency &amp; Conversion'!$L$7,'Wk - Margins'!P13)</f>
        <v>11501.05</v>
      </c>
    </row>
    <row r="14" ht="12.75" hidden="1" customHeight="1">
      <c r="A14" s="42" t="str">
        <f>'Input - Bookings'!A14</f>
        <v>05/06/2023</v>
      </c>
      <c r="B14" s="43" t="str">
        <f t="shared" si="1"/>
        <v>India</v>
      </c>
      <c r="C14" s="43" t="str">
        <f t="shared" si="2"/>
        <v>AIN</v>
      </c>
      <c r="D14" s="43" t="str">
        <f>'Input - Bookings'!D14</f>
        <v>A</v>
      </c>
      <c r="E14" s="43" t="str">
        <f>'Input - Bookings'!J14</f>
        <v>IN</v>
      </c>
      <c r="F14" s="44" t="str">
        <f>'Input - Bookings'!F14</f>
        <v>067</v>
      </c>
      <c r="G14" s="44" t="str">
        <f>'Input - Bookings'!I14</f>
        <v>ELECTROMECH LIFT TRUCKS</v>
      </c>
      <c r="H14" s="44" t="str">
        <f>'Input - Bookings'!K14</f>
        <v>H34417</v>
      </c>
      <c r="I14" s="45" t="str">
        <f>VLOOKUP(H14,'Input - Bookings'!$G$2:$H$611,2,0)</f>
        <v>880805</v>
      </c>
      <c r="J14" s="44" t="str">
        <f>'Input - Bookings'!N14</f>
        <v>A7S4</v>
      </c>
      <c r="K14" s="44" t="str">
        <f>'Input - Bookings'!O14</f>
        <v>ERP20UX</v>
      </c>
      <c r="L14" s="44" t="str">
        <f>'Input - Bookings'!C14</f>
        <v>USD</v>
      </c>
      <c r="M14" s="46" t="str">
        <f t="array" ref="M14">IF(L14="USD",INDEX('AP Plants'!A:A,MATCH(J14,'AP Plants'!D:D,0)),INDEX('Australia Plants'!A:A,MATCH(J14,'Australia Plants'!D:D,0)))</f>
        <v>Maximal</v>
      </c>
      <c r="N14" s="10">
        <v>1.0</v>
      </c>
      <c r="O14" s="9">
        <v>17390.0</v>
      </c>
      <c r="P14" s="9">
        <v>11501.05</v>
      </c>
      <c r="Q14" s="47">
        <v>0.12318742544349415</v>
      </c>
      <c r="R14" s="48">
        <f t="shared" si="3"/>
        <v>0.338640023</v>
      </c>
      <c r="S14" s="49">
        <f t="shared" si="4"/>
        <v>0</v>
      </c>
      <c r="T14" s="49">
        <f t="shared" si="5"/>
        <v>0.1231874254</v>
      </c>
      <c r="U14" s="50" t="str">
        <f t="shared" si="6"/>
        <v>AOP</v>
      </c>
      <c r="V14" s="51">
        <f t="shared" si="7"/>
        <v>1416.784739</v>
      </c>
      <c r="W14" s="52">
        <f t="shared" si="8"/>
        <v>1416.784739</v>
      </c>
      <c r="X14" s="9">
        <f t="shared" si="9"/>
        <v>11501.05</v>
      </c>
      <c r="Y14" s="8"/>
      <c r="Z14" s="8"/>
      <c r="AA14" s="8"/>
      <c r="AB14" s="8" t="str">
        <f t="shared" si="10"/>
        <v>AINH34417ERP20UX</v>
      </c>
      <c r="AC14" s="8" t="str">
        <f>IF(AB14='Input - Bookings'!S28,"OK","Check")</f>
        <v>Check</v>
      </c>
      <c r="AD14" s="53"/>
      <c r="AE14" s="54"/>
      <c r="AF14" s="54"/>
      <c r="AG14" s="55"/>
      <c r="AH14" s="55"/>
      <c r="AI14" s="8" t="str">
        <f t="array" ref="AI14">XLOOKUP($J14,'AP Plants'!D:D,'AP Plants'!B:B)</f>
        <v>Class 1</v>
      </c>
      <c r="AJ14" s="56"/>
      <c r="AK14" s="56"/>
      <c r="AL14" s="49">
        <v>0.015</v>
      </c>
      <c r="AM14" s="49">
        <f t="array" ref="AM14">XLOOKUP($AI14,Warranty!B:B,Warranty!E:E)</f>
        <v>0.005</v>
      </c>
      <c r="AN14" s="8">
        <f>IF($L14="AUD",VLOOKUP(RIGHT('Wk - Margins'!$J14,3),'AU Freight'!C:G,5,0),0)</f>
        <v>0</v>
      </c>
      <c r="AO14" s="49">
        <f t="shared" si="11"/>
        <v>0</v>
      </c>
      <c r="AP14" s="57">
        <f t="shared" si="12"/>
        <v>0</v>
      </c>
      <c r="AQ14" s="58">
        <f t="shared" si="13"/>
        <v>1</v>
      </c>
      <c r="AR14" s="59">
        <f>IF(L14="AUD",O14*'Currency &amp; Conversion'!$L$7,'Wk - Margins'!O14)</f>
        <v>17390</v>
      </c>
      <c r="AS14" s="59">
        <f>IF(L14="AUD",P14*'Currency &amp; Conversion'!$L$7,'Wk - Margins'!P14)</f>
        <v>11501.05</v>
      </c>
    </row>
    <row r="15" ht="12.75" hidden="1" customHeight="1">
      <c r="A15" s="42" t="str">
        <f>'Input - Bookings'!A15</f>
        <v>05/06/2023</v>
      </c>
      <c r="B15" s="43" t="str">
        <f t="shared" si="1"/>
        <v>India</v>
      </c>
      <c r="C15" s="43" t="str">
        <f t="shared" si="2"/>
        <v>AIN</v>
      </c>
      <c r="D15" s="43" t="str">
        <f>'Input - Bookings'!D15</f>
        <v>A</v>
      </c>
      <c r="E15" s="43" t="str">
        <f>'Input - Bookings'!J15</f>
        <v>IN</v>
      </c>
      <c r="F15" s="44" t="str">
        <f>'Input - Bookings'!F15</f>
        <v>067</v>
      </c>
      <c r="G15" s="44" t="str">
        <f>'Input - Bookings'!I15</f>
        <v>ELECTROMECH LIFT TRUCKS</v>
      </c>
      <c r="H15" s="44" t="str">
        <f>'Input - Bookings'!K15</f>
        <v>H34418</v>
      </c>
      <c r="I15" s="45" t="str">
        <f>VLOOKUP(H15,'Input - Bookings'!$G$2:$H$611,2,0)</f>
        <v>880805</v>
      </c>
      <c r="J15" s="44" t="str">
        <f>'Input - Bookings'!N15</f>
        <v>A7S4</v>
      </c>
      <c r="K15" s="44" t="str">
        <f>'Input - Bookings'!O15</f>
        <v>ERP20UX</v>
      </c>
      <c r="L15" s="44" t="str">
        <f>'Input - Bookings'!C15</f>
        <v>USD</v>
      </c>
      <c r="M15" s="46" t="str">
        <f t="array" ref="M15">IF(L15="USD",INDEX('AP Plants'!A:A,MATCH(J15,'AP Plants'!D:D,0)),INDEX('Australia Plants'!A:A,MATCH(J15,'Australia Plants'!D:D,0)))</f>
        <v>Maximal</v>
      </c>
      <c r="N15" s="10">
        <v>1.0</v>
      </c>
      <c r="O15" s="9">
        <v>17390.0</v>
      </c>
      <c r="P15" s="9">
        <v>11501.05</v>
      </c>
      <c r="Q15" s="47">
        <v>0.12318742544349415</v>
      </c>
      <c r="R15" s="48">
        <f t="shared" si="3"/>
        <v>0.338640023</v>
      </c>
      <c r="S15" s="49">
        <f t="shared" si="4"/>
        <v>0</v>
      </c>
      <c r="T15" s="49">
        <f t="shared" si="5"/>
        <v>0.1231874254</v>
      </c>
      <c r="U15" s="50" t="str">
        <f t="shared" si="6"/>
        <v>AOP</v>
      </c>
      <c r="V15" s="51">
        <f t="shared" si="7"/>
        <v>1416.784739</v>
      </c>
      <c r="W15" s="52">
        <f t="shared" si="8"/>
        <v>1416.784739</v>
      </c>
      <c r="X15" s="9">
        <f t="shared" si="9"/>
        <v>11501.05</v>
      </c>
      <c r="Y15" s="8"/>
      <c r="Z15" s="8"/>
      <c r="AA15" s="8"/>
      <c r="AB15" s="8" t="str">
        <f t="shared" si="10"/>
        <v>AINH34418ERP20UX</v>
      </c>
      <c r="AC15" s="8" t="str">
        <f>IF(AB15='Input - Bookings'!S5,"OK","Check")</f>
        <v>Check</v>
      </c>
      <c r="AD15" s="60"/>
      <c r="AE15" s="54"/>
      <c r="AF15" s="54"/>
      <c r="AG15" s="55"/>
      <c r="AH15" s="55"/>
      <c r="AI15" s="8" t="str">
        <f t="array" ref="AI15">XLOOKUP($J15,'AP Plants'!D:D,'AP Plants'!B:B)</f>
        <v>Class 1</v>
      </c>
      <c r="AJ15" s="56"/>
      <c r="AK15" s="56"/>
      <c r="AL15" s="49">
        <v>0.015</v>
      </c>
      <c r="AM15" s="49">
        <f t="array" ref="AM15">XLOOKUP($AI15,Warranty!B:B,Warranty!E:E)</f>
        <v>0.005</v>
      </c>
      <c r="AN15" s="8">
        <f>IF($L15="AUD",VLOOKUP(RIGHT('Wk - Margins'!$J15,3),'AU Freight'!C:G,5,0),0)</f>
        <v>0</v>
      </c>
      <c r="AO15" s="49">
        <f t="shared" si="11"/>
        <v>0</v>
      </c>
      <c r="AP15" s="57">
        <f t="shared" si="12"/>
        <v>0</v>
      </c>
      <c r="AQ15" s="58">
        <f t="shared" si="13"/>
        <v>1</v>
      </c>
      <c r="AR15" s="59">
        <f>IF(L15="AUD",O15*'Currency &amp; Conversion'!$L$7,'Wk - Margins'!O15)</f>
        <v>17390</v>
      </c>
      <c r="AS15" s="59">
        <f>IF(L15="AUD",P15*'Currency &amp; Conversion'!$L$7,'Wk - Margins'!P15)</f>
        <v>11501.05</v>
      </c>
    </row>
    <row r="16" ht="12.75" hidden="1" customHeight="1">
      <c r="A16" s="42" t="str">
        <f>'Input - Bookings'!A16</f>
        <v>05/06/2023</v>
      </c>
      <c r="B16" s="43" t="str">
        <f t="shared" si="1"/>
        <v>India</v>
      </c>
      <c r="C16" s="43" t="str">
        <f t="shared" si="2"/>
        <v>AIN</v>
      </c>
      <c r="D16" s="43" t="str">
        <f>'Input - Bookings'!D16</f>
        <v>A</v>
      </c>
      <c r="E16" s="43" t="str">
        <f>'Input - Bookings'!J16</f>
        <v>IN</v>
      </c>
      <c r="F16" s="44" t="str">
        <f>'Input - Bookings'!F16</f>
        <v>067</v>
      </c>
      <c r="G16" s="44" t="str">
        <f>'Input - Bookings'!I16</f>
        <v>ELECTROMECH LIFT TRUCKS</v>
      </c>
      <c r="H16" s="44" t="str">
        <f>'Input - Bookings'!K16</f>
        <v>H34406</v>
      </c>
      <c r="I16" s="45" t="str">
        <f>VLOOKUP(H16,'Input - Bookings'!$G$2:$H$611,2,0)</f>
        <v>880805</v>
      </c>
      <c r="J16" s="44" t="str">
        <f>'Input - Bookings'!N16</f>
        <v>A7S4</v>
      </c>
      <c r="K16" s="44" t="str">
        <f>'Input - Bookings'!O16</f>
        <v>ERP30UX</v>
      </c>
      <c r="L16" s="44" t="str">
        <f>'Input - Bookings'!C16</f>
        <v>USD</v>
      </c>
      <c r="M16" s="46" t="str">
        <f t="array" ref="M16">IF(L16="USD",INDEX('AP Plants'!A:A,MATCH(J16,'AP Plants'!D:D,0)),INDEX('Australia Plants'!A:A,MATCH(J16,'Australia Plants'!D:D,0)))</f>
        <v>Maximal</v>
      </c>
      <c r="N16" s="10">
        <v>1.0</v>
      </c>
      <c r="O16" s="9">
        <v>18645.0</v>
      </c>
      <c r="P16" s="9">
        <v>12287.15</v>
      </c>
      <c r="Q16" s="47">
        <v>0.11961303446739924</v>
      </c>
      <c r="R16" s="48">
        <f t="shared" si="3"/>
        <v>0.3409949048</v>
      </c>
      <c r="S16" s="49">
        <f t="shared" si="4"/>
        <v>0</v>
      </c>
      <c r="T16" s="49">
        <f t="shared" si="5"/>
        <v>0.1196130345</v>
      </c>
      <c r="U16" s="50" t="str">
        <f t="shared" si="6"/>
        <v>AOP</v>
      </c>
      <c r="V16" s="51">
        <f t="shared" si="7"/>
        <v>1469.703296</v>
      </c>
      <c r="W16" s="52">
        <f t="shared" si="8"/>
        <v>1469.703296</v>
      </c>
      <c r="X16" s="9">
        <f t="shared" si="9"/>
        <v>12287.15</v>
      </c>
      <c r="Y16" s="8"/>
      <c r="Z16" s="61"/>
      <c r="AA16" s="61"/>
      <c r="AB16" s="8" t="str">
        <f t="shared" si="10"/>
        <v>AINH34406ERP30UX</v>
      </c>
      <c r="AC16" s="8" t="str">
        <f>IF(AB16='Input - Bookings'!S6,"OK","Check")</f>
        <v>Check</v>
      </c>
      <c r="AD16" s="60"/>
      <c r="AE16" s="54"/>
      <c r="AF16" s="54"/>
      <c r="AG16" s="55"/>
      <c r="AH16" s="55"/>
      <c r="AI16" s="8" t="str">
        <f t="array" ref="AI16">XLOOKUP($J16,'AP Plants'!D:D,'AP Plants'!B:B)</f>
        <v>Class 1</v>
      </c>
      <c r="AJ16" s="56"/>
      <c r="AK16" s="56"/>
      <c r="AL16" s="49">
        <v>0.015</v>
      </c>
      <c r="AM16" s="49">
        <f t="array" ref="AM16">XLOOKUP($AI16,Warranty!B:B,Warranty!E:E)</f>
        <v>0.005</v>
      </c>
      <c r="AN16" s="8">
        <f>IF($L16="AUD",VLOOKUP(RIGHT('Wk - Margins'!$J16,3),'AU Freight'!C:G,5,0),0)</f>
        <v>0</v>
      </c>
      <c r="AO16" s="49">
        <f t="shared" si="11"/>
        <v>0</v>
      </c>
      <c r="AP16" s="57">
        <f t="shared" si="12"/>
        <v>0</v>
      </c>
      <c r="AQ16" s="58">
        <f t="shared" si="13"/>
        <v>1</v>
      </c>
      <c r="AR16" s="59">
        <f>IF(L16="AUD",O16*'Currency &amp; Conversion'!$L$7,'Wk - Margins'!O16)</f>
        <v>18645</v>
      </c>
      <c r="AS16" s="59">
        <f>IF(L16="AUD",P16*'Currency &amp; Conversion'!$L$7,'Wk - Margins'!P16)</f>
        <v>12287.15</v>
      </c>
    </row>
    <row r="17" ht="12.75" hidden="1" customHeight="1">
      <c r="A17" s="42" t="str">
        <f>'Input - Bookings'!A17</f>
        <v>05/06/2023</v>
      </c>
      <c r="B17" s="43" t="str">
        <f t="shared" si="1"/>
        <v>India</v>
      </c>
      <c r="C17" s="43" t="str">
        <f t="shared" si="2"/>
        <v>AIN</v>
      </c>
      <c r="D17" s="43" t="str">
        <f>'Input - Bookings'!D17</f>
        <v>A</v>
      </c>
      <c r="E17" s="43" t="str">
        <f>'Input - Bookings'!J17</f>
        <v>IN</v>
      </c>
      <c r="F17" s="44" t="str">
        <f>'Input - Bookings'!F17</f>
        <v>067</v>
      </c>
      <c r="G17" s="44" t="str">
        <f>'Input - Bookings'!I17</f>
        <v>ELECTROMECH LIFT TRUCKS</v>
      </c>
      <c r="H17" s="44" t="str">
        <f>'Input - Bookings'!K17</f>
        <v>H34419</v>
      </c>
      <c r="I17" s="45" t="str">
        <f>VLOOKUP(H17,'Input - Bookings'!$G$2:$H$611,2,0)</f>
        <v>880805</v>
      </c>
      <c r="J17" s="44" t="str">
        <f>'Input - Bookings'!N17</f>
        <v>A7S4</v>
      </c>
      <c r="K17" s="44" t="str">
        <f>'Input - Bookings'!O17</f>
        <v>ERP30UX</v>
      </c>
      <c r="L17" s="44" t="str">
        <f>'Input - Bookings'!C17</f>
        <v>USD</v>
      </c>
      <c r="M17" s="46" t="str">
        <f t="array" ref="M17">IF(L17="USD",INDEX('AP Plants'!A:A,MATCH(J17,'AP Plants'!D:D,0)),INDEX('Australia Plants'!A:A,MATCH(J17,'Australia Plants'!D:D,0)))</f>
        <v>Maximal</v>
      </c>
      <c r="N17" s="10">
        <v>1.0</v>
      </c>
      <c r="O17" s="9">
        <v>18645.0</v>
      </c>
      <c r="P17" s="9">
        <v>12287.15</v>
      </c>
      <c r="Q17" s="47">
        <v>0.11961303446739924</v>
      </c>
      <c r="R17" s="48">
        <f t="shared" si="3"/>
        <v>0.3409949048</v>
      </c>
      <c r="S17" s="49">
        <f t="shared" si="4"/>
        <v>0</v>
      </c>
      <c r="T17" s="49">
        <f t="shared" si="5"/>
        <v>0.1196130345</v>
      </c>
      <c r="U17" s="50" t="str">
        <f t="shared" si="6"/>
        <v>AOP</v>
      </c>
      <c r="V17" s="51">
        <f t="shared" si="7"/>
        <v>1469.703296</v>
      </c>
      <c r="W17" s="52">
        <f t="shared" si="8"/>
        <v>1469.703296</v>
      </c>
      <c r="X17" s="9">
        <f t="shared" si="9"/>
        <v>12287.15</v>
      </c>
      <c r="Y17" s="8"/>
      <c r="Z17" s="61"/>
      <c r="AA17" s="61"/>
      <c r="AB17" s="8" t="str">
        <f t="shared" si="10"/>
        <v>AINH34419ERP30UX</v>
      </c>
      <c r="AC17" s="8" t="str">
        <f>IF(AB17='Input - Bookings'!S7,"OK","Check")</f>
        <v>Check</v>
      </c>
      <c r="AD17" s="53"/>
      <c r="AE17" s="54"/>
      <c r="AF17" s="54"/>
      <c r="AG17" s="55"/>
      <c r="AH17" s="55"/>
      <c r="AI17" s="8" t="str">
        <f t="array" ref="AI17">XLOOKUP($J17,'AP Plants'!D:D,'AP Plants'!B:B)</f>
        <v>Class 1</v>
      </c>
      <c r="AJ17" s="56"/>
      <c r="AK17" s="56"/>
      <c r="AL17" s="49">
        <v>0.015</v>
      </c>
      <c r="AM17" s="49">
        <f t="array" ref="AM17">XLOOKUP($AI17,Warranty!B:B,Warranty!E:E)</f>
        <v>0.005</v>
      </c>
      <c r="AN17" s="8">
        <f>IF($L17="AUD",VLOOKUP(RIGHT('Wk - Margins'!$J17,3),'AU Freight'!C:G,5,0),0)</f>
        <v>0</v>
      </c>
      <c r="AO17" s="49">
        <f t="shared" si="11"/>
        <v>0</v>
      </c>
      <c r="AP17" s="57">
        <f t="shared" si="12"/>
        <v>0</v>
      </c>
      <c r="AQ17" s="58">
        <f t="shared" si="13"/>
        <v>1</v>
      </c>
      <c r="AR17" s="59">
        <f>IF(L17="AUD",O17*'Currency &amp; Conversion'!$L$7,'Wk - Margins'!O17)</f>
        <v>18645</v>
      </c>
      <c r="AS17" s="59">
        <f>IF(L17="AUD",P17*'Currency &amp; Conversion'!$L$7,'Wk - Margins'!P17)</f>
        <v>12287.15</v>
      </c>
    </row>
    <row r="18" ht="12.75" hidden="1" customHeight="1">
      <c r="A18" s="42" t="str">
        <f>'Input - Bookings'!A18</f>
        <v>05/06/2023</v>
      </c>
      <c r="B18" s="43" t="str">
        <f t="shared" si="1"/>
        <v>India</v>
      </c>
      <c r="C18" s="43" t="str">
        <f t="shared" si="2"/>
        <v>AIN</v>
      </c>
      <c r="D18" s="43" t="str">
        <f>'Input - Bookings'!D18</f>
        <v>A</v>
      </c>
      <c r="E18" s="43" t="str">
        <f>'Input - Bookings'!J18</f>
        <v>IN</v>
      </c>
      <c r="F18" s="44" t="str">
        <f>'Input - Bookings'!F18</f>
        <v>067</v>
      </c>
      <c r="G18" s="44" t="str">
        <f>'Input - Bookings'!I18</f>
        <v>ELECTROMECH LIFT TRUCKS</v>
      </c>
      <c r="H18" s="44" t="str">
        <f>'Input - Bookings'!K18</f>
        <v>H34420</v>
      </c>
      <c r="I18" s="45" t="str">
        <f>VLOOKUP(H18,'Input - Bookings'!$G$2:$H$611,2,0)</f>
        <v>880805</v>
      </c>
      <c r="J18" s="44" t="str">
        <f>'Input - Bookings'!N18</f>
        <v>A7S4</v>
      </c>
      <c r="K18" s="44" t="str">
        <f>'Input - Bookings'!O18</f>
        <v>ERP30UX</v>
      </c>
      <c r="L18" s="44" t="str">
        <f>'Input - Bookings'!C18</f>
        <v>USD</v>
      </c>
      <c r="M18" s="46" t="str">
        <f t="array" ref="M18">IF(L18="USD",INDEX('AP Plants'!A:A,MATCH(J18,'AP Plants'!D:D,0)),INDEX('Australia Plants'!A:A,MATCH(J18,'Australia Plants'!D:D,0)))</f>
        <v>Maximal</v>
      </c>
      <c r="N18" s="10">
        <v>1.0</v>
      </c>
      <c r="O18" s="9">
        <v>18645.0</v>
      </c>
      <c r="P18" s="9">
        <v>12287.15</v>
      </c>
      <c r="Q18" s="47">
        <v>0.11961303446739924</v>
      </c>
      <c r="R18" s="48">
        <f t="shared" si="3"/>
        <v>0.3409949048</v>
      </c>
      <c r="S18" s="49">
        <f t="shared" si="4"/>
        <v>0</v>
      </c>
      <c r="T18" s="49">
        <f t="shared" si="5"/>
        <v>0.1196130345</v>
      </c>
      <c r="U18" s="50" t="str">
        <f t="shared" si="6"/>
        <v>AOP</v>
      </c>
      <c r="V18" s="51">
        <f t="shared" si="7"/>
        <v>1469.703296</v>
      </c>
      <c r="W18" s="52">
        <f t="shared" si="8"/>
        <v>1469.703296</v>
      </c>
      <c r="X18" s="9">
        <f t="shared" si="9"/>
        <v>12287.15</v>
      </c>
      <c r="Y18" s="8"/>
      <c r="Z18" s="8"/>
      <c r="AA18" s="8"/>
      <c r="AB18" s="8" t="str">
        <f t="shared" si="10"/>
        <v>AINH34420ERP30UX</v>
      </c>
      <c r="AC18" s="8" t="str">
        <f>IF(AB18='Input - Bookings'!S8,"OK","Check")</f>
        <v>Check</v>
      </c>
      <c r="AD18" s="53"/>
      <c r="AE18" s="54"/>
      <c r="AF18" s="54"/>
      <c r="AG18" s="55"/>
      <c r="AH18" s="55"/>
      <c r="AI18" s="8" t="str">
        <f t="array" ref="AI18">XLOOKUP($J18,'AP Plants'!D:D,'AP Plants'!B:B)</f>
        <v>Class 1</v>
      </c>
      <c r="AJ18" s="56"/>
      <c r="AK18" s="56"/>
      <c r="AL18" s="49">
        <v>0.015</v>
      </c>
      <c r="AM18" s="49">
        <f t="array" ref="AM18">XLOOKUP($AI18,Warranty!B:B,Warranty!E:E)</f>
        <v>0.005</v>
      </c>
      <c r="AN18" s="8">
        <f>IF($L18="AUD",VLOOKUP(RIGHT('Wk - Margins'!$J18,3),'AU Freight'!C:G,5,0),0)</f>
        <v>0</v>
      </c>
      <c r="AO18" s="49">
        <f t="shared" si="11"/>
        <v>0</v>
      </c>
      <c r="AP18" s="57">
        <f t="shared" si="12"/>
        <v>0</v>
      </c>
      <c r="AQ18" s="58">
        <f t="shared" si="13"/>
        <v>1</v>
      </c>
      <c r="AR18" s="59">
        <f>IF(L18="AUD",O18*'Currency &amp; Conversion'!$L$7,'Wk - Margins'!O18)</f>
        <v>18645</v>
      </c>
      <c r="AS18" s="59">
        <f>IF(L18="AUD",P18*'Currency &amp; Conversion'!$L$7,'Wk - Margins'!P18)</f>
        <v>12287.15</v>
      </c>
    </row>
    <row r="19" ht="12.75" hidden="1" customHeight="1">
      <c r="A19" s="42" t="str">
        <f>'Input - Bookings'!A19</f>
        <v>05/06/2023</v>
      </c>
      <c r="B19" s="43" t="str">
        <f t="shared" si="1"/>
        <v>India</v>
      </c>
      <c r="C19" s="43" t="str">
        <f t="shared" si="2"/>
        <v>AIN</v>
      </c>
      <c r="D19" s="43" t="str">
        <f>'Input - Bookings'!D19</f>
        <v>A</v>
      </c>
      <c r="E19" s="43" t="str">
        <f>'Input - Bookings'!J19</f>
        <v>IN</v>
      </c>
      <c r="F19" s="44" t="str">
        <f>'Input - Bookings'!F19</f>
        <v>067</v>
      </c>
      <c r="G19" s="44" t="str">
        <f>'Input - Bookings'!I19</f>
        <v>ELECTROMECH LIFT TRUCKS</v>
      </c>
      <c r="H19" s="44" t="str">
        <f>'Input - Bookings'!K19</f>
        <v>H34421</v>
      </c>
      <c r="I19" s="45" t="str">
        <f>VLOOKUP(H19,'Input - Bookings'!$G$2:$H$611,2,0)</f>
        <v>880805</v>
      </c>
      <c r="J19" s="44" t="str">
        <f>'Input - Bookings'!N19</f>
        <v>A7S4</v>
      </c>
      <c r="K19" s="44" t="str">
        <f>'Input - Bookings'!O19</f>
        <v>ERP30UX</v>
      </c>
      <c r="L19" s="44" t="str">
        <f>'Input - Bookings'!C19</f>
        <v>USD</v>
      </c>
      <c r="M19" s="46" t="str">
        <f t="array" ref="M19">IF(L19="USD",INDEX('AP Plants'!A:A,MATCH(J19,'AP Plants'!D:D,0)),INDEX('Australia Plants'!A:A,MATCH(J19,'Australia Plants'!D:D,0)))</f>
        <v>Maximal</v>
      </c>
      <c r="N19" s="10">
        <v>1.0</v>
      </c>
      <c r="O19" s="9">
        <v>18645.0</v>
      </c>
      <c r="P19" s="9">
        <v>12287.15</v>
      </c>
      <c r="Q19" s="47">
        <v>0.11961303446739924</v>
      </c>
      <c r="R19" s="48">
        <f t="shared" si="3"/>
        <v>0.3409949048</v>
      </c>
      <c r="S19" s="49">
        <f t="shared" si="4"/>
        <v>0</v>
      </c>
      <c r="T19" s="49">
        <f t="shared" si="5"/>
        <v>0.1196130345</v>
      </c>
      <c r="U19" s="50" t="str">
        <f t="shared" si="6"/>
        <v>AOP</v>
      </c>
      <c r="V19" s="51">
        <f t="shared" si="7"/>
        <v>1469.703296</v>
      </c>
      <c r="W19" s="52">
        <f t="shared" si="8"/>
        <v>1469.703296</v>
      </c>
      <c r="X19" s="9">
        <f t="shared" si="9"/>
        <v>12287.15</v>
      </c>
      <c r="Y19" s="8"/>
      <c r="Z19" s="8"/>
      <c r="AA19" s="8"/>
      <c r="AB19" s="8" t="str">
        <f t="shared" si="10"/>
        <v>AINH34421ERP30UX</v>
      </c>
      <c r="AC19" s="8" t="str">
        <f>IF(AB19='Input - Bookings'!S9,"OK","Check")</f>
        <v>Check</v>
      </c>
      <c r="AD19" s="53"/>
      <c r="AE19" s="54"/>
      <c r="AF19" s="54"/>
      <c r="AG19" s="55"/>
      <c r="AH19" s="55"/>
      <c r="AI19" s="8" t="str">
        <f t="array" ref="AI19">XLOOKUP($J19,'AP Plants'!D:D,'AP Plants'!B:B)</f>
        <v>Class 1</v>
      </c>
      <c r="AJ19" s="56"/>
      <c r="AK19" s="56"/>
      <c r="AL19" s="49">
        <v>0.015</v>
      </c>
      <c r="AM19" s="49">
        <f t="array" ref="AM19">XLOOKUP($AI19,Warranty!B:B,Warranty!E:E)</f>
        <v>0.005</v>
      </c>
      <c r="AN19" s="8">
        <f>IF($L19="AUD",VLOOKUP(RIGHT('Wk - Margins'!$J19,3),'AU Freight'!C:G,5,0),0)</f>
        <v>0</v>
      </c>
      <c r="AO19" s="49">
        <f t="shared" si="11"/>
        <v>0</v>
      </c>
      <c r="AP19" s="57">
        <f t="shared" si="12"/>
        <v>0</v>
      </c>
      <c r="AQ19" s="58">
        <f t="shared" si="13"/>
        <v>1</v>
      </c>
      <c r="AR19" s="59">
        <f>IF(L19="AUD",O19*'Currency &amp; Conversion'!$L$7,'Wk - Margins'!O19)</f>
        <v>18645</v>
      </c>
      <c r="AS19" s="59">
        <f>IF(L19="AUD",P19*'Currency &amp; Conversion'!$L$7,'Wk - Margins'!P19)</f>
        <v>12287.15</v>
      </c>
    </row>
    <row r="20" ht="12.75" hidden="1" customHeight="1">
      <c r="A20" s="42" t="str">
        <f>'Input - Bookings'!A20</f>
        <v>05/06/2023</v>
      </c>
      <c r="B20" s="43" t="str">
        <f t="shared" si="1"/>
        <v>India</v>
      </c>
      <c r="C20" s="43" t="str">
        <f t="shared" si="2"/>
        <v>AIN</v>
      </c>
      <c r="D20" s="43" t="str">
        <f>'Input - Bookings'!D20</f>
        <v>A</v>
      </c>
      <c r="E20" s="43" t="str">
        <f>'Input - Bookings'!J20</f>
        <v>IN</v>
      </c>
      <c r="F20" s="44" t="str">
        <f>'Input - Bookings'!F20</f>
        <v>067</v>
      </c>
      <c r="G20" s="44" t="str">
        <f>'Input - Bookings'!I20</f>
        <v>ELECTROMECH LIFT TRUCKS</v>
      </c>
      <c r="H20" s="44" t="str">
        <f>'Input - Bookings'!K20</f>
        <v>H34407</v>
      </c>
      <c r="I20" s="45" t="str">
        <f>VLOOKUP(H20,'Input - Bookings'!$G$2:$H$611,2,0)</f>
        <v>880805</v>
      </c>
      <c r="J20" s="44" t="str">
        <f>'Input - Bookings'!N20</f>
        <v>A7R7</v>
      </c>
      <c r="K20" s="44" t="str">
        <f>'Input - Bookings'!O20</f>
        <v>MSL15XUX</v>
      </c>
      <c r="L20" s="44" t="str">
        <f>'Input - Bookings'!C20</f>
        <v>USD</v>
      </c>
      <c r="M20" s="46" t="str">
        <f t="array" ref="M20">IF(L20="USD",INDEX('AP Plants'!A:A,MATCH(J20,'AP Plants'!D:D,0)),INDEX('Australia Plants'!A:A,MATCH(J20,'Australia Plants'!D:D,0)))</f>
        <v>Ruyi</v>
      </c>
      <c r="N20" s="10">
        <v>1.0</v>
      </c>
      <c r="O20" s="9">
        <v>10145.0</v>
      </c>
      <c r="P20" s="9">
        <v>6046.9</v>
      </c>
      <c r="Q20" s="47">
        <v>0.23934725488655217</v>
      </c>
      <c r="R20" s="48">
        <f t="shared" si="3"/>
        <v>0.4039526861</v>
      </c>
      <c r="S20" s="49">
        <f t="shared" si="4"/>
        <v>0</v>
      </c>
      <c r="T20" s="49">
        <f t="shared" si="5"/>
        <v>0.2393472549</v>
      </c>
      <c r="U20" s="50" t="str">
        <f t="shared" si="6"/>
        <v>AOP</v>
      </c>
      <c r="V20" s="51">
        <f t="shared" si="7"/>
        <v>1447.308916</v>
      </c>
      <c r="W20" s="52">
        <f t="shared" si="8"/>
        <v>1447.308916</v>
      </c>
      <c r="X20" s="9">
        <f t="shared" si="9"/>
        <v>6046.9</v>
      </c>
      <c r="Y20" s="8"/>
      <c r="Z20" s="8"/>
      <c r="AA20" s="8"/>
      <c r="AB20" s="8" t="str">
        <f t="shared" si="10"/>
        <v>AINH34407MSL15XUX</v>
      </c>
      <c r="AC20" s="8" t="str">
        <f>IF(AB20='Input - Bookings'!S10,"OK","Check")</f>
        <v>Check</v>
      </c>
      <c r="AD20" s="53"/>
      <c r="AE20" s="54"/>
      <c r="AF20" s="54"/>
      <c r="AG20" s="55"/>
      <c r="AH20" s="62"/>
      <c r="AI20" s="8" t="str">
        <f t="array" ref="AI20">XLOOKUP($J20,'AP Plants'!D:D,'AP Plants'!B:B)</f>
        <v>Class 3</v>
      </c>
      <c r="AJ20" s="56"/>
      <c r="AK20" s="56"/>
      <c r="AL20" s="49">
        <v>0.015</v>
      </c>
      <c r="AM20" s="49">
        <f t="array" ref="AM20">XLOOKUP($AI20,Warranty!B:B,Warranty!E:E)</f>
        <v>0.015</v>
      </c>
      <c r="AN20" s="8">
        <f>IF($L20="AUD",VLOOKUP(RIGHT('Wk - Margins'!$J20,3),'AU Freight'!C:G,5,0),0)</f>
        <v>0</v>
      </c>
      <c r="AO20" s="49">
        <f t="shared" si="11"/>
        <v>0</v>
      </c>
      <c r="AP20" s="57">
        <f t="shared" si="12"/>
        <v>0</v>
      </c>
      <c r="AQ20" s="58">
        <f t="shared" si="13"/>
        <v>1</v>
      </c>
      <c r="AR20" s="59">
        <f>IF(L20="AUD",O20*'Currency &amp; Conversion'!$L$7,'Wk - Margins'!O20)</f>
        <v>10145</v>
      </c>
      <c r="AS20" s="59">
        <f>IF(L20="AUD",P20*'Currency &amp; Conversion'!$L$7,'Wk - Margins'!P20)</f>
        <v>6046.9</v>
      </c>
    </row>
    <row r="21" ht="12.75" hidden="1" customHeight="1">
      <c r="A21" s="42" t="str">
        <f>'Input - Bookings'!A21</f>
        <v>05/06/2023</v>
      </c>
      <c r="B21" s="43" t="str">
        <f t="shared" si="1"/>
        <v>India</v>
      </c>
      <c r="C21" s="43" t="str">
        <f t="shared" si="2"/>
        <v>AIN</v>
      </c>
      <c r="D21" s="43" t="str">
        <f>'Input - Bookings'!D21</f>
        <v>A</v>
      </c>
      <c r="E21" s="43" t="str">
        <f>'Input - Bookings'!J21</f>
        <v>IN</v>
      </c>
      <c r="F21" s="44" t="str">
        <f>'Input - Bookings'!F21</f>
        <v>067</v>
      </c>
      <c r="G21" s="44" t="str">
        <f>'Input - Bookings'!I21</f>
        <v>ELECTROMECH LIFT TRUCKS</v>
      </c>
      <c r="H21" s="44" t="str">
        <f>'Input - Bookings'!K21</f>
        <v>H34422</v>
      </c>
      <c r="I21" s="45" t="str">
        <f>VLOOKUP(H21,'Input - Bookings'!$G$2:$H$611,2,0)</f>
        <v>880805</v>
      </c>
      <c r="J21" s="44" t="str">
        <f>'Input - Bookings'!N21</f>
        <v>A7R7</v>
      </c>
      <c r="K21" s="44" t="str">
        <f>'Input - Bookings'!O21</f>
        <v>MSL15XUX</v>
      </c>
      <c r="L21" s="44" t="str">
        <f>'Input - Bookings'!C21</f>
        <v>USD</v>
      </c>
      <c r="M21" s="46" t="str">
        <f t="array" ref="M21">IF(L21="USD",INDEX('AP Plants'!A:A,MATCH(J21,'AP Plants'!D:D,0)),INDEX('Australia Plants'!A:A,MATCH(J21,'Australia Plants'!D:D,0)))</f>
        <v>Ruyi</v>
      </c>
      <c r="N21" s="10">
        <v>1.0</v>
      </c>
      <c r="O21" s="9">
        <v>10145.0</v>
      </c>
      <c r="P21" s="9">
        <v>6046.9</v>
      </c>
      <c r="Q21" s="47">
        <v>0.23934725488655217</v>
      </c>
      <c r="R21" s="48">
        <f t="shared" si="3"/>
        <v>0.4039526861</v>
      </c>
      <c r="S21" s="49">
        <f t="shared" si="4"/>
        <v>0</v>
      </c>
      <c r="T21" s="49">
        <f t="shared" si="5"/>
        <v>0.2393472549</v>
      </c>
      <c r="U21" s="50" t="str">
        <f t="shared" si="6"/>
        <v>AOP</v>
      </c>
      <c r="V21" s="51">
        <f t="shared" si="7"/>
        <v>1447.308916</v>
      </c>
      <c r="W21" s="52">
        <f t="shared" si="8"/>
        <v>1447.308916</v>
      </c>
      <c r="X21" s="9">
        <f t="shared" si="9"/>
        <v>6046.9</v>
      </c>
      <c r="Y21" s="8"/>
      <c r="Z21" s="8"/>
      <c r="AA21" s="8"/>
      <c r="AB21" s="8" t="str">
        <f t="shared" si="10"/>
        <v>AINH34422MSL15XUX</v>
      </c>
      <c r="AC21" s="8" t="str">
        <f>IF(AB21='Input - Bookings'!S11,"OK","Check")</f>
        <v>Check</v>
      </c>
      <c r="AD21" s="53"/>
      <c r="AE21" s="54"/>
      <c r="AF21" s="54"/>
      <c r="AG21" s="55"/>
      <c r="AH21" s="62"/>
      <c r="AI21" s="8" t="str">
        <f t="array" ref="AI21">XLOOKUP($J21,'AP Plants'!D:D,'AP Plants'!B:B)</f>
        <v>Class 3</v>
      </c>
      <c r="AJ21" s="56"/>
      <c r="AK21" s="56"/>
      <c r="AL21" s="49">
        <v>0.015</v>
      </c>
      <c r="AM21" s="49">
        <f t="array" ref="AM21">XLOOKUP($AI21,Warranty!B:B,Warranty!E:E)</f>
        <v>0.015</v>
      </c>
      <c r="AN21" s="8">
        <f>IF($L21="AUD",VLOOKUP(RIGHT('Wk - Margins'!$J21,3),'AU Freight'!C:G,5,0),0)</f>
        <v>0</v>
      </c>
      <c r="AO21" s="49">
        <f t="shared" si="11"/>
        <v>0</v>
      </c>
      <c r="AP21" s="57">
        <f t="shared" si="12"/>
        <v>0</v>
      </c>
      <c r="AQ21" s="58">
        <f t="shared" si="13"/>
        <v>1</v>
      </c>
      <c r="AR21" s="59">
        <f>IF(L21="AUD",O21*'Currency &amp; Conversion'!$L$7,'Wk - Margins'!O21)</f>
        <v>10145</v>
      </c>
      <c r="AS21" s="59">
        <f>IF(L21="AUD",P21*'Currency &amp; Conversion'!$L$7,'Wk - Margins'!P21)</f>
        <v>6046.9</v>
      </c>
    </row>
    <row r="22" ht="12.75" hidden="1" customHeight="1">
      <c r="A22" s="42" t="str">
        <f>'Input - Bookings'!A22</f>
        <v>05/06/2023</v>
      </c>
      <c r="B22" s="43" t="str">
        <f t="shared" si="1"/>
        <v>India</v>
      </c>
      <c r="C22" s="43" t="str">
        <f t="shared" si="2"/>
        <v>AIN</v>
      </c>
      <c r="D22" s="43" t="str">
        <f>'Input - Bookings'!D22</f>
        <v>A</v>
      </c>
      <c r="E22" s="43" t="str">
        <f>'Input - Bookings'!J22</f>
        <v>IN</v>
      </c>
      <c r="F22" s="44" t="str">
        <f>'Input - Bookings'!F22</f>
        <v>067</v>
      </c>
      <c r="G22" s="44" t="str">
        <f>'Input - Bookings'!I22</f>
        <v>ELECTROMECH LIFT TRUCKS</v>
      </c>
      <c r="H22" s="44" t="str">
        <f>'Input - Bookings'!K22</f>
        <v>H34423</v>
      </c>
      <c r="I22" s="45" t="str">
        <f>VLOOKUP(H22,'Input - Bookings'!$G$2:$H$611,2,0)</f>
        <v>880805</v>
      </c>
      <c r="J22" s="44" t="str">
        <f>'Input - Bookings'!N22</f>
        <v>A7R7</v>
      </c>
      <c r="K22" s="44" t="str">
        <f>'Input - Bookings'!O22</f>
        <v>MSL15XUX</v>
      </c>
      <c r="L22" s="44" t="str">
        <f>'Input - Bookings'!C22</f>
        <v>USD</v>
      </c>
      <c r="M22" s="46" t="str">
        <f t="array" ref="M22">IF(L22="USD",INDEX('AP Plants'!A:A,MATCH(J22,'AP Plants'!D:D,0)),INDEX('Australia Plants'!A:A,MATCH(J22,'Australia Plants'!D:D,0)))</f>
        <v>Ruyi</v>
      </c>
      <c r="N22" s="10">
        <v>1.0</v>
      </c>
      <c r="O22" s="9">
        <v>10145.0</v>
      </c>
      <c r="P22" s="9">
        <v>6046.9</v>
      </c>
      <c r="Q22" s="47">
        <v>0.23934725488655217</v>
      </c>
      <c r="R22" s="48">
        <f t="shared" si="3"/>
        <v>0.4039526861</v>
      </c>
      <c r="S22" s="49">
        <f t="shared" si="4"/>
        <v>0</v>
      </c>
      <c r="T22" s="49">
        <f t="shared" si="5"/>
        <v>0.2393472549</v>
      </c>
      <c r="U22" s="50" t="str">
        <f t="shared" si="6"/>
        <v>AOP</v>
      </c>
      <c r="V22" s="51">
        <f t="shared" si="7"/>
        <v>1447.308916</v>
      </c>
      <c r="W22" s="52">
        <f t="shared" si="8"/>
        <v>1447.308916</v>
      </c>
      <c r="X22" s="9">
        <f t="shared" si="9"/>
        <v>6046.9</v>
      </c>
      <c r="Y22" s="8"/>
      <c r="Z22" s="8"/>
      <c r="AA22" s="8"/>
      <c r="AB22" s="8" t="str">
        <f t="shared" si="10"/>
        <v>AINH34423MSL15XUX</v>
      </c>
      <c r="AC22" s="8" t="str">
        <f>IF(AB22='Input - Bookings'!S12,"OK","Check")</f>
        <v>Check</v>
      </c>
      <c r="AD22" s="53"/>
      <c r="AE22" s="54"/>
      <c r="AF22" s="54"/>
      <c r="AG22" s="55"/>
      <c r="AH22" s="62"/>
      <c r="AI22" s="8" t="str">
        <f t="array" ref="AI22">XLOOKUP($J22,'AP Plants'!D:D,'AP Plants'!B:B)</f>
        <v>Class 3</v>
      </c>
      <c r="AJ22" s="56"/>
      <c r="AK22" s="56"/>
      <c r="AL22" s="49">
        <v>0.015</v>
      </c>
      <c r="AM22" s="49">
        <f t="array" ref="AM22">XLOOKUP($AI22,Warranty!B:B,Warranty!E:E)</f>
        <v>0.015</v>
      </c>
      <c r="AN22" s="8">
        <f>IF($L22="AUD",VLOOKUP(RIGHT('Wk - Margins'!$J22,3),'AU Freight'!C:G,5,0),0)</f>
        <v>0</v>
      </c>
      <c r="AO22" s="49">
        <f t="shared" si="11"/>
        <v>0</v>
      </c>
      <c r="AP22" s="57">
        <f t="shared" si="12"/>
        <v>0</v>
      </c>
      <c r="AQ22" s="58">
        <f t="shared" si="13"/>
        <v>1</v>
      </c>
      <c r="AR22" s="59">
        <f>IF(L22="AUD",O22*'Currency &amp; Conversion'!$L$7,'Wk - Margins'!O22)</f>
        <v>10145</v>
      </c>
      <c r="AS22" s="59">
        <f>IF(L22="AUD",P22*'Currency &amp; Conversion'!$L$7,'Wk - Margins'!P22)</f>
        <v>6046.9</v>
      </c>
    </row>
    <row r="23" ht="12.75" hidden="1" customHeight="1">
      <c r="A23" s="42" t="str">
        <f>'Input - Bookings'!A23</f>
        <v>05/06/2023</v>
      </c>
      <c r="B23" s="43" t="str">
        <f t="shared" si="1"/>
        <v>India</v>
      </c>
      <c r="C23" s="43" t="str">
        <f t="shared" si="2"/>
        <v>AIN</v>
      </c>
      <c r="D23" s="43" t="str">
        <f>'Input - Bookings'!D23</f>
        <v>A</v>
      </c>
      <c r="E23" s="43" t="str">
        <f>'Input - Bookings'!J23</f>
        <v>IN</v>
      </c>
      <c r="F23" s="44" t="str">
        <f>'Input - Bookings'!F23</f>
        <v>067</v>
      </c>
      <c r="G23" s="44" t="str">
        <f>'Input - Bookings'!I23</f>
        <v>ELECTROMECH LIFT TRUCKS</v>
      </c>
      <c r="H23" s="44" t="str">
        <f>'Input - Bookings'!K23</f>
        <v>H34424</v>
      </c>
      <c r="I23" s="45" t="str">
        <f>VLOOKUP(H23,'Input - Bookings'!$G$2:$H$611,2,0)</f>
        <v>880805</v>
      </c>
      <c r="J23" s="44" t="str">
        <f>'Input - Bookings'!N23</f>
        <v>A7R7</v>
      </c>
      <c r="K23" s="44" t="str">
        <f>'Input - Bookings'!O23</f>
        <v>MSL15XUX</v>
      </c>
      <c r="L23" s="44" t="str">
        <f>'Input - Bookings'!C23</f>
        <v>USD</v>
      </c>
      <c r="M23" s="46" t="str">
        <f t="array" ref="M23">IF(L23="USD",INDEX('AP Plants'!A:A,MATCH(J23,'AP Plants'!D:D,0)),INDEX('Australia Plants'!A:A,MATCH(J23,'Australia Plants'!D:D,0)))</f>
        <v>Ruyi</v>
      </c>
      <c r="N23" s="10">
        <v>1.0</v>
      </c>
      <c r="O23" s="9">
        <v>10145.0</v>
      </c>
      <c r="P23" s="9">
        <v>6046.9</v>
      </c>
      <c r="Q23" s="47">
        <v>0.23934725488655217</v>
      </c>
      <c r="R23" s="48">
        <f t="shared" si="3"/>
        <v>0.4039526861</v>
      </c>
      <c r="S23" s="49">
        <f t="shared" si="4"/>
        <v>0</v>
      </c>
      <c r="T23" s="49">
        <f t="shared" si="5"/>
        <v>0.2393472549</v>
      </c>
      <c r="U23" s="50" t="str">
        <f t="shared" si="6"/>
        <v>AOP</v>
      </c>
      <c r="V23" s="51">
        <f t="shared" si="7"/>
        <v>1447.308916</v>
      </c>
      <c r="W23" s="52">
        <f t="shared" si="8"/>
        <v>1447.308916</v>
      </c>
      <c r="X23" s="9">
        <f t="shared" si="9"/>
        <v>6046.9</v>
      </c>
      <c r="Y23" s="8"/>
      <c r="Z23" s="8"/>
      <c r="AA23" s="8"/>
      <c r="AB23" s="8" t="str">
        <f t="shared" si="10"/>
        <v>AINH34424MSL15XUX</v>
      </c>
      <c r="AC23" s="8" t="str">
        <f>IF(AB23='Input - Bookings'!S29,"OK","Check")</f>
        <v>Check</v>
      </c>
      <c r="AD23" s="53"/>
      <c r="AE23" s="54"/>
      <c r="AF23" s="54"/>
      <c r="AG23" s="55"/>
      <c r="AH23" s="62"/>
      <c r="AI23" s="8" t="str">
        <f t="array" ref="AI23">XLOOKUP($J23,'AP Plants'!D:D,'AP Plants'!B:B)</f>
        <v>Class 3</v>
      </c>
      <c r="AJ23" s="56"/>
      <c r="AK23" s="56"/>
      <c r="AL23" s="49">
        <v>0.015</v>
      </c>
      <c r="AM23" s="49">
        <f t="array" ref="AM23">XLOOKUP($AI23,Warranty!B:B,Warranty!E:E)</f>
        <v>0.015</v>
      </c>
      <c r="AN23" s="8">
        <f>IF($L23="AUD",VLOOKUP(RIGHT('Wk - Margins'!$J23,3),'AU Freight'!C:G,5,0),0)</f>
        <v>0</v>
      </c>
      <c r="AO23" s="49">
        <f t="shared" si="11"/>
        <v>0</v>
      </c>
      <c r="AP23" s="57">
        <f t="shared" si="12"/>
        <v>0</v>
      </c>
      <c r="AQ23" s="58">
        <f t="shared" si="13"/>
        <v>1</v>
      </c>
      <c r="AR23" s="59">
        <f>IF(L23="AUD",O23*'Currency &amp; Conversion'!$L$7,'Wk - Margins'!O23)</f>
        <v>10145</v>
      </c>
      <c r="AS23" s="59">
        <f>IF(L23="AUD",P23*'Currency &amp; Conversion'!$L$7,'Wk - Margins'!P23)</f>
        <v>6046.9</v>
      </c>
    </row>
    <row r="24" ht="12.75" hidden="1" customHeight="1">
      <c r="A24" s="42" t="str">
        <f>'Input - Bookings'!A24</f>
        <v>05/06/2023</v>
      </c>
      <c r="B24" s="43" t="str">
        <f t="shared" si="1"/>
        <v>India</v>
      </c>
      <c r="C24" s="43" t="str">
        <f t="shared" si="2"/>
        <v>AIN</v>
      </c>
      <c r="D24" s="43" t="str">
        <f>'Input - Bookings'!D24</f>
        <v>A</v>
      </c>
      <c r="E24" s="43" t="str">
        <f>'Input - Bookings'!J24</f>
        <v>IN</v>
      </c>
      <c r="F24" s="44" t="str">
        <f>'Input - Bookings'!F24</f>
        <v>067</v>
      </c>
      <c r="G24" s="44" t="str">
        <f>'Input - Bookings'!I24</f>
        <v>ELECTROMECH LIFT TRUCKS</v>
      </c>
      <c r="H24" s="44" t="str">
        <f>'Input - Bookings'!K24</f>
        <v>H34401</v>
      </c>
      <c r="I24" s="45" t="str">
        <f>VLOOKUP(H24,'Input - Bookings'!$G$2:$H$611,2,0)</f>
        <v>880805</v>
      </c>
      <c r="J24" s="44" t="str">
        <f>'Input - Bookings'!N24</f>
        <v>C900</v>
      </c>
      <c r="K24" s="44" t="str">
        <f>'Input - Bookings'!O24</f>
        <v>FBR15SZ</v>
      </c>
      <c r="L24" s="44" t="str">
        <f>'Input - Bookings'!C24</f>
        <v>USD</v>
      </c>
      <c r="M24" s="46" t="str">
        <f t="array" ref="M24">IF(L24="USD",INDEX('AP Plants'!A:A,MATCH(J24,'AP Plants'!D:D,0)),INDEX('Australia Plants'!A:A,MATCH(J24,'Australia Plants'!D:D,0)))</f>
        <v>SN</v>
      </c>
      <c r="N24" s="10">
        <v>1.0</v>
      </c>
      <c r="O24" s="9">
        <v>25745.0</v>
      </c>
      <c r="P24" s="9">
        <v>15628.95</v>
      </c>
      <c r="Q24" s="47">
        <v>0.13663094358320294</v>
      </c>
      <c r="R24" s="48">
        <f t="shared" si="3"/>
        <v>0.3929326083</v>
      </c>
      <c r="S24" s="49">
        <f t="shared" si="4"/>
        <v>0</v>
      </c>
      <c r="T24" s="49">
        <f t="shared" si="5"/>
        <v>0.1366309436</v>
      </c>
      <c r="U24" s="50" t="str">
        <f t="shared" si="6"/>
        <v>AOP</v>
      </c>
      <c r="V24" s="51">
        <f t="shared" si="7"/>
        <v>2135.398186</v>
      </c>
      <c r="W24" s="52">
        <f t="shared" si="8"/>
        <v>2135.398186</v>
      </c>
      <c r="X24" s="9">
        <f t="shared" si="9"/>
        <v>15628.95</v>
      </c>
      <c r="Y24" s="8"/>
      <c r="Z24" s="8"/>
      <c r="AA24" s="8"/>
      <c r="AB24" s="8" t="str">
        <f t="shared" si="10"/>
        <v>AINH34401FBR15SZ</v>
      </c>
      <c r="AC24" s="8" t="str">
        <f>IF(AB24='Input - Bookings'!S14,"OK","Check")</f>
        <v>Check</v>
      </c>
      <c r="AD24" s="60" t="s">
        <v>49</v>
      </c>
      <c r="AE24" s="54"/>
      <c r="AF24" s="54"/>
      <c r="AG24" s="55"/>
      <c r="AH24" s="62"/>
      <c r="AI24" s="8" t="str">
        <f t="array" ref="AI24">XLOOKUP($J24,'AP Plants'!D:D,'AP Plants'!B:B)</f>
        <v>Class 2</v>
      </c>
      <c r="AJ24" s="56"/>
      <c r="AK24" s="56"/>
      <c r="AL24" s="49">
        <v>0.015</v>
      </c>
      <c r="AM24" s="49">
        <f t="array" ref="AM24">XLOOKUP($AI24,Warranty!B:B,Warranty!E:E)</f>
        <v>0.015</v>
      </c>
      <c r="AN24" s="8">
        <f>IF($L24="AUD",VLOOKUP(RIGHT('Wk - Margins'!$J24,3),'AU Freight'!C:G,5,0),0)</f>
        <v>0</v>
      </c>
      <c r="AO24" s="49">
        <f t="shared" si="11"/>
        <v>0</v>
      </c>
      <c r="AP24" s="57">
        <f t="shared" si="12"/>
        <v>0</v>
      </c>
      <c r="AQ24" s="58">
        <f t="shared" si="13"/>
        <v>1</v>
      </c>
      <c r="AR24" s="59">
        <f>IF(L24="AUD",O24*'Currency &amp; Conversion'!$L$7,'Wk - Margins'!O24)</f>
        <v>25745</v>
      </c>
      <c r="AS24" s="59">
        <f>IF(L24="AUD",P24*'Currency &amp; Conversion'!$L$7,'Wk - Margins'!P24)</f>
        <v>15628.95</v>
      </c>
    </row>
    <row r="25" ht="12.75" hidden="1" customHeight="1">
      <c r="A25" s="42" t="str">
        <f>'Input - Bookings'!A25</f>
        <v>05/06/2023</v>
      </c>
      <c r="B25" s="43" t="str">
        <f t="shared" si="1"/>
        <v>India</v>
      </c>
      <c r="C25" s="43" t="str">
        <f t="shared" si="2"/>
        <v>AIN</v>
      </c>
      <c r="D25" s="43" t="str">
        <f>'Input - Bookings'!D25</f>
        <v>A</v>
      </c>
      <c r="E25" s="43" t="str">
        <f>'Input - Bookings'!J25</f>
        <v>IN</v>
      </c>
      <c r="F25" s="44" t="str">
        <f>'Input - Bookings'!F25</f>
        <v>067</v>
      </c>
      <c r="G25" s="44" t="str">
        <f>'Input - Bookings'!I25</f>
        <v>ELECTROMECH LIFT TRUCKS</v>
      </c>
      <c r="H25" s="44" t="str">
        <f>'Input - Bookings'!K25</f>
        <v>H34402</v>
      </c>
      <c r="I25" s="45" t="str">
        <f>VLOOKUP(H25,'Input - Bookings'!$G$2:$H$611,2,0)</f>
        <v>880805</v>
      </c>
      <c r="J25" s="44" t="str">
        <f>'Input - Bookings'!N25</f>
        <v>C900</v>
      </c>
      <c r="K25" s="44" t="str">
        <f>'Input - Bookings'!O25</f>
        <v>FBR15SZ</v>
      </c>
      <c r="L25" s="44" t="str">
        <f>'Input - Bookings'!C25</f>
        <v>USD</v>
      </c>
      <c r="M25" s="46" t="str">
        <f t="array" ref="M25">IF(L25="USD",INDEX('AP Plants'!A:A,MATCH(J25,'AP Plants'!D:D,0)),INDEX('Australia Plants'!A:A,MATCH(J25,'Australia Plants'!D:D,0)))</f>
        <v>SN</v>
      </c>
      <c r="N25" s="10">
        <v>1.0</v>
      </c>
      <c r="O25" s="9">
        <v>25745.0</v>
      </c>
      <c r="P25" s="9">
        <v>15628.95</v>
      </c>
      <c r="Q25" s="47">
        <v>0.13663094358320294</v>
      </c>
      <c r="R25" s="48">
        <f t="shared" si="3"/>
        <v>0.3929326083</v>
      </c>
      <c r="S25" s="49">
        <f t="shared" si="4"/>
        <v>0</v>
      </c>
      <c r="T25" s="49">
        <f t="shared" si="5"/>
        <v>0.1366309436</v>
      </c>
      <c r="U25" s="50" t="str">
        <f t="shared" si="6"/>
        <v>AOP</v>
      </c>
      <c r="V25" s="51">
        <f t="shared" si="7"/>
        <v>2135.398186</v>
      </c>
      <c r="W25" s="52">
        <f t="shared" si="8"/>
        <v>2135.398186</v>
      </c>
      <c r="X25" s="9">
        <f t="shared" si="9"/>
        <v>15628.95</v>
      </c>
      <c r="Y25" s="8"/>
      <c r="Z25" s="8"/>
      <c r="AA25" s="8"/>
      <c r="AB25" s="8" t="str">
        <f t="shared" si="10"/>
        <v>AINH34402FBR15SZ</v>
      </c>
      <c r="AC25" s="8" t="str">
        <f>IF(AB25='Input - Bookings'!S15,"OK","Check")</f>
        <v>Check</v>
      </c>
      <c r="AD25" s="60" t="s">
        <v>49</v>
      </c>
      <c r="AE25" s="54"/>
      <c r="AF25" s="54"/>
      <c r="AG25" s="55"/>
      <c r="AH25" s="62"/>
      <c r="AI25" s="8" t="str">
        <f t="array" ref="AI25">XLOOKUP($J25,'AP Plants'!D:D,'AP Plants'!B:B)</f>
        <v>Class 2</v>
      </c>
      <c r="AJ25" s="56"/>
      <c r="AK25" s="56"/>
      <c r="AL25" s="49">
        <v>0.015</v>
      </c>
      <c r="AM25" s="49">
        <f t="array" ref="AM25">XLOOKUP($AI25,Warranty!B:B,Warranty!E:E)</f>
        <v>0.015</v>
      </c>
      <c r="AN25" s="8">
        <f>IF($L25="AUD",VLOOKUP(RIGHT('Wk - Margins'!$J25,3),'AU Freight'!C:G,5,0),0)</f>
        <v>0</v>
      </c>
      <c r="AO25" s="49">
        <f t="shared" si="11"/>
        <v>0</v>
      </c>
      <c r="AP25" s="57">
        <f t="shared" si="12"/>
        <v>0</v>
      </c>
      <c r="AQ25" s="58">
        <f t="shared" si="13"/>
        <v>1</v>
      </c>
      <c r="AR25" s="59">
        <f>IF(L25="AUD",O25*'Currency &amp; Conversion'!$L$7,'Wk - Margins'!O25)</f>
        <v>25745</v>
      </c>
      <c r="AS25" s="59">
        <f>IF(L25="AUD",P25*'Currency &amp; Conversion'!$L$7,'Wk - Margins'!P25)</f>
        <v>15628.95</v>
      </c>
    </row>
    <row r="26" ht="12.75" hidden="1" customHeight="1">
      <c r="A26" s="42" t="str">
        <f>'Input - Bookings'!A26</f>
        <v>05/06/2023</v>
      </c>
      <c r="B26" s="43" t="str">
        <f t="shared" si="1"/>
        <v>India</v>
      </c>
      <c r="C26" s="43" t="str">
        <f t="shared" si="2"/>
        <v>AIN</v>
      </c>
      <c r="D26" s="43" t="str">
        <f>'Input - Bookings'!D26</f>
        <v>A</v>
      </c>
      <c r="E26" s="43" t="str">
        <f>'Input - Bookings'!J26</f>
        <v>IN</v>
      </c>
      <c r="F26" s="44" t="str">
        <f>'Input - Bookings'!F26</f>
        <v>067</v>
      </c>
      <c r="G26" s="44" t="str">
        <f>'Input - Bookings'!I26</f>
        <v>ELECTROMECH LIFT TRUCKS</v>
      </c>
      <c r="H26" s="44" t="str">
        <f>'Input - Bookings'!K26</f>
        <v>H34403</v>
      </c>
      <c r="I26" s="45" t="str">
        <f>VLOOKUP(H26,'Input - Bookings'!$G$2:$H$611,2,0)</f>
        <v>880805</v>
      </c>
      <c r="J26" s="44" t="str">
        <f>'Input - Bookings'!N26</f>
        <v>C900</v>
      </c>
      <c r="K26" s="44" t="str">
        <f>'Input - Bookings'!O26</f>
        <v>FBR15SZ</v>
      </c>
      <c r="L26" s="44" t="str">
        <f>'Input - Bookings'!C26</f>
        <v>USD</v>
      </c>
      <c r="M26" s="46" t="str">
        <f t="array" ref="M26">IF(L26="USD",INDEX('AP Plants'!A:A,MATCH(J26,'AP Plants'!D:D,0)),INDEX('Australia Plants'!A:A,MATCH(J26,'Australia Plants'!D:D,0)))</f>
        <v>SN</v>
      </c>
      <c r="N26" s="10">
        <v>1.0</v>
      </c>
      <c r="O26" s="9">
        <v>25745.0</v>
      </c>
      <c r="P26" s="9">
        <v>15628.95</v>
      </c>
      <c r="Q26" s="47">
        <v>0.13663094358320294</v>
      </c>
      <c r="R26" s="48">
        <f t="shared" si="3"/>
        <v>0.3929326083</v>
      </c>
      <c r="S26" s="49">
        <f t="shared" si="4"/>
        <v>0</v>
      </c>
      <c r="T26" s="49">
        <f t="shared" si="5"/>
        <v>0.1366309436</v>
      </c>
      <c r="U26" s="50" t="str">
        <f t="shared" si="6"/>
        <v>AOP</v>
      </c>
      <c r="V26" s="51">
        <f t="shared" si="7"/>
        <v>2135.398186</v>
      </c>
      <c r="W26" s="52">
        <f t="shared" si="8"/>
        <v>2135.398186</v>
      </c>
      <c r="X26" s="9">
        <f t="shared" si="9"/>
        <v>15628.95</v>
      </c>
      <c r="Y26" s="8"/>
      <c r="Z26" s="8"/>
      <c r="AA26" s="8"/>
      <c r="AB26" s="8" t="str">
        <f t="shared" si="10"/>
        <v>AINH34403FBR15SZ</v>
      </c>
      <c r="AC26" s="8" t="str">
        <f>IF(AB26='Input - Bookings'!S16,"OK","Check")</f>
        <v>Check</v>
      </c>
      <c r="AD26" s="60" t="s">
        <v>49</v>
      </c>
      <c r="AE26" s="54"/>
      <c r="AF26" s="54"/>
      <c r="AG26" s="55"/>
      <c r="AH26" s="62"/>
      <c r="AI26" s="8" t="str">
        <f t="array" ref="AI26">XLOOKUP($J26,'AP Plants'!D:D,'AP Plants'!B:B)</f>
        <v>Class 2</v>
      </c>
      <c r="AJ26" s="56"/>
      <c r="AK26" s="56"/>
      <c r="AL26" s="49">
        <v>0.015</v>
      </c>
      <c r="AM26" s="49">
        <f t="array" ref="AM26">XLOOKUP($AI26,Warranty!B:B,Warranty!E:E)</f>
        <v>0.015</v>
      </c>
      <c r="AN26" s="8">
        <f>IF($L26="AUD",VLOOKUP(RIGHT('Wk - Margins'!$J26,3),'AU Freight'!C:G,5,0),0)</f>
        <v>0</v>
      </c>
      <c r="AO26" s="49">
        <f t="shared" si="11"/>
        <v>0</v>
      </c>
      <c r="AP26" s="57">
        <f t="shared" si="12"/>
        <v>0</v>
      </c>
      <c r="AQ26" s="58">
        <f t="shared" si="13"/>
        <v>1</v>
      </c>
      <c r="AR26" s="59">
        <f>IF(L26="AUD",O26*'Currency &amp; Conversion'!$L$7,'Wk - Margins'!O26)</f>
        <v>25745</v>
      </c>
      <c r="AS26" s="59">
        <f>IF(L26="AUD",P26*'Currency &amp; Conversion'!$L$7,'Wk - Margins'!P26)</f>
        <v>15628.95</v>
      </c>
    </row>
    <row r="27" ht="12.75" hidden="1" customHeight="1">
      <c r="A27" s="42" t="str">
        <f>'Input - Bookings'!A27</f>
        <v>13/06/2023</v>
      </c>
      <c r="B27" s="43" t="str">
        <f t="shared" si="1"/>
        <v>Asia</v>
      </c>
      <c r="C27" s="43" t="str">
        <f t="shared" si="2"/>
        <v>AVN</v>
      </c>
      <c r="D27" s="43" t="str">
        <f>'Input - Bookings'!D27</f>
        <v>A</v>
      </c>
      <c r="E27" s="43" t="str">
        <f>'Input - Bookings'!J27</f>
        <v>VN</v>
      </c>
      <c r="F27" s="44" t="str">
        <f>'Input - Bookings'!F27</f>
        <v>067</v>
      </c>
      <c r="G27" s="44" t="str">
        <f>'Input - Bookings'!I27</f>
        <v>KY LUC CO., LTD</v>
      </c>
      <c r="H27" s="44" t="str">
        <f>'Input - Bookings'!K27</f>
        <v>H35950</v>
      </c>
      <c r="I27" s="45" t="str">
        <f>VLOOKUP(H27,'Input - Bookings'!$G$2:$H$611,2,0)</f>
        <v>017005</v>
      </c>
      <c r="J27" s="44" t="str">
        <f>'Input - Bookings'!N27</f>
        <v>D871</v>
      </c>
      <c r="K27" s="44" t="str">
        <f>'Input - Bookings'!O27</f>
        <v>GP25MX</v>
      </c>
      <c r="L27" s="44" t="str">
        <f>'Input - Bookings'!C27</f>
        <v>USD</v>
      </c>
      <c r="M27" s="46" t="str">
        <f t="array" ref="M27">IF(L27="USD",INDEX('AP Plants'!A:A,MATCH(J27,'AP Plants'!D:D,0)),INDEX('Australia Plants'!A:A,MATCH(J27,'Australia Plants'!D:D,0)))</f>
        <v>SN</v>
      </c>
      <c r="N27" s="10">
        <v>1.0</v>
      </c>
      <c r="O27" s="9">
        <v>27280.0</v>
      </c>
      <c r="P27" s="9">
        <v>16509.05</v>
      </c>
      <c r="Q27" s="47">
        <v>0.088613680741503</v>
      </c>
      <c r="R27" s="48">
        <f t="shared" si="3"/>
        <v>0.3948295455</v>
      </c>
      <c r="S27" s="49">
        <f t="shared" si="4"/>
        <v>0</v>
      </c>
      <c r="T27" s="49">
        <f t="shared" si="5"/>
        <v>0.08861368074</v>
      </c>
      <c r="U27" s="50" t="str">
        <f t="shared" si="6"/>
        <v>AOP</v>
      </c>
      <c r="V27" s="51">
        <f t="shared" si="7"/>
        <v>1462.927686</v>
      </c>
      <c r="W27" s="52">
        <f t="shared" si="8"/>
        <v>1462.927686</v>
      </c>
      <c r="X27" s="9">
        <f t="shared" si="9"/>
        <v>16509.05</v>
      </c>
      <c r="Y27" s="8"/>
      <c r="Z27" s="8"/>
      <c r="AA27" s="8"/>
      <c r="AB27" s="8" t="str">
        <f t="shared" si="10"/>
        <v>AVNH35950GP25MX</v>
      </c>
      <c r="AC27" s="8" t="str">
        <f>IF(AB27='Input - Bookings'!S17,"OK","Check")</f>
        <v>Check</v>
      </c>
      <c r="AD27" s="53"/>
      <c r="AE27" s="54"/>
      <c r="AF27" s="54"/>
      <c r="AG27" s="55"/>
      <c r="AH27" s="62"/>
      <c r="AI27" s="8" t="str">
        <f t="array" ref="AI27">XLOOKUP($J27,'AP Plants'!D:D,'AP Plants'!B:B)</f>
        <v>Class 5 NOT BT</v>
      </c>
      <c r="AJ27" s="56"/>
      <c r="AK27" s="56"/>
      <c r="AL27" s="49">
        <v>0.015</v>
      </c>
      <c r="AM27" s="49">
        <f t="array" ref="AM27">XLOOKUP($AI27,Warranty!B:B,Warranty!E:E)</f>
        <v>0.005</v>
      </c>
      <c r="AN27" s="8">
        <f>IF($L27="AUD",VLOOKUP(RIGHT('Wk - Margins'!$J27,3),'AU Freight'!C:G,5,0),0)</f>
        <v>0</v>
      </c>
      <c r="AO27" s="49">
        <f t="shared" si="11"/>
        <v>0</v>
      </c>
      <c r="AP27" s="57">
        <f t="shared" si="12"/>
        <v>0</v>
      </c>
      <c r="AQ27" s="58">
        <f t="shared" si="13"/>
        <v>1</v>
      </c>
      <c r="AR27" s="59">
        <f>IF(L27="AUD",O27*'Currency &amp; Conversion'!$L$7,'Wk - Margins'!O27)</f>
        <v>27280</v>
      </c>
      <c r="AS27" s="59">
        <f>IF(L27="AUD",P27*'Currency &amp; Conversion'!$L$7,'Wk - Margins'!P27)</f>
        <v>16509.05</v>
      </c>
    </row>
    <row r="28" ht="12.75" hidden="1" customHeight="1">
      <c r="A28" s="42" t="str">
        <f>'Input - Bookings'!A28</f>
        <v>14/06/2023</v>
      </c>
      <c r="B28" s="43" t="str">
        <f t="shared" si="1"/>
        <v>Asia</v>
      </c>
      <c r="C28" s="43" t="str">
        <f t="shared" si="2"/>
        <v>ATH</v>
      </c>
      <c r="D28" s="43" t="str">
        <f>'Input - Bookings'!D28</f>
        <v>A</v>
      </c>
      <c r="E28" s="43" t="str">
        <f>'Input - Bookings'!J28</f>
        <v>TH</v>
      </c>
      <c r="F28" s="44" t="str">
        <f>'Input - Bookings'!F28</f>
        <v>065</v>
      </c>
      <c r="G28" s="44" t="str">
        <f>'Input - Bookings'!I28</f>
        <v>DILOK AND SONS CO.,LTD.</v>
      </c>
      <c r="H28" s="44" t="str">
        <f>'Input - Bookings'!K28</f>
        <v>H36924</v>
      </c>
      <c r="I28" s="45" t="str">
        <f>VLOOKUP(H28,'Input - Bookings'!$G$2:$H$611,2,0)</f>
        <v>006065</v>
      </c>
      <c r="J28" s="44" t="str">
        <f>'Input - Bookings'!N28</f>
        <v>A3D0</v>
      </c>
      <c r="K28" s="44" t="str">
        <f>'Input - Bookings'!O28</f>
        <v>H7.0UT6</v>
      </c>
      <c r="L28" s="44" t="str">
        <f>'Input - Bookings'!C28</f>
        <v>USD</v>
      </c>
      <c r="M28" s="46" t="str">
        <f t="array" ref="M28">IF(L28="USD",INDEX('AP Plants'!A:A,MATCH(J28,'AP Plants'!D:D,0)),INDEX('Australia Plants'!A:A,MATCH(J28,'Australia Plants'!D:D,0)))</f>
        <v>Maximal</v>
      </c>
      <c r="N28" s="10">
        <v>1.0</v>
      </c>
      <c r="O28" s="9">
        <v>46455.0</v>
      </c>
      <c r="P28" s="9">
        <v>33004.0</v>
      </c>
      <c r="Q28" s="47">
        <v>0.2949434298350012</v>
      </c>
      <c r="R28" s="48">
        <f t="shared" si="3"/>
        <v>0.2895490259</v>
      </c>
      <c r="S28" s="49">
        <f t="shared" si="4"/>
        <v>0</v>
      </c>
      <c r="T28" s="49">
        <f t="shared" si="5"/>
        <v>0.2949434298</v>
      </c>
      <c r="U28" s="50" t="str">
        <f t="shared" si="6"/>
        <v>AOP</v>
      </c>
      <c r="V28" s="51">
        <f t="shared" si="7"/>
        <v>9734.312958</v>
      </c>
      <c r="W28" s="52">
        <f t="shared" si="8"/>
        <v>9734.312958</v>
      </c>
      <c r="X28" s="9">
        <f t="shared" si="9"/>
        <v>33004</v>
      </c>
      <c r="Y28" s="8"/>
      <c r="Z28" s="8"/>
      <c r="AA28" s="8"/>
      <c r="AB28" s="8" t="str">
        <f t="shared" si="10"/>
        <v>ATHH36924H7.0UT6</v>
      </c>
      <c r="AC28" s="8" t="str">
        <f>IF(AB28='Input - Bookings'!S18,"OK","Check")</f>
        <v>Check</v>
      </c>
      <c r="AD28" s="53"/>
      <c r="AE28" s="54"/>
      <c r="AF28" s="54"/>
      <c r="AG28" s="55"/>
      <c r="AH28" s="55"/>
      <c r="AI28" s="8" t="str">
        <f t="array" ref="AI28">XLOOKUP($J28,'AP Plants'!D:D,'AP Plants'!B:B)</f>
        <v>Class 5 NOT BT</v>
      </c>
      <c r="AJ28" s="56"/>
      <c r="AK28" s="56"/>
      <c r="AL28" s="49">
        <v>0.015</v>
      </c>
      <c r="AM28" s="49">
        <f t="array" ref="AM28">XLOOKUP($AI28,Warranty!B:B,Warranty!E:E)</f>
        <v>0.005</v>
      </c>
      <c r="AN28" s="8">
        <f>IF($L28="AUD",VLOOKUP(RIGHT('Wk - Margins'!$J28,3),'AU Freight'!C:G,5,0),0)</f>
        <v>0</v>
      </c>
      <c r="AO28" s="49">
        <f t="shared" si="11"/>
        <v>0</v>
      </c>
      <c r="AP28" s="57">
        <f t="shared" si="12"/>
        <v>0</v>
      </c>
      <c r="AQ28" s="58">
        <f t="shared" si="13"/>
        <v>1</v>
      </c>
      <c r="AR28" s="59">
        <f>IF(L28="AUD",O28*'Currency &amp; Conversion'!$L$7,'Wk - Margins'!O28)</f>
        <v>46455</v>
      </c>
      <c r="AS28" s="59">
        <f>IF(L28="AUD",P28*'Currency &amp; Conversion'!$L$7,'Wk - Margins'!P28)</f>
        <v>33004</v>
      </c>
    </row>
    <row r="29" ht="12.75" hidden="1" customHeight="1">
      <c r="A29" s="42" t="str">
        <f>'Input - Bookings'!A29</f>
        <v>15/06/2023</v>
      </c>
      <c r="B29" s="43" t="str">
        <f t="shared" si="1"/>
        <v>Asia</v>
      </c>
      <c r="C29" s="43" t="str">
        <f t="shared" si="2"/>
        <v>AKR</v>
      </c>
      <c r="D29" s="43" t="str">
        <f>'Input - Bookings'!D29</f>
        <v>A</v>
      </c>
      <c r="E29" s="43" t="str">
        <f>'Input - Bookings'!J29</f>
        <v>KR</v>
      </c>
      <c r="F29" s="44" t="str">
        <f>'Input - Bookings'!F29</f>
        <v>065</v>
      </c>
      <c r="G29" s="44" t="str">
        <f>'Input - Bookings'!I29</f>
        <v>HYSTER KOREA INC.</v>
      </c>
      <c r="H29" s="44" t="str">
        <f>'Input - Bookings'!K29</f>
        <v>H37545</v>
      </c>
      <c r="I29" s="45" t="str">
        <f>VLOOKUP(H29,'Input - Bookings'!$G$2:$H$611,2,0)</f>
        <v>081645</v>
      </c>
      <c r="J29" s="44" t="str">
        <f>'Input - Bookings'!N29</f>
        <v>A3C4</v>
      </c>
      <c r="K29" s="44" t="str">
        <f>'Input - Bookings'!O29</f>
        <v>J2.0UT</v>
      </c>
      <c r="L29" s="44" t="str">
        <f>'Input - Bookings'!C29</f>
        <v>USD</v>
      </c>
      <c r="M29" s="46" t="str">
        <f t="array" ref="M29">IF(L29="USD",INDEX('AP Plants'!A:A,MATCH(J29,'AP Plants'!D:D,0)),INDEX('Australia Plants'!A:A,MATCH(J29,'Australia Plants'!D:D,0)))</f>
        <v>Maximal</v>
      </c>
      <c r="N29" s="10">
        <v>1.0</v>
      </c>
      <c r="O29" s="9">
        <v>16225.0</v>
      </c>
      <c r="P29" s="9">
        <v>10787.5</v>
      </c>
      <c r="Q29" s="47">
        <v>0.1249347142978442</v>
      </c>
      <c r="R29" s="48">
        <f t="shared" si="3"/>
        <v>0.3351309707</v>
      </c>
      <c r="S29" s="49">
        <f t="shared" si="4"/>
        <v>0</v>
      </c>
      <c r="T29" s="49">
        <f t="shared" si="5"/>
        <v>0.1249347143</v>
      </c>
      <c r="U29" s="50" t="str">
        <f t="shared" si="6"/>
        <v>AOP</v>
      </c>
      <c r="V29" s="51">
        <f t="shared" si="7"/>
        <v>1347.73323</v>
      </c>
      <c r="W29" s="52">
        <f t="shared" si="8"/>
        <v>1347.73323</v>
      </c>
      <c r="X29" s="9">
        <f t="shared" si="9"/>
        <v>10787.5</v>
      </c>
      <c r="Y29" s="8"/>
      <c r="Z29" s="8"/>
      <c r="AA29" s="8"/>
      <c r="AB29" s="8" t="str">
        <f t="shared" si="10"/>
        <v>AKRH37545J2.0UT</v>
      </c>
      <c r="AC29" s="8" t="str">
        <f>IF(AB29='Input - Bookings'!S19,"OK","Check")</f>
        <v>Check</v>
      </c>
      <c r="AD29" s="53"/>
      <c r="AE29" s="54"/>
      <c r="AF29" s="54"/>
      <c r="AG29" s="55"/>
      <c r="AH29" s="55"/>
      <c r="AI29" s="8" t="str">
        <f t="array" ref="AI29">XLOOKUP($J29,'AP Plants'!D:D,'AP Plants'!B:B)</f>
        <v>Class 1</v>
      </c>
      <c r="AJ29" s="56"/>
      <c r="AK29" s="56"/>
      <c r="AL29" s="49">
        <v>0.015</v>
      </c>
      <c r="AM29" s="49">
        <f t="array" ref="AM29">XLOOKUP($AI29,Warranty!B:B,Warranty!E:E)</f>
        <v>0.005</v>
      </c>
      <c r="AN29" s="8">
        <f>IF($L29="AUD",VLOOKUP(RIGHT('Wk - Margins'!$J29,3),'AU Freight'!C:G,5,0),0)</f>
        <v>0</v>
      </c>
      <c r="AO29" s="49">
        <f t="shared" si="11"/>
        <v>0</v>
      </c>
      <c r="AP29" s="57">
        <f t="shared" si="12"/>
        <v>0</v>
      </c>
      <c r="AQ29" s="58">
        <f t="shared" si="13"/>
        <v>1</v>
      </c>
      <c r="AR29" s="59">
        <f>IF(L29="AUD",O29*'Currency &amp; Conversion'!$L$7,'Wk - Margins'!O29)</f>
        <v>16225</v>
      </c>
      <c r="AS29" s="59">
        <f>IF(L29="AUD",P29*'Currency &amp; Conversion'!$L$7,'Wk - Margins'!P29)</f>
        <v>10787.5</v>
      </c>
    </row>
    <row r="30" ht="12.75" hidden="1" customHeight="1">
      <c r="A30" s="42" t="str">
        <f>'Input - Bookings'!A30</f>
        <v>15/06/2023</v>
      </c>
      <c r="B30" s="43" t="str">
        <f t="shared" si="1"/>
        <v>Asia</v>
      </c>
      <c r="C30" s="43" t="str">
        <f t="shared" si="2"/>
        <v>AKR</v>
      </c>
      <c r="D30" s="43" t="str">
        <f>'Input - Bookings'!D30</f>
        <v>A</v>
      </c>
      <c r="E30" s="43" t="str">
        <f>'Input - Bookings'!J30</f>
        <v>KR</v>
      </c>
      <c r="F30" s="44" t="str">
        <f>'Input - Bookings'!F30</f>
        <v>065</v>
      </c>
      <c r="G30" s="44" t="str">
        <f>'Input - Bookings'!I30</f>
        <v>HYSTER KOREA INC.</v>
      </c>
      <c r="H30" s="44" t="str">
        <f>'Input - Bookings'!K30</f>
        <v>H37546</v>
      </c>
      <c r="I30" s="45" t="str">
        <f>VLOOKUP(H30,'Input - Bookings'!$G$2:$H$611,2,0)</f>
        <v>081645</v>
      </c>
      <c r="J30" s="44" t="str">
        <f>'Input - Bookings'!N30</f>
        <v>A3C4</v>
      </c>
      <c r="K30" s="44" t="str">
        <f>'Input - Bookings'!O30</f>
        <v>J2.5UT</v>
      </c>
      <c r="L30" s="44" t="str">
        <f>'Input - Bookings'!C30</f>
        <v>USD</v>
      </c>
      <c r="M30" s="46" t="str">
        <f t="array" ref="M30">IF(L30="USD",INDEX('AP Plants'!A:A,MATCH(J30,'AP Plants'!D:D,0)),INDEX('Australia Plants'!A:A,MATCH(J30,'Australia Plants'!D:D,0)))</f>
        <v>Maximal</v>
      </c>
      <c r="N30" s="10">
        <v>1.0</v>
      </c>
      <c r="O30" s="9">
        <v>16395.0</v>
      </c>
      <c r="P30" s="9">
        <v>10899.7</v>
      </c>
      <c r="Q30" s="47">
        <v>0.1196407311868316</v>
      </c>
      <c r="R30" s="48">
        <f t="shared" si="3"/>
        <v>0.3351814578</v>
      </c>
      <c r="S30" s="49">
        <f t="shared" si="4"/>
        <v>0</v>
      </c>
      <c r="T30" s="49">
        <f t="shared" si="5"/>
        <v>0.1196407312</v>
      </c>
      <c r="U30" s="50" t="str">
        <f t="shared" si="6"/>
        <v>AOP</v>
      </c>
      <c r="V30" s="51">
        <f t="shared" si="7"/>
        <v>1304.048078</v>
      </c>
      <c r="W30" s="52">
        <f t="shared" si="8"/>
        <v>1304.048078</v>
      </c>
      <c r="X30" s="9">
        <f t="shared" si="9"/>
        <v>10899.7</v>
      </c>
      <c r="Y30" s="8"/>
      <c r="Z30" s="8"/>
      <c r="AA30" s="8"/>
      <c r="AB30" s="8" t="str">
        <f t="shared" si="10"/>
        <v>AKRH37546J2.5UT</v>
      </c>
      <c r="AC30" s="8" t="str">
        <f>IF(AB30='Input - Bookings'!S20,"OK","Check")</f>
        <v>Check</v>
      </c>
      <c r="AD30" s="53"/>
      <c r="AE30" s="54"/>
      <c r="AF30" s="54"/>
      <c r="AG30" s="55"/>
      <c r="AH30" s="55"/>
      <c r="AI30" s="8" t="str">
        <f t="array" ref="AI30">XLOOKUP($J30,'AP Plants'!D:D,'AP Plants'!B:B)</f>
        <v>Class 1</v>
      </c>
      <c r="AJ30" s="56"/>
      <c r="AK30" s="56"/>
      <c r="AL30" s="49">
        <v>0.015</v>
      </c>
      <c r="AM30" s="49">
        <f t="array" ref="AM30">XLOOKUP($AI30,Warranty!B:B,Warranty!E:E)</f>
        <v>0.005</v>
      </c>
      <c r="AN30" s="8">
        <f>IF($L30="AUD",VLOOKUP(RIGHT('Wk - Margins'!$J30,3),'AU Freight'!C:G,5,0),0)</f>
        <v>0</v>
      </c>
      <c r="AO30" s="49">
        <f t="shared" si="11"/>
        <v>0</v>
      </c>
      <c r="AP30" s="57">
        <f t="shared" si="12"/>
        <v>0</v>
      </c>
      <c r="AQ30" s="58">
        <f t="shared" si="13"/>
        <v>1</v>
      </c>
      <c r="AR30" s="59">
        <f>IF(L30="AUD",O30*'Currency &amp; Conversion'!$L$7,'Wk - Margins'!O30)</f>
        <v>16395</v>
      </c>
      <c r="AS30" s="59">
        <f>IF(L30="AUD",P30*'Currency &amp; Conversion'!$L$7,'Wk - Margins'!P30)</f>
        <v>10899.7</v>
      </c>
    </row>
    <row r="31" ht="12.75" hidden="1" customHeight="1">
      <c r="A31" s="42" t="str">
        <f>'Input - Bookings'!A31</f>
        <v>15/06/2023</v>
      </c>
      <c r="B31" s="43" t="str">
        <f t="shared" si="1"/>
        <v>Asia</v>
      </c>
      <c r="C31" s="43" t="str">
        <f t="shared" si="2"/>
        <v>AKR</v>
      </c>
      <c r="D31" s="43" t="str">
        <f>'Input - Bookings'!D31</f>
        <v>A</v>
      </c>
      <c r="E31" s="43" t="str">
        <f>'Input - Bookings'!J31</f>
        <v>KR</v>
      </c>
      <c r="F31" s="44" t="str">
        <f>'Input - Bookings'!F31</f>
        <v>065</v>
      </c>
      <c r="G31" s="44" t="str">
        <f>'Input - Bookings'!I31</f>
        <v>HYSTER KOREA INC.</v>
      </c>
      <c r="H31" s="44" t="str">
        <f>'Input - Bookings'!K31</f>
        <v>H37547</v>
      </c>
      <c r="I31" s="45" t="str">
        <f>VLOOKUP(H31,'Input - Bookings'!$G$2:$H$611,2,0)</f>
        <v>081645</v>
      </c>
      <c r="J31" s="44" t="str">
        <f>'Input - Bookings'!N31</f>
        <v>A3C4</v>
      </c>
      <c r="K31" s="44" t="str">
        <f>'Input - Bookings'!O31</f>
        <v>J2.5UT</v>
      </c>
      <c r="L31" s="44" t="str">
        <f>'Input - Bookings'!C31</f>
        <v>USD</v>
      </c>
      <c r="M31" s="46" t="str">
        <f t="array" ref="M31">IF(L31="USD",INDEX('AP Plants'!A:A,MATCH(J31,'AP Plants'!D:D,0)),INDEX('Australia Plants'!A:A,MATCH(J31,'Australia Plants'!D:D,0)))</f>
        <v>Maximal</v>
      </c>
      <c r="N31" s="10">
        <v>1.0</v>
      </c>
      <c r="O31" s="9">
        <v>16395.0</v>
      </c>
      <c r="P31" s="9">
        <v>10899.7</v>
      </c>
      <c r="Q31" s="47">
        <v>0.1196407311868316</v>
      </c>
      <c r="R31" s="48">
        <f t="shared" si="3"/>
        <v>0.3351814578</v>
      </c>
      <c r="S31" s="49">
        <f t="shared" si="4"/>
        <v>0</v>
      </c>
      <c r="T31" s="49">
        <f t="shared" si="5"/>
        <v>0.1196407312</v>
      </c>
      <c r="U31" s="50" t="str">
        <f t="shared" si="6"/>
        <v>AOP</v>
      </c>
      <c r="V31" s="51">
        <f t="shared" si="7"/>
        <v>1304.048078</v>
      </c>
      <c r="W31" s="52">
        <f t="shared" si="8"/>
        <v>1304.048078</v>
      </c>
      <c r="X31" s="9">
        <f t="shared" si="9"/>
        <v>10899.7</v>
      </c>
      <c r="Y31" s="8"/>
      <c r="Z31" s="8"/>
      <c r="AA31" s="8"/>
      <c r="AB31" s="8" t="str">
        <f t="shared" si="10"/>
        <v>AKRH37547J2.5UT</v>
      </c>
      <c r="AC31" s="8" t="str">
        <f>IF(AB31='Input - Bookings'!S21,"OK","Check")</f>
        <v>Check</v>
      </c>
      <c r="AD31" s="53"/>
      <c r="AE31" s="54"/>
      <c r="AF31" s="54"/>
      <c r="AG31" s="55"/>
      <c r="AH31" s="55"/>
      <c r="AI31" s="8" t="str">
        <f t="array" ref="AI31">XLOOKUP($J31,'AP Plants'!D:D,'AP Plants'!B:B)</f>
        <v>Class 1</v>
      </c>
      <c r="AJ31" s="56"/>
      <c r="AK31" s="56"/>
      <c r="AL31" s="49">
        <v>0.015</v>
      </c>
      <c r="AM31" s="49">
        <f t="array" ref="AM31">XLOOKUP($AI31,Warranty!B:B,Warranty!E:E)</f>
        <v>0.005</v>
      </c>
      <c r="AN31" s="8">
        <f>IF($L31="AUD",VLOOKUP(RIGHT('Wk - Margins'!$J31,3),'AU Freight'!C:G,5,0),0)</f>
        <v>0</v>
      </c>
      <c r="AO31" s="49">
        <f t="shared" si="11"/>
        <v>0</v>
      </c>
      <c r="AP31" s="57">
        <f t="shared" si="12"/>
        <v>0</v>
      </c>
      <c r="AQ31" s="58">
        <f t="shared" si="13"/>
        <v>1</v>
      </c>
      <c r="AR31" s="59">
        <f>IF(L31="AUD",O31*'Currency &amp; Conversion'!$L$7,'Wk - Margins'!O31)</f>
        <v>16395</v>
      </c>
      <c r="AS31" s="59">
        <f>IF(L31="AUD",P31*'Currency &amp; Conversion'!$L$7,'Wk - Margins'!P31)</f>
        <v>10899.7</v>
      </c>
    </row>
    <row r="32" ht="12.75" hidden="1" customHeight="1">
      <c r="A32" s="42" t="str">
        <f>'Input - Bookings'!A32</f>
        <v>15/06/2023</v>
      </c>
      <c r="B32" s="43" t="str">
        <f t="shared" si="1"/>
        <v>Asia</v>
      </c>
      <c r="C32" s="43" t="str">
        <f t="shared" si="2"/>
        <v>AKR</v>
      </c>
      <c r="D32" s="43" t="str">
        <f>'Input - Bookings'!D32</f>
        <v>A</v>
      </c>
      <c r="E32" s="43" t="str">
        <f>'Input - Bookings'!J32</f>
        <v>KR</v>
      </c>
      <c r="F32" s="44" t="str">
        <f>'Input - Bookings'!F32</f>
        <v>065</v>
      </c>
      <c r="G32" s="44" t="str">
        <f>'Input - Bookings'!I32</f>
        <v>HYSTER KOREA INC.</v>
      </c>
      <c r="H32" s="44" t="str">
        <f>'Input - Bookings'!K32</f>
        <v>H37548</v>
      </c>
      <c r="I32" s="45" t="str">
        <f>VLOOKUP(H32,'Input - Bookings'!$G$2:$H$611,2,0)</f>
        <v>081645</v>
      </c>
      <c r="J32" s="44" t="str">
        <f>'Input - Bookings'!N32</f>
        <v>A3C4</v>
      </c>
      <c r="K32" s="44" t="str">
        <f>'Input - Bookings'!O32</f>
        <v>J2.5UT</v>
      </c>
      <c r="L32" s="44" t="str">
        <f>'Input - Bookings'!C32</f>
        <v>USD</v>
      </c>
      <c r="M32" s="46" t="str">
        <f t="array" ref="M32">IF(L32="USD",INDEX('AP Plants'!A:A,MATCH(J32,'AP Plants'!D:D,0)),INDEX('Australia Plants'!A:A,MATCH(J32,'Australia Plants'!D:D,0)))</f>
        <v>Maximal</v>
      </c>
      <c r="N32" s="10">
        <v>1.0</v>
      </c>
      <c r="O32" s="9">
        <v>16395.0</v>
      </c>
      <c r="P32" s="9">
        <v>10899.7</v>
      </c>
      <c r="Q32" s="47">
        <v>0.1196407311868316</v>
      </c>
      <c r="R32" s="48">
        <f t="shared" si="3"/>
        <v>0.3351814578</v>
      </c>
      <c r="S32" s="49">
        <f t="shared" si="4"/>
        <v>0</v>
      </c>
      <c r="T32" s="49">
        <f t="shared" si="5"/>
        <v>0.1196407312</v>
      </c>
      <c r="U32" s="50" t="str">
        <f t="shared" si="6"/>
        <v>AOP</v>
      </c>
      <c r="V32" s="51">
        <f t="shared" si="7"/>
        <v>1304.048078</v>
      </c>
      <c r="W32" s="52">
        <f t="shared" si="8"/>
        <v>1304.048078</v>
      </c>
      <c r="X32" s="9">
        <f t="shared" si="9"/>
        <v>10899.7</v>
      </c>
      <c r="Y32" s="8"/>
      <c r="Z32" s="8"/>
      <c r="AA32" s="8"/>
      <c r="AB32" s="8" t="str">
        <f t="shared" si="10"/>
        <v>AKRH37548J2.5UT</v>
      </c>
      <c r="AC32" s="8" t="str">
        <f>IF(AB32='Input - Bookings'!S22,"OK","Check")</f>
        <v>Check</v>
      </c>
      <c r="AD32" s="53"/>
      <c r="AE32" s="54"/>
      <c r="AF32" s="54"/>
      <c r="AG32" s="55"/>
      <c r="AH32" s="55"/>
      <c r="AI32" s="8" t="str">
        <f t="array" ref="AI32">XLOOKUP($J32,'AP Plants'!D:D,'AP Plants'!B:B)</f>
        <v>Class 1</v>
      </c>
      <c r="AJ32" s="56"/>
      <c r="AK32" s="56"/>
      <c r="AL32" s="49">
        <v>0.015</v>
      </c>
      <c r="AM32" s="49">
        <f t="array" ref="AM32">XLOOKUP($AI32,Warranty!B:B,Warranty!E:E)</f>
        <v>0.005</v>
      </c>
      <c r="AN32" s="8">
        <f>IF($L32="AUD",VLOOKUP(RIGHT('Wk - Margins'!$J32,3),'AU Freight'!C:G,5,0),0)</f>
        <v>0</v>
      </c>
      <c r="AO32" s="49">
        <f t="shared" si="11"/>
        <v>0</v>
      </c>
      <c r="AP32" s="57">
        <f t="shared" si="12"/>
        <v>0</v>
      </c>
      <c r="AQ32" s="58">
        <f t="shared" si="13"/>
        <v>1</v>
      </c>
      <c r="AR32" s="59">
        <f>IF(L32="AUD",O32*'Currency &amp; Conversion'!$L$7,'Wk - Margins'!O32)</f>
        <v>16395</v>
      </c>
      <c r="AS32" s="59">
        <f>IF(L32="AUD",P32*'Currency &amp; Conversion'!$L$7,'Wk - Margins'!P32)</f>
        <v>10899.7</v>
      </c>
    </row>
    <row r="33" ht="12.75" hidden="1" customHeight="1">
      <c r="A33" s="42" t="str">
        <f>'Input - Bookings'!A33</f>
        <v>15/06/2023</v>
      </c>
      <c r="B33" s="43" t="str">
        <f t="shared" si="1"/>
        <v>Asia</v>
      </c>
      <c r="C33" s="43" t="str">
        <f t="shared" si="2"/>
        <v>AKR</v>
      </c>
      <c r="D33" s="43" t="str">
        <f>'Input - Bookings'!D33</f>
        <v>A</v>
      </c>
      <c r="E33" s="43" t="str">
        <f>'Input - Bookings'!J33</f>
        <v>KR</v>
      </c>
      <c r="F33" s="44" t="str">
        <f>'Input - Bookings'!F33</f>
        <v>065</v>
      </c>
      <c r="G33" s="44" t="str">
        <f>'Input - Bookings'!I33</f>
        <v>HYSTER KOREA INC.</v>
      </c>
      <c r="H33" s="44" t="str">
        <f>'Input - Bookings'!K33</f>
        <v>H37549</v>
      </c>
      <c r="I33" s="45" t="str">
        <f>VLOOKUP(H33,'Input - Bookings'!$G$2:$H$611,2,0)</f>
        <v>081645</v>
      </c>
      <c r="J33" s="44" t="str">
        <f>'Input - Bookings'!N33</f>
        <v>A3C4</v>
      </c>
      <c r="K33" s="44" t="str">
        <f>'Input - Bookings'!O33</f>
        <v>J2.5UT</v>
      </c>
      <c r="L33" s="44" t="str">
        <f>'Input - Bookings'!C33</f>
        <v>USD</v>
      </c>
      <c r="M33" s="46" t="str">
        <f t="array" ref="M33">IF(L33="USD",INDEX('AP Plants'!A:A,MATCH(J33,'AP Plants'!D:D,0)),INDEX('Australia Plants'!A:A,MATCH(J33,'Australia Plants'!D:D,0)))</f>
        <v>Maximal</v>
      </c>
      <c r="N33" s="10">
        <v>1.0</v>
      </c>
      <c r="O33" s="9">
        <v>16395.0</v>
      </c>
      <c r="P33" s="9">
        <v>10899.7</v>
      </c>
      <c r="Q33" s="47">
        <v>0.1196407311868316</v>
      </c>
      <c r="R33" s="48">
        <f t="shared" si="3"/>
        <v>0.3351814578</v>
      </c>
      <c r="S33" s="49">
        <f t="shared" si="4"/>
        <v>0</v>
      </c>
      <c r="T33" s="49">
        <f t="shared" si="5"/>
        <v>0.1196407312</v>
      </c>
      <c r="U33" s="50" t="str">
        <f t="shared" si="6"/>
        <v>AOP</v>
      </c>
      <c r="V33" s="51">
        <f t="shared" si="7"/>
        <v>1304.048078</v>
      </c>
      <c r="W33" s="52">
        <f t="shared" si="8"/>
        <v>1304.048078</v>
      </c>
      <c r="X33" s="9">
        <f t="shared" si="9"/>
        <v>10899.7</v>
      </c>
      <c r="Y33" s="8"/>
      <c r="Z33" s="8"/>
      <c r="AA33" s="8"/>
      <c r="AB33" s="8" t="str">
        <f t="shared" si="10"/>
        <v>AKRH37549J2.5UT</v>
      </c>
      <c r="AC33" s="8" t="str">
        <f>IF(AB33='Input - Bookings'!S23,"OK","Check")</f>
        <v>Check</v>
      </c>
      <c r="AD33" s="53"/>
      <c r="AE33" s="54"/>
      <c r="AF33" s="54"/>
      <c r="AG33" s="55"/>
      <c r="AH33" s="55"/>
      <c r="AI33" s="8" t="str">
        <f t="array" ref="AI33">XLOOKUP($J33,'AP Plants'!D:D,'AP Plants'!B:B)</f>
        <v>Class 1</v>
      </c>
      <c r="AJ33" s="56"/>
      <c r="AK33" s="56"/>
      <c r="AL33" s="49">
        <v>0.015</v>
      </c>
      <c r="AM33" s="49">
        <f t="array" ref="AM33">XLOOKUP($AI33,Warranty!B:B,Warranty!E:E)</f>
        <v>0.005</v>
      </c>
      <c r="AN33" s="8">
        <f>IF($L33="AUD",VLOOKUP(RIGHT('Wk - Margins'!$J33,3),'AU Freight'!C:G,5,0),0)</f>
        <v>0</v>
      </c>
      <c r="AO33" s="49">
        <f t="shared" si="11"/>
        <v>0</v>
      </c>
      <c r="AP33" s="57">
        <f t="shared" si="12"/>
        <v>0</v>
      </c>
      <c r="AQ33" s="58">
        <f t="shared" si="13"/>
        <v>1</v>
      </c>
      <c r="AR33" s="59">
        <f>IF(L33="AUD",O33*'Currency &amp; Conversion'!$L$7,'Wk - Margins'!O33)</f>
        <v>16395</v>
      </c>
      <c r="AS33" s="59">
        <f>IF(L33="AUD",P33*'Currency &amp; Conversion'!$L$7,'Wk - Margins'!P33)</f>
        <v>10899.7</v>
      </c>
    </row>
    <row r="34" ht="12.75" hidden="1" customHeight="1">
      <c r="A34" s="42" t="str">
        <f>'Input - Bookings'!A34</f>
        <v>15/06/2023</v>
      </c>
      <c r="B34" s="43" t="str">
        <f t="shared" si="1"/>
        <v>Asia</v>
      </c>
      <c r="C34" s="43" t="str">
        <f t="shared" si="2"/>
        <v>AKR</v>
      </c>
      <c r="D34" s="43" t="str">
        <f>'Input - Bookings'!D34</f>
        <v>A</v>
      </c>
      <c r="E34" s="43" t="str">
        <f>'Input - Bookings'!J34</f>
        <v>KR</v>
      </c>
      <c r="F34" s="44" t="str">
        <f>'Input - Bookings'!F34</f>
        <v>065</v>
      </c>
      <c r="G34" s="44" t="str">
        <f>'Input - Bookings'!I34</f>
        <v>HYSTER KOREA INC.</v>
      </c>
      <c r="H34" s="44" t="str">
        <f>'Input - Bookings'!K34</f>
        <v>H37550</v>
      </c>
      <c r="I34" s="45" t="str">
        <f>VLOOKUP(H34,'Input - Bookings'!$G$2:$H$611,2,0)</f>
        <v>081645</v>
      </c>
      <c r="J34" s="44" t="str">
        <f>'Input - Bookings'!N34</f>
        <v>A3C4</v>
      </c>
      <c r="K34" s="44" t="str">
        <f>'Input - Bookings'!O34</f>
        <v>J2.5UT</v>
      </c>
      <c r="L34" s="44" t="str">
        <f>'Input - Bookings'!C34</f>
        <v>USD</v>
      </c>
      <c r="M34" s="46" t="str">
        <f t="array" ref="M34">IF(L34="USD",INDEX('AP Plants'!A:A,MATCH(J34,'AP Plants'!D:D,0)),INDEX('Australia Plants'!A:A,MATCH(J34,'Australia Plants'!D:D,0)))</f>
        <v>Maximal</v>
      </c>
      <c r="N34" s="10">
        <v>1.0</v>
      </c>
      <c r="O34" s="9">
        <v>16395.0</v>
      </c>
      <c r="P34" s="9">
        <v>10899.7</v>
      </c>
      <c r="Q34" s="47">
        <v>0.1196407311868316</v>
      </c>
      <c r="R34" s="48">
        <f t="shared" si="3"/>
        <v>0.3351814578</v>
      </c>
      <c r="S34" s="49">
        <f t="shared" si="4"/>
        <v>0</v>
      </c>
      <c r="T34" s="49">
        <f t="shared" si="5"/>
        <v>0.1196407312</v>
      </c>
      <c r="U34" s="50" t="str">
        <f t="shared" si="6"/>
        <v>AOP</v>
      </c>
      <c r="V34" s="51">
        <f t="shared" si="7"/>
        <v>1304.048078</v>
      </c>
      <c r="W34" s="52">
        <f t="shared" si="8"/>
        <v>1304.048078</v>
      </c>
      <c r="X34" s="9">
        <f t="shared" si="9"/>
        <v>10899.7</v>
      </c>
      <c r="Y34" s="8"/>
      <c r="Z34" s="8"/>
      <c r="AA34" s="8"/>
      <c r="AB34" s="8" t="str">
        <f t="shared" si="10"/>
        <v>AKRH37550J2.5UT</v>
      </c>
      <c r="AC34" s="8" t="str">
        <f>IF(AB34='Input - Bookings'!S24,"OK","Check")</f>
        <v>Check</v>
      </c>
      <c r="AD34" s="53"/>
      <c r="AE34" s="54"/>
      <c r="AF34" s="54"/>
      <c r="AG34" s="55"/>
      <c r="AH34" s="55"/>
      <c r="AI34" s="8" t="str">
        <f t="array" ref="AI34">XLOOKUP($J34,'AP Plants'!D:D,'AP Plants'!B:B)</f>
        <v>Class 1</v>
      </c>
      <c r="AJ34" s="56"/>
      <c r="AK34" s="56"/>
      <c r="AL34" s="49">
        <v>0.015</v>
      </c>
      <c r="AM34" s="49">
        <f t="array" ref="AM34">XLOOKUP($AI34,Warranty!B:B,Warranty!E:E)</f>
        <v>0.005</v>
      </c>
      <c r="AN34" s="8">
        <f>IF($L34="AUD",VLOOKUP(RIGHT('Wk - Margins'!$J34,3),'AU Freight'!C:G,5,0),0)</f>
        <v>0</v>
      </c>
      <c r="AO34" s="49">
        <f t="shared" si="11"/>
        <v>0</v>
      </c>
      <c r="AP34" s="57">
        <f t="shared" si="12"/>
        <v>0</v>
      </c>
      <c r="AQ34" s="58">
        <f t="shared" si="13"/>
        <v>1</v>
      </c>
      <c r="AR34" s="59">
        <f>IF(L34="AUD",O34*'Currency &amp; Conversion'!$L$7,'Wk - Margins'!O34)</f>
        <v>16395</v>
      </c>
      <c r="AS34" s="59">
        <f>IF(L34="AUD",P34*'Currency &amp; Conversion'!$L$7,'Wk - Margins'!P34)</f>
        <v>10899.7</v>
      </c>
    </row>
    <row r="35" ht="12.75" hidden="1" customHeight="1">
      <c r="A35" s="42" t="str">
        <f>'Input - Bookings'!A35</f>
        <v>18/06/2023</v>
      </c>
      <c r="B35" s="43" t="str">
        <f t="shared" si="1"/>
        <v>Asia</v>
      </c>
      <c r="C35" s="43" t="str">
        <f t="shared" si="2"/>
        <v>AID</v>
      </c>
      <c r="D35" s="43" t="str">
        <f>'Input - Bookings'!D35</f>
        <v>A</v>
      </c>
      <c r="E35" s="43" t="str">
        <f>'Input - Bookings'!J35</f>
        <v>ID</v>
      </c>
      <c r="F35" s="44" t="str">
        <f>'Input - Bookings'!F35</f>
        <v>067</v>
      </c>
      <c r="G35" s="44" t="str">
        <f>'Input - Bookings'!I35</f>
        <v>PT UNIVERSAL TRAKTOR</v>
      </c>
      <c r="H35" s="44" t="str">
        <f>'Input - Bookings'!K35</f>
        <v>H37953</v>
      </c>
      <c r="I35" s="45" t="str">
        <f>VLOOKUP(H35,'Input - Bookings'!$G$2:$H$611,2,0)</f>
        <v>804105</v>
      </c>
      <c r="J35" s="44" t="str">
        <f>'Input - Bookings'!N35</f>
        <v>A7S1</v>
      </c>
      <c r="K35" s="44" t="str">
        <f>'Input - Bookings'!O35</f>
        <v>GP30UX</v>
      </c>
      <c r="L35" s="44" t="str">
        <f>'Input - Bookings'!C35</f>
        <v>USD</v>
      </c>
      <c r="M35" s="46" t="str">
        <f t="array" ref="M35">IF(L35="USD",INDEX('AP Plants'!A:A,MATCH(J35,'AP Plants'!D:D,0)),INDEX('Australia Plants'!A:A,MATCH(J35,'Australia Plants'!D:D,0)))</f>
        <v>Maximal</v>
      </c>
      <c r="N35" s="10">
        <v>1.0</v>
      </c>
      <c r="O35" s="9">
        <v>19735.0</v>
      </c>
      <c r="P35" s="9">
        <v>12560.45</v>
      </c>
      <c r="Q35" s="47">
        <v>0.2130639086417372</v>
      </c>
      <c r="R35" s="48">
        <f t="shared" si="3"/>
        <v>0.3635444641</v>
      </c>
      <c r="S35" s="49">
        <f t="shared" si="4"/>
        <v>0</v>
      </c>
      <c r="T35" s="49">
        <f t="shared" si="5"/>
        <v>0.2130639086</v>
      </c>
      <c r="U35" s="50" t="str">
        <f t="shared" si="6"/>
        <v>AOP</v>
      </c>
      <c r="V35" s="51">
        <f t="shared" si="7"/>
        <v>2676.178571</v>
      </c>
      <c r="W35" s="52">
        <f t="shared" si="8"/>
        <v>2676.178571</v>
      </c>
      <c r="X35" s="9">
        <f t="shared" si="9"/>
        <v>12560.45</v>
      </c>
      <c r="Y35" s="8"/>
      <c r="Z35" s="8"/>
      <c r="AA35" s="8"/>
      <c r="AB35" s="8" t="str">
        <f t="shared" si="10"/>
        <v>AIDH37953GP30UX</v>
      </c>
      <c r="AC35" s="8" t="str">
        <f>IF(AB35='Input - Bookings'!S46,"OK","Check")</f>
        <v>Check</v>
      </c>
      <c r="AD35" s="60"/>
      <c r="AE35" s="54"/>
      <c r="AF35" s="54"/>
      <c r="AG35" s="55"/>
      <c r="AH35" s="62"/>
      <c r="AI35" s="8" t="str">
        <f t="array" ref="AI35">XLOOKUP($J35,'AP Plants'!D:D,'AP Plants'!B:B)</f>
        <v>Class 5 NOT BT</v>
      </c>
      <c r="AJ35" s="56"/>
      <c r="AK35" s="56"/>
      <c r="AL35" s="49">
        <v>0.015</v>
      </c>
      <c r="AM35" s="49">
        <f t="array" ref="AM35">XLOOKUP($AI35,Warranty!B:B,Warranty!E:E)</f>
        <v>0.005</v>
      </c>
      <c r="AN35" s="8">
        <f>IF($L35="AUD",VLOOKUP(RIGHT('Wk - Margins'!$J35,3),'AU Freight'!C:G,5,0),0)</f>
        <v>0</v>
      </c>
      <c r="AO35" s="49">
        <f t="shared" si="11"/>
        <v>0</v>
      </c>
      <c r="AP35" s="57">
        <f t="shared" si="12"/>
        <v>0</v>
      </c>
      <c r="AQ35" s="58">
        <f t="shared" si="13"/>
        <v>1</v>
      </c>
      <c r="AR35" s="59">
        <f>IF(L35="AUD",O35*'Currency &amp; Conversion'!$L$7,'Wk - Margins'!O35)</f>
        <v>19735</v>
      </c>
      <c r="AS35" s="59">
        <f>IF(L35="AUD",P35*'Currency &amp; Conversion'!$L$7,'Wk - Margins'!P35)</f>
        <v>12560.45</v>
      </c>
    </row>
    <row r="36" ht="12.75" hidden="1" customHeight="1">
      <c r="A36" s="42" t="str">
        <f>'Input - Bookings'!A36</f>
        <v>18/06/2023</v>
      </c>
      <c r="B36" s="43" t="str">
        <f t="shared" si="1"/>
        <v>Asia</v>
      </c>
      <c r="C36" s="43" t="str">
        <f t="shared" si="2"/>
        <v>AID</v>
      </c>
      <c r="D36" s="43" t="str">
        <f>'Input - Bookings'!D36</f>
        <v>A</v>
      </c>
      <c r="E36" s="43" t="str">
        <f>'Input - Bookings'!J36</f>
        <v>ID</v>
      </c>
      <c r="F36" s="44" t="str">
        <f>'Input - Bookings'!F36</f>
        <v>067</v>
      </c>
      <c r="G36" s="44" t="str">
        <f>'Input - Bookings'!I36</f>
        <v>PT UNIVERSAL TRAKTOR</v>
      </c>
      <c r="H36" s="44" t="str">
        <f>'Input - Bookings'!K36</f>
        <v>H37954</v>
      </c>
      <c r="I36" s="45" t="str">
        <f>VLOOKUP(H36,'Input - Bookings'!$G$2:$H$611,2,0)</f>
        <v>804105</v>
      </c>
      <c r="J36" s="44" t="str">
        <f>'Input - Bookings'!N36</f>
        <v>A7S1</v>
      </c>
      <c r="K36" s="44" t="str">
        <f>'Input - Bookings'!O36</f>
        <v>GP30UX</v>
      </c>
      <c r="L36" s="44" t="str">
        <f>'Input - Bookings'!C36</f>
        <v>USD</v>
      </c>
      <c r="M36" s="46" t="str">
        <f t="array" ref="M36">IF(L36="USD",INDEX('AP Plants'!A:A,MATCH(J36,'AP Plants'!D:D,0)),INDEX('Australia Plants'!A:A,MATCH(J36,'Australia Plants'!D:D,0)))</f>
        <v>Maximal</v>
      </c>
      <c r="N36" s="10">
        <v>1.0</v>
      </c>
      <c r="O36" s="9">
        <v>19735.0</v>
      </c>
      <c r="P36" s="9">
        <v>12560.45</v>
      </c>
      <c r="Q36" s="47">
        <v>0.2130639086417372</v>
      </c>
      <c r="R36" s="48">
        <f t="shared" si="3"/>
        <v>0.3635444641</v>
      </c>
      <c r="S36" s="49">
        <f t="shared" si="4"/>
        <v>0</v>
      </c>
      <c r="T36" s="49">
        <f t="shared" si="5"/>
        <v>0.2130639086</v>
      </c>
      <c r="U36" s="50" t="str">
        <f t="shared" si="6"/>
        <v>AOP</v>
      </c>
      <c r="V36" s="51">
        <f t="shared" si="7"/>
        <v>2676.178571</v>
      </c>
      <c r="W36" s="52">
        <f t="shared" si="8"/>
        <v>2676.178571</v>
      </c>
      <c r="X36" s="9">
        <f t="shared" si="9"/>
        <v>12560.45</v>
      </c>
      <c r="Y36" s="8"/>
      <c r="Z36" s="8"/>
      <c r="AA36" s="8"/>
      <c r="AB36" s="8" t="str">
        <f t="shared" si="10"/>
        <v>AIDH37954GP30UX</v>
      </c>
      <c r="AC36" s="8" t="str">
        <f>IF(AB36='Input - Bookings'!S30,"OK","Check")</f>
        <v>Check</v>
      </c>
      <c r="AD36" s="53"/>
      <c r="AE36" s="54"/>
      <c r="AF36" s="54"/>
      <c r="AG36" s="55"/>
      <c r="AH36" s="62"/>
      <c r="AI36" s="8" t="str">
        <f t="array" ref="AI36">XLOOKUP($J36,'AP Plants'!D:D,'AP Plants'!B:B)</f>
        <v>Class 5 NOT BT</v>
      </c>
      <c r="AJ36" s="56"/>
      <c r="AK36" s="56"/>
      <c r="AL36" s="49">
        <v>0.015</v>
      </c>
      <c r="AM36" s="49">
        <f t="array" ref="AM36">XLOOKUP($AI36,Warranty!B:B,Warranty!E:E)</f>
        <v>0.005</v>
      </c>
      <c r="AN36" s="8">
        <f>IF($L36="AUD",VLOOKUP(RIGHT('Wk - Margins'!$J36,3),'AU Freight'!C:G,5,0),0)</f>
        <v>0</v>
      </c>
      <c r="AO36" s="49">
        <f t="shared" si="11"/>
        <v>0</v>
      </c>
      <c r="AP36" s="57">
        <f t="shared" si="12"/>
        <v>0</v>
      </c>
      <c r="AQ36" s="58">
        <f t="shared" si="13"/>
        <v>1</v>
      </c>
      <c r="AR36" s="59">
        <f>IF(L36="AUD",O36*'Currency &amp; Conversion'!$L$7,'Wk - Margins'!O36)</f>
        <v>19735</v>
      </c>
      <c r="AS36" s="59">
        <f>IF(L36="AUD",P36*'Currency &amp; Conversion'!$L$7,'Wk - Margins'!P36)</f>
        <v>12560.45</v>
      </c>
    </row>
    <row r="37" ht="12.75" hidden="1" customHeight="1">
      <c r="A37" s="42" t="str">
        <f>'Input - Bookings'!A37</f>
        <v>18/06/2023</v>
      </c>
      <c r="B37" s="43" t="str">
        <f t="shared" si="1"/>
        <v>Asia</v>
      </c>
      <c r="C37" s="43" t="str">
        <f t="shared" si="2"/>
        <v>AID</v>
      </c>
      <c r="D37" s="43" t="str">
        <f>'Input - Bookings'!D37</f>
        <v>A</v>
      </c>
      <c r="E37" s="43" t="str">
        <f>'Input - Bookings'!J37</f>
        <v>ID</v>
      </c>
      <c r="F37" s="44" t="str">
        <f>'Input - Bookings'!F37</f>
        <v>067</v>
      </c>
      <c r="G37" s="44" t="str">
        <f>'Input - Bookings'!I37</f>
        <v>PT UNIVERSAL TRAKTOR</v>
      </c>
      <c r="H37" s="44" t="str">
        <f>'Input - Bookings'!K37</f>
        <v>H37955</v>
      </c>
      <c r="I37" s="45" t="str">
        <f>VLOOKUP(H37,'Input - Bookings'!$G$2:$H$611,2,0)</f>
        <v>804105</v>
      </c>
      <c r="J37" s="44" t="str">
        <f>'Input - Bookings'!N37</f>
        <v>A7S1</v>
      </c>
      <c r="K37" s="44" t="str">
        <f>'Input - Bookings'!O37</f>
        <v>GP30UX</v>
      </c>
      <c r="L37" s="44" t="str">
        <f>'Input - Bookings'!C37</f>
        <v>USD</v>
      </c>
      <c r="M37" s="46" t="str">
        <f t="array" ref="M37">IF(L37="USD",INDEX('AP Plants'!A:A,MATCH(J37,'AP Plants'!D:D,0)),INDEX('Australia Plants'!A:A,MATCH(J37,'Australia Plants'!D:D,0)))</f>
        <v>Maximal</v>
      </c>
      <c r="N37" s="10">
        <v>1.0</v>
      </c>
      <c r="O37" s="9">
        <v>19735.0</v>
      </c>
      <c r="P37" s="9">
        <v>12560.45</v>
      </c>
      <c r="Q37" s="47">
        <v>0.2130639086417372</v>
      </c>
      <c r="R37" s="48">
        <f t="shared" si="3"/>
        <v>0.3635444641</v>
      </c>
      <c r="S37" s="49">
        <f t="shared" si="4"/>
        <v>0</v>
      </c>
      <c r="T37" s="49">
        <f t="shared" si="5"/>
        <v>0.2130639086</v>
      </c>
      <c r="U37" s="50" t="str">
        <f t="shared" si="6"/>
        <v>AOP</v>
      </c>
      <c r="V37" s="51">
        <f t="shared" si="7"/>
        <v>2676.178571</v>
      </c>
      <c r="W37" s="52">
        <f t="shared" si="8"/>
        <v>2676.178571</v>
      </c>
      <c r="X37" s="9">
        <f t="shared" si="9"/>
        <v>12560.45</v>
      </c>
      <c r="Y37" s="8"/>
      <c r="Z37" s="8"/>
      <c r="AA37" s="8"/>
      <c r="AB37" s="8" t="str">
        <f t="shared" si="10"/>
        <v>AIDH37955GP30UX</v>
      </c>
      <c r="AC37" s="8" t="str">
        <f>IF(AB37='Input - Bookings'!S47,"OK","Check")</f>
        <v>Check</v>
      </c>
      <c r="AD37" s="60"/>
      <c r="AE37" s="54"/>
      <c r="AF37" s="54"/>
      <c r="AG37" s="55"/>
      <c r="AH37" s="62"/>
      <c r="AI37" s="8" t="str">
        <f t="array" ref="AI37">XLOOKUP($J37,'AP Plants'!D:D,'AP Plants'!B:B)</f>
        <v>Class 5 NOT BT</v>
      </c>
      <c r="AJ37" s="56"/>
      <c r="AK37" s="56"/>
      <c r="AL37" s="49">
        <v>0.015</v>
      </c>
      <c r="AM37" s="49">
        <f t="array" ref="AM37">XLOOKUP($AI37,Warranty!B:B,Warranty!E:E)</f>
        <v>0.005</v>
      </c>
      <c r="AN37" s="8">
        <f>IF($L37="AUD",VLOOKUP(RIGHT('Wk - Margins'!$J37,3),'AU Freight'!C:G,5,0),0)</f>
        <v>0</v>
      </c>
      <c r="AO37" s="49">
        <f t="shared" si="11"/>
        <v>0</v>
      </c>
      <c r="AP37" s="57">
        <f t="shared" si="12"/>
        <v>0</v>
      </c>
      <c r="AQ37" s="58">
        <f t="shared" si="13"/>
        <v>1</v>
      </c>
      <c r="AR37" s="59">
        <f>IF(L37="AUD",O37*'Currency &amp; Conversion'!$L$7,'Wk - Margins'!O37)</f>
        <v>19735</v>
      </c>
      <c r="AS37" s="59">
        <f>IF(L37="AUD",P37*'Currency &amp; Conversion'!$L$7,'Wk - Margins'!P37)</f>
        <v>12560.45</v>
      </c>
    </row>
    <row r="38" ht="12.75" hidden="1" customHeight="1">
      <c r="A38" s="42" t="str">
        <f>'Input - Bookings'!A38</f>
        <v>18/06/2023</v>
      </c>
      <c r="B38" s="43" t="str">
        <f t="shared" si="1"/>
        <v>Asia</v>
      </c>
      <c r="C38" s="43" t="str">
        <f t="shared" si="2"/>
        <v>AID</v>
      </c>
      <c r="D38" s="43" t="str">
        <f>'Input - Bookings'!D38</f>
        <v>A</v>
      </c>
      <c r="E38" s="43" t="str">
        <f>'Input - Bookings'!J38</f>
        <v>ID</v>
      </c>
      <c r="F38" s="44" t="str">
        <f>'Input - Bookings'!F38</f>
        <v>067</v>
      </c>
      <c r="G38" s="44" t="str">
        <f>'Input - Bookings'!I38</f>
        <v>PT UNIVERSAL TRAKTOR</v>
      </c>
      <c r="H38" s="44" t="str">
        <f>'Input - Bookings'!K38</f>
        <v>H37956</v>
      </c>
      <c r="I38" s="45" t="str">
        <f>VLOOKUP(H38,'Input - Bookings'!$G$2:$H$611,2,0)</f>
        <v>804105</v>
      </c>
      <c r="J38" s="44" t="str">
        <f>'Input - Bookings'!N38</f>
        <v>A7S1</v>
      </c>
      <c r="K38" s="44" t="str">
        <f>'Input - Bookings'!O38</f>
        <v>GP30UX</v>
      </c>
      <c r="L38" s="44" t="str">
        <f>'Input - Bookings'!C38</f>
        <v>USD</v>
      </c>
      <c r="M38" s="46" t="str">
        <f t="array" ref="M38">IF(L38="USD",INDEX('AP Plants'!A:A,MATCH(J38,'AP Plants'!D:D,0)),INDEX('Australia Plants'!A:A,MATCH(J38,'Australia Plants'!D:D,0)))</f>
        <v>Maximal</v>
      </c>
      <c r="N38" s="10">
        <v>1.0</v>
      </c>
      <c r="O38" s="9">
        <v>19735.0</v>
      </c>
      <c r="P38" s="9">
        <v>12560.45</v>
      </c>
      <c r="Q38" s="47">
        <v>0.2130639086417372</v>
      </c>
      <c r="R38" s="48">
        <f t="shared" si="3"/>
        <v>0.3635444641</v>
      </c>
      <c r="S38" s="49">
        <f t="shared" si="4"/>
        <v>0</v>
      </c>
      <c r="T38" s="49">
        <f t="shared" si="5"/>
        <v>0.2130639086</v>
      </c>
      <c r="U38" s="50" t="str">
        <f t="shared" si="6"/>
        <v>AOP</v>
      </c>
      <c r="V38" s="51">
        <f t="shared" si="7"/>
        <v>2676.178571</v>
      </c>
      <c r="W38" s="52">
        <f t="shared" si="8"/>
        <v>2676.178571</v>
      </c>
      <c r="X38" s="9">
        <f t="shared" si="9"/>
        <v>12560.45</v>
      </c>
      <c r="Y38" s="8"/>
      <c r="Z38" s="8"/>
      <c r="AA38" s="8"/>
      <c r="AB38" s="8" t="str">
        <f t="shared" si="10"/>
        <v>AIDH37956GP30UX</v>
      </c>
      <c r="AC38" s="8" t="str">
        <f>IF(AB38='Input - Bookings'!S48,"OK","Check")</f>
        <v>Check</v>
      </c>
      <c r="AD38" s="60"/>
      <c r="AE38" s="54"/>
      <c r="AF38" s="54"/>
      <c r="AG38" s="55"/>
      <c r="AH38" s="62"/>
      <c r="AI38" s="8" t="str">
        <f t="array" ref="AI38">XLOOKUP($J38,'AP Plants'!D:D,'AP Plants'!B:B)</f>
        <v>Class 5 NOT BT</v>
      </c>
      <c r="AJ38" s="56"/>
      <c r="AK38" s="56"/>
      <c r="AL38" s="49">
        <v>0.015</v>
      </c>
      <c r="AM38" s="49">
        <f t="array" ref="AM38">XLOOKUP($AI38,Warranty!B:B,Warranty!E:E)</f>
        <v>0.005</v>
      </c>
      <c r="AN38" s="8">
        <f>IF($L38="AUD",VLOOKUP(RIGHT('Wk - Margins'!$J38,3),'AU Freight'!C:G,5,0),0)</f>
        <v>0</v>
      </c>
      <c r="AO38" s="49">
        <f t="shared" si="11"/>
        <v>0</v>
      </c>
      <c r="AP38" s="57">
        <f t="shared" si="12"/>
        <v>0</v>
      </c>
      <c r="AQ38" s="58">
        <f t="shared" si="13"/>
        <v>1</v>
      </c>
      <c r="AR38" s="59">
        <f>IF(L38="AUD",O38*'Currency &amp; Conversion'!$L$7,'Wk - Margins'!O38)</f>
        <v>19735</v>
      </c>
      <c r="AS38" s="59">
        <f>IF(L38="AUD",P38*'Currency &amp; Conversion'!$L$7,'Wk - Margins'!P38)</f>
        <v>12560.45</v>
      </c>
    </row>
    <row r="39" ht="12.75" hidden="1" customHeight="1">
      <c r="A39" s="42" t="str">
        <f>'Input - Bookings'!A39</f>
        <v>18/06/2023</v>
      </c>
      <c r="B39" s="43" t="str">
        <f t="shared" si="1"/>
        <v>Asia</v>
      </c>
      <c r="C39" s="43" t="str">
        <f t="shared" si="2"/>
        <v>AID</v>
      </c>
      <c r="D39" s="43" t="str">
        <f>'Input - Bookings'!D39</f>
        <v>A</v>
      </c>
      <c r="E39" s="43" t="str">
        <f>'Input - Bookings'!J39</f>
        <v>ID</v>
      </c>
      <c r="F39" s="44" t="str">
        <f>'Input - Bookings'!F39</f>
        <v>067</v>
      </c>
      <c r="G39" s="44" t="str">
        <f>'Input - Bookings'!I39</f>
        <v>PT UNIVERSAL TRAKTOR</v>
      </c>
      <c r="H39" s="44" t="str">
        <f>'Input - Bookings'!K39</f>
        <v>H37957</v>
      </c>
      <c r="I39" s="45" t="str">
        <f>VLOOKUP(H39,'Input - Bookings'!$G$2:$H$611,2,0)</f>
        <v>804105</v>
      </c>
      <c r="J39" s="44" t="str">
        <f>'Input - Bookings'!N39</f>
        <v>A7S1</v>
      </c>
      <c r="K39" s="44" t="str">
        <f>'Input - Bookings'!O39</f>
        <v>GP30UX</v>
      </c>
      <c r="L39" s="44" t="str">
        <f>'Input - Bookings'!C39</f>
        <v>USD</v>
      </c>
      <c r="M39" s="46" t="str">
        <f t="array" ref="M39">IF(L39="USD",INDEX('AP Plants'!A:A,MATCH(J39,'AP Plants'!D:D,0)),INDEX('Australia Plants'!A:A,MATCH(J39,'Australia Plants'!D:D,0)))</f>
        <v>Maximal</v>
      </c>
      <c r="N39" s="10">
        <v>1.0</v>
      </c>
      <c r="O39" s="9">
        <v>19735.0</v>
      </c>
      <c r="P39" s="9">
        <v>12560.45</v>
      </c>
      <c r="Q39" s="47">
        <v>0.2130639086417372</v>
      </c>
      <c r="R39" s="48">
        <f t="shared" si="3"/>
        <v>0.3635444641</v>
      </c>
      <c r="S39" s="49">
        <f t="shared" si="4"/>
        <v>0</v>
      </c>
      <c r="T39" s="49">
        <f t="shared" si="5"/>
        <v>0.2130639086</v>
      </c>
      <c r="U39" s="50" t="str">
        <f t="shared" si="6"/>
        <v>AOP</v>
      </c>
      <c r="V39" s="51">
        <f t="shared" si="7"/>
        <v>2676.178571</v>
      </c>
      <c r="W39" s="52">
        <f t="shared" si="8"/>
        <v>2676.178571</v>
      </c>
      <c r="X39" s="9">
        <f t="shared" si="9"/>
        <v>12560.45</v>
      </c>
      <c r="Y39" s="8"/>
      <c r="Z39" s="8"/>
      <c r="AA39" s="8"/>
      <c r="AB39" s="8" t="str">
        <f t="shared" si="10"/>
        <v>AIDH37957GP30UX</v>
      </c>
      <c r="AC39" s="8" t="str">
        <f>IF(AB39='Input - Bookings'!S50,"OK","Check")</f>
        <v>Check</v>
      </c>
      <c r="AD39" s="60"/>
      <c r="AE39" s="54"/>
      <c r="AF39" s="54"/>
      <c r="AG39" s="55"/>
      <c r="AH39" s="62"/>
      <c r="AI39" s="8" t="str">
        <f t="array" ref="AI39">XLOOKUP($J39,'AP Plants'!D:D,'AP Plants'!B:B)</f>
        <v>Class 5 NOT BT</v>
      </c>
      <c r="AJ39" s="56"/>
      <c r="AK39" s="56"/>
      <c r="AL39" s="49">
        <v>0.015</v>
      </c>
      <c r="AM39" s="49">
        <f t="array" ref="AM39">XLOOKUP($AI39,Warranty!B:B,Warranty!E:E)</f>
        <v>0.005</v>
      </c>
      <c r="AN39" s="8">
        <f>IF($L39="AUD",VLOOKUP(RIGHT('Wk - Margins'!$J39,3),'AU Freight'!C:G,5,0),0)</f>
        <v>0</v>
      </c>
      <c r="AO39" s="49">
        <f t="shared" si="11"/>
        <v>0</v>
      </c>
      <c r="AP39" s="57">
        <f t="shared" si="12"/>
        <v>0</v>
      </c>
      <c r="AQ39" s="58">
        <f t="shared" si="13"/>
        <v>1</v>
      </c>
      <c r="AR39" s="59">
        <f>IF(L39="AUD",O39*'Currency &amp; Conversion'!$L$7,'Wk - Margins'!O39)</f>
        <v>19735</v>
      </c>
      <c r="AS39" s="59">
        <f>IF(L39="AUD",P39*'Currency &amp; Conversion'!$L$7,'Wk - Margins'!P39)</f>
        <v>12560.45</v>
      </c>
    </row>
    <row r="40" ht="12.75" hidden="1" customHeight="1">
      <c r="A40" s="42" t="str">
        <f>'Input - Bookings'!A40</f>
        <v>18/06/2023</v>
      </c>
      <c r="B40" s="43" t="str">
        <f t="shared" si="1"/>
        <v>Asia</v>
      </c>
      <c r="C40" s="43" t="str">
        <f t="shared" si="2"/>
        <v>ATH</v>
      </c>
      <c r="D40" s="43" t="str">
        <f>'Input - Bookings'!D40</f>
        <v>A</v>
      </c>
      <c r="E40" s="43" t="str">
        <f>'Input - Bookings'!J40</f>
        <v>TH</v>
      </c>
      <c r="F40" s="44" t="str">
        <f>'Input - Bookings'!F40</f>
        <v>065</v>
      </c>
      <c r="G40" s="44" t="str">
        <f>'Input - Bookings'!I40</f>
        <v>DILOK AND SONS CO.,LTD.</v>
      </c>
      <c r="H40" s="45" t="str">
        <f>'Input - Bookings'!K40</f>
        <v>H37958</v>
      </c>
      <c r="I40" s="45" t="str">
        <f>VLOOKUP(H40,'Input - Bookings'!$G$2:$H$611,2,0)</f>
        <v>006065</v>
      </c>
      <c r="J40" s="44" t="str">
        <f>'Input - Bookings'!N40</f>
        <v>A3C4</v>
      </c>
      <c r="K40" s="44" t="str">
        <f>'Input - Bookings'!O40</f>
        <v>J3.0UT</v>
      </c>
      <c r="L40" s="44" t="str">
        <f>'Input - Bookings'!C40</f>
        <v>USD</v>
      </c>
      <c r="M40" s="46" t="str">
        <f t="array" ref="M40">IF(L40="USD",INDEX('AP Plants'!A:A,MATCH(J40,'AP Plants'!D:D,0)),INDEX('Australia Plants'!A:A,MATCH(J40,'Australia Plants'!D:D,0)))</f>
        <v>Maximal</v>
      </c>
      <c r="N40" s="10">
        <v>1.0</v>
      </c>
      <c r="O40" s="9">
        <v>32218.0</v>
      </c>
      <c r="P40" s="9">
        <v>23544.2</v>
      </c>
      <c r="Q40" s="47">
        <v>0.1949310929259359</v>
      </c>
      <c r="R40" s="48">
        <f t="shared" si="3"/>
        <v>0.2692221739</v>
      </c>
      <c r="S40" s="49">
        <f t="shared" si="4"/>
        <v>0</v>
      </c>
      <c r="T40" s="49">
        <f t="shared" si="5"/>
        <v>0.1949310929</v>
      </c>
      <c r="U40" s="50" t="str">
        <f t="shared" si="6"/>
        <v>AOP</v>
      </c>
      <c r="V40" s="51">
        <f t="shared" si="7"/>
        <v>4589.496638</v>
      </c>
      <c r="W40" s="52">
        <f t="shared" si="8"/>
        <v>4589.496638</v>
      </c>
      <c r="X40" s="9">
        <f t="shared" si="9"/>
        <v>23544.2</v>
      </c>
      <c r="Y40" s="8"/>
      <c r="Z40" s="8"/>
      <c r="AA40" s="8"/>
      <c r="AB40" s="8" t="str">
        <f t="shared" si="10"/>
        <v>ATHH37958J3.0UT</v>
      </c>
      <c r="AC40" s="8" t="str">
        <f>IF(AB40='Input - Bookings'!S30,"OK","Check")</f>
        <v>Check</v>
      </c>
      <c r="AD40" s="53"/>
      <c r="AE40" s="54"/>
      <c r="AF40" s="54"/>
      <c r="AG40" s="55"/>
      <c r="AH40" s="62"/>
      <c r="AI40" s="8" t="str">
        <f t="array" ref="AI40">XLOOKUP($J40,'AP Plants'!D:D,'AP Plants'!B:B)</f>
        <v>Class 1</v>
      </c>
      <c r="AJ40" s="56"/>
      <c r="AK40" s="56"/>
      <c r="AL40" s="49">
        <v>0.015</v>
      </c>
      <c r="AM40" s="49">
        <f t="array" ref="AM40">XLOOKUP($AI40,Warranty!B:B,Warranty!E:E)</f>
        <v>0.005</v>
      </c>
      <c r="AN40" s="8">
        <f>IF($L40="AUD",VLOOKUP(RIGHT('Wk - Margins'!$J40,3),'AU Freight'!C:G,5,0),0)</f>
        <v>0</v>
      </c>
      <c r="AO40" s="49">
        <f t="shared" si="11"/>
        <v>0</v>
      </c>
      <c r="AP40" s="57">
        <f t="shared" si="12"/>
        <v>0</v>
      </c>
      <c r="AQ40" s="58">
        <f t="shared" si="13"/>
        <v>1</v>
      </c>
      <c r="AR40" s="59">
        <f>IF(L40="AUD",O40*'Currency &amp; Conversion'!$L$7,'Wk - Margins'!O40)</f>
        <v>32218</v>
      </c>
      <c r="AS40" s="59">
        <f>IF(L40="AUD",P40*'Currency &amp; Conversion'!$L$7,'Wk - Margins'!P40)</f>
        <v>23544.2</v>
      </c>
    </row>
    <row r="41" ht="12.75" hidden="1" customHeight="1">
      <c r="A41" s="42" t="str">
        <f>'Input - Bookings'!A41</f>
        <v>18/06/2023</v>
      </c>
      <c r="B41" s="43" t="str">
        <f t="shared" si="1"/>
        <v>Asia</v>
      </c>
      <c r="C41" s="43" t="str">
        <f t="shared" si="2"/>
        <v>AVN</v>
      </c>
      <c r="D41" s="43" t="str">
        <f>'Input - Bookings'!D41</f>
        <v>A</v>
      </c>
      <c r="E41" s="43" t="str">
        <f>'Input - Bookings'!J41</f>
        <v>VN</v>
      </c>
      <c r="F41" s="44" t="str">
        <f>'Input - Bookings'!F41</f>
        <v>067</v>
      </c>
      <c r="G41" s="44" t="str">
        <f>'Input - Bookings'!I41</f>
        <v>KY LUC CO., LTD</v>
      </c>
      <c r="H41" s="44" t="str">
        <f>'Input - Bookings'!K41</f>
        <v>H37959</v>
      </c>
      <c r="I41" s="45" t="str">
        <f>VLOOKUP(H41,'Input - Bookings'!$G$2:$H$611,2,0)</f>
        <v>017005</v>
      </c>
      <c r="J41" s="44" t="str">
        <f>'Input - Bookings'!N41</f>
        <v>C881</v>
      </c>
      <c r="K41" s="44" t="str">
        <f>'Input - Bookings'!O41</f>
        <v>FB25RZ</v>
      </c>
      <c r="L41" s="44" t="str">
        <f>'Input - Bookings'!C41</f>
        <v>USD</v>
      </c>
      <c r="M41" s="46" t="str">
        <f t="array" ref="M41">IF(L41="USD",INDEX('AP Plants'!A:A,MATCH(J41,'AP Plants'!D:D,0)),INDEX('Australia Plants'!A:A,MATCH(J41,'Australia Plants'!D:D,0)))</f>
        <v>SN</v>
      </c>
      <c r="N41" s="10">
        <v>1.0</v>
      </c>
      <c r="O41" s="9">
        <v>43385.0</v>
      </c>
      <c r="P41" s="9">
        <v>27671.65</v>
      </c>
      <c r="Q41" s="47">
        <v>0.1824462265122364</v>
      </c>
      <c r="R41" s="48">
        <f t="shared" si="3"/>
        <v>0.3621839345</v>
      </c>
      <c r="S41" s="49">
        <f t="shared" si="4"/>
        <v>0</v>
      </c>
      <c r="T41" s="49">
        <f t="shared" si="5"/>
        <v>0.1824462265</v>
      </c>
      <c r="U41" s="50" t="str">
        <f t="shared" si="6"/>
        <v>AOP</v>
      </c>
      <c r="V41" s="51">
        <f t="shared" si="7"/>
        <v>5048.588124</v>
      </c>
      <c r="W41" s="52">
        <f t="shared" si="8"/>
        <v>5048.588124</v>
      </c>
      <c r="X41" s="9">
        <f t="shared" si="9"/>
        <v>27671.65</v>
      </c>
      <c r="Y41" s="8"/>
      <c r="Z41" s="8"/>
      <c r="AA41" s="8"/>
      <c r="AB41" s="8" t="str">
        <f t="shared" si="10"/>
        <v>AVNH37959FB25RZ</v>
      </c>
      <c r="AC41" s="8" t="str">
        <f>IF(AB41='Input - Bookings'!S53,"OK","Check")</f>
        <v>Check</v>
      </c>
      <c r="AD41" s="53"/>
      <c r="AE41" s="54"/>
      <c r="AF41" s="54"/>
      <c r="AG41" s="55"/>
      <c r="AH41" s="55"/>
      <c r="AI41" s="8" t="str">
        <f t="array" ref="AI41">XLOOKUP($J41,'AP Plants'!D:D,'AP Plants'!B:B)</f>
        <v>Class 1</v>
      </c>
      <c r="AJ41" s="56"/>
      <c r="AK41" s="56"/>
      <c r="AL41" s="49">
        <v>0.015</v>
      </c>
      <c r="AM41" s="49">
        <f t="array" ref="AM41">XLOOKUP($AI41,Warranty!B:B,Warranty!E:E)</f>
        <v>0.005</v>
      </c>
      <c r="AN41" s="8">
        <f>IF($L41="AUD",VLOOKUP(RIGHT('Wk - Margins'!$J41,3),'AU Freight'!C:G,5,0),0)</f>
        <v>0</v>
      </c>
      <c r="AO41" s="49">
        <f t="shared" si="11"/>
        <v>0</v>
      </c>
      <c r="AP41" s="57">
        <f t="shared" si="12"/>
        <v>0</v>
      </c>
      <c r="AQ41" s="58">
        <f t="shared" si="13"/>
        <v>1</v>
      </c>
      <c r="AR41" s="59">
        <f>IF(L41="AUD",O41*'Currency &amp; Conversion'!$L$7,'Wk - Margins'!O41)</f>
        <v>43385</v>
      </c>
      <c r="AS41" s="59">
        <f>IF(L41="AUD",P41*'Currency &amp; Conversion'!$L$7,'Wk - Margins'!P41)</f>
        <v>27671.65</v>
      </c>
    </row>
    <row r="42" ht="12.75" hidden="1" customHeight="1">
      <c r="A42" s="42" t="str">
        <f>'Input - Bookings'!A42</f>
        <v>19/06/2023</v>
      </c>
      <c r="B42" s="43" t="str">
        <f t="shared" si="1"/>
        <v>Asia</v>
      </c>
      <c r="C42" s="43" t="str">
        <f t="shared" si="2"/>
        <v>ATH</v>
      </c>
      <c r="D42" s="43" t="str">
        <f>'Input - Bookings'!D42</f>
        <v>A</v>
      </c>
      <c r="E42" s="43" t="str">
        <f>'Input - Bookings'!J42</f>
        <v>TH</v>
      </c>
      <c r="F42" s="44" t="str">
        <f>'Input - Bookings'!F42</f>
        <v>065</v>
      </c>
      <c r="G42" s="44" t="str">
        <f>'Input - Bookings'!I42</f>
        <v>DILOK AND SONS CO.,LTD.</v>
      </c>
      <c r="H42" s="44" t="str">
        <f>'Input - Bookings'!K42</f>
        <v>H38077</v>
      </c>
      <c r="I42" s="45" t="str">
        <f>VLOOKUP(H42,'Input - Bookings'!$G$2:$H$611,2,0)</f>
        <v>001255</v>
      </c>
      <c r="J42" s="44" t="str">
        <f>'Input - Bookings'!N42</f>
        <v>A3C3</v>
      </c>
      <c r="K42" s="44" t="str">
        <f>'Input - Bookings'!O42</f>
        <v>S1.5UT</v>
      </c>
      <c r="L42" s="44" t="str">
        <f>'Input - Bookings'!C42</f>
        <v>USD</v>
      </c>
      <c r="M42" s="46" t="str">
        <f t="array" ref="M42">IF(L42="USD",INDEX('AP Plants'!A:A,MATCH(J42,'AP Plants'!D:D,0)),INDEX('Australia Plants'!A:A,MATCH(J42,'Australia Plants'!D:D,0)))</f>
        <v>Ruyi</v>
      </c>
      <c r="N42" s="10">
        <v>1.0</v>
      </c>
      <c r="O42" s="9">
        <v>8620.0</v>
      </c>
      <c r="P42" s="9">
        <v>6146.5</v>
      </c>
      <c r="Q42" s="47">
        <v>0.34053422847721404</v>
      </c>
      <c r="R42" s="48">
        <f t="shared" si="3"/>
        <v>0.2869489559</v>
      </c>
      <c r="S42" s="49">
        <f t="shared" si="4"/>
        <v>0</v>
      </c>
      <c r="T42" s="49">
        <f t="shared" si="5"/>
        <v>0.3405342285</v>
      </c>
      <c r="U42" s="50" t="str">
        <f t="shared" si="6"/>
        <v>AOP</v>
      </c>
      <c r="V42" s="51">
        <f t="shared" si="7"/>
        <v>2093.093635</v>
      </c>
      <c r="W42" s="52">
        <f t="shared" si="8"/>
        <v>2093.093635</v>
      </c>
      <c r="X42" s="9">
        <f t="shared" si="9"/>
        <v>6146.5</v>
      </c>
      <c r="Y42" s="8"/>
      <c r="Z42" s="8"/>
      <c r="AA42" s="8"/>
      <c r="AB42" s="8" t="str">
        <f t="shared" si="10"/>
        <v>ATHH38077S1.5UT</v>
      </c>
      <c r="AC42" s="8" t="str">
        <f>IF(AB42='Input - Bookings'!S57,"OK","Check")</f>
        <v>Check</v>
      </c>
      <c r="AD42" s="53"/>
      <c r="AE42" s="54"/>
      <c r="AF42" s="54"/>
      <c r="AG42" s="55"/>
      <c r="AH42" s="55"/>
      <c r="AI42" s="8" t="str">
        <f t="array" ref="AI42">XLOOKUP($J42,'AP Plants'!D:D,'AP Plants'!B:B)</f>
        <v>Class 3</v>
      </c>
      <c r="AJ42" s="56"/>
      <c r="AK42" s="56"/>
      <c r="AL42" s="49">
        <v>0.015</v>
      </c>
      <c r="AM42" s="49">
        <f t="array" ref="AM42">XLOOKUP($AI42,Warranty!B:B,Warranty!E:E)</f>
        <v>0.015</v>
      </c>
      <c r="AN42" s="8">
        <f>IF($L42="AUD",VLOOKUP(RIGHT('Wk - Margins'!$J42,3),'AU Freight'!C:G,5,0),0)</f>
        <v>0</v>
      </c>
      <c r="AO42" s="49">
        <f t="shared" si="11"/>
        <v>0</v>
      </c>
      <c r="AP42" s="57">
        <f t="shared" si="12"/>
        <v>0</v>
      </c>
      <c r="AQ42" s="58">
        <f t="shared" si="13"/>
        <v>1</v>
      </c>
      <c r="AR42" s="59">
        <f>IF(L42="AUD",O42*'Currency &amp; Conversion'!$L$7,'Wk - Margins'!O42)</f>
        <v>8620</v>
      </c>
      <c r="AS42" s="59">
        <f>IF(L42="AUD",P42*'Currency &amp; Conversion'!$L$7,'Wk - Margins'!P42)</f>
        <v>6146.5</v>
      </c>
    </row>
    <row r="43" ht="12.75" customHeight="1">
      <c r="A43" s="42" t="str">
        <f>'Input - Bookings'!A43</f>
        <v>19/06/2023</v>
      </c>
      <c r="B43" s="43" t="str">
        <f t="shared" si="1"/>
        <v>Asia</v>
      </c>
      <c r="C43" s="43" t="str">
        <f t="shared" si="2"/>
        <v>ATH</v>
      </c>
      <c r="D43" s="43" t="str">
        <f>'Input - Bookings'!D43</f>
        <v>A</v>
      </c>
      <c r="E43" s="43" t="str">
        <f>'Input - Bookings'!J43</f>
        <v>TH</v>
      </c>
      <c r="F43" s="44" t="str">
        <f>'Input - Bookings'!F43</f>
        <v>067</v>
      </c>
      <c r="G43" s="44" t="str">
        <f>'Input - Bookings'!I43</f>
        <v>JENBUNJERD CO LTD</v>
      </c>
      <c r="H43" s="44" t="str">
        <f>'Input - Bookings'!K43</f>
        <v>H37964</v>
      </c>
      <c r="I43" s="45" t="str">
        <f>VLOOKUP(H43,'Input - Bookings'!$G$2:$H$611,2,0)</f>
        <v>814065</v>
      </c>
      <c r="J43" s="44" t="str">
        <f>'Input - Bookings'!N43</f>
        <v>E861</v>
      </c>
      <c r="K43" s="44" t="str">
        <f>'Input - Bookings'!O43</f>
        <v>NDR035EC</v>
      </c>
      <c r="L43" s="44" t="str">
        <f>'Input - Bookings'!C43</f>
        <v>USD</v>
      </c>
      <c r="M43" s="46" t="str">
        <f t="array" ref="M43">IF(L43="USD",INDEX('AP Plants'!A:A,MATCH(J43,'AP Plants'!D:D,0)),INDEX('Australia Plants'!A:A,MATCH(J43,'Australia Plants'!D:D,0)))</f>
        <v>Greenville</v>
      </c>
      <c r="N43" s="10">
        <v>1.0</v>
      </c>
      <c r="O43" s="9">
        <v>63613.0</v>
      </c>
      <c r="P43" s="9">
        <v>44417.02</v>
      </c>
      <c r="Q43" s="47">
        <f t="shared" ref="Q43:Q45" si="14">AQ43</f>
        <v>0.09117924162</v>
      </c>
      <c r="R43" s="48">
        <f t="shared" si="3"/>
        <v>0.301761904</v>
      </c>
      <c r="S43" s="49">
        <f t="shared" si="4"/>
        <v>0</v>
      </c>
      <c r="T43" s="49">
        <f t="shared" si="5"/>
        <v>0.09117924162</v>
      </c>
      <c r="U43" s="50" t="str">
        <f t="shared" si="6"/>
        <v>AOP</v>
      </c>
      <c r="V43" s="51">
        <f t="shared" si="7"/>
        <v>4049.910198</v>
      </c>
      <c r="W43" s="52">
        <f t="shared" si="8"/>
        <v>4049.910198</v>
      </c>
      <c r="X43" s="9">
        <f t="shared" si="9"/>
        <v>44417.02</v>
      </c>
      <c r="Y43" s="8"/>
      <c r="Z43" s="8"/>
      <c r="AA43" s="8"/>
      <c r="AB43" s="8" t="str">
        <f t="shared" si="10"/>
        <v>ATHH37964NDR035EC</v>
      </c>
      <c r="AC43" s="8" t="str">
        <f>IF(AB43='Input - Bookings'!S60,"OK","Check")</f>
        <v>Check</v>
      </c>
      <c r="AD43" s="53"/>
      <c r="AE43" s="54">
        <v>0.0</v>
      </c>
      <c r="AF43" s="54">
        <v>0.0</v>
      </c>
      <c r="AG43" s="55">
        <v>39156.128224</v>
      </c>
      <c r="AH43" s="55"/>
      <c r="AI43" s="8" t="str">
        <f t="array" ref="AI43">XLOOKUP($J43,'AP Plants'!D:D,'AP Plants'!B:B)</f>
        <v>Class 2</v>
      </c>
      <c r="AJ43" s="56"/>
      <c r="AK43" s="56">
        <f>(AG43*(1+VLOOKUP(M43,'Currency &amp; Conversion'!$F$13:$H$19,2,0))+((AE43+AF43)*90%))</f>
        <v>39191.36874</v>
      </c>
      <c r="AL43" s="49">
        <v>0.015</v>
      </c>
      <c r="AM43" s="49">
        <f t="array" ref="AM43">XLOOKUP($AI43,Warranty!B:B,Warranty!E:E)</f>
        <v>0.015</v>
      </c>
      <c r="AN43" s="8">
        <f>IF($L43="AUD",VLOOKUP(RIGHT('Wk - Margins'!$J43,3),'AU Freight'!C:G,5,0),0)</f>
        <v>0</v>
      </c>
      <c r="AO43" s="49">
        <f t="shared" si="11"/>
        <v>0</v>
      </c>
      <c r="AP43" s="63">
        <f t="shared" si="12"/>
        <v>40367.1098</v>
      </c>
      <c r="AQ43" s="64">
        <f t="shared" si="13"/>
        <v>0.09117924162</v>
      </c>
      <c r="AR43" s="59">
        <f>IF(L43="AUD",O43*'Currency &amp; Conversion'!$L$7,'Wk - Margins'!O43)</f>
        <v>63613</v>
      </c>
      <c r="AS43" s="59">
        <f>IF(L43="AUD",P43*'Currency &amp; Conversion'!$L$7,'Wk - Margins'!P43)</f>
        <v>44417.02</v>
      </c>
    </row>
    <row r="44" ht="12.75" customHeight="1">
      <c r="A44" s="42" t="str">
        <f>'Input - Bookings'!A44</f>
        <v>19/06/2023</v>
      </c>
      <c r="B44" s="43" t="str">
        <f t="shared" si="1"/>
        <v>Asia</v>
      </c>
      <c r="C44" s="43" t="str">
        <f t="shared" si="2"/>
        <v>ATH</v>
      </c>
      <c r="D44" s="43" t="str">
        <f>'Input - Bookings'!D44</f>
        <v>A</v>
      </c>
      <c r="E44" s="43" t="str">
        <f>'Input - Bookings'!J44</f>
        <v>TH</v>
      </c>
      <c r="F44" s="44" t="str">
        <f>'Input - Bookings'!F44</f>
        <v>067</v>
      </c>
      <c r="G44" s="44" t="str">
        <f>'Input - Bookings'!I44</f>
        <v>JENBUNJERD CO LTD</v>
      </c>
      <c r="H44" s="44" t="str">
        <f>'Input - Bookings'!K44</f>
        <v>H37965</v>
      </c>
      <c r="I44" s="45" t="str">
        <f>VLOOKUP(H44,'Input - Bookings'!$G$2:$H$611,2,0)</f>
        <v>814065</v>
      </c>
      <c r="J44" s="44" t="str">
        <f>'Input - Bookings'!N44</f>
        <v>E861</v>
      </c>
      <c r="K44" s="44" t="str">
        <f>'Input - Bookings'!O44</f>
        <v>NDR035EC</v>
      </c>
      <c r="L44" s="44" t="str">
        <f>'Input - Bookings'!C44</f>
        <v>USD</v>
      </c>
      <c r="M44" s="46" t="str">
        <f t="array" ref="M44">IF(L44="USD",INDEX('AP Plants'!A:A,MATCH(J44,'AP Plants'!D:D,0)),INDEX('Australia Plants'!A:A,MATCH(J44,'Australia Plants'!D:D,0)))</f>
        <v>Greenville</v>
      </c>
      <c r="N44" s="10">
        <v>1.0</v>
      </c>
      <c r="O44" s="9">
        <v>63613.0</v>
      </c>
      <c r="P44" s="9">
        <v>44417.02</v>
      </c>
      <c r="Q44" s="47">
        <f t="shared" si="14"/>
        <v>0.09117924162</v>
      </c>
      <c r="R44" s="48">
        <f t="shared" si="3"/>
        <v>0.301761904</v>
      </c>
      <c r="S44" s="49">
        <f t="shared" si="4"/>
        <v>0</v>
      </c>
      <c r="T44" s="49">
        <f t="shared" si="5"/>
        <v>0.09117924162</v>
      </c>
      <c r="U44" s="50" t="str">
        <f t="shared" si="6"/>
        <v>AOP</v>
      </c>
      <c r="V44" s="51">
        <f t="shared" ref="V44:V46" si="15">N44*P43*(Q44-S44)</f>
        <v>4049.910198</v>
      </c>
      <c r="W44" s="52">
        <f t="shared" si="8"/>
        <v>4049.910198</v>
      </c>
      <c r="X44" s="9">
        <f t="shared" ref="X44:X47" si="16">IF(L44="USD",P43,P43/$AA$6)</f>
        <v>44417.02</v>
      </c>
      <c r="Y44" s="8"/>
      <c r="Z44" s="8"/>
      <c r="AA44" s="8"/>
      <c r="AB44" s="8" t="str">
        <f t="shared" si="10"/>
        <v>ATHH37965NDR035EC</v>
      </c>
      <c r="AC44" s="8" t="str">
        <f>IF(AB44='Input - Bookings'!S36,"OK","Check")</f>
        <v>Check</v>
      </c>
      <c r="AD44" s="53"/>
      <c r="AE44" s="54">
        <v>0.0</v>
      </c>
      <c r="AF44" s="54">
        <v>0.0</v>
      </c>
      <c r="AG44" s="55">
        <v>39156.128224</v>
      </c>
      <c r="AH44" s="55"/>
      <c r="AI44" s="8" t="str">
        <f t="array" ref="AI44">XLOOKUP($J44,'AP Plants'!D:D,'AP Plants'!B:B)</f>
        <v>Class 2</v>
      </c>
      <c r="AJ44" s="56"/>
      <c r="AK44" s="56">
        <f>(AG44*(1+VLOOKUP(M44,'Currency &amp; Conversion'!$F$13:$H$19,2,0))+((AE44+AF44)*90%))</f>
        <v>39191.36874</v>
      </c>
      <c r="AL44" s="49">
        <v>0.015</v>
      </c>
      <c r="AM44" s="49">
        <f t="array" ref="AM44">XLOOKUP($AI44,Warranty!B:B,Warranty!E:E)</f>
        <v>0.015</v>
      </c>
      <c r="AN44" s="8">
        <f>IF($L44="AUD",VLOOKUP(RIGHT('Wk - Margins'!$J44,3),'AU Freight'!C:G,5,0),0)</f>
        <v>0</v>
      </c>
      <c r="AO44" s="49">
        <f t="shared" si="11"/>
        <v>0</v>
      </c>
      <c r="AP44" s="63">
        <f t="shared" si="12"/>
        <v>40367.1098</v>
      </c>
      <c r="AQ44" s="64">
        <f t="shared" si="13"/>
        <v>0.09117924162</v>
      </c>
      <c r="AR44" s="59">
        <f>IF(L44="AUD",O44*'Currency &amp; Conversion'!$L$7,'Wk - Margins'!O44)</f>
        <v>63613</v>
      </c>
      <c r="AS44" s="59">
        <f>IF(L44="AUD",P44*'Currency &amp; Conversion'!$L$7,'Wk - Margins'!P44)</f>
        <v>44417.02</v>
      </c>
    </row>
    <row r="45" ht="12.75" customHeight="1">
      <c r="A45" s="42" t="str">
        <f>'Input - Bookings'!A45</f>
        <v>19/06/2023</v>
      </c>
      <c r="B45" s="43" t="str">
        <f t="shared" si="1"/>
        <v>Asia</v>
      </c>
      <c r="C45" s="43" t="str">
        <f t="shared" si="2"/>
        <v>ATH</v>
      </c>
      <c r="D45" s="43" t="str">
        <f>'Input - Bookings'!D45</f>
        <v>A</v>
      </c>
      <c r="E45" s="43" t="str">
        <f>'Input - Bookings'!J45</f>
        <v>TH</v>
      </c>
      <c r="F45" s="44" t="str">
        <f>'Input - Bookings'!F45</f>
        <v>067</v>
      </c>
      <c r="G45" s="44" t="str">
        <f>'Input - Bookings'!I45</f>
        <v>JENBUNJERD CO LTD</v>
      </c>
      <c r="H45" s="44" t="str">
        <f>'Input - Bookings'!K45</f>
        <v>H37966</v>
      </c>
      <c r="I45" s="45" t="str">
        <f>VLOOKUP(H45,'Input - Bookings'!$G$2:$H$611,2,0)</f>
        <v>814065</v>
      </c>
      <c r="J45" s="44" t="str">
        <f>'Input - Bookings'!N45</f>
        <v>E861</v>
      </c>
      <c r="K45" s="44" t="str">
        <f>'Input - Bookings'!O45</f>
        <v>NDR035EC</v>
      </c>
      <c r="L45" s="44" t="str">
        <f>'Input - Bookings'!C45</f>
        <v>USD</v>
      </c>
      <c r="M45" s="46" t="str">
        <f t="array" ref="M45">IF(L45="USD",INDEX('AP Plants'!A:A,MATCH(J45,'AP Plants'!D:D,0)),INDEX('Australia Plants'!A:A,MATCH(J45,'Australia Plants'!D:D,0)))</f>
        <v>Greenville</v>
      </c>
      <c r="N45" s="10">
        <v>1.0</v>
      </c>
      <c r="O45" s="9">
        <v>63613.0</v>
      </c>
      <c r="P45" s="9">
        <v>44417.02</v>
      </c>
      <c r="Q45" s="47">
        <f t="shared" si="14"/>
        <v>0.09117924162</v>
      </c>
      <c r="R45" s="48">
        <f t="shared" si="3"/>
        <v>0.301761904</v>
      </c>
      <c r="S45" s="49">
        <f t="shared" si="4"/>
        <v>0</v>
      </c>
      <c r="T45" s="49">
        <f t="shared" si="5"/>
        <v>0.09117924162</v>
      </c>
      <c r="U45" s="50" t="str">
        <f t="shared" si="6"/>
        <v>AOP</v>
      </c>
      <c r="V45" s="51">
        <f t="shared" si="15"/>
        <v>4049.910198</v>
      </c>
      <c r="W45" s="52">
        <f t="shared" si="8"/>
        <v>4049.910198</v>
      </c>
      <c r="X45" s="9">
        <f t="shared" si="16"/>
        <v>44417.02</v>
      </c>
      <c r="Y45" s="8"/>
      <c r="Z45" s="8"/>
      <c r="AA45" s="8"/>
      <c r="AB45" s="8" t="str">
        <f t="shared" si="10"/>
        <v>ATHH37966NDR035EC</v>
      </c>
      <c r="AC45" s="8" t="str">
        <f>IF(AB45='Input - Bookings'!S4,"OK","Check")</f>
        <v>Check</v>
      </c>
      <c r="AD45" s="53"/>
      <c r="AE45" s="54">
        <v>0.0</v>
      </c>
      <c r="AF45" s="54">
        <v>0.0</v>
      </c>
      <c r="AG45" s="55">
        <v>39156.128224</v>
      </c>
      <c r="AH45" s="55"/>
      <c r="AI45" s="8" t="str">
        <f t="array" ref="AI45">XLOOKUP($J45,'AP Plants'!D:D,'AP Plants'!B:B)</f>
        <v>Class 2</v>
      </c>
      <c r="AJ45" s="56"/>
      <c r="AK45" s="56">
        <f>(AG45*(1+VLOOKUP(M45,'Currency &amp; Conversion'!$F$13:$H$19,2,0))+((AE45+AF45)*90%))</f>
        <v>39191.36874</v>
      </c>
      <c r="AL45" s="49">
        <v>0.015</v>
      </c>
      <c r="AM45" s="49">
        <f t="array" ref="AM45">XLOOKUP($AI45,Warranty!B:B,Warranty!E:E)</f>
        <v>0.015</v>
      </c>
      <c r="AN45" s="8">
        <f>IF($L45="AUD",VLOOKUP(RIGHT('Wk - Margins'!$J45,3),'AU Freight'!C:G,5,0),0)</f>
        <v>0</v>
      </c>
      <c r="AO45" s="49">
        <f t="shared" si="11"/>
        <v>0</v>
      </c>
      <c r="AP45" s="63">
        <f t="shared" si="12"/>
        <v>40367.1098</v>
      </c>
      <c r="AQ45" s="64">
        <f t="shared" si="13"/>
        <v>0.09117924162</v>
      </c>
      <c r="AR45" s="59">
        <f>IF(L45="AUD",O45*'Currency &amp; Conversion'!$L$7,'Wk - Margins'!O45)</f>
        <v>63613</v>
      </c>
      <c r="AS45" s="59">
        <f>IF(L45="AUD",P45*'Currency &amp; Conversion'!$L$7,'Wk - Margins'!P45)</f>
        <v>44417.02</v>
      </c>
    </row>
    <row r="46" ht="12.75" hidden="1" customHeight="1">
      <c r="A46" s="42" t="str">
        <f>'Input - Bookings'!A46</f>
        <v>19/06/2023</v>
      </c>
      <c r="B46" s="43" t="str">
        <f t="shared" si="1"/>
        <v>Asia</v>
      </c>
      <c r="C46" s="43" t="str">
        <f t="shared" si="2"/>
        <v>ATH</v>
      </c>
      <c r="D46" s="43" t="str">
        <f>'Input - Bookings'!D46</f>
        <v>A</v>
      </c>
      <c r="E46" s="43" t="str">
        <f>'Input - Bookings'!J46</f>
        <v>TH</v>
      </c>
      <c r="F46" s="44" t="str">
        <f>'Input - Bookings'!F46</f>
        <v>065</v>
      </c>
      <c r="G46" s="44" t="str">
        <f>'Input - Bookings'!I46</f>
        <v>DILOK AND SONS CO.,LTD.</v>
      </c>
      <c r="H46" s="44" t="str">
        <f>'Input - Bookings'!K46</f>
        <v>H38071</v>
      </c>
      <c r="I46" s="45" t="str">
        <f>VLOOKUP(H46,'Input - Bookings'!$G$2:$H$611,2,0)</f>
        <v>006065</v>
      </c>
      <c r="J46" s="44" t="str">
        <f>'Input - Bookings'!N46</f>
        <v>A3C1</v>
      </c>
      <c r="K46" s="44" t="str">
        <f>'Input - Bookings'!O46</f>
        <v>H2.5UT</v>
      </c>
      <c r="L46" s="44" t="str">
        <f>'Input - Bookings'!C46</f>
        <v>USD</v>
      </c>
      <c r="M46" s="46" t="str">
        <f t="array" ref="M46">IF(L46="USD",INDEX('AP Plants'!A:A,MATCH(J46,'AP Plants'!D:D,0)),INDEX('Australia Plants'!A:A,MATCH(J46,'Australia Plants'!D:D,0)))</f>
        <v>Maximal</v>
      </c>
      <c r="N46" s="10">
        <v>1.0</v>
      </c>
      <c r="O46" s="9">
        <v>20240.0</v>
      </c>
      <c r="P46" s="9">
        <v>12545.8</v>
      </c>
      <c r="Q46" s="47">
        <v>0.14807650709395648</v>
      </c>
      <c r="R46" s="48">
        <f t="shared" si="3"/>
        <v>0.3801482213</v>
      </c>
      <c r="S46" s="49">
        <f t="shared" si="4"/>
        <v>0</v>
      </c>
      <c r="T46" s="49">
        <f t="shared" si="5"/>
        <v>0.1480765071</v>
      </c>
      <c r="U46" s="50" t="str">
        <f t="shared" si="6"/>
        <v>AOP</v>
      </c>
      <c r="V46" s="51">
        <f t="shared" si="15"/>
        <v>6577.117177</v>
      </c>
      <c r="W46" s="52">
        <f t="shared" si="8"/>
        <v>6577.117177</v>
      </c>
      <c r="X46" s="9">
        <f t="shared" si="16"/>
        <v>44417.02</v>
      </c>
      <c r="Y46" s="8"/>
      <c r="Z46" s="8"/>
      <c r="AA46" s="8"/>
      <c r="AB46" s="8" t="str">
        <f t="shared" si="10"/>
        <v>ATHH38071H2.5UT</v>
      </c>
      <c r="AC46" s="8" t="str">
        <f>IF(AB46='Input - Bookings'!S38,"OK","Check")</f>
        <v>Check</v>
      </c>
      <c r="AD46" s="53"/>
      <c r="AE46" s="54"/>
      <c r="AF46" s="54"/>
      <c r="AG46" s="55"/>
      <c r="AH46" s="55"/>
      <c r="AI46" s="8" t="str">
        <f t="array" ref="AI46">XLOOKUP($J46,'AP Plants'!D:D,'AP Plants'!B:B)</f>
        <v>Class 5 NOT BT</v>
      </c>
      <c r="AJ46" s="56"/>
      <c r="AK46" s="56"/>
      <c r="AL46" s="49">
        <v>0.015</v>
      </c>
      <c r="AM46" s="49">
        <f t="array" ref="AM46">XLOOKUP($AI46,Warranty!B:B,Warranty!E:E)</f>
        <v>0.005</v>
      </c>
      <c r="AN46" s="8">
        <f>IF($L46="AUD",VLOOKUP(RIGHT('Wk - Margins'!$J46,3),'AU Freight'!C:G,5,0),0)</f>
        <v>0</v>
      </c>
      <c r="AO46" s="49">
        <f t="shared" si="11"/>
        <v>0</v>
      </c>
      <c r="AP46" s="57">
        <f t="shared" si="12"/>
        <v>0</v>
      </c>
      <c r="AQ46" s="58">
        <f t="shared" si="13"/>
        <v>1</v>
      </c>
      <c r="AR46" s="59">
        <f>IF(L46="AUD",O46*'Currency &amp; Conversion'!$L$7,'Wk - Margins'!O46)</f>
        <v>20240</v>
      </c>
      <c r="AS46" s="59">
        <f>IF(L46="AUD",P46*'Currency &amp; Conversion'!$L$7,'Wk - Margins'!P46)</f>
        <v>12545.8</v>
      </c>
    </row>
    <row r="47" ht="12.75" hidden="1" customHeight="1">
      <c r="A47" s="42" t="str">
        <f>'Input - Bookings'!A47</f>
        <v>19/06/2023</v>
      </c>
      <c r="B47" s="43" t="str">
        <f t="shared" si="1"/>
        <v>Asia</v>
      </c>
      <c r="C47" s="43" t="str">
        <f t="shared" si="2"/>
        <v>ATH</v>
      </c>
      <c r="D47" s="43" t="str">
        <f>'Input - Bookings'!D47</f>
        <v>A</v>
      </c>
      <c r="E47" s="43" t="str">
        <f>'Input - Bookings'!J47</f>
        <v>TH</v>
      </c>
      <c r="F47" s="44" t="str">
        <f>'Input - Bookings'!F47</f>
        <v>065</v>
      </c>
      <c r="G47" s="44" t="str">
        <f>'Input - Bookings'!I47</f>
        <v>DILOK AND SONS CO.,LTD.</v>
      </c>
      <c r="H47" s="44" t="str">
        <f>'Input - Bookings'!K47</f>
        <v>H38072</v>
      </c>
      <c r="I47" s="45" t="str">
        <f>VLOOKUP(H47,'Input - Bookings'!$G$2:$H$611,2,0)</f>
        <v>006065</v>
      </c>
      <c r="J47" s="44" t="str">
        <f>'Input - Bookings'!N47</f>
        <v>A3C1</v>
      </c>
      <c r="K47" s="44" t="str">
        <f>'Input - Bookings'!O47</f>
        <v>H2.5UT</v>
      </c>
      <c r="L47" s="44" t="str">
        <f>'Input - Bookings'!C47</f>
        <v>USD</v>
      </c>
      <c r="M47" s="46" t="str">
        <f t="array" ref="M47">IF(L47="USD",INDEX('AP Plants'!A:A,MATCH(J47,'AP Plants'!D:D,0)),INDEX('Australia Plants'!A:A,MATCH(J47,'Australia Plants'!D:D,0)))</f>
        <v>Maximal</v>
      </c>
      <c r="N47" s="10">
        <v>1.0</v>
      </c>
      <c r="O47" s="9">
        <v>20240.0</v>
      </c>
      <c r="P47" s="9">
        <v>12545.8</v>
      </c>
      <c r="Q47" s="47">
        <v>0.14807650709395648</v>
      </c>
      <c r="R47" s="48">
        <f t="shared" si="3"/>
        <v>0.3801482213</v>
      </c>
      <c r="S47" s="49">
        <f t="shared" si="4"/>
        <v>0</v>
      </c>
      <c r="T47" s="49" t="str">
        <f t="shared" ref="T47:T51" si="17">#REF!-S47</f>
        <v>#REF!</v>
      </c>
      <c r="U47" s="50" t="str">
        <f t="shared" si="6"/>
        <v>#REF!</v>
      </c>
      <c r="V47" s="51" t="str">
        <f>N47*P46*(#REF!-S47)</f>
        <v>#REF!</v>
      </c>
      <c r="W47" s="52" t="str">
        <f t="shared" si="8"/>
        <v>#REF!</v>
      </c>
      <c r="X47" s="9">
        <f t="shared" si="16"/>
        <v>12545.8</v>
      </c>
      <c r="Y47" s="8"/>
      <c r="Z47" s="8"/>
      <c r="AA47" s="8"/>
      <c r="AB47" s="8" t="str">
        <f t="shared" si="10"/>
        <v>ATHH38072H2.5UT</v>
      </c>
      <c r="AC47" s="8" t="str">
        <f>IF(AB47='Input - Bookings'!S39,"OK","Check")</f>
        <v>Check</v>
      </c>
      <c r="AD47" s="53"/>
      <c r="AE47" s="54"/>
      <c r="AF47" s="54"/>
      <c r="AG47" s="55"/>
      <c r="AH47" s="62"/>
      <c r="AI47" s="8" t="str">
        <f t="array" ref="AI47">XLOOKUP($J47,'AP Plants'!D:D,'AP Plants'!B:B)</f>
        <v>Class 5 NOT BT</v>
      </c>
      <c r="AJ47" s="56"/>
      <c r="AK47" s="56"/>
      <c r="AL47" s="49">
        <v>0.015</v>
      </c>
      <c r="AM47" s="49">
        <f t="array" ref="AM47">XLOOKUP($AI47,Warranty!B:B,Warranty!E:E)</f>
        <v>0.005</v>
      </c>
      <c r="AN47" s="8">
        <f>IF($L47="AUD",VLOOKUP(RIGHT('Wk - Margins'!$J47,3),'AU Freight'!C:G,5,0),0)</f>
        <v>0</v>
      </c>
      <c r="AO47" s="49">
        <f t="shared" si="11"/>
        <v>0</v>
      </c>
      <c r="AP47" s="57">
        <f t="shared" si="12"/>
        <v>0</v>
      </c>
      <c r="AQ47" s="58">
        <f t="shared" si="13"/>
        <v>1</v>
      </c>
      <c r="AR47" s="59">
        <f>IF(L47="AUD",O47*'Currency &amp; Conversion'!$L$7,'Wk - Margins'!O47)</f>
        <v>20240</v>
      </c>
      <c r="AS47" s="59">
        <f>IF(L47="AUD",P47*'Currency &amp; Conversion'!$L$7,'Wk - Margins'!P47)</f>
        <v>12545.8</v>
      </c>
    </row>
    <row r="48" ht="12.75" hidden="1" customHeight="1">
      <c r="A48" s="42" t="str">
        <f>'Input - Bookings'!A48</f>
        <v>19/06/2023</v>
      </c>
      <c r="B48" s="43" t="str">
        <f t="shared" si="1"/>
        <v>Asia</v>
      </c>
      <c r="C48" s="43" t="str">
        <f t="shared" si="2"/>
        <v>ATH</v>
      </c>
      <c r="D48" s="43" t="str">
        <f>'Input - Bookings'!D48</f>
        <v>A</v>
      </c>
      <c r="E48" s="43" t="str">
        <f>'Input - Bookings'!J48</f>
        <v>TH</v>
      </c>
      <c r="F48" s="44" t="str">
        <f>'Input - Bookings'!F48</f>
        <v>065</v>
      </c>
      <c r="G48" s="44" t="str">
        <f>'Input - Bookings'!I48</f>
        <v>DILOK AND SONS CO.,LTD.</v>
      </c>
      <c r="H48" s="44" t="str">
        <f>'Input - Bookings'!K48</f>
        <v>H38073</v>
      </c>
      <c r="I48" s="45" t="str">
        <f>VLOOKUP(H48,'Input - Bookings'!$G$2:$H$611,2,0)</f>
        <v>006065</v>
      </c>
      <c r="J48" s="44" t="str">
        <f>'Input - Bookings'!N48</f>
        <v>A3C1</v>
      </c>
      <c r="K48" s="44" t="str">
        <f>'Input - Bookings'!O48</f>
        <v>H2.5UT</v>
      </c>
      <c r="L48" s="44" t="str">
        <f>'Input - Bookings'!C48</f>
        <v>USD</v>
      </c>
      <c r="M48" s="46" t="str">
        <f t="array" ref="M48">IF(L48="USD",INDEX('AP Plants'!A:A,MATCH(J48,'AP Plants'!D:D,0)),INDEX('Australia Plants'!A:A,MATCH(J48,'Australia Plants'!D:D,0)))</f>
        <v>Maximal</v>
      </c>
      <c r="N48" s="10">
        <v>1.0</v>
      </c>
      <c r="O48" s="9">
        <v>20240.0</v>
      </c>
      <c r="P48" s="9">
        <v>12545.8</v>
      </c>
      <c r="Q48" s="47">
        <v>0.14807650709395648</v>
      </c>
      <c r="R48" s="48">
        <f t="shared" si="3"/>
        <v>0.3801482213</v>
      </c>
      <c r="S48" s="49">
        <f t="shared" si="4"/>
        <v>0</v>
      </c>
      <c r="T48" s="49" t="str">
        <f t="shared" si="17"/>
        <v>#REF!</v>
      </c>
      <c r="U48" s="50" t="str">
        <f t="shared" si="6"/>
        <v>#REF!</v>
      </c>
      <c r="V48" s="51" t="str">
        <f t="shared" ref="V48:V51" si="18">N48*#REF!*(#REF!-S48)</f>
        <v>#REF!</v>
      </c>
      <c r="W48" s="52" t="str">
        <f t="shared" si="8"/>
        <v>#REF!</v>
      </c>
      <c r="X48" s="9" t="str">
        <f t="shared" ref="X48:X52" si="19">IF(L48="USD",#REF!,#REF!/$AA$6)</f>
        <v>#REF!</v>
      </c>
      <c r="Y48" s="8"/>
      <c r="Z48" s="8"/>
      <c r="AA48" s="8"/>
      <c r="AB48" s="8" t="str">
        <f t="shared" si="10"/>
        <v>ATHH38073H2.5UT</v>
      </c>
      <c r="AC48" s="8" t="str">
        <f>IF(AB48='Input - Bookings'!S40,"OK","Check")</f>
        <v>Check</v>
      </c>
      <c r="AD48" s="53"/>
      <c r="AE48" s="54"/>
      <c r="AF48" s="54"/>
      <c r="AG48" s="55"/>
      <c r="AH48" s="62"/>
      <c r="AI48" s="8" t="str">
        <f t="array" ref="AI48">XLOOKUP($J48,'AP Plants'!D:D,'AP Plants'!B:B)</f>
        <v>Class 5 NOT BT</v>
      </c>
      <c r="AJ48" s="56"/>
      <c r="AK48" s="56"/>
      <c r="AL48" s="49">
        <v>0.015</v>
      </c>
      <c r="AM48" s="49">
        <f t="array" ref="AM48">XLOOKUP($AI48,Warranty!B:B,Warranty!E:E)</f>
        <v>0.005</v>
      </c>
      <c r="AN48" s="8">
        <f>IF($L48="AUD",VLOOKUP(RIGHT('Wk - Margins'!$J48,3),'AU Freight'!C:G,5,0),0)</f>
        <v>0</v>
      </c>
      <c r="AO48" s="49">
        <f t="shared" si="11"/>
        <v>0</v>
      </c>
      <c r="AP48" s="57">
        <f t="shared" si="12"/>
        <v>0</v>
      </c>
      <c r="AQ48" s="58">
        <f t="shared" si="13"/>
        <v>1</v>
      </c>
      <c r="AR48" s="59">
        <f>IF(L48="AUD",O48*'Currency &amp; Conversion'!$L$7,'Wk - Margins'!O48)</f>
        <v>20240</v>
      </c>
      <c r="AS48" s="59">
        <f>IF(L48="AUD",P48*'Currency &amp; Conversion'!$L$7,'Wk - Margins'!P48)</f>
        <v>12545.8</v>
      </c>
    </row>
    <row r="49" ht="12.75" hidden="1" customHeight="1">
      <c r="A49" s="42" t="str">
        <f>'Input - Bookings'!A49</f>
        <v>19/06/2023</v>
      </c>
      <c r="B49" s="43" t="str">
        <f t="shared" si="1"/>
        <v>Asia</v>
      </c>
      <c r="C49" s="43" t="str">
        <f t="shared" si="2"/>
        <v>ATH</v>
      </c>
      <c r="D49" s="43" t="str">
        <f>'Input - Bookings'!D49</f>
        <v>A</v>
      </c>
      <c r="E49" s="43" t="str">
        <f>'Input - Bookings'!J49</f>
        <v>TH</v>
      </c>
      <c r="F49" s="44" t="str">
        <f>'Input - Bookings'!F49</f>
        <v>065</v>
      </c>
      <c r="G49" s="44" t="str">
        <f>'Input - Bookings'!I49</f>
        <v>DILOK AND SONS CO.,LTD.</v>
      </c>
      <c r="H49" s="44" t="str">
        <f>'Input - Bookings'!K49</f>
        <v>H38074</v>
      </c>
      <c r="I49" s="45" t="str">
        <f>VLOOKUP(H49,'Input - Bookings'!$G$2:$H$611,2,0)</f>
        <v>006065</v>
      </c>
      <c r="J49" s="44" t="str">
        <f>'Input - Bookings'!N49</f>
        <v>A3C1</v>
      </c>
      <c r="K49" s="44" t="str">
        <f>'Input - Bookings'!O49</f>
        <v>H2.5UT</v>
      </c>
      <c r="L49" s="44" t="str">
        <f>'Input - Bookings'!C49</f>
        <v>USD</v>
      </c>
      <c r="M49" s="46" t="str">
        <f t="array" ref="M49">IF(L49="USD",INDEX('AP Plants'!A:A,MATCH(J49,'AP Plants'!D:D,0)),INDEX('Australia Plants'!A:A,MATCH(J49,'Australia Plants'!D:D,0)))</f>
        <v>Maximal</v>
      </c>
      <c r="N49" s="10">
        <v>1.0</v>
      </c>
      <c r="O49" s="9">
        <v>20240.0</v>
      </c>
      <c r="P49" s="9">
        <v>12545.8</v>
      </c>
      <c r="Q49" s="47">
        <v>0.14807650709395648</v>
      </c>
      <c r="R49" s="48">
        <f t="shared" si="3"/>
        <v>0.3801482213</v>
      </c>
      <c r="S49" s="49">
        <f t="shared" si="4"/>
        <v>0</v>
      </c>
      <c r="T49" s="49" t="str">
        <f t="shared" si="17"/>
        <v>#REF!</v>
      </c>
      <c r="U49" s="50" t="str">
        <f t="shared" si="6"/>
        <v>#REF!</v>
      </c>
      <c r="V49" s="51" t="str">
        <f t="shared" si="18"/>
        <v>#REF!</v>
      </c>
      <c r="W49" s="52" t="str">
        <f t="shared" si="8"/>
        <v>#REF!</v>
      </c>
      <c r="X49" s="9" t="str">
        <f t="shared" si="19"/>
        <v>#REF!</v>
      </c>
      <c r="Y49" s="8"/>
      <c r="Z49" s="8"/>
      <c r="AA49" s="8"/>
      <c r="AB49" s="8" t="str">
        <f t="shared" si="10"/>
        <v>ATHH38074H2.5UT</v>
      </c>
      <c r="AC49" s="8" t="str">
        <f>IF(AB49='Input - Bookings'!S41,"OK","Check")</f>
        <v>Check</v>
      </c>
      <c r="AD49" s="60"/>
      <c r="AE49" s="54"/>
      <c r="AF49" s="54"/>
      <c r="AG49" s="55"/>
      <c r="AH49" s="62"/>
      <c r="AI49" s="8" t="str">
        <f t="array" ref="AI49">XLOOKUP($J49,'AP Plants'!D:D,'AP Plants'!B:B)</f>
        <v>Class 5 NOT BT</v>
      </c>
      <c r="AJ49" s="56"/>
      <c r="AK49" s="56"/>
      <c r="AL49" s="49">
        <v>0.015</v>
      </c>
      <c r="AM49" s="49">
        <f t="array" ref="AM49">XLOOKUP($AI49,Warranty!B:B,Warranty!E:E)</f>
        <v>0.005</v>
      </c>
      <c r="AN49" s="8">
        <f>IF($L49="AUD",VLOOKUP(RIGHT('Wk - Margins'!$J49,3),'AU Freight'!C:G,5,0),0)</f>
        <v>0</v>
      </c>
      <c r="AO49" s="49">
        <f t="shared" si="11"/>
        <v>0</v>
      </c>
      <c r="AP49" s="57">
        <f t="shared" si="12"/>
        <v>0</v>
      </c>
      <c r="AQ49" s="58">
        <f t="shared" si="13"/>
        <v>1</v>
      </c>
      <c r="AR49" s="59">
        <f>IF(L49="AUD",O49*'Currency &amp; Conversion'!$L$7,'Wk - Margins'!O49)</f>
        <v>20240</v>
      </c>
      <c r="AS49" s="59">
        <f>IF(L49="AUD",P49*'Currency &amp; Conversion'!$L$7,'Wk - Margins'!P49)</f>
        <v>12545.8</v>
      </c>
    </row>
    <row r="50" ht="12.75" hidden="1" customHeight="1">
      <c r="A50" s="42" t="str">
        <f>'Input - Bookings'!A50</f>
        <v>19/06/2023</v>
      </c>
      <c r="B50" s="43" t="str">
        <f t="shared" si="1"/>
        <v>Asia</v>
      </c>
      <c r="C50" s="43" t="str">
        <f t="shared" si="2"/>
        <v>ATH</v>
      </c>
      <c r="D50" s="43" t="str">
        <f>'Input - Bookings'!D50</f>
        <v>A</v>
      </c>
      <c r="E50" s="43" t="str">
        <f>'Input - Bookings'!J50</f>
        <v>TH</v>
      </c>
      <c r="F50" s="44" t="str">
        <f>'Input - Bookings'!F50</f>
        <v>065</v>
      </c>
      <c r="G50" s="44" t="str">
        <f>'Input - Bookings'!I50</f>
        <v>DILOK AND SONS CO.,LTD.</v>
      </c>
      <c r="H50" s="44" t="str">
        <f>'Input - Bookings'!K50</f>
        <v>H38075</v>
      </c>
      <c r="I50" s="45" t="str">
        <f>VLOOKUP(H50,'Input - Bookings'!$G$2:$H$611,2,0)</f>
        <v>006065</v>
      </c>
      <c r="J50" s="44" t="str">
        <f>'Input - Bookings'!N50</f>
        <v>A3C1</v>
      </c>
      <c r="K50" s="44" t="str">
        <f>'Input - Bookings'!O50</f>
        <v>H2.5UT</v>
      </c>
      <c r="L50" s="44" t="str">
        <f>'Input - Bookings'!C50</f>
        <v>USD</v>
      </c>
      <c r="M50" s="46" t="str">
        <f t="array" ref="M50">IF(L50="USD",INDEX('AP Plants'!A:A,MATCH(J50,'AP Plants'!D:D,0)),INDEX('Australia Plants'!A:A,MATCH(J50,'Australia Plants'!D:D,0)))</f>
        <v>Maximal</v>
      </c>
      <c r="N50" s="10">
        <v>1.0</v>
      </c>
      <c r="O50" s="9">
        <v>20240.0</v>
      </c>
      <c r="P50" s="9">
        <v>12545.8</v>
      </c>
      <c r="Q50" s="47">
        <v>0.14807650709395648</v>
      </c>
      <c r="R50" s="48">
        <f t="shared" si="3"/>
        <v>0.3801482213</v>
      </c>
      <c r="S50" s="49">
        <f t="shared" si="4"/>
        <v>0</v>
      </c>
      <c r="T50" s="49" t="str">
        <f t="shared" si="17"/>
        <v>#REF!</v>
      </c>
      <c r="U50" s="50" t="str">
        <f t="shared" si="6"/>
        <v>#REF!</v>
      </c>
      <c r="V50" s="51" t="str">
        <f t="shared" si="18"/>
        <v>#REF!</v>
      </c>
      <c r="W50" s="52" t="str">
        <f t="shared" si="8"/>
        <v>#REF!</v>
      </c>
      <c r="X50" s="9" t="str">
        <f t="shared" si="19"/>
        <v>#REF!</v>
      </c>
      <c r="Y50" s="8"/>
      <c r="Z50" s="8"/>
      <c r="AA50" s="8"/>
      <c r="AB50" s="8" t="str">
        <f t="shared" si="10"/>
        <v>ATHH38075H2.5UT</v>
      </c>
      <c r="AC50" s="8" t="str">
        <f>IF(AB50='Input - Bookings'!S42,"OK","Check")</f>
        <v>Check</v>
      </c>
      <c r="AD50" s="60"/>
      <c r="AE50" s="54"/>
      <c r="AF50" s="54"/>
      <c r="AG50" s="55"/>
      <c r="AH50" s="62"/>
      <c r="AI50" s="8" t="str">
        <f t="array" ref="AI50">XLOOKUP($J50,'AP Plants'!D:D,'AP Plants'!B:B)</f>
        <v>Class 5 NOT BT</v>
      </c>
      <c r="AJ50" s="56"/>
      <c r="AK50" s="56"/>
      <c r="AL50" s="49">
        <v>0.015</v>
      </c>
      <c r="AM50" s="49">
        <f t="array" ref="AM50">XLOOKUP($AI50,Warranty!B:B,Warranty!E:E)</f>
        <v>0.005</v>
      </c>
      <c r="AN50" s="8">
        <f>IF($L50="AUD",VLOOKUP(RIGHT('Wk - Margins'!$J50,3),'AU Freight'!C:G,5,0),0)</f>
        <v>0</v>
      </c>
      <c r="AO50" s="49">
        <f t="shared" si="11"/>
        <v>0</v>
      </c>
      <c r="AP50" s="57">
        <f t="shared" si="12"/>
        <v>0</v>
      </c>
      <c r="AQ50" s="58">
        <f t="shared" si="13"/>
        <v>1</v>
      </c>
      <c r="AR50" s="59">
        <f>IF(L50="AUD",O50*'Currency &amp; Conversion'!$L$7,'Wk - Margins'!O50)</f>
        <v>20240</v>
      </c>
      <c r="AS50" s="59">
        <f>IF(L50="AUD",P50*'Currency &amp; Conversion'!$L$7,'Wk - Margins'!P50)</f>
        <v>12545.8</v>
      </c>
    </row>
    <row r="51" ht="12.75" hidden="1" customHeight="1">
      <c r="A51" s="42" t="str">
        <f>'Input - Bookings'!A51</f>
        <v>19/06/2023</v>
      </c>
      <c r="B51" s="43" t="str">
        <f t="shared" si="1"/>
        <v>Asia</v>
      </c>
      <c r="C51" s="43" t="str">
        <f t="shared" si="2"/>
        <v>ATH</v>
      </c>
      <c r="D51" s="43" t="str">
        <f>'Input - Bookings'!D51</f>
        <v>A</v>
      </c>
      <c r="E51" s="43" t="str">
        <f>'Input - Bookings'!J51</f>
        <v>TH</v>
      </c>
      <c r="F51" s="44" t="str">
        <f>'Input - Bookings'!F51</f>
        <v>065</v>
      </c>
      <c r="G51" s="44" t="str">
        <f>'Input - Bookings'!I51</f>
        <v>DILOK AND SONS CO.,LTD.</v>
      </c>
      <c r="H51" s="44" t="str">
        <f>'Input - Bookings'!K51</f>
        <v>H38076</v>
      </c>
      <c r="I51" s="45" t="str">
        <f>VLOOKUP(H51,'Input - Bookings'!$G$2:$H$611,2,0)</f>
        <v>006065</v>
      </c>
      <c r="J51" s="44" t="str">
        <f>'Input - Bookings'!N51</f>
        <v>A3C1</v>
      </c>
      <c r="K51" s="44" t="str">
        <f>'Input - Bookings'!O51</f>
        <v>H2.5UT</v>
      </c>
      <c r="L51" s="44" t="str">
        <f>'Input - Bookings'!C51</f>
        <v>USD</v>
      </c>
      <c r="M51" s="46" t="str">
        <f t="array" ref="M51">IF(L51="USD",INDEX('AP Plants'!A:A,MATCH(J51,'AP Plants'!D:D,0)),INDEX('Australia Plants'!A:A,MATCH(J51,'Australia Plants'!D:D,0)))</f>
        <v>Maximal</v>
      </c>
      <c r="N51" s="10">
        <v>1.0</v>
      </c>
      <c r="O51" s="9">
        <v>20240.0</v>
      </c>
      <c r="P51" s="9">
        <v>12545.8</v>
      </c>
      <c r="Q51" s="47">
        <v>0.14807650709395648</v>
      </c>
      <c r="R51" s="48">
        <f t="shared" si="3"/>
        <v>0.3801482213</v>
      </c>
      <c r="S51" s="49">
        <f t="shared" si="4"/>
        <v>0</v>
      </c>
      <c r="T51" s="49" t="str">
        <f t="shared" si="17"/>
        <v>#REF!</v>
      </c>
      <c r="U51" s="50" t="str">
        <f t="shared" si="6"/>
        <v>#REF!</v>
      </c>
      <c r="V51" s="51" t="str">
        <f t="shared" si="18"/>
        <v>#REF!</v>
      </c>
      <c r="W51" s="52" t="str">
        <f t="shared" si="8"/>
        <v>#REF!</v>
      </c>
      <c r="X51" s="9" t="str">
        <f t="shared" si="19"/>
        <v>#REF!</v>
      </c>
      <c r="Y51" s="8"/>
      <c r="Z51" s="8"/>
      <c r="AA51" s="8"/>
      <c r="AB51" s="8" t="str">
        <f t="shared" si="10"/>
        <v>ATHH38076H2.5UT</v>
      </c>
      <c r="AC51" s="8" t="str">
        <f>IF(AB51='Input - Bookings'!S43,"OK","Check")</f>
        <v>Check</v>
      </c>
      <c r="AD51" s="60"/>
      <c r="AE51" s="54"/>
      <c r="AF51" s="54"/>
      <c r="AG51" s="55"/>
      <c r="AH51" s="62"/>
      <c r="AI51" s="8" t="str">
        <f t="array" ref="AI51">XLOOKUP($J51,'AP Plants'!D:D,'AP Plants'!B:B)</f>
        <v>Class 5 NOT BT</v>
      </c>
      <c r="AJ51" s="56"/>
      <c r="AK51" s="56"/>
      <c r="AL51" s="49">
        <v>0.015</v>
      </c>
      <c r="AM51" s="49">
        <f t="array" ref="AM51">XLOOKUP($AI51,Warranty!B:B,Warranty!E:E)</f>
        <v>0.005</v>
      </c>
      <c r="AN51" s="8">
        <f>IF($L51="AUD",VLOOKUP(RIGHT('Wk - Margins'!$J51,3),'AU Freight'!C:G,5,0),0)</f>
        <v>0</v>
      </c>
      <c r="AO51" s="49">
        <f t="shared" si="11"/>
        <v>0</v>
      </c>
      <c r="AP51" s="57">
        <f t="shared" si="12"/>
        <v>0</v>
      </c>
      <c r="AQ51" s="58">
        <f t="shared" si="13"/>
        <v>1</v>
      </c>
      <c r="AR51" s="59">
        <f>IF(L51="AUD",O51*'Currency &amp; Conversion'!$L$7,'Wk - Margins'!O51)</f>
        <v>20240</v>
      </c>
      <c r="AS51" s="59">
        <f>IF(L51="AUD",P51*'Currency &amp; Conversion'!$L$7,'Wk - Margins'!P51)</f>
        <v>12545.8</v>
      </c>
    </row>
    <row r="52" ht="12.75" customHeight="1">
      <c r="A52" s="42" t="str">
        <f>'Input - Bookings'!A52</f>
        <v>20/06/2023</v>
      </c>
      <c r="B52" s="43" t="str">
        <f t="shared" si="1"/>
        <v>Asia</v>
      </c>
      <c r="C52" s="43" t="str">
        <f t="shared" si="2"/>
        <v>ASG</v>
      </c>
      <c r="D52" s="43" t="str">
        <f>'Input - Bookings'!D52</f>
        <v>A</v>
      </c>
      <c r="E52" s="43" t="str">
        <f>'Input - Bookings'!J52</f>
        <v>SG</v>
      </c>
      <c r="F52" s="44" t="str">
        <f>'Input - Bookings'!F52</f>
        <v>065</v>
      </c>
      <c r="G52" s="44" t="str">
        <f>'Input - Bookings'!I52</f>
        <v>HYSTER-YALE LIFT TRUCKS</v>
      </c>
      <c r="H52" s="44" t="str">
        <f>'Input - Bookings'!K52</f>
        <v>H38367</v>
      </c>
      <c r="I52" s="45" t="str">
        <f>VLOOKUP(H52,'Input - Bookings'!$G$2:$H$611,2,0)</f>
        <v>005065</v>
      </c>
      <c r="J52" s="44" t="str">
        <f>'Input - Bookings'!N52</f>
        <v>A185</v>
      </c>
      <c r="K52" s="44" t="str">
        <f>'Input - Bookings'!O52</f>
        <v>R30XMA3</v>
      </c>
      <c r="L52" s="44" t="str">
        <f>'Input - Bookings'!C52</f>
        <v>USD</v>
      </c>
      <c r="M52" s="46" t="str">
        <f t="array" ref="M52">IF(L52="USD",INDEX('AP Plants'!A:A,MATCH(J52,'AP Plants'!D:D,0)),INDEX('Australia Plants'!A:A,MATCH(J52,'Australia Plants'!D:D,0)))</f>
        <v>Greenville</v>
      </c>
      <c r="N52" s="10">
        <v>1.0</v>
      </c>
      <c r="O52" s="9">
        <v>48490.0</v>
      </c>
      <c r="P52" s="9">
        <v>30164.5</v>
      </c>
      <c r="Q52" s="47">
        <f t="shared" ref="Q52:Q55" si="20">AQ52</f>
        <v>0.09786671257</v>
      </c>
      <c r="R52" s="48">
        <f t="shared" si="3"/>
        <v>0.3779232832</v>
      </c>
      <c r="S52" s="49">
        <f t="shared" si="4"/>
        <v>0</v>
      </c>
      <c r="T52" s="49">
        <f t="shared" ref="T52:T611" si="21">Q52-S52</f>
        <v>0.09786671257</v>
      </c>
      <c r="U52" s="50" t="str">
        <f t="shared" si="6"/>
        <v>AOP</v>
      </c>
      <c r="V52" s="51" t="str">
        <f>N52*#REF!*(Q52-S52)</f>
        <v>#REF!</v>
      </c>
      <c r="W52" s="52" t="str">
        <f t="shared" si="8"/>
        <v>#REF!</v>
      </c>
      <c r="X52" s="9" t="str">
        <f t="shared" si="19"/>
        <v>#REF!</v>
      </c>
      <c r="Y52" s="8"/>
      <c r="Z52" s="8"/>
      <c r="AA52" s="8"/>
      <c r="AB52" s="8" t="str">
        <f t="shared" si="10"/>
        <v>ASGH38367R30XMA3</v>
      </c>
      <c r="AC52" s="8" t="str">
        <f>IF(AB52='Input - Bookings'!S45,"OK","Check")</f>
        <v>Check</v>
      </c>
      <c r="AD52" s="53"/>
      <c r="AE52" s="54">
        <v>0.0</v>
      </c>
      <c r="AF52" s="54">
        <v>0.0</v>
      </c>
      <c r="AG52" s="55">
        <v>26396.048943</v>
      </c>
      <c r="AH52" s="55"/>
      <c r="AI52" s="8" t="str">
        <f t="array" ref="AI52">XLOOKUP($J52,'AP Plants'!D:D,'AP Plants'!B:B)</f>
        <v>Class 2</v>
      </c>
      <c r="AJ52" s="56"/>
      <c r="AK52" s="56">
        <f>(AG52*(1+VLOOKUP(M52,'Currency &amp; Conversion'!$F$13:$H$19,2,0))+((AE52+AF52)*90%))</f>
        <v>26419.80539</v>
      </c>
      <c r="AL52" s="49">
        <v>0.015</v>
      </c>
      <c r="AM52" s="49">
        <f t="array" ref="AM52">XLOOKUP($AI52,Warranty!B:B,Warranty!E:E)</f>
        <v>0.015</v>
      </c>
      <c r="AN52" s="8">
        <f>IF($L52="AUD",VLOOKUP(RIGHT('Wk - Margins'!$J52,3),'AU Freight'!C:G,5,0),0)</f>
        <v>0</v>
      </c>
      <c r="AO52" s="49">
        <f t="shared" si="11"/>
        <v>0</v>
      </c>
      <c r="AP52" s="63">
        <f t="shared" si="12"/>
        <v>27212.39955</v>
      </c>
      <c r="AQ52" s="64">
        <f t="shared" si="13"/>
        <v>0.09786671257</v>
      </c>
      <c r="AR52" s="59">
        <f>IF(L52="AUD",O52*'Currency &amp; Conversion'!$L$7,'Wk - Margins'!O52)</f>
        <v>48490</v>
      </c>
      <c r="AS52" s="59">
        <f>IF(L52="AUD",P52*'Currency &amp; Conversion'!$L$7,'Wk - Margins'!P52)</f>
        <v>30164.5</v>
      </c>
    </row>
    <row r="53" ht="13.5" customHeight="1">
      <c r="A53" s="42" t="str">
        <f>'Input - Bookings'!A53</f>
        <v>20/06/2023</v>
      </c>
      <c r="B53" s="43" t="str">
        <f t="shared" si="1"/>
        <v>Asia</v>
      </c>
      <c r="C53" s="43" t="str">
        <f t="shared" si="2"/>
        <v>ASG</v>
      </c>
      <c r="D53" s="43" t="str">
        <f>'Input - Bookings'!D53</f>
        <v>A</v>
      </c>
      <c r="E53" s="43" t="str">
        <f>'Input - Bookings'!J53</f>
        <v>SG</v>
      </c>
      <c r="F53" s="44" t="str">
        <f>'Input - Bookings'!F53</f>
        <v>065</v>
      </c>
      <c r="G53" s="44" t="str">
        <f>'Input - Bookings'!I53</f>
        <v>HYSTER-YALE LIFT TRUCKS</v>
      </c>
      <c r="H53" s="44" t="str">
        <f>'Input - Bookings'!K53</f>
        <v>H38368</v>
      </c>
      <c r="I53" s="45" t="str">
        <f>VLOOKUP(H53,'Input - Bookings'!$G$2:$H$611,2,0)</f>
        <v>005065</v>
      </c>
      <c r="J53" s="44" t="str">
        <f>'Input - Bookings'!N53</f>
        <v>A185</v>
      </c>
      <c r="K53" s="44" t="str">
        <f>'Input - Bookings'!O53</f>
        <v>R30XMA3</v>
      </c>
      <c r="L53" s="44" t="str">
        <f>'Input - Bookings'!C53</f>
        <v>USD</v>
      </c>
      <c r="M53" s="46" t="str">
        <f t="array" ref="M53">IF(L53="USD",INDEX('AP Plants'!A:A,MATCH(J53,'AP Plants'!D:D,0)),INDEX('Australia Plants'!A:A,MATCH(J53,'Australia Plants'!D:D,0)))</f>
        <v>Greenville</v>
      </c>
      <c r="N53" s="10">
        <v>1.0</v>
      </c>
      <c r="O53" s="9">
        <v>48490.0</v>
      </c>
      <c r="P53" s="9">
        <v>30164.5</v>
      </c>
      <c r="Q53" s="47">
        <f t="shared" si="20"/>
        <v>0.09786671257</v>
      </c>
      <c r="R53" s="48">
        <f t="shared" si="3"/>
        <v>0.3779232832</v>
      </c>
      <c r="S53" s="49">
        <f t="shared" si="4"/>
        <v>0</v>
      </c>
      <c r="T53" s="49">
        <f t="shared" si="21"/>
        <v>0.09786671257</v>
      </c>
      <c r="U53" s="50" t="str">
        <f t="shared" si="6"/>
        <v>AOP</v>
      </c>
      <c r="V53" s="51">
        <f>N53*P52*(Q53-S53)</f>
        <v>2952.100451</v>
      </c>
      <c r="W53" s="52">
        <f t="shared" si="8"/>
        <v>2952.100451</v>
      </c>
      <c r="X53" s="9">
        <f>IF(L53="USD",P52,P52/$AA$6)</f>
        <v>30164.5</v>
      </c>
      <c r="Y53" s="8"/>
      <c r="Z53" s="8"/>
      <c r="AA53" s="8"/>
      <c r="AB53" s="8" t="str">
        <f t="shared" si="10"/>
        <v>ASGH38368R30XMA3</v>
      </c>
      <c r="AC53" s="8" t="str">
        <f>IF(AB53='Input - Bookings'!S26,"OK","Check")</f>
        <v>Check</v>
      </c>
      <c r="AD53" s="53"/>
      <c r="AE53" s="54">
        <v>0.0</v>
      </c>
      <c r="AF53" s="54">
        <v>0.0</v>
      </c>
      <c r="AG53" s="55">
        <v>26396.048943</v>
      </c>
      <c r="AH53" s="55"/>
      <c r="AI53" s="8" t="str">
        <f t="array" ref="AI53">XLOOKUP($J53,'AP Plants'!D:D,'AP Plants'!B:B)</f>
        <v>Class 2</v>
      </c>
      <c r="AJ53" s="56"/>
      <c r="AK53" s="56">
        <f>(AG53*(1+VLOOKUP(M53,'Currency &amp; Conversion'!$F$13:$H$19,2,0))+((AE53+AF53)*90%))</f>
        <v>26419.80539</v>
      </c>
      <c r="AL53" s="49">
        <v>0.015</v>
      </c>
      <c r="AM53" s="49">
        <f t="array" ref="AM53">XLOOKUP($AI53,Warranty!B:B,Warranty!E:E)</f>
        <v>0.015</v>
      </c>
      <c r="AN53" s="8">
        <f>IF($L53="AUD",VLOOKUP(RIGHT('Wk - Margins'!$J53,3),'AU Freight'!C:G,5,0),0)</f>
        <v>0</v>
      </c>
      <c r="AO53" s="49">
        <f t="shared" si="11"/>
        <v>0</v>
      </c>
      <c r="AP53" s="63">
        <f t="shared" si="12"/>
        <v>27212.39955</v>
      </c>
      <c r="AQ53" s="64">
        <f t="shared" si="13"/>
        <v>0.09786671257</v>
      </c>
      <c r="AR53" s="59">
        <f>IF(L53="AUD",O53*'Currency &amp; Conversion'!$L$7,'Wk - Margins'!O53)</f>
        <v>48490</v>
      </c>
      <c r="AS53" s="59">
        <f>IF(L53="AUD",P53*'Currency &amp; Conversion'!$L$7,'Wk - Margins'!P53)</f>
        <v>30164.5</v>
      </c>
    </row>
    <row r="54" ht="12.75" customHeight="1">
      <c r="A54" s="42" t="str">
        <f>'Input - Bookings'!A54</f>
        <v>20/06/2023</v>
      </c>
      <c r="B54" s="43" t="str">
        <f t="shared" si="1"/>
        <v>Asia</v>
      </c>
      <c r="C54" s="43" t="str">
        <f t="shared" si="2"/>
        <v>ASG</v>
      </c>
      <c r="D54" s="43" t="str">
        <f>'Input - Bookings'!D54</f>
        <v>A</v>
      </c>
      <c r="E54" s="43" t="str">
        <f>'Input - Bookings'!J54</f>
        <v>SG</v>
      </c>
      <c r="F54" s="44" t="str">
        <f>'Input - Bookings'!F54</f>
        <v>065</v>
      </c>
      <c r="G54" s="44" t="str">
        <f>'Input - Bookings'!I54</f>
        <v>HYSTER-YALE LIFT TRUCKS</v>
      </c>
      <c r="H54" s="44" t="str">
        <f>'Input - Bookings'!K54</f>
        <v>H38369</v>
      </c>
      <c r="I54" s="45" t="str">
        <f>VLOOKUP(H54,'Input - Bookings'!$G$2:$H$611,2,0)</f>
        <v>005065</v>
      </c>
      <c r="J54" s="44" t="str">
        <f>'Input - Bookings'!N54</f>
        <v>A185</v>
      </c>
      <c r="K54" s="44" t="str">
        <f>'Input - Bookings'!O54</f>
        <v>R30XMA3</v>
      </c>
      <c r="L54" s="44" t="str">
        <f>'Input - Bookings'!C54</f>
        <v>USD</v>
      </c>
      <c r="M54" s="46" t="str">
        <f t="array" ref="M54">IF(L54="USD",INDEX('AP Plants'!A:A,MATCH(J54,'AP Plants'!D:D,0)),INDEX('Australia Plants'!A:A,MATCH(J54,'Australia Plants'!D:D,0)))</f>
        <v>Greenville</v>
      </c>
      <c r="N54" s="10">
        <v>1.0</v>
      </c>
      <c r="O54" s="9">
        <v>48490.0</v>
      </c>
      <c r="P54" s="9">
        <v>30164.5</v>
      </c>
      <c r="Q54" s="47">
        <f t="shared" si="20"/>
        <v>0.09786671257</v>
      </c>
      <c r="R54" s="48">
        <f t="shared" si="3"/>
        <v>0.3779232832</v>
      </c>
      <c r="S54" s="49">
        <f t="shared" si="4"/>
        <v>0</v>
      </c>
      <c r="T54" s="49">
        <f t="shared" si="21"/>
        <v>0.09786671257</v>
      </c>
      <c r="U54" s="50" t="str">
        <f t="shared" si="6"/>
        <v>AOP</v>
      </c>
      <c r="V54" s="51">
        <f t="shared" ref="V54:V57" si="22">N54*P54*(Q54-S54)</f>
        <v>2952.100451</v>
      </c>
      <c r="W54" s="52">
        <f t="shared" si="8"/>
        <v>2952.100451</v>
      </c>
      <c r="X54" s="9">
        <f t="shared" ref="X54:X57" si="23">IF(L54="USD",P54,P54/$AA$6)</f>
        <v>30164.5</v>
      </c>
      <c r="Y54" s="8"/>
      <c r="Z54" s="8"/>
      <c r="AA54" s="8"/>
      <c r="AB54" s="8" t="str">
        <f t="shared" si="10"/>
        <v>ASGH38369R30XMA3</v>
      </c>
      <c r="AC54" s="8" t="str">
        <f>IF(AB54='Input - Bookings'!S27,"OK","Check")</f>
        <v>Check</v>
      </c>
      <c r="AD54" s="53"/>
      <c r="AE54" s="54">
        <v>0.0</v>
      </c>
      <c r="AF54" s="54">
        <v>0.0</v>
      </c>
      <c r="AG54" s="55">
        <v>26396.048943</v>
      </c>
      <c r="AH54" s="55"/>
      <c r="AI54" s="8" t="str">
        <f t="array" ref="AI54">XLOOKUP($J54,'AP Plants'!D:D,'AP Plants'!B:B)</f>
        <v>Class 2</v>
      </c>
      <c r="AJ54" s="56"/>
      <c r="AK54" s="56">
        <f>(AG54*(1+VLOOKUP(M54,'Currency &amp; Conversion'!$F$13:$H$19,2,0))+((AE54+AF54)*90%))</f>
        <v>26419.80539</v>
      </c>
      <c r="AL54" s="49">
        <v>0.015</v>
      </c>
      <c r="AM54" s="49">
        <f t="array" ref="AM54">XLOOKUP($AI54,Warranty!B:B,Warranty!E:E)</f>
        <v>0.015</v>
      </c>
      <c r="AN54" s="8">
        <f>IF($L54="AUD",VLOOKUP(RIGHT('Wk - Margins'!$J54,3),'AU Freight'!C:G,5,0),0)</f>
        <v>0</v>
      </c>
      <c r="AO54" s="49">
        <f t="shared" si="11"/>
        <v>0</v>
      </c>
      <c r="AP54" s="63">
        <f t="shared" si="12"/>
        <v>27212.39955</v>
      </c>
      <c r="AQ54" s="64">
        <f t="shared" si="13"/>
        <v>0.09786671257</v>
      </c>
      <c r="AR54" s="59">
        <f>IF(L54="AUD",O54*'Currency &amp; Conversion'!$L$7,'Wk - Margins'!O54)</f>
        <v>48490</v>
      </c>
      <c r="AS54" s="59">
        <f>IF(L54="AUD",P54*'Currency &amp; Conversion'!$L$7,'Wk - Margins'!P54)</f>
        <v>30164.5</v>
      </c>
    </row>
    <row r="55" ht="12.75" customHeight="1">
      <c r="A55" s="42" t="str">
        <f>'Input - Bookings'!A55</f>
        <v>20/06/2023</v>
      </c>
      <c r="B55" s="43" t="str">
        <f t="shared" si="1"/>
        <v>Asia</v>
      </c>
      <c r="C55" s="43" t="str">
        <f t="shared" si="2"/>
        <v>ASG</v>
      </c>
      <c r="D55" s="43" t="str">
        <f>'Input - Bookings'!D55</f>
        <v>A</v>
      </c>
      <c r="E55" s="43" t="str">
        <f>'Input - Bookings'!J55</f>
        <v>SG</v>
      </c>
      <c r="F55" s="44" t="str">
        <f>'Input - Bookings'!F55</f>
        <v>065</v>
      </c>
      <c r="G55" s="44" t="str">
        <f>'Input - Bookings'!I55</f>
        <v>HYSTER-YALE LIFT TRUCKS</v>
      </c>
      <c r="H55" s="44" t="str">
        <f>'Input - Bookings'!K55</f>
        <v>H38370</v>
      </c>
      <c r="I55" s="45" t="str">
        <f>VLOOKUP(H55,'Input - Bookings'!$G$2:$H$611,2,0)</f>
        <v>005065</v>
      </c>
      <c r="J55" s="44" t="str">
        <f>'Input - Bookings'!N55</f>
        <v>A185</v>
      </c>
      <c r="K55" s="44" t="str">
        <f>'Input - Bookings'!O55</f>
        <v>R30XMA3</v>
      </c>
      <c r="L55" s="44" t="str">
        <f>'Input - Bookings'!C55</f>
        <v>USD</v>
      </c>
      <c r="M55" s="46" t="str">
        <f t="array" ref="M55">IF(L55="USD",INDEX('AP Plants'!A:A,MATCH(J55,'AP Plants'!D:D,0)),INDEX('Australia Plants'!A:A,MATCH(J55,'Australia Plants'!D:D,0)))</f>
        <v>Greenville</v>
      </c>
      <c r="N55" s="10">
        <v>1.0</v>
      </c>
      <c r="O55" s="9">
        <v>48490.0</v>
      </c>
      <c r="P55" s="9">
        <v>30164.5</v>
      </c>
      <c r="Q55" s="47">
        <f t="shared" si="20"/>
        <v>0.09786671257</v>
      </c>
      <c r="R55" s="48">
        <f t="shared" si="3"/>
        <v>0.3779232832</v>
      </c>
      <c r="S55" s="49">
        <f t="shared" si="4"/>
        <v>0</v>
      </c>
      <c r="T55" s="49">
        <f t="shared" si="21"/>
        <v>0.09786671257</v>
      </c>
      <c r="U55" s="50" t="str">
        <f t="shared" si="6"/>
        <v>AOP</v>
      </c>
      <c r="V55" s="51">
        <f t="shared" si="22"/>
        <v>2952.100451</v>
      </c>
      <c r="W55" s="52">
        <f t="shared" si="8"/>
        <v>2952.100451</v>
      </c>
      <c r="X55" s="9">
        <f t="shared" si="23"/>
        <v>30164.5</v>
      </c>
      <c r="Y55" s="8"/>
      <c r="Z55" s="8"/>
      <c r="AA55" s="8"/>
      <c r="AB55" s="8" t="str">
        <f t="shared" si="10"/>
        <v>ASGH38370R30XMA3</v>
      </c>
      <c r="AC55" s="8" t="str">
        <f>IF(AB55='Input - Bookings'!S31,"OK","Check")</f>
        <v>Check</v>
      </c>
      <c r="AD55" s="53"/>
      <c r="AE55" s="54">
        <v>0.0</v>
      </c>
      <c r="AF55" s="54">
        <v>0.0</v>
      </c>
      <c r="AG55" s="55">
        <v>26396.048943</v>
      </c>
      <c r="AH55" s="55"/>
      <c r="AI55" s="8" t="str">
        <f t="array" ref="AI55">XLOOKUP($J55,'AP Plants'!D:D,'AP Plants'!B:B)</f>
        <v>Class 2</v>
      </c>
      <c r="AJ55" s="56"/>
      <c r="AK55" s="56">
        <f>(AG55*(1+VLOOKUP(M55,'Currency &amp; Conversion'!$F$13:$H$19,2,0))+((AE55+AF55)*90%))</f>
        <v>26419.80539</v>
      </c>
      <c r="AL55" s="49">
        <v>0.015</v>
      </c>
      <c r="AM55" s="49">
        <f t="array" ref="AM55">XLOOKUP($AI55,Warranty!B:B,Warranty!E:E)</f>
        <v>0.015</v>
      </c>
      <c r="AN55" s="8">
        <f>IF($L55="AUD",VLOOKUP(RIGHT('Wk - Margins'!$J55,3),'AU Freight'!C:G,5,0),0)</f>
        <v>0</v>
      </c>
      <c r="AO55" s="49">
        <f t="shared" si="11"/>
        <v>0</v>
      </c>
      <c r="AP55" s="63">
        <f t="shared" si="12"/>
        <v>27212.39955</v>
      </c>
      <c r="AQ55" s="64">
        <f t="shared" si="13"/>
        <v>0.09786671257</v>
      </c>
      <c r="AR55" s="59">
        <f>IF(L55="AUD",O55*'Currency &amp; Conversion'!$L$7,'Wk - Margins'!O55)</f>
        <v>48490</v>
      </c>
      <c r="AS55" s="59">
        <f>IF(L55="AUD",P55*'Currency &amp; Conversion'!$L$7,'Wk - Margins'!P55)</f>
        <v>30164.5</v>
      </c>
    </row>
    <row r="56" ht="12.75" hidden="1" customHeight="1">
      <c r="A56" s="42" t="str">
        <f>'Input - Bookings'!A56</f>
        <v>20/06/2023</v>
      </c>
      <c r="B56" s="43" t="str">
        <f t="shared" si="1"/>
        <v>Asia</v>
      </c>
      <c r="C56" s="43" t="str">
        <f t="shared" si="2"/>
        <v>ATH</v>
      </c>
      <c r="D56" s="43" t="str">
        <f>'Input - Bookings'!D56</f>
        <v>A</v>
      </c>
      <c r="E56" s="43" t="str">
        <f>'Input - Bookings'!J56</f>
        <v>TH</v>
      </c>
      <c r="F56" s="44" t="str">
        <f>'Input - Bookings'!F56</f>
        <v>065</v>
      </c>
      <c r="G56" s="44" t="str">
        <f>'Input - Bookings'!I56</f>
        <v>DILOK AND SONS CO.,LTD.</v>
      </c>
      <c r="H56" s="44" t="str">
        <f>'Input - Bookings'!K56</f>
        <v>H38371</v>
      </c>
      <c r="I56" s="45" t="str">
        <f>VLOOKUP(H56,'Input - Bookings'!$G$2:$H$611,2,0)</f>
        <v>006065</v>
      </c>
      <c r="J56" s="44" t="str">
        <f>'Input - Bookings'!N56</f>
        <v>A3C1</v>
      </c>
      <c r="K56" s="44" t="str">
        <f>'Input - Bookings'!O56</f>
        <v>H2.5UT</v>
      </c>
      <c r="L56" s="44" t="str">
        <f>'Input - Bookings'!C56</f>
        <v>USD</v>
      </c>
      <c r="M56" s="46" t="str">
        <f t="array" ref="M56">IF(L56="USD",INDEX('AP Plants'!A:A,MATCH(J56,'AP Plants'!D:D,0)),INDEX('Australia Plants'!A:A,MATCH(J56,'Australia Plants'!D:D,0)))</f>
        <v>Maximal</v>
      </c>
      <c r="N56" s="10">
        <v>1.0</v>
      </c>
      <c r="O56" s="9">
        <v>18795.0</v>
      </c>
      <c r="P56" s="9">
        <v>11476.5</v>
      </c>
      <c r="Q56" s="47">
        <v>0.13855206951138954</v>
      </c>
      <c r="R56" s="48">
        <f t="shared" si="3"/>
        <v>0.3893854749</v>
      </c>
      <c r="S56" s="49">
        <f t="shared" si="4"/>
        <v>0</v>
      </c>
      <c r="T56" s="49">
        <f t="shared" si="21"/>
        <v>0.1385520695</v>
      </c>
      <c r="U56" s="50" t="str">
        <f t="shared" si="6"/>
        <v>AOP</v>
      </c>
      <c r="V56" s="51">
        <f t="shared" si="22"/>
        <v>1590.092826</v>
      </c>
      <c r="W56" s="52">
        <f t="shared" si="8"/>
        <v>1590.092826</v>
      </c>
      <c r="X56" s="9">
        <f t="shared" si="23"/>
        <v>11476.5</v>
      </c>
      <c r="Y56" s="8"/>
      <c r="Z56" s="8"/>
      <c r="AA56" s="8"/>
      <c r="AB56" s="8" t="str">
        <f t="shared" si="10"/>
        <v>ATHH38371H2.5UT</v>
      </c>
      <c r="AC56" s="8" t="str">
        <f>IF(AB56='Input - Bookings'!S32,"OK","Check")</f>
        <v>Check</v>
      </c>
      <c r="AD56" s="53"/>
      <c r="AE56" s="54"/>
      <c r="AF56" s="54"/>
      <c r="AG56" s="55"/>
      <c r="AH56" s="55"/>
      <c r="AI56" s="8" t="str">
        <f t="array" ref="AI56">XLOOKUP($J56,'AP Plants'!D:D,'AP Plants'!B:B)</f>
        <v>Class 5 NOT BT</v>
      </c>
      <c r="AJ56" s="56"/>
      <c r="AK56" s="56"/>
      <c r="AL56" s="49">
        <v>0.015</v>
      </c>
      <c r="AM56" s="49">
        <f t="array" ref="AM56">XLOOKUP($AI56,Warranty!B:B,Warranty!E:E)</f>
        <v>0.005</v>
      </c>
      <c r="AN56" s="8">
        <f>IF($L56="AUD",VLOOKUP(RIGHT('Wk - Margins'!$J56,3),'AU Freight'!C:G,5,0),0)</f>
        <v>0</v>
      </c>
      <c r="AO56" s="49">
        <f t="shared" si="11"/>
        <v>0</v>
      </c>
      <c r="AP56" s="57">
        <f t="shared" si="12"/>
        <v>0</v>
      </c>
      <c r="AQ56" s="58">
        <f t="shared" si="13"/>
        <v>1</v>
      </c>
      <c r="AR56" s="59">
        <f>IF(L56="AUD",O56*'Currency &amp; Conversion'!$L$7,'Wk - Margins'!O56)</f>
        <v>18795</v>
      </c>
      <c r="AS56" s="59">
        <f>IF(L56="AUD",P56*'Currency &amp; Conversion'!$L$7,'Wk - Margins'!P56)</f>
        <v>11476.5</v>
      </c>
    </row>
    <row r="57" ht="12.75" hidden="1" customHeight="1">
      <c r="A57" s="42" t="str">
        <f>'Input - Bookings'!A57</f>
        <v>20/06/2023</v>
      </c>
      <c r="B57" s="43" t="str">
        <f t="shared" si="1"/>
        <v>Asia</v>
      </c>
      <c r="C57" s="43" t="str">
        <f t="shared" si="2"/>
        <v>ATH</v>
      </c>
      <c r="D57" s="43" t="str">
        <f>'Input - Bookings'!D57</f>
        <v>A</v>
      </c>
      <c r="E57" s="43" t="str">
        <f>'Input - Bookings'!J57</f>
        <v>TH</v>
      </c>
      <c r="F57" s="44" t="str">
        <f>'Input - Bookings'!F57</f>
        <v>065</v>
      </c>
      <c r="G57" s="44" t="str">
        <f>'Input - Bookings'!I57</f>
        <v>DILOK AND SONS CO.,LTD.</v>
      </c>
      <c r="H57" s="44" t="str">
        <f>'Input - Bookings'!K57</f>
        <v>H38372</v>
      </c>
      <c r="I57" s="45" t="str">
        <f>VLOOKUP(H57,'Input - Bookings'!$G$2:$H$611,2,0)</f>
        <v>006065</v>
      </c>
      <c r="J57" s="44" t="str">
        <f>'Input - Bookings'!N57</f>
        <v>A3C1</v>
      </c>
      <c r="K57" s="44" t="str">
        <f>'Input - Bookings'!O57</f>
        <v>H2.5UT</v>
      </c>
      <c r="L57" s="44" t="str">
        <f>'Input - Bookings'!C57</f>
        <v>USD</v>
      </c>
      <c r="M57" s="46" t="str">
        <f t="array" ref="M57">IF(L57="USD",INDEX('AP Plants'!A:A,MATCH(J57,'AP Plants'!D:D,0)),INDEX('Australia Plants'!A:A,MATCH(J57,'Australia Plants'!D:D,0)))</f>
        <v>Maximal</v>
      </c>
      <c r="N57" s="10">
        <v>1.0</v>
      </c>
      <c r="O57" s="9">
        <v>18795.0</v>
      </c>
      <c r="P57" s="9">
        <v>11476.5</v>
      </c>
      <c r="Q57" s="47">
        <v>0.13855206951138954</v>
      </c>
      <c r="R57" s="48">
        <f t="shared" si="3"/>
        <v>0.3893854749</v>
      </c>
      <c r="S57" s="49">
        <f t="shared" si="4"/>
        <v>0</v>
      </c>
      <c r="T57" s="49">
        <f t="shared" si="21"/>
        <v>0.1385520695</v>
      </c>
      <c r="U57" s="50" t="str">
        <f t="shared" si="6"/>
        <v>AOP</v>
      </c>
      <c r="V57" s="51">
        <f t="shared" si="22"/>
        <v>1590.092826</v>
      </c>
      <c r="W57" s="52">
        <f t="shared" si="8"/>
        <v>1590.092826</v>
      </c>
      <c r="X57" s="9">
        <f t="shared" si="23"/>
        <v>11476.5</v>
      </c>
      <c r="Y57" s="8"/>
      <c r="Z57" s="8"/>
      <c r="AA57" s="8"/>
      <c r="AB57" s="8" t="str">
        <f t="shared" si="10"/>
        <v>ATHH38372H2.5UT</v>
      </c>
      <c r="AC57" s="8" t="str">
        <f>IF(AB57='Input - Bookings'!S33,"OK","Check")</f>
        <v>Check</v>
      </c>
      <c r="AD57" s="53"/>
      <c r="AE57" s="54"/>
      <c r="AF57" s="54"/>
      <c r="AG57" s="55"/>
      <c r="AH57" s="55"/>
      <c r="AI57" s="8" t="str">
        <f t="array" ref="AI57">XLOOKUP($J57,'AP Plants'!D:D,'AP Plants'!B:B)</f>
        <v>Class 5 NOT BT</v>
      </c>
      <c r="AJ57" s="56"/>
      <c r="AK57" s="56"/>
      <c r="AL57" s="49">
        <v>0.015</v>
      </c>
      <c r="AM57" s="49">
        <f t="array" ref="AM57">XLOOKUP($AI57,Warranty!B:B,Warranty!E:E)</f>
        <v>0.005</v>
      </c>
      <c r="AN57" s="8">
        <f>IF($L57="AUD",VLOOKUP(RIGHT('Wk - Margins'!$J57,3),'AU Freight'!C:G,5,0),0)</f>
        <v>0</v>
      </c>
      <c r="AO57" s="49">
        <f t="shared" si="11"/>
        <v>0</v>
      </c>
      <c r="AP57" s="57">
        <f t="shared" si="12"/>
        <v>0</v>
      </c>
      <c r="AQ57" s="58">
        <f t="shared" si="13"/>
        <v>1</v>
      </c>
      <c r="AR57" s="59">
        <f>IF(L57="AUD",O57*'Currency &amp; Conversion'!$L$7,'Wk - Margins'!O57)</f>
        <v>18795</v>
      </c>
      <c r="AS57" s="59">
        <f>IF(L57="AUD",P57*'Currency &amp; Conversion'!$L$7,'Wk - Margins'!P57)</f>
        <v>11476.5</v>
      </c>
    </row>
    <row r="58" ht="12.75" hidden="1" customHeight="1">
      <c r="A58" s="42" t="str">
        <f>'Input - Bookings'!A58</f>
        <v>20/06/2023</v>
      </c>
      <c r="B58" s="43" t="str">
        <f t="shared" si="1"/>
        <v>Asia</v>
      </c>
      <c r="C58" s="43" t="str">
        <f t="shared" si="2"/>
        <v>ATH</v>
      </c>
      <c r="D58" s="43" t="str">
        <f>'Input - Bookings'!D58</f>
        <v>A</v>
      </c>
      <c r="E58" s="43" t="str">
        <f>'Input - Bookings'!J58</f>
        <v>TH</v>
      </c>
      <c r="F58" s="44" t="str">
        <f>'Input - Bookings'!F58</f>
        <v>065</v>
      </c>
      <c r="G58" s="44" t="str">
        <f>'Input - Bookings'!I58</f>
        <v>DILOK AND SONS CO.,LTD.</v>
      </c>
      <c r="H58" s="44" t="str">
        <f>'Input - Bookings'!K58</f>
        <v>H38373</v>
      </c>
      <c r="I58" s="45" t="str">
        <f>VLOOKUP(H58,'Input - Bookings'!$G$2:$H$611,2,0)</f>
        <v>006065</v>
      </c>
      <c r="J58" s="44" t="str">
        <f>'Input - Bookings'!N58</f>
        <v>A3C1</v>
      </c>
      <c r="K58" s="44" t="str">
        <f>'Input - Bookings'!O58</f>
        <v>H2.5UT</v>
      </c>
      <c r="L58" s="44" t="str">
        <f>'Input - Bookings'!C58</f>
        <v>USD</v>
      </c>
      <c r="M58" s="46" t="str">
        <f t="array" ref="M58">IF(L58="USD",INDEX('AP Plants'!A:A,MATCH(J58,'AP Plants'!D:D,0)),INDEX('Australia Plants'!A:A,MATCH(J58,'Australia Plants'!D:D,0)))</f>
        <v>Maximal</v>
      </c>
      <c r="N58" s="10">
        <v>1.0</v>
      </c>
      <c r="O58" s="9">
        <v>18795.0</v>
      </c>
      <c r="P58" s="9">
        <v>11476.5</v>
      </c>
      <c r="Q58" s="47">
        <v>0.13855206951138954</v>
      </c>
      <c r="R58" s="48">
        <f t="shared" si="3"/>
        <v>0.3893854749</v>
      </c>
      <c r="S58" s="49">
        <f t="shared" si="4"/>
        <v>0</v>
      </c>
      <c r="T58" s="49">
        <f t="shared" si="21"/>
        <v>0.1385520695</v>
      </c>
      <c r="U58" s="50" t="str">
        <f t="shared" si="6"/>
        <v>AOP</v>
      </c>
      <c r="V58" s="51">
        <f>N58*P60*(Q58-S58)</f>
        <v>2589.586672</v>
      </c>
      <c r="W58" s="52">
        <f t="shared" si="8"/>
        <v>2589.586672</v>
      </c>
      <c r="X58" s="9">
        <f>IF(L58="USD",P60,P60/$AA$6)</f>
        <v>18690.35</v>
      </c>
      <c r="Y58" s="8"/>
      <c r="Z58" s="8"/>
      <c r="AA58" s="8"/>
      <c r="AB58" s="8" t="str">
        <f t="shared" si="10"/>
        <v>ATHH38373H2.5UT</v>
      </c>
      <c r="AC58" s="8" t="str">
        <f>IF(AB58='Input - Bookings'!S37,"OK","Check")</f>
        <v>Check</v>
      </c>
      <c r="AD58" s="53"/>
      <c r="AE58" s="54"/>
      <c r="AF58" s="54"/>
      <c r="AG58" s="55"/>
      <c r="AH58" s="62"/>
      <c r="AI58" s="8" t="str">
        <f t="array" ref="AI58">XLOOKUP($J58,'AP Plants'!D:D,'AP Plants'!B:B)</f>
        <v>Class 5 NOT BT</v>
      </c>
      <c r="AJ58" s="56"/>
      <c r="AK58" s="56"/>
      <c r="AL58" s="49">
        <v>0.015</v>
      </c>
      <c r="AM58" s="49">
        <f t="array" ref="AM58">XLOOKUP($AI58,Warranty!B:B,Warranty!E:E)</f>
        <v>0.005</v>
      </c>
      <c r="AN58" s="8">
        <f>IF($L58="AUD",VLOOKUP(RIGHT('Wk - Margins'!$J58,3),'AU Freight'!C:G,5,0),0)</f>
        <v>0</v>
      </c>
      <c r="AO58" s="49">
        <f t="shared" si="11"/>
        <v>0</v>
      </c>
      <c r="AP58" s="57">
        <f t="shared" si="12"/>
        <v>0</v>
      </c>
      <c r="AQ58" s="58">
        <f t="shared" si="13"/>
        <v>1</v>
      </c>
      <c r="AR58" s="59">
        <f>IF(L58="AUD",O58*'Currency &amp; Conversion'!$L$7,'Wk - Margins'!O58)</f>
        <v>18795</v>
      </c>
      <c r="AS58" s="59">
        <f>IF(L58="AUD",P58*'Currency &amp; Conversion'!$L$7,'Wk - Margins'!P58)</f>
        <v>11476.5</v>
      </c>
    </row>
    <row r="59" ht="12.75" hidden="1" customHeight="1">
      <c r="A59" s="42" t="str">
        <f>'Input - Bookings'!A59</f>
        <v>20/06/2023</v>
      </c>
      <c r="B59" s="43" t="str">
        <f t="shared" si="1"/>
        <v>Asia</v>
      </c>
      <c r="C59" s="43" t="str">
        <f t="shared" si="2"/>
        <v>ATH</v>
      </c>
      <c r="D59" s="43" t="str">
        <f>'Input - Bookings'!D59</f>
        <v>A</v>
      </c>
      <c r="E59" s="43" t="str">
        <f>'Input - Bookings'!J59</f>
        <v>TH</v>
      </c>
      <c r="F59" s="44" t="str">
        <f>'Input - Bookings'!F59</f>
        <v>065</v>
      </c>
      <c r="G59" s="44" t="str">
        <f>'Input - Bookings'!I59</f>
        <v>DILOK AND SONS CO.,LTD.</v>
      </c>
      <c r="H59" s="44" t="str">
        <f>'Input - Bookings'!K59</f>
        <v>H38374</v>
      </c>
      <c r="I59" s="45" t="str">
        <f>VLOOKUP(H59,'Input - Bookings'!$G$2:$H$611,2,0)</f>
        <v>006065</v>
      </c>
      <c r="J59" s="44" t="str">
        <f>'Input - Bookings'!N59</f>
        <v>A3C1</v>
      </c>
      <c r="K59" s="44" t="str">
        <f>'Input - Bookings'!O59</f>
        <v>H2.5UT</v>
      </c>
      <c r="L59" s="44" t="str">
        <f>'Input - Bookings'!C59</f>
        <v>USD</v>
      </c>
      <c r="M59" s="46" t="str">
        <f t="array" ref="M59">IF(L59="USD",INDEX('AP Plants'!A:A,MATCH(J59,'AP Plants'!D:D,0)),INDEX('Australia Plants'!A:A,MATCH(J59,'Australia Plants'!D:D,0)))</f>
        <v>Maximal</v>
      </c>
      <c r="N59" s="10">
        <v>1.0</v>
      </c>
      <c r="O59" s="9">
        <v>18795.0</v>
      </c>
      <c r="P59" s="9">
        <v>11476.5</v>
      </c>
      <c r="Q59" s="47">
        <v>0.13855206951138954</v>
      </c>
      <c r="R59" s="48">
        <f t="shared" si="3"/>
        <v>0.3893854749</v>
      </c>
      <c r="S59" s="49">
        <f t="shared" si="4"/>
        <v>0</v>
      </c>
      <c r="T59" s="49">
        <f t="shared" si="21"/>
        <v>0.1385520695</v>
      </c>
      <c r="U59" s="50" t="str">
        <f t="shared" si="6"/>
        <v>AOP</v>
      </c>
      <c r="V59" s="51">
        <f t="shared" ref="V59:V72" si="24">N59*P59*(Q59-S59)</f>
        <v>1590.092826</v>
      </c>
      <c r="W59" s="52">
        <f t="shared" si="8"/>
        <v>1590.092826</v>
      </c>
      <c r="X59" s="9">
        <f t="shared" ref="X59:X611" si="25">IF(L59="USD",P59,P59/$AA$6)</f>
        <v>11476.5</v>
      </c>
      <c r="Y59" s="8"/>
      <c r="Z59" s="8"/>
      <c r="AA59" s="8"/>
      <c r="AB59" s="8" t="str">
        <f t="shared" si="10"/>
        <v>ATHH38374H2.5UT</v>
      </c>
      <c r="AC59" s="8" t="str">
        <f>IF(AB59='Input - Bookings'!S44,"OK","Check")</f>
        <v>Check</v>
      </c>
      <c r="AD59" s="53"/>
      <c r="AE59" s="54"/>
      <c r="AF59" s="54"/>
      <c r="AG59" s="55"/>
      <c r="AH59" s="62"/>
      <c r="AI59" s="8" t="str">
        <f t="array" ref="AI59">XLOOKUP($J59,'AP Plants'!D:D,'AP Plants'!B:B)</f>
        <v>Class 5 NOT BT</v>
      </c>
      <c r="AJ59" s="56"/>
      <c r="AK59" s="56"/>
      <c r="AL59" s="49">
        <v>0.015</v>
      </c>
      <c r="AM59" s="49">
        <f t="array" ref="AM59">XLOOKUP($AI59,Warranty!B:B,Warranty!E:E)</f>
        <v>0.005</v>
      </c>
      <c r="AN59" s="8">
        <f>IF($L59="AUD",VLOOKUP(RIGHT('Wk - Margins'!$J59,3),'AU Freight'!C:G,5,0),0)</f>
        <v>0</v>
      </c>
      <c r="AO59" s="49">
        <f t="shared" si="11"/>
        <v>0</v>
      </c>
      <c r="AP59" s="57">
        <f t="shared" si="12"/>
        <v>0</v>
      </c>
      <c r="AQ59" s="58">
        <f t="shared" si="13"/>
        <v>1</v>
      </c>
      <c r="AR59" s="59">
        <f>IF(L59="AUD",O59*'Currency &amp; Conversion'!$L$7,'Wk - Margins'!O59)</f>
        <v>18795</v>
      </c>
      <c r="AS59" s="59">
        <f>IF(L59="AUD",P59*'Currency &amp; Conversion'!$L$7,'Wk - Margins'!P59)</f>
        <v>11476.5</v>
      </c>
    </row>
    <row r="60" ht="12.75" hidden="1" customHeight="1">
      <c r="A60" s="42" t="str">
        <f>'Input - Bookings'!A60</f>
        <v>20/06/2023</v>
      </c>
      <c r="B60" s="43" t="str">
        <f t="shared" si="1"/>
        <v>Asia</v>
      </c>
      <c r="C60" s="43" t="str">
        <f t="shared" si="2"/>
        <v>ATH</v>
      </c>
      <c r="D60" s="43" t="str">
        <f>'Input - Bookings'!D60</f>
        <v>A</v>
      </c>
      <c r="E60" s="43" t="str">
        <f>'Input - Bookings'!J60</f>
        <v>TH</v>
      </c>
      <c r="F60" s="44" t="str">
        <f>'Input - Bookings'!F60</f>
        <v>065</v>
      </c>
      <c r="G60" s="44" t="str">
        <f>'Input - Bookings'!I60</f>
        <v>DILOK AND SONS CO.,LTD.</v>
      </c>
      <c r="H60" s="45" t="str">
        <f>'Input - Bookings'!K60</f>
        <v>H38375</v>
      </c>
      <c r="I60" s="45" t="str">
        <f>VLOOKUP(H60,'Input - Bookings'!$G$2:$H$611,2,0)</f>
        <v>006065</v>
      </c>
      <c r="J60" s="44" t="str">
        <f>'Input - Bookings'!N60</f>
        <v>A3C4</v>
      </c>
      <c r="K60" s="44" t="str">
        <f>'Input - Bookings'!O60</f>
        <v>J2.5UT</v>
      </c>
      <c r="L60" s="44" t="str">
        <f>'Input - Bookings'!C60</f>
        <v>USD</v>
      </c>
      <c r="M60" s="46" t="str">
        <f t="array" ref="M60">IF(L60="USD",INDEX('AP Plants'!A:A,MATCH(J60,'AP Plants'!D:D,0)),INDEX('Australia Plants'!A:A,MATCH(J60,'Australia Plants'!D:D,0)))</f>
        <v>Maximal</v>
      </c>
      <c r="N60" s="10">
        <v>1.0</v>
      </c>
      <c r="O60" s="9">
        <v>25972.0</v>
      </c>
      <c r="P60" s="9">
        <v>18690.35</v>
      </c>
      <c r="Q60" s="47">
        <v>0.1759865073375685</v>
      </c>
      <c r="R60" s="48">
        <f t="shared" si="3"/>
        <v>0.2803653935</v>
      </c>
      <c r="S60" s="49">
        <f t="shared" si="4"/>
        <v>0</v>
      </c>
      <c r="T60" s="49">
        <f t="shared" si="21"/>
        <v>0.1759865073</v>
      </c>
      <c r="U60" s="50" t="str">
        <f t="shared" si="6"/>
        <v>AOP</v>
      </c>
      <c r="V60" s="51">
        <f t="shared" si="24"/>
        <v>3289.249417</v>
      </c>
      <c r="W60" s="52">
        <f t="shared" si="8"/>
        <v>3289.249417</v>
      </c>
      <c r="X60" s="9">
        <f t="shared" si="25"/>
        <v>18690.35</v>
      </c>
      <c r="Y60" s="8"/>
      <c r="Z60" s="8"/>
      <c r="AA60" s="8"/>
      <c r="AB60" s="8" t="str">
        <f t="shared" si="10"/>
        <v>ATHH38375J2.5UT</v>
      </c>
      <c r="AC60" s="8" t="str">
        <f>IF(AB60='Input - Bookings'!S46,"OK","Check")</f>
        <v>Check</v>
      </c>
      <c r="AD60" s="60"/>
      <c r="AE60" s="54"/>
      <c r="AF60" s="54"/>
      <c r="AG60" s="55"/>
      <c r="AH60" s="62"/>
      <c r="AI60" s="8" t="str">
        <f t="array" ref="AI60">XLOOKUP($J60,'AP Plants'!D:D,'AP Plants'!B:B)</f>
        <v>Class 1</v>
      </c>
      <c r="AJ60" s="56"/>
      <c r="AK60" s="56"/>
      <c r="AL60" s="49">
        <v>0.015</v>
      </c>
      <c r="AM60" s="49">
        <f t="array" ref="AM60">XLOOKUP($AI60,Warranty!B:B,Warranty!E:E)</f>
        <v>0.005</v>
      </c>
      <c r="AN60" s="8">
        <f>IF($L60="AUD",VLOOKUP(RIGHT('Wk - Margins'!$J60,3),'AU Freight'!C:G,5,0),0)</f>
        <v>0</v>
      </c>
      <c r="AO60" s="49">
        <f t="shared" si="11"/>
        <v>0</v>
      </c>
      <c r="AP60" s="57">
        <f t="shared" si="12"/>
        <v>0</v>
      </c>
      <c r="AQ60" s="58">
        <f t="shared" si="13"/>
        <v>1</v>
      </c>
      <c r="AR60" s="59">
        <f>IF(L60="AUD",O60*'Currency &amp; Conversion'!$L$7,'Wk - Margins'!O60)</f>
        <v>25972</v>
      </c>
      <c r="AS60" s="59">
        <f>IF(L60="AUD",P60*'Currency &amp; Conversion'!$L$7,'Wk - Margins'!P60)</f>
        <v>18690.35</v>
      </c>
    </row>
    <row r="61" ht="12.75" hidden="1" customHeight="1">
      <c r="A61" s="42" t="str">
        <f>'Input - Bookings'!A61</f>
        <v>20/06/2023</v>
      </c>
      <c r="B61" s="43" t="str">
        <f t="shared" si="1"/>
        <v>Asia</v>
      </c>
      <c r="C61" s="43" t="str">
        <f t="shared" si="2"/>
        <v>ATH</v>
      </c>
      <c r="D61" s="43" t="str">
        <f>'Input - Bookings'!D61</f>
        <v>A</v>
      </c>
      <c r="E61" s="43" t="str">
        <f>'Input - Bookings'!J61</f>
        <v>TH</v>
      </c>
      <c r="F61" s="44" t="str">
        <f>'Input - Bookings'!F61</f>
        <v>065</v>
      </c>
      <c r="G61" s="44" t="str">
        <f>'Input - Bookings'!I61</f>
        <v>DILOK AND SONS CO.,LTD.</v>
      </c>
      <c r="H61" s="45" t="str">
        <f>'Input - Bookings'!K61</f>
        <v>H38376</v>
      </c>
      <c r="I61" s="45" t="str">
        <f>VLOOKUP(H61,'Input - Bookings'!$G$2:$H$611,2,0)</f>
        <v>006065</v>
      </c>
      <c r="J61" s="44" t="str">
        <f>'Input - Bookings'!N61</f>
        <v>A3C4</v>
      </c>
      <c r="K61" s="44" t="str">
        <f>'Input - Bookings'!O61</f>
        <v>J2.5UT</v>
      </c>
      <c r="L61" s="44" t="str">
        <f>'Input - Bookings'!C61</f>
        <v>USD</v>
      </c>
      <c r="M61" s="46" t="str">
        <f t="array" ref="M61">IF(L61="USD",INDEX('AP Plants'!A:A,MATCH(J61,'AP Plants'!D:D,0)),INDEX('Australia Plants'!A:A,MATCH(J61,'Australia Plants'!D:D,0)))</f>
        <v>Maximal</v>
      </c>
      <c r="N61" s="10">
        <v>1.0</v>
      </c>
      <c r="O61" s="9">
        <v>25972.0</v>
      </c>
      <c r="P61" s="9">
        <v>18690.35</v>
      </c>
      <c r="Q61" s="47">
        <v>0.1759865073375685</v>
      </c>
      <c r="R61" s="48">
        <f t="shared" si="3"/>
        <v>0.2803653935</v>
      </c>
      <c r="S61" s="49">
        <f t="shared" si="4"/>
        <v>0</v>
      </c>
      <c r="T61" s="49">
        <f t="shared" si="21"/>
        <v>0.1759865073</v>
      </c>
      <c r="U61" s="50" t="str">
        <f t="shared" si="6"/>
        <v>AOP</v>
      </c>
      <c r="V61" s="51">
        <f t="shared" si="24"/>
        <v>3289.249417</v>
      </c>
      <c r="W61" s="52">
        <f t="shared" si="8"/>
        <v>3289.249417</v>
      </c>
      <c r="X61" s="9">
        <f t="shared" si="25"/>
        <v>18690.35</v>
      </c>
      <c r="Y61" s="8"/>
      <c r="Z61" s="8"/>
      <c r="AA61" s="8"/>
      <c r="AB61" s="8" t="str">
        <f t="shared" si="10"/>
        <v>ATHH38376J2.5UT</v>
      </c>
      <c r="AC61" s="8" t="str">
        <f>IF(AB61='Input - Bookings'!S49,"OK","Check")</f>
        <v>Check</v>
      </c>
      <c r="AD61" s="60"/>
      <c r="AE61" s="54"/>
      <c r="AF61" s="54"/>
      <c r="AG61" s="55"/>
      <c r="AH61" s="62"/>
      <c r="AI61" s="8" t="str">
        <f t="array" ref="AI61">XLOOKUP($J61,'AP Plants'!D:D,'AP Plants'!B:B)</f>
        <v>Class 1</v>
      </c>
      <c r="AJ61" s="56"/>
      <c r="AK61" s="56"/>
      <c r="AL61" s="49">
        <v>0.015</v>
      </c>
      <c r="AM61" s="49">
        <f t="array" ref="AM61">XLOOKUP($AI61,Warranty!B:B,Warranty!E:E)</f>
        <v>0.005</v>
      </c>
      <c r="AN61" s="8">
        <f>IF($L61="AUD",VLOOKUP(RIGHT('Wk - Margins'!$J61,3),'AU Freight'!C:G,5,0),0)</f>
        <v>0</v>
      </c>
      <c r="AO61" s="49">
        <f t="shared" si="11"/>
        <v>0</v>
      </c>
      <c r="AP61" s="57">
        <f t="shared" si="12"/>
        <v>0</v>
      </c>
      <c r="AQ61" s="58">
        <f t="shared" si="13"/>
        <v>1</v>
      </c>
      <c r="AR61" s="59">
        <f>IF(L61="AUD",O61*'Currency &amp; Conversion'!$L$7,'Wk - Margins'!O61)</f>
        <v>25972</v>
      </c>
      <c r="AS61" s="59">
        <f>IF(L61="AUD",P61*'Currency &amp; Conversion'!$L$7,'Wk - Margins'!P61)</f>
        <v>18690.35</v>
      </c>
    </row>
    <row r="62" ht="12.75" hidden="1" customHeight="1">
      <c r="A62" s="42" t="str">
        <f>'Input - Bookings'!A62</f>
        <v>20/06/2023</v>
      </c>
      <c r="B62" s="43" t="str">
        <f t="shared" si="1"/>
        <v>Asia</v>
      </c>
      <c r="C62" s="43" t="str">
        <f t="shared" si="2"/>
        <v>ATH</v>
      </c>
      <c r="D62" s="43" t="str">
        <f>'Input - Bookings'!D62</f>
        <v>A</v>
      </c>
      <c r="E62" s="43" t="str">
        <f>'Input - Bookings'!J62</f>
        <v>TH</v>
      </c>
      <c r="F62" s="44" t="str">
        <f>'Input - Bookings'!F62</f>
        <v>065</v>
      </c>
      <c r="G62" s="44" t="str">
        <f>'Input - Bookings'!I62</f>
        <v>DILOK AND SONS CO.,LTD.</v>
      </c>
      <c r="H62" s="45" t="str">
        <f>'Input - Bookings'!K62</f>
        <v>H38377</v>
      </c>
      <c r="I62" s="45" t="str">
        <f>VLOOKUP(H62,'Input - Bookings'!$G$2:$H$611,2,0)</f>
        <v>006065</v>
      </c>
      <c r="J62" s="44" t="str">
        <f>'Input - Bookings'!N62</f>
        <v>A3C4</v>
      </c>
      <c r="K62" s="44" t="str">
        <f>'Input - Bookings'!O62</f>
        <v>J2.5UT</v>
      </c>
      <c r="L62" s="44" t="str">
        <f>'Input - Bookings'!C62</f>
        <v>USD</v>
      </c>
      <c r="M62" s="46" t="str">
        <f t="array" ref="M62">IF(L62="USD",INDEX('AP Plants'!A:A,MATCH(J62,'AP Plants'!D:D,0)),INDEX('Australia Plants'!A:A,MATCH(J62,'Australia Plants'!D:D,0)))</f>
        <v>Maximal</v>
      </c>
      <c r="N62" s="10">
        <v>1.0</v>
      </c>
      <c r="O62" s="9">
        <v>25972.0</v>
      </c>
      <c r="P62" s="9">
        <v>18690.35</v>
      </c>
      <c r="Q62" s="47">
        <v>0.1759865073375685</v>
      </c>
      <c r="R62" s="48">
        <f t="shared" si="3"/>
        <v>0.2803653935</v>
      </c>
      <c r="S62" s="49">
        <f t="shared" si="4"/>
        <v>0</v>
      </c>
      <c r="T62" s="49">
        <f t="shared" si="21"/>
        <v>0.1759865073</v>
      </c>
      <c r="U62" s="50" t="str">
        <f t="shared" si="6"/>
        <v>AOP</v>
      </c>
      <c r="V62" s="51">
        <f t="shared" si="24"/>
        <v>3289.249417</v>
      </c>
      <c r="W62" s="52">
        <f t="shared" si="8"/>
        <v>3289.249417</v>
      </c>
      <c r="X62" s="9">
        <f t="shared" si="25"/>
        <v>18690.35</v>
      </c>
      <c r="Y62" s="8"/>
      <c r="Z62" s="8"/>
      <c r="AA62" s="8"/>
      <c r="AB62" s="8" t="str">
        <f t="shared" si="10"/>
        <v>ATHH38377J2.5UT</v>
      </c>
      <c r="AC62" s="8" t="str">
        <f>IF(AB62='Input - Bookings'!S54,"OK","Check")</f>
        <v>Check</v>
      </c>
      <c r="AD62" s="60"/>
      <c r="AE62" s="54"/>
      <c r="AF62" s="54"/>
      <c r="AG62" s="55"/>
      <c r="AH62" s="62"/>
      <c r="AI62" s="8" t="str">
        <f t="array" ref="AI62">XLOOKUP($J62,'AP Plants'!D:D,'AP Plants'!B:B)</f>
        <v>Class 1</v>
      </c>
      <c r="AJ62" s="56"/>
      <c r="AK62" s="56"/>
      <c r="AL62" s="49">
        <v>0.015</v>
      </c>
      <c r="AM62" s="49">
        <f t="array" ref="AM62">XLOOKUP($AI62,Warranty!B:B,Warranty!E:E)</f>
        <v>0.005</v>
      </c>
      <c r="AN62" s="8">
        <f>IF($L62="AUD",VLOOKUP(RIGHT('Wk - Margins'!$J62,3),'AU Freight'!C:G,5,0),0)</f>
        <v>0</v>
      </c>
      <c r="AO62" s="49">
        <f t="shared" si="11"/>
        <v>0</v>
      </c>
      <c r="AP62" s="57">
        <f t="shared" si="12"/>
        <v>0</v>
      </c>
      <c r="AQ62" s="58">
        <f t="shared" si="13"/>
        <v>1</v>
      </c>
      <c r="AR62" s="59">
        <f>IF(L62="AUD",O62*'Currency &amp; Conversion'!$L$7,'Wk - Margins'!O62)</f>
        <v>25972</v>
      </c>
      <c r="AS62" s="59">
        <f>IF(L62="AUD",P62*'Currency &amp; Conversion'!$L$7,'Wk - Margins'!P62)</f>
        <v>18690.35</v>
      </c>
    </row>
    <row r="63" ht="12.75" hidden="1" customHeight="1">
      <c r="A63" s="42" t="str">
        <f>'Input - Bookings'!A63</f>
        <v>20/06/2023</v>
      </c>
      <c r="B63" s="43" t="str">
        <f t="shared" si="1"/>
        <v>Asia</v>
      </c>
      <c r="C63" s="43" t="str">
        <f t="shared" si="2"/>
        <v>ATH</v>
      </c>
      <c r="D63" s="43" t="str">
        <f>'Input - Bookings'!D63</f>
        <v>A</v>
      </c>
      <c r="E63" s="43" t="str">
        <f>'Input - Bookings'!J63</f>
        <v>TH</v>
      </c>
      <c r="F63" s="44" t="str">
        <f>'Input - Bookings'!F63</f>
        <v>065</v>
      </c>
      <c r="G63" s="44" t="str">
        <f>'Input - Bookings'!I63</f>
        <v>DILOK AND SONS CO.,LTD.</v>
      </c>
      <c r="H63" s="45" t="str">
        <f>'Input - Bookings'!K63</f>
        <v>H38378</v>
      </c>
      <c r="I63" s="45" t="str">
        <f>VLOOKUP(H63,'Input - Bookings'!$G$2:$H$611,2,0)</f>
        <v>006065</v>
      </c>
      <c r="J63" s="44" t="str">
        <f>'Input - Bookings'!N63</f>
        <v>A3C4</v>
      </c>
      <c r="K63" s="44" t="str">
        <f>'Input - Bookings'!O63</f>
        <v>J2.5UT</v>
      </c>
      <c r="L63" s="44" t="str">
        <f>'Input - Bookings'!C63</f>
        <v>USD</v>
      </c>
      <c r="M63" s="46" t="str">
        <f t="array" ref="M63">IF(L63="USD",INDEX('AP Plants'!A:A,MATCH(J63,'AP Plants'!D:D,0)),INDEX('Australia Plants'!A:A,MATCH(J63,'Australia Plants'!D:D,0)))</f>
        <v>Maximal</v>
      </c>
      <c r="N63" s="10">
        <v>1.0</v>
      </c>
      <c r="O63" s="9">
        <v>25972.0</v>
      </c>
      <c r="P63" s="9">
        <v>18690.35</v>
      </c>
      <c r="Q63" s="47">
        <v>0.1759865073375685</v>
      </c>
      <c r="R63" s="48">
        <f t="shared" si="3"/>
        <v>0.2803653935</v>
      </c>
      <c r="S63" s="49">
        <f t="shared" si="4"/>
        <v>0</v>
      </c>
      <c r="T63" s="49">
        <f t="shared" si="21"/>
        <v>0.1759865073</v>
      </c>
      <c r="U63" s="50" t="str">
        <f t="shared" si="6"/>
        <v>AOP</v>
      </c>
      <c r="V63" s="51">
        <f t="shared" si="24"/>
        <v>3289.249417</v>
      </c>
      <c r="W63" s="52">
        <f t="shared" si="8"/>
        <v>3289.249417</v>
      </c>
      <c r="X63" s="9">
        <f t="shared" si="25"/>
        <v>18690.35</v>
      </c>
      <c r="Y63" s="8"/>
      <c r="Z63" s="8"/>
      <c r="AA63" s="8"/>
      <c r="AB63" s="8" t="str">
        <f t="shared" si="10"/>
        <v>ATHH38378J2.5UT</v>
      </c>
      <c r="AC63" s="8" t="str">
        <f>IF(AB63='Input - Bookings'!S51,"OK","Check")</f>
        <v>Check</v>
      </c>
      <c r="AD63" s="60"/>
      <c r="AE63" s="54"/>
      <c r="AF63" s="54"/>
      <c r="AG63" s="55"/>
      <c r="AH63" s="62"/>
      <c r="AI63" s="8" t="str">
        <f t="array" ref="AI63">XLOOKUP($J63,'AP Plants'!D:D,'AP Plants'!B:B)</f>
        <v>Class 1</v>
      </c>
      <c r="AJ63" s="56"/>
      <c r="AK63" s="56"/>
      <c r="AL63" s="49">
        <v>0.015</v>
      </c>
      <c r="AM63" s="49">
        <f t="array" ref="AM63">XLOOKUP($AI63,Warranty!B:B,Warranty!E:E)</f>
        <v>0.005</v>
      </c>
      <c r="AN63" s="8">
        <f>IF($L63="AUD",VLOOKUP(RIGHT('Wk - Margins'!$J63,3),'AU Freight'!C:G,5,0),0)</f>
        <v>0</v>
      </c>
      <c r="AO63" s="49">
        <f t="shared" si="11"/>
        <v>0</v>
      </c>
      <c r="AP63" s="57">
        <f t="shared" si="12"/>
        <v>0</v>
      </c>
      <c r="AQ63" s="58">
        <f t="shared" si="13"/>
        <v>1</v>
      </c>
      <c r="AR63" s="59">
        <f>IF(L63="AUD",O63*'Currency &amp; Conversion'!$L$7,'Wk - Margins'!O63)</f>
        <v>25972</v>
      </c>
      <c r="AS63" s="59">
        <f>IF(L63="AUD",P63*'Currency &amp; Conversion'!$L$7,'Wk - Margins'!P63)</f>
        <v>18690.35</v>
      </c>
    </row>
    <row r="64" ht="12.75" hidden="1" customHeight="1">
      <c r="A64" s="42" t="str">
        <f>'Input - Bookings'!A64</f>
        <v>20/06/2023</v>
      </c>
      <c r="B64" s="43" t="str">
        <f t="shared" si="1"/>
        <v>Asia</v>
      </c>
      <c r="C64" s="43" t="str">
        <f t="shared" si="2"/>
        <v>ATH</v>
      </c>
      <c r="D64" s="43" t="str">
        <f>'Input - Bookings'!D64</f>
        <v>A</v>
      </c>
      <c r="E64" s="43" t="str">
        <f>'Input - Bookings'!J64</f>
        <v>TH</v>
      </c>
      <c r="F64" s="44" t="str">
        <f>'Input - Bookings'!F64</f>
        <v>065</v>
      </c>
      <c r="G64" s="44" t="str">
        <f>'Input - Bookings'!I64</f>
        <v>DILOK AND SONS CO.,LTD.</v>
      </c>
      <c r="H64" s="45" t="str">
        <f>'Input - Bookings'!K64</f>
        <v>H38379</v>
      </c>
      <c r="I64" s="45" t="str">
        <f>VLOOKUP(H64,'Input - Bookings'!$G$2:$H$611,2,0)</f>
        <v>006065</v>
      </c>
      <c r="J64" s="44" t="str">
        <f>'Input - Bookings'!N64</f>
        <v>A3C4</v>
      </c>
      <c r="K64" s="44" t="str">
        <f>'Input - Bookings'!O64</f>
        <v>J2.5UT</v>
      </c>
      <c r="L64" s="44" t="str">
        <f>'Input - Bookings'!C64</f>
        <v>USD</v>
      </c>
      <c r="M64" s="46" t="str">
        <f t="array" ref="M64">IF(L64="USD",INDEX('AP Plants'!A:A,MATCH(J64,'AP Plants'!D:D,0)),INDEX('Australia Plants'!A:A,MATCH(J64,'Australia Plants'!D:D,0)))</f>
        <v>Maximal</v>
      </c>
      <c r="N64" s="10">
        <v>1.0</v>
      </c>
      <c r="O64" s="9">
        <v>25972.0</v>
      </c>
      <c r="P64" s="9">
        <v>18690.35</v>
      </c>
      <c r="Q64" s="47">
        <v>0.1759865073375685</v>
      </c>
      <c r="R64" s="48">
        <f t="shared" si="3"/>
        <v>0.2803653935</v>
      </c>
      <c r="S64" s="49">
        <f t="shared" si="4"/>
        <v>0</v>
      </c>
      <c r="T64" s="49">
        <f t="shared" si="21"/>
        <v>0.1759865073</v>
      </c>
      <c r="U64" s="50" t="str">
        <f t="shared" si="6"/>
        <v>AOP</v>
      </c>
      <c r="V64" s="51">
        <f t="shared" si="24"/>
        <v>3289.249417</v>
      </c>
      <c r="W64" s="52">
        <f t="shared" si="8"/>
        <v>3289.249417</v>
      </c>
      <c r="X64" s="9">
        <f t="shared" si="25"/>
        <v>18690.35</v>
      </c>
      <c r="Y64" s="8"/>
      <c r="Z64" s="8"/>
      <c r="AA64" s="8"/>
      <c r="AB64" s="8" t="str">
        <f t="shared" si="10"/>
        <v>ATHH38379J2.5UT</v>
      </c>
      <c r="AC64" s="8" t="str">
        <f>IF(AB64='Input - Bookings'!S55,"OK","Check")</f>
        <v>Check</v>
      </c>
      <c r="AD64" s="60"/>
      <c r="AE64" s="54"/>
      <c r="AF64" s="54"/>
      <c r="AG64" s="55"/>
      <c r="AH64" s="62"/>
      <c r="AI64" s="8" t="str">
        <f t="array" ref="AI64">XLOOKUP($J64,'AP Plants'!D:D,'AP Plants'!B:B)</f>
        <v>Class 1</v>
      </c>
      <c r="AJ64" s="56"/>
      <c r="AK64" s="56"/>
      <c r="AL64" s="49">
        <v>0.015</v>
      </c>
      <c r="AM64" s="49">
        <f t="array" ref="AM64">XLOOKUP($AI64,Warranty!B:B,Warranty!E:E)</f>
        <v>0.005</v>
      </c>
      <c r="AN64" s="8">
        <f>IF($L64="AUD",VLOOKUP(RIGHT('Wk - Margins'!$J64,3),'AU Freight'!C:G,5,0),0)</f>
        <v>0</v>
      </c>
      <c r="AO64" s="49">
        <f t="shared" si="11"/>
        <v>0</v>
      </c>
      <c r="AP64" s="57">
        <f t="shared" si="12"/>
        <v>0</v>
      </c>
      <c r="AQ64" s="58">
        <f t="shared" si="13"/>
        <v>1</v>
      </c>
      <c r="AR64" s="59">
        <f>IF(L64="AUD",O64*'Currency &amp; Conversion'!$L$7,'Wk - Margins'!O64)</f>
        <v>25972</v>
      </c>
      <c r="AS64" s="59">
        <f>IF(L64="AUD",P64*'Currency &amp; Conversion'!$L$7,'Wk - Margins'!P64)</f>
        <v>18690.35</v>
      </c>
    </row>
    <row r="65" ht="12.75" hidden="1" customHeight="1">
      <c r="A65" s="42" t="str">
        <f>'Input - Bookings'!A65</f>
        <v>20/06/2023</v>
      </c>
      <c r="B65" s="43" t="str">
        <f t="shared" si="1"/>
        <v>Asia</v>
      </c>
      <c r="C65" s="43" t="str">
        <f t="shared" si="2"/>
        <v>ATH</v>
      </c>
      <c r="D65" s="43" t="str">
        <f>'Input - Bookings'!D65</f>
        <v>A</v>
      </c>
      <c r="E65" s="43" t="str">
        <f>'Input - Bookings'!J65</f>
        <v>TH</v>
      </c>
      <c r="F65" s="44" t="str">
        <f>'Input - Bookings'!F65</f>
        <v>065</v>
      </c>
      <c r="G65" s="44" t="str">
        <f>'Input - Bookings'!I65</f>
        <v>DILOK AND SONS CO.,LTD.</v>
      </c>
      <c r="H65" s="44" t="str">
        <f>'Input - Bookings'!K65</f>
        <v>H38380</v>
      </c>
      <c r="I65" s="45" t="str">
        <f>VLOOKUP(H65,'Input - Bookings'!$G$2:$H$611,2,0)</f>
        <v>006065</v>
      </c>
      <c r="J65" s="44" t="str">
        <f>'Input - Bookings'!N65</f>
        <v>A3C4</v>
      </c>
      <c r="K65" s="44" t="str">
        <f>'Input - Bookings'!O65</f>
        <v>J2.5UT</v>
      </c>
      <c r="L65" s="44" t="str">
        <f>'Input - Bookings'!C65</f>
        <v>USD</v>
      </c>
      <c r="M65" s="46" t="str">
        <f t="array" ref="M65">IF(L65="USD",INDEX('AP Plants'!A:A,MATCH(J65,'AP Plants'!D:D,0)),INDEX('Australia Plants'!A:A,MATCH(J65,'Australia Plants'!D:D,0)))</f>
        <v>Maximal</v>
      </c>
      <c r="N65" s="10">
        <v>1.0</v>
      </c>
      <c r="O65" s="9">
        <v>19890.0</v>
      </c>
      <c r="P65" s="9">
        <v>13852.15</v>
      </c>
      <c r="Q65" s="47">
        <v>0.13792892998614814</v>
      </c>
      <c r="R65" s="48">
        <f t="shared" si="3"/>
        <v>0.3035620915</v>
      </c>
      <c r="S65" s="49">
        <f t="shared" si="4"/>
        <v>0</v>
      </c>
      <c r="T65" s="49">
        <f t="shared" si="21"/>
        <v>0.13792893</v>
      </c>
      <c r="U65" s="50" t="str">
        <f t="shared" si="6"/>
        <v>AOP</v>
      </c>
      <c r="V65" s="51">
        <f t="shared" si="24"/>
        <v>1910.612228</v>
      </c>
      <c r="W65" s="52">
        <f t="shared" si="8"/>
        <v>1910.612228</v>
      </c>
      <c r="X65" s="9">
        <f t="shared" si="25"/>
        <v>13852.15</v>
      </c>
      <c r="Y65" s="8"/>
      <c r="Z65" s="8"/>
      <c r="AA65" s="8"/>
      <c r="AB65" s="8" t="str">
        <f t="shared" si="10"/>
        <v>ATHH38380J2.5UT</v>
      </c>
      <c r="AC65" s="8" t="str">
        <f>IF(AB65='Input - Bookings'!S56,"OK","Check")</f>
        <v>Check</v>
      </c>
      <c r="AD65" s="60"/>
      <c r="AE65" s="54"/>
      <c r="AF65" s="54"/>
      <c r="AG65" s="55"/>
      <c r="AH65" s="62"/>
      <c r="AI65" s="8" t="str">
        <f t="array" ref="AI65">XLOOKUP($J65,'AP Plants'!D:D,'AP Plants'!B:B)</f>
        <v>Class 1</v>
      </c>
      <c r="AJ65" s="56"/>
      <c r="AK65" s="56"/>
      <c r="AL65" s="49">
        <v>0.015</v>
      </c>
      <c r="AM65" s="49">
        <f t="array" ref="AM65">XLOOKUP($AI65,Warranty!B:B,Warranty!E:E)</f>
        <v>0.005</v>
      </c>
      <c r="AN65" s="8">
        <f>IF($L65="AUD",VLOOKUP(RIGHT('Wk - Margins'!$J65,3),'AU Freight'!C:G,5,0),0)</f>
        <v>0</v>
      </c>
      <c r="AO65" s="49">
        <f t="shared" si="11"/>
        <v>0</v>
      </c>
      <c r="AP65" s="57">
        <f t="shared" si="12"/>
        <v>0</v>
      </c>
      <c r="AQ65" s="58">
        <f t="shared" si="13"/>
        <v>1</v>
      </c>
      <c r="AR65" s="59">
        <f>IF(L65="AUD",O65*'Currency &amp; Conversion'!$L$7,'Wk - Margins'!O65)</f>
        <v>19890</v>
      </c>
      <c r="AS65" s="59">
        <f>IF(L65="AUD",P65*'Currency &amp; Conversion'!$L$7,'Wk - Margins'!P65)</f>
        <v>13852.15</v>
      </c>
    </row>
    <row r="66" ht="12.75" hidden="1" customHeight="1">
      <c r="A66" s="42" t="str">
        <f>'Input - Bookings'!A66</f>
        <v>20/06/2023</v>
      </c>
      <c r="B66" s="43" t="str">
        <f t="shared" si="1"/>
        <v>Asia</v>
      </c>
      <c r="C66" s="43" t="str">
        <f t="shared" si="2"/>
        <v>ATH</v>
      </c>
      <c r="D66" s="43" t="str">
        <f>'Input - Bookings'!D66</f>
        <v>A</v>
      </c>
      <c r="E66" s="43" t="str">
        <f>'Input - Bookings'!J66</f>
        <v>TH</v>
      </c>
      <c r="F66" s="44" t="str">
        <f>'Input - Bookings'!F66</f>
        <v>065</v>
      </c>
      <c r="G66" s="44" t="str">
        <f>'Input - Bookings'!I66</f>
        <v>DILOK AND SONS CO.,LTD.</v>
      </c>
      <c r="H66" s="44" t="str">
        <f>'Input - Bookings'!K66</f>
        <v>H38381</v>
      </c>
      <c r="I66" s="45" t="str">
        <f>VLOOKUP(H66,'Input - Bookings'!$G$2:$H$611,2,0)</f>
        <v>006065</v>
      </c>
      <c r="J66" s="44" t="str">
        <f>'Input - Bookings'!N66</f>
        <v>A3C4</v>
      </c>
      <c r="K66" s="44" t="str">
        <f>'Input - Bookings'!O66</f>
        <v>J2.5UT</v>
      </c>
      <c r="L66" s="44" t="str">
        <f>'Input - Bookings'!C66</f>
        <v>USD</v>
      </c>
      <c r="M66" s="46" t="str">
        <f t="array" ref="M66">IF(L66="USD",INDEX('AP Plants'!A:A,MATCH(J66,'AP Plants'!D:D,0)),INDEX('Australia Plants'!A:A,MATCH(J66,'Australia Plants'!D:D,0)))</f>
        <v>Maximal</v>
      </c>
      <c r="N66" s="10">
        <v>1.0</v>
      </c>
      <c r="O66" s="9">
        <v>19890.0</v>
      </c>
      <c r="P66" s="9">
        <v>13852.15</v>
      </c>
      <c r="Q66" s="47">
        <v>0.13792892998614814</v>
      </c>
      <c r="R66" s="48">
        <f t="shared" si="3"/>
        <v>0.3035620915</v>
      </c>
      <c r="S66" s="49">
        <f t="shared" si="4"/>
        <v>0</v>
      </c>
      <c r="T66" s="49">
        <f t="shared" si="21"/>
        <v>0.13792893</v>
      </c>
      <c r="U66" s="50" t="str">
        <f t="shared" si="6"/>
        <v>AOP</v>
      </c>
      <c r="V66" s="51">
        <f t="shared" si="24"/>
        <v>1910.612228</v>
      </c>
      <c r="W66" s="52">
        <f t="shared" si="8"/>
        <v>1910.612228</v>
      </c>
      <c r="X66" s="9">
        <f t="shared" si="25"/>
        <v>13852.15</v>
      </c>
      <c r="Y66" s="8"/>
      <c r="Z66" s="8"/>
      <c r="AA66" s="8"/>
      <c r="AB66" s="8" t="str">
        <f t="shared" si="10"/>
        <v>ATHH38381J2.5UT</v>
      </c>
      <c r="AC66" s="8" t="str">
        <f>IF(AB66='Input - Bookings'!S58,"OK","Check")</f>
        <v>Check</v>
      </c>
      <c r="AD66" s="60"/>
      <c r="AE66" s="54"/>
      <c r="AF66" s="54"/>
      <c r="AG66" s="55"/>
      <c r="AH66" s="55"/>
      <c r="AI66" s="8" t="str">
        <f t="array" ref="AI66">XLOOKUP($J66,'AP Plants'!D:D,'AP Plants'!B:B)</f>
        <v>Class 1</v>
      </c>
      <c r="AJ66" s="56"/>
      <c r="AK66" s="56"/>
      <c r="AL66" s="49">
        <v>0.015</v>
      </c>
      <c r="AM66" s="49">
        <f t="array" ref="AM66">XLOOKUP($AI66,Warranty!B:B,Warranty!E:E)</f>
        <v>0.005</v>
      </c>
      <c r="AN66" s="8">
        <f>IF($L66="AUD",VLOOKUP(RIGHT('Wk - Margins'!$J66,3),'AU Freight'!C:G,5,0),0)</f>
        <v>0</v>
      </c>
      <c r="AO66" s="49">
        <f t="shared" si="11"/>
        <v>0</v>
      </c>
      <c r="AP66" s="57">
        <f t="shared" si="12"/>
        <v>0</v>
      </c>
      <c r="AQ66" s="58">
        <f t="shared" si="13"/>
        <v>1</v>
      </c>
      <c r="AR66" s="59">
        <f>IF(L66="AUD",O66*'Currency &amp; Conversion'!$L$7,'Wk - Margins'!O66)</f>
        <v>19890</v>
      </c>
      <c r="AS66" s="59">
        <f>IF(L66="AUD",P66*'Currency &amp; Conversion'!$L$7,'Wk - Margins'!P66)</f>
        <v>13852.15</v>
      </c>
    </row>
    <row r="67" ht="12.75" hidden="1" customHeight="1">
      <c r="A67" s="42" t="str">
        <f>'Input - Bookings'!A67</f>
        <v>20/06/2023</v>
      </c>
      <c r="B67" s="43" t="str">
        <f t="shared" si="1"/>
        <v>Asia</v>
      </c>
      <c r="C67" s="43" t="str">
        <f t="shared" si="2"/>
        <v>AVN</v>
      </c>
      <c r="D67" s="43" t="str">
        <f>'Input - Bookings'!D67</f>
        <v>A</v>
      </c>
      <c r="E67" s="43" t="str">
        <f>'Input - Bookings'!J67</f>
        <v>VN</v>
      </c>
      <c r="F67" s="44" t="str">
        <f>'Input - Bookings'!F67</f>
        <v>067</v>
      </c>
      <c r="G67" s="44" t="str">
        <f>'Input - Bookings'!I67</f>
        <v>KY LUC CO., LTD</v>
      </c>
      <c r="H67" s="45" t="str">
        <f>'Input - Bookings'!K67</f>
        <v>H38382</v>
      </c>
      <c r="I67" s="45" t="str">
        <f>VLOOKUP(H67,'Input - Bookings'!$G$2:$H$611,2,0)</f>
        <v>017005</v>
      </c>
      <c r="J67" s="44" t="str">
        <f>'Input - Bookings'!N67</f>
        <v>A7S4</v>
      </c>
      <c r="K67" s="44" t="str">
        <f>'Input - Bookings'!O67</f>
        <v>ERP25UX</v>
      </c>
      <c r="L67" s="44" t="str">
        <f>'Input - Bookings'!C67</f>
        <v>USD</v>
      </c>
      <c r="M67" s="46" t="str">
        <f t="array" ref="M67">IF(L67="USD",INDEX('AP Plants'!A:A,MATCH(J67,'AP Plants'!D:D,0)),INDEX('Australia Plants'!A:A,MATCH(J67,'Australia Plants'!D:D,0)))</f>
        <v>Maximal</v>
      </c>
      <c r="N67" s="10">
        <v>1.0</v>
      </c>
      <c r="O67" s="9">
        <v>25877.0</v>
      </c>
      <c r="P67" s="9">
        <v>18618.15</v>
      </c>
      <c r="Q67" s="47">
        <v>0.17709070566923368</v>
      </c>
      <c r="R67" s="48">
        <f t="shared" si="3"/>
        <v>0.2805135835</v>
      </c>
      <c r="S67" s="49">
        <f t="shared" si="4"/>
        <v>0</v>
      </c>
      <c r="T67" s="49">
        <f t="shared" si="21"/>
        <v>0.1770907057</v>
      </c>
      <c r="U67" s="50" t="str">
        <f t="shared" si="6"/>
        <v>AOP</v>
      </c>
      <c r="V67" s="51">
        <f t="shared" si="24"/>
        <v>3297.101322</v>
      </c>
      <c r="W67" s="52">
        <f t="shared" si="8"/>
        <v>3297.101322</v>
      </c>
      <c r="X67" s="9">
        <f t="shared" si="25"/>
        <v>18618.15</v>
      </c>
      <c r="Y67" s="8"/>
      <c r="Z67" s="8"/>
      <c r="AA67" s="8"/>
      <c r="AB67" s="8" t="str">
        <f t="shared" si="10"/>
        <v>AVNH38382ERP25UX</v>
      </c>
      <c r="AC67" s="8" t="str">
        <f>IF(AB67='Input - Bookings'!S59,"OK","Check")</f>
        <v>Check</v>
      </c>
      <c r="AD67" s="60"/>
      <c r="AE67" s="54"/>
      <c r="AF67" s="54"/>
      <c r="AG67" s="55"/>
      <c r="AH67" s="55"/>
      <c r="AI67" s="8" t="str">
        <f t="array" ref="AI67">XLOOKUP($J67,'AP Plants'!D:D,'AP Plants'!B:B)</f>
        <v>Class 1</v>
      </c>
      <c r="AJ67" s="56"/>
      <c r="AK67" s="56"/>
      <c r="AL67" s="49">
        <v>0.015</v>
      </c>
      <c r="AM67" s="49">
        <f t="array" ref="AM67">XLOOKUP($AI67,Warranty!B:B,Warranty!E:E)</f>
        <v>0.005</v>
      </c>
      <c r="AN67" s="8">
        <f>IF($L67="AUD",VLOOKUP(RIGHT('Wk - Margins'!$J67,3),'AU Freight'!C:G,5,0),0)</f>
        <v>0</v>
      </c>
      <c r="AO67" s="49">
        <f t="shared" si="11"/>
        <v>0</v>
      </c>
      <c r="AP67" s="57">
        <f t="shared" si="12"/>
        <v>0</v>
      </c>
      <c r="AQ67" s="58">
        <f t="shared" si="13"/>
        <v>1</v>
      </c>
      <c r="AR67" s="59">
        <f>IF(L67="AUD",O67*'Currency &amp; Conversion'!$L$7,'Wk - Margins'!O67)</f>
        <v>25877</v>
      </c>
      <c r="AS67" s="59">
        <f>IF(L67="AUD",P67*'Currency &amp; Conversion'!$L$7,'Wk - Margins'!P67)</f>
        <v>18618.15</v>
      </c>
    </row>
    <row r="68" ht="12.75" hidden="1" customHeight="1">
      <c r="A68" s="42" t="str">
        <f>'Input - Bookings'!A68</f>
        <v>20/06/2023</v>
      </c>
      <c r="B68" s="43" t="str">
        <f t="shared" si="1"/>
        <v>Asia</v>
      </c>
      <c r="C68" s="43" t="str">
        <f t="shared" si="2"/>
        <v>AVN</v>
      </c>
      <c r="D68" s="43" t="str">
        <f>'Input - Bookings'!D68</f>
        <v>A</v>
      </c>
      <c r="E68" s="43" t="str">
        <f>'Input - Bookings'!J68</f>
        <v>VN</v>
      </c>
      <c r="F68" s="44" t="str">
        <f>'Input - Bookings'!F68</f>
        <v>067</v>
      </c>
      <c r="G68" s="44" t="str">
        <f>'Input - Bookings'!I68</f>
        <v>KY LUC CO., LTD</v>
      </c>
      <c r="H68" s="45" t="str">
        <f>'Input - Bookings'!K68</f>
        <v>H38383</v>
      </c>
      <c r="I68" s="45" t="str">
        <f>VLOOKUP(H68,'Input - Bookings'!$G$2:$H$611,2,0)</f>
        <v>017005</v>
      </c>
      <c r="J68" s="44" t="str">
        <f>'Input - Bookings'!N68</f>
        <v>A7S4</v>
      </c>
      <c r="K68" s="44" t="str">
        <f>'Input - Bookings'!O68</f>
        <v>ERP25UX</v>
      </c>
      <c r="L68" s="44" t="str">
        <f>'Input - Bookings'!C68</f>
        <v>USD</v>
      </c>
      <c r="M68" s="46" t="str">
        <f t="array" ref="M68">IF(L68="USD",INDEX('AP Plants'!A:A,MATCH(J68,'AP Plants'!D:D,0)),INDEX('Australia Plants'!A:A,MATCH(J68,'Australia Plants'!D:D,0)))</f>
        <v>Maximal</v>
      </c>
      <c r="N68" s="10">
        <v>1.0</v>
      </c>
      <c r="O68" s="9">
        <v>25877.0</v>
      </c>
      <c r="P68" s="9">
        <v>18618.15</v>
      </c>
      <c r="Q68" s="47">
        <v>0.17709070566923368</v>
      </c>
      <c r="R68" s="48">
        <f t="shared" si="3"/>
        <v>0.2805135835</v>
      </c>
      <c r="S68" s="49">
        <f t="shared" si="4"/>
        <v>0</v>
      </c>
      <c r="T68" s="49">
        <f t="shared" si="21"/>
        <v>0.1770907057</v>
      </c>
      <c r="U68" s="50" t="str">
        <f t="shared" si="6"/>
        <v>AOP</v>
      </c>
      <c r="V68" s="51">
        <f t="shared" si="24"/>
        <v>3297.101322</v>
      </c>
      <c r="W68" s="52">
        <f t="shared" si="8"/>
        <v>3297.101322</v>
      </c>
      <c r="X68" s="9">
        <f t="shared" si="25"/>
        <v>18618.15</v>
      </c>
      <c r="Y68" s="8"/>
      <c r="Z68" s="8"/>
      <c r="AA68" s="8"/>
      <c r="AB68" s="8" t="str">
        <f t="shared" si="10"/>
        <v>AVNH38383ERP25UX</v>
      </c>
      <c r="AC68" s="8" t="str">
        <f>IF(AB68='Input - Bookings'!S61,"OK","Check")</f>
        <v>Check</v>
      </c>
      <c r="AD68" s="60"/>
      <c r="AE68" s="54"/>
      <c r="AF68" s="54"/>
      <c r="AG68" s="55"/>
      <c r="AH68" s="55"/>
      <c r="AI68" s="8" t="str">
        <f t="array" ref="AI68">XLOOKUP($J68,'AP Plants'!D:D,'AP Plants'!B:B)</f>
        <v>Class 1</v>
      </c>
      <c r="AJ68" s="56"/>
      <c r="AK68" s="56"/>
      <c r="AL68" s="49">
        <v>0.015</v>
      </c>
      <c r="AM68" s="49">
        <f t="array" ref="AM68">XLOOKUP($AI68,Warranty!B:B,Warranty!E:E)</f>
        <v>0.005</v>
      </c>
      <c r="AN68" s="8">
        <f>IF($L68="AUD",VLOOKUP(RIGHT('Wk - Margins'!$J68,3),'AU Freight'!C:G,5,0),0)</f>
        <v>0</v>
      </c>
      <c r="AO68" s="49">
        <f t="shared" si="11"/>
        <v>0</v>
      </c>
      <c r="AP68" s="57">
        <f t="shared" si="12"/>
        <v>0</v>
      </c>
      <c r="AQ68" s="58">
        <f t="shared" si="13"/>
        <v>1</v>
      </c>
      <c r="AR68" s="59">
        <f>IF(L68="AUD",O68*'Currency &amp; Conversion'!$L$7,'Wk - Margins'!O68)</f>
        <v>25877</v>
      </c>
      <c r="AS68" s="59">
        <f>IF(L68="AUD",P68*'Currency &amp; Conversion'!$L$7,'Wk - Margins'!P68)</f>
        <v>18618.15</v>
      </c>
    </row>
    <row r="69" ht="12.75" customHeight="1">
      <c r="A69" s="42" t="str">
        <f>'Input - Bookings'!A69</f>
        <v>21/06/2023</v>
      </c>
      <c r="B69" s="43" t="str">
        <f t="shared" si="1"/>
        <v>Asia</v>
      </c>
      <c r="C69" s="43" t="str">
        <f t="shared" si="2"/>
        <v>ASG</v>
      </c>
      <c r="D69" s="43" t="str">
        <f>'Input - Bookings'!D69</f>
        <v>A</v>
      </c>
      <c r="E69" s="43" t="str">
        <f>'Input - Bookings'!J69</f>
        <v>SG</v>
      </c>
      <c r="F69" s="44" t="str">
        <f>'Input - Bookings'!F69</f>
        <v>065</v>
      </c>
      <c r="G69" s="44" t="str">
        <f>'Input - Bookings'!I69</f>
        <v>PORTXGROUP PTY LTD</v>
      </c>
      <c r="H69" s="44" t="str">
        <f>'Input - Bookings'!K69</f>
        <v>H38384</v>
      </c>
      <c r="I69" s="45" t="str">
        <f>VLOOKUP(H69,'Input - Bookings'!$G$2:$H$611,2,0)</f>
        <v>082065</v>
      </c>
      <c r="J69" s="44" t="str">
        <f>'Input - Bookings'!N69</f>
        <v>E264</v>
      </c>
      <c r="K69" s="44" t="str">
        <f>'Input - Bookings'!O69</f>
        <v>N30ZDR3</v>
      </c>
      <c r="L69" s="44" t="str">
        <f>'Input - Bookings'!C69</f>
        <v>USD</v>
      </c>
      <c r="M69" s="46" t="str">
        <f t="array" ref="M69">IF(L69="USD",INDEX('AP Plants'!A:A,MATCH(J69,'AP Plants'!D:D,0)),INDEX('Australia Plants'!A:A,MATCH(J69,'Australia Plants'!D:D,0)))</f>
        <v>Greenville</v>
      </c>
      <c r="N69" s="10">
        <v>1.0</v>
      </c>
      <c r="O69" s="9">
        <v>61045.0</v>
      </c>
      <c r="P69" s="9">
        <v>44815.24</v>
      </c>
      <c r="Q69" s="47">
        <f t="shared" ref="Q69:Q70" si="26">AQ69</f>
        <v>0.168893182</v>
      </c>
      <c r="R69" s="48">
        <f t="shared" si="3"/>
        <v>0.2658655091</v>
      </c>
      <c r="S69" s="49">
        <f t="shared" si="4"/>
        <v>0</v>
      </c>
      <c r="T69" s="49">
        <f t="shared" si="21"/>
        <v>0.168893182</v>
      </c>
      <c r="U69" s="50" t="str">
        <f t="shared" si="6"/>
        <v>AOP</v>
      </c>
      <c r="V69" s="51">
        <f t="shared" si="24"/>
        <v>7568.988486</v>
      </c>
      <c r="W69" s="52">
        <f t="shared" si="8"/>
        <v>7568.988486</v>
      </c>
      <c r="X69" s="9">
        <f t="shared" si="25"/>
        <v>44815.24</v>
      </c>
      <c r="Y69" s="8"/>
      <c r="Z69" s="8"/>
      <c r="AA69" s="8"/>
      <c r="AB69" s="8" t="str">
        <f t="shared" si="10"/>
        <v>ASGH38384N30ZDR3</v>
      </c>
      <c r="AC69" s="8" t="str">
        <f>IF(AB69='Input - Bookings'!S62,"OK","Check")</f>
        <v>Check</v>
      </c>
      <c r="AD69" s="53"/>
      <c r="AE69" s="54">
        <v>0.0</v>
      </c>
      <c r="AF69" s="54">
        <v>0.0</v>
      </c>
      <c r="AG69" s="55">
        <v>36128.893233</v>
      </c>
      <c r="AH69" s="55"/>
      <c r="AI69" s="8" t="str">
        <f t="array" ref="AI69">XLOOKUP($J69,'AP Plants'!D:D,'AP Plants'!B:B)</f>
        <v>Class 2</v>
      </c>
      <c r="AJ69" s="56"/>
      <c r="AK69" s="56">
        <f>(AG69*(1+VLOOKUP(M69,'Currency &amp; Conversion'!$F$13:$H$19,2,0))+((AE69+AF69)*90%))</f>
        <v>36161.40924</v>
      </c>
      <c r="AL69" s="49">
        <v>0.015</v>
      </c>
      <c r="AM69" s="49">
        <f t="array" ref="AM69">XLOOKUP($AI69,Warranty!B:B,Warranty!E:E)</f>
        <v>0.015</v>
      </c>
      <c r="AN69" s="8">
        <f>IF($L69="AUD",VLOOKUP(RIGHT('Wk - Margins'!$J69,3),'AU Freight'!C:G,5,0),0)</f>
        <v>0</v>
      </c>
      <c r="AO69" s="49">
        <f t="shared" si="11"/>
        <v>0</v>
      </c>
      <c r="AP69" s="63">
        <f t="shared" si="12"/>
        <v>37246.25151</v>
      </c>
      <c r="AQ69" s="64">
        <f t="shared" si="13"/>
        <v>0.168893182</v>
      </c>
      <c r="AR69" s="59">
        <f>IF(L69="AUD",O69*'Currency &amp; Conversion'!$L$7,'Wk - Margins'!O69)</f>
        <v>61045</v>
      </c>
      <c r="AS69" s="59">
        <f>IF(L69="AUD",P69*'Currency &amp; Conversion'!$L$7,'Wk - Margins'!P69)</f>
        <v>44815.24</v>
      </c>
    </row>
    <row r="70" ht="12.75" customHeight="1">
      <c r="A70" s="42" t="str">
        <f>'Input - Bookings'!A70</f>
        <v>21/06/2023</v>
      </c>
      <c r="B70" s="43" t="str">
        <f t="shared" si="1"/>
        <v>Asia</v>
      </c>
      <c r="C70" s="43" t="str">
        <f t="shared" si="2"/>
        <v>ASG</v>
      </c>
      <c r="D70" s="43" t="str">
        <f>'Input - Bookings'!D70</f>
        <v>A</v>
      </c>
      <c r="E70" s="43" t="str">
        <f>'Input - Bookings'!J70</f>
        <v>SG</v>
      </c>
      <c r="F70" s="44" t="str">
        <f>'Input - Bookings'!F70</f>
        <v>065</v>
      </c>
      <c r="G70" s="44" t="str">
        <f>'Input - Bookings'!I70</f>
        <v>PORTXGROUP PTY LTD</v>
      </c>
      <c r="H70" s="44" t="str">
        <f>'Input - Bookings'!K70</f>
        <v>H38385</v>
      </c>
      <c r="I70" s="45" t="str">
        <f>VLOOKUP(H70,'Input - Bookings'!$G$2:$H$611,2,0)</f>
        <v>082065</v>
      </c>
      <c r="J70" s="44" t="str">
        <f>'Input - Bookings'!N70</f>
        <v>E264</v>
      </c>
      <c r="K70" s="44" t="str">
        <f>'Input - Bookings'!O70</f>
        <v>N30ZDR3</v>
      </c>
      <c r="L70" s="44" t="str">
        <f>'Input - Bookings'!C70</f>
        <v>USD</v>
      </c>
      <c r="M70" s="46" t="str">
        <f t="array" ref="M70">IF(L70="USD",INDEX('AP Plants'!A:A,MATCH(J70,'AP Plants'!D:D,0)),INDEX('Australia Plants'!A:A,MATCH(J70,'Australia Plants'!D:D,0)))</f>
        <v>Greenville</v>
      </c>
      <c r="N70" s="10">
        <v>1.0</v>
      </c>
      <c r="O70" s="9">
        <v>60290.0</v>
      </c>
      <c r="P70" s="9">
        <v>44211.24</v>
      </c>
      <c r="Q70" s="47">
        <f t="shared" si="26"/>
        <v>0.1655357702</v>
      </c>
      <c r="R70" s="48">
        <f t="shared" si="3"/>
        <v>0.2666903301</v>
      </c>
      <c r="S70" s="49">
        <f t="shared" si="4"/>
        <v>0</v>
      </c>
      <c r="T70" s="49">
        <f t="shared" si="21"/>
        <v>0.1655357702</v>
      </c>
      <c r="U70" s="50" t="str">
        <f t="shared" si="6"/>
        <v>AOP</v>
      </c>
      <c r="V70" s="51">
        <f t="shared" si="24"/>
        <v>7318.541667</v>
      </c>
      <c r="W70" s="52">
        <f t="shared" si="8"/>
        <v>7318.541667</v>
      </c>
      <c r="X70" s="9">
        <f t="shared" si="25"/>
        <v>44211.24</v>
      </c>
      <c r="Y70" s="8"/>
      <c r="Z70" s="8"/>
      <c r="AA70" s="8"/>
      <c r="AB70" s="8" t="str">
        <f t="shared" si="10"/>
        <v>ASGH38385N30ZDR3</v>
      </c>
      <c r="AC70" s="8" t="str">
        <f>IF(AB70='Input - Bookings'!S63,"OK","Check")</f>
        <v>Check</v>
      </c>
      <c r="AD70" s="53"/>
      <c r="AE70" s="54">
        <v>0.0</v>
      </c>
      <c r="AF70" s="54">
        <v>0.0</v>
      </c>
      <c r="AG70" s="55">
        <v>35785.94637</v>
      </c>
      <c r="AH70" s="55"/>
      <c r="AI70" s="8" t="str">
        <f t="array" ref="AI70">XLOOKUP($J70,'AP Plants'!D:D,'AP Plants'!B:B)</f>
        <v>Class 2</v>
      </c>
      <c r="AJ70" s="56"/>
      <c r="AK70" s="56">
        <f>(AG70*(1+VLOOKUP(M70,'Currency &amp; Conversion'!$F$13:$H$19,2,0))+((AE70+AF70)*90%))</f>
        <v>35818.15372</v>
      </c>
      <c r="AL70" s="49">
        <v>0.015</v>
      </c>
      <c r="AM70" s="49">
        <f t="array" ref="AM70">XLOOKUP($AI70,Warranty!B:B,Warranty!E:E)</f>
        <v>0.015</v>
      </c>
      <c r="AN70" s="8">
        <f>IF($L70="AUD",VLOOKUP(RIGHT('Wk - Margins'!$J70,3),'AU Freight'!C:G,5,0),0)</f>
        <v>0</v>
      </c>
      <c r="AO70" s="49">
        <f t="shared" si="11"/>
        <v>0</v>
      </c>
      <c r="AP70" s="63">
        <f t="shared" si="12"/>
        <v>36892.69833</v>
      </c>
      <c r="AQ70" s="64">
        <f t="shared" si="13"/>
        <v>0.1655357702</v>
      </c>
      <c r="AR70" s="59">
        <f>IF(L70="AUD",O70*'Currency &amp; Conversion'!$L$7,'Wk - Margins'!O70)</f>
        <v>60290</v>
      </c>
      <c r="AS70" s="59">
        <f>IF(L70="AUD",P70*'Currency &amp; Conversion'!$L$7,'Wk - Margins'!P70)</f>
        <v>44211.24</v>
      </c>
    </row>
    <row r="71" ht="12.75" hidden="1" customHeight="1">
      <c r="A71" s="42" t="str">
        <f>'Input - Bookings'!A71</f>
        <v>21/06/2023</v>
      </c>
      <c r="B71" s="43" t="str">
        <f t="shared" si="1"/>
        <v>Asia</v>
      </c>
      <c r="C71" s="43" t="str">
        <f t="shared" si="2"/>
        <v>ATH</v>
      </c>
      <c r="D71" s="43" t="str">
        <f>'Input - Bookings'!D71</f>
        <v>A</v>
      </c>
      <c r="E71" s="43" t="str">
        <f>'Input - Bookings'!J71</f>
        <v>TH</v>
      </c>
      <c r="F71" s="44" t="str">
        <f>'Input - Bookings'!F71</f>
        <v>065</v>
      </c>
      <c r="G71" s="44" t="str">
        <f>'Input - Bookings'!I71</f>
        <v>DILOK AND SONS CO.,LTD.</v>
      </c>
      <c r="H71" s="44" t="str">
        <f>'Input - Bookings'!K71</f>
        <v>H38388</v>
      </c>
      <c r="I71" s="45" t="str">
        <f>VLOOKUP(H71,'Input - Bookings'!$G$2:$H$611,2,0)</f>
        <v>006065</v>
      </c>
      <c r="J71" s="44" t="str">
        <f>'Input - Bookings'!N71</f>
        <v>D466</v>
      </c>
      <c r="K71" s="44" t="str">
        <f>'Input - Bookings'!O71</f>
        <v>H3.0XT</v>
      </c>
      <c r="L71" s="44" t="str">
        <f>'Input - Bookings'!C71</f>
        <v>USD</v>
      </c>
      <c r="M71" s="46" t="str">
        <f t="array" ref="M71">IF(L71="USD",INDEX('AP Plants'!A:A,MATCH(J71,'AP Plants'!D:D,0)),INDEX('Australia Plants'!A:A,MATCH(J71,'Australia Plants'!D:D,0)))</f>
        <v>SN</v>
      </c>
      <c r="N71" s="10">
        <v>1.0</v>
      </c>
      <c r="O71" s="9">
        <v>28260.0</v>
      </c>
      <c r="P71" s="9">
        <v>17379.707999999995</v>
      </c>
      <c r="Q71" s="47">
        <v>0.09766913637407826</v>
      </c>
      <c r="R71" s="48">
        <f t="shared" si="3"/>
        <v>0.3850067941</v>
      </c>
      <c r="S71" s="49">
        <f t="shared" si="4"/>
        <v>0</v>
      </c>
      <c r="T71" s="49">
        <f t="shared" si="21"/>
        <v>0.09766913637</v>
      </c>
      <c r="U71" s="50" t="str">
        <f t="shared" si="6"/>
        <v>AOP</v>
      </c>
      <c r="V71" s="51">
        <f t="shared" si="24"/>
        <v>1697.461071</v>
      </c>
      <c r="W71" s="52">
        <f t="shared" si="8"/>
        <v>1697.461071</v>
      </c>
      <c r="X71" s="9">
        <f t="shared" si="25"/>
        <v>17379.708</v>
      </c>
      <c r="Y71" s="8"/>
      <c r="Z71" s="8"/>
      <c r="AA71" s="8"/>
      <c r="AB71" s="8" t="str">
        <f t="shared" si="10"/>
        <v>ATHH38388H3.0XT</v>
      </c>
      <c r="AC71" s="8" t="str">
        <f>IF(AB71='Input - Bookings'!S64,"OK","Check")</f>
        <v>Check</v>
      </c>
      <c r="AD71" s="53"/>
      <c r="AE71" s="54"/>
      <c r="AF71" s="54"/>
      <c r="AG71" s="55"/>
      <c r="AH71" s="55"/>
      <c r="AI71" s="8" t="str">
        <f t="array" ref="AI71">XLOOKUP($J71,'AP Plants'!D:D,'AP Plants'!B:B)</f>
        <v>Class 5 NOT BT</v>
      </c>
      <c r="AJ71" s="56"/>
      <c r="AK71" s="56"/>
      <c r="AL71" s="49">
        <v>0.015</v>
      </c>
      <c r="AM71" s="49">
        <f t="array" ref="AM71">XLOOKUP($AI71,Warranty!B:B,Warranty!E:E)</f>
        <v>0.005</v>
      </c>
      <c r="AN71" s="8">
        <f>IF($L71="AUD",VLOOKUP(RIGHT('Wk - Margins'!$J71,3),'AU Freight'!C:G,5,0),0)</f>
        <v>0</v>
      </c>
      <c r="AO71" s="49">
        <f t="shared" si="11"/>
        <v>0</v>
      </c>
      <c r="AP71" s="57">
        <f t="shared" si="12"/>
        <v>0</v>
      </c>
      <c r="AQ71" s="58">
        <f t="shared" si="13"/>
        <v>1</v>
      </c>
      <c r="AR71" s="59">
        <f>IF(L71="AUD",O71*'Currency &amp; Conversion'!$L$7,'Wk - Margins'!O71)</f>
        <v>28260</v>
      </c>
      <c r="AS71" s="59">
        <f>IF(L71="AUD",P71*'Currency &amp; Conversion'!$L$7,'Wk - Margins'!P71)</f>
        <v>17379.708</v>
      </c>
    </row>
    <row r="72" ht="12.75" hidden="1" customHeight="1">
      <c r="A72" s="42" t="str">
        <f>'Input - Bookings'!A72</f>
        <v>21/06/2023</v>
      </c>
      <c r="B72" s="43" t="str">
        <f t="shared" si="1"/>
        <v>Asia</v>
      </c>
      <c r="C72" s="43" t="str">
        <f t="shared" si="2"/>
        <v>ATH</v>
      </c>
      <c r="D72" s="43" t="str">
        <f>'Input - Bookings'!D72</f>
        <v>A</v>
      </c>
      <c r="E72" s="43" t="str">
        <f>'Input - Bookings'!J72</f>
        <v>TH</v>
      </c>
      <c r="F72" s="44" t="str">
        <f>'Input - Bookings'!F72</f>
        <v>065</v>
      </c>
      <c r="G72" s="44" t="str">
        <f>'Input - Bookings'!I72</f>
        <v>DILOK AND SONS CO.,LTD.</v>
      </c>
      <c r="H72" s="44" t="str">
        <f>'Input - Bookings'!K72</f>
        <v>H38389</v>
      </c>
      <c r="I72" s="45" t="str">
        <f>VLOOKUP(H72,'Input - Bookings'!$G$2:$H$611,2,0)</f>
        <v>006065</v>
      </c>
      <c r="J72" s="44" t="str">
        <f>'Input - Bookings'!N72</f>
        <v>D466</v>
      </c>
      <c r="K72" s="44" t="str">
        <f>'Input - Bookings'!O72</f>
        <v>H3.0XT</v>
      </c>
      <c r="L72" s="44" t="str">
        <f>'Input - Bookings'!C72</f>
        <v>USD</v>
      </c>
      <c r="M72" s="46" t="str">
        <f t="array" ref="M72">IF(L72="USD",INDEX('AP Plants'!A:A,MATCH(J72,'AP Plants'!D:D,0)),INDEX('Australia Plants'!A:A,MATCH(J72,'Australia Plants'!D:D,0)))</f>
        <v>SN</v>
      </c>
      <c r="N72" s="10">
        <v>1.0</v>
      </c>
      <c r="O72" s="9">
        <v>28260.0</v>
      </c>
      <c r="P72" s="9">
        <v>17379.707999999995</v>
      </c>
      <c r="Q72" s="47">
        <v>0.09766913637407826</v>
      </c>
      <c r="R72" s="48">
        <f t="shared" si="3"/>
        <v>0.3850067941</v>
      </c>
      <c r="S72" s="49">
        <f t="shared" si="4"/>
        <v>0</v>
      </c>
      <c r="T72" s="49">
        <f t="shared" si="21"/>
        <v>0.09766913637</v>
      </c>
      <c r="U72" s="50" t="str">
        <f t="shared" si="6"/>
        <v>AOP</v>
      </c>
      <c r="V72" s="51">
        <f t="shared" si="24"/>
        <v>1697.461071</v>
      </c>
      <c r="W72" s="52">
        <f t="shared" si="8"/>
        <v>1697.461071</v>
      </c>
      <c r="X72" s="9">
        <f t="shared" si="25"/>
        <v>17379.708</v>
      </c>
      <c r="Y72" s="8"/>
      <c r="Z72" s="8"/>
      <c r="AA72" s="8"/>
      <c r="AB72" s="8" t="str">
        <f t="shared" si="10"/>
        <v>ATHH38389H3.0XT</v>
      </c>
      <c r="AC72" s="8" t="str">
        <f>IF(AB72='Input - Bookings'!S65,"OK","Check")</f>
        <v>Check</v>
      </c>
      <c r="AD72" s="53"/>
      <c r="AE72" s="54"/>
      <c r="AF72" s="54"/>
      <c r="AG72" s="55"/>
      <c r="AH72" s="55"/>
      <c r="AI72" s="8" t="str">
        <f t="array" ref="AI72">XLOOKUP($J72,'AP Plants'!D:D,'AP Plants'!B:B)</f>
        <v>Class 5 NOT BT</v>
      </c>
      <c r="AJ72" s="56"/>
      <c r="AK72" s="56"/>
      <c r="AL72" s="49">
        <v>0.015</v>
      </c>
      <c r="AM72" s="49">
        <f t="array" ref="AM72">XLOOKUP($AI72,Warranty!B:B,Warranty!E:E)</f>
        <v>0.005</v>
      </c>
      <c r="AN72" s="8">
        <f>IF($L72="AUD",VLOOKUP(RIGHT('Wk - Margins'!$J72,3),'AU Freight'!C:G,5,0),0)</f>
        <v>0</v>
      </c>
      <c r="AO72" s="49">
        <f t="shared" si="11"/>
        <v>0</v>
      </c>
      <c r="AP72" s="57">
        <f t="shared" si="12"/>
        <v>0</v>
      </c>
      <c r="AQ72" s="58">
        <f t="shared" si="13"/>
        <v>1</v>
      </c>
      <c r="AR72" s="59">
        <f>IF(L72="AUD",O72*'Currency &amp; Conversion'!$L$7,'Wk - Margins'!O72)</f>
        <v>28260</v>
      </c>
      <c r="AS72" s="59">
        <f>IF(L72="AUD",P72*'Currency &amp; Conversion'!$L$7,'Wk - Margins'!P72)</f>
        <v>17379.708</v>
      </c>
    </row>
    <row r="73" ht="12.75" hidden="1" customHeight="1">
      <c r="A73" s="42" t="str">
        <f>'Input - Bookings'!A73</f>
        <v>21/06/2023</v>
      </c>
      <c r="B73" s="43" t="str">
        <f t="shared" si="1"/>
        <v>Asia</v>
      </c>
      <c r="C73" s="43" t="str">
        <f t="shared" si="2"/>
        <v>ATH</v>
      </c>
      <c r="D73" s="43" t="str">
        <f>'Input - Bookings'!D73</f>
        <v>A</v>
      </c>
      <c r="E73" s="43" t="str">
        <f>'Input - Bookings'!J73</f>
        <v>TH</v>
      </c>
      <c r="F73" s="44" t="str">
        <f>'Input - Bookings'!F73</f>
        <v>065</v>
      </c>
      <c r="G73" s="44" t="str">
        <f>'Input - Bookings'!I73</f>
        <v>DILOK AND SONS CO.,LTD.</v>
      </c>
      <c r="H73" s="44" t="str">
        <f>'Input - Bookings'!K73</f>
        <v>H38390</v>
      </c>
      <c r="I73" s="45" t="str">
        <f>VLOOKUP(H73,'Input - Bookings'!$G$2:$H$611,2,0)</f>
        <v>006065</v>
      </c>
      <c r="J73" s="44" t="str">
        <f>'Input - Bookings'!N73</f>
        <v>D466</v>
      </c>
      <c r="K73" s="44" t="str">
        <f>'Input - Bookings'!O73</f>
        <v>H3.0XT</v>
      </c>
      <c r="L73" s="44" t="str">
        <f>'Input - Bookings'!C73</f>
        <v>USD</v>
      </c>
      <c r="M73" s="46" t="str">
        <f t="array" ref="M73">IF(L73="USD",INDEX('AP Plants'!A:A,MATCH(J73,'AP Plants'!D:D,0)),INDEX('Australia Plants'!A:A,MATCH(J73,'Australia Plants'!D:D,0)))</f>
        <v>SN</v>
      </c>
      <c r="N73" s="10">
        <v>1.0</v>
      </c>
      <c r="O73" s="9">
        <v>28260.0</v>
      </c>
      <c r="P73" s="9">
        <v>17379.707999999995</v>
      </c>
      <c r="Q73" s="47">
        <v>0.09766913637407826</v>
      </c>
      <c r="R73" s="48">
        <f t="shared" si="3"/>
        <v>0.3850067941</v>
      </c>
      <c r="S73" s="49">
        <f t="shared" si="4"/>
        <v>0</v>
      </c>
      <c r="T73" s="49">
        <f t="shared" si="21"/>
        <v>0.09766913637</v>
      </c>
      <c r="U73" s="50" t="str">
        <f t="shared" si="6"/>
        <v>AOP</v>
      </c>
      <c r="V73" s="51">
        <f t="shared" ref="V73:V76" si="27">N95*P73*(Q73-S73)</f>
        <v>1697.461071</v>
      </c>
      <c r="W73" s="52">
        <f t="shared" si="8"/>
        <v>1697.461071</v>
      </c>
      <c r="X73" s="9">
        <f t="shared" si="25"/>
        <v>17379.708</v>
      </c>
      <c r="Y73" s="8"/>
      <c r="Z73" s="8"/>
      <c r="AA73" s="8"/>
      <c r="AB73" s="8" t="str">
        <f t="shared" si="10"/>
        <v>ATHH38390H3.0XT</v>
      </c>
      <c r="AC73" s="8" t="str">
        <f>IF(AB73='Input - Bookings'!S66,"OK","Check")</f>
        <v>Check</v>
      </c>
      <c r="AD73" s="53"/>
      <c r="AE73" s="54"/>
      <c r="AF73" s="54"/>
      <c r="AG73" s="55"/>
      <c r="AH73" s="55"/>
      <c r="AI73" s="8" t="str">
        <f t="array" ref="AI73">XLOOKUP($J73,'AP Plants'!D:D,'AP Plants'!B:B)</f>
        <v>Class 5 NOT BT</v>
      </c>
      <c r="AJ73" s="56"/>
      <c r="AK73" s="56"/>
      <c r="AL73" s="49">
        <v>0.015</v>
      </c>
      <c r="AM73" s="49">
        <f t="array" ref="AM73">XLOOKUP($AI73,Warranty!B:B,Warranty!E:E)</f>
        <v>0.005</v>
      </c>
      <c r="AN73" s="8">
        <f>IF($L73="AUD",VLOOKUP(RIGHT('Wk - Margins'!$J73,3),'AU Freight'!C:G,5,0),0)</f>
        <v>0</v>
      </c>
      <c r="AO73" s="49">
        <f t="shared" si="11"/>
        <v>0</v>
      </c>
      <c r="AP73" s="57">
        <f t="shared" si="12"/>
        <v>0</v>
      </c>
      <c r="AQ73" s="58">
        <f t="shared" si="13"/>
        <v>1</v>
      </c>
      <c r="AR73" s="59">
        <f>IF(L73="AUD",O73*'Currency &amp; Conversion'!$L$7,'Wk - Margins'!O73)</f>
        <v>28260</v>
      </c>
      <c r="AS73" s="59">
        <f>IF(L73="AUD",P73*'Currency &amp; Conversion'!$L$7,'Wk - Margins'!P73)</f>
        <v>17379.708</v>
      </c>
    </row>
    <row r="74" ht="12.75" hidden="1" customHeight="1">
      <c r="A74" s="42" t="str">
        <f>'Input - Bookings'!A74</f>
        <v>21/06/2023</v>
      </c>
      <c r="B74" s="43" t="str">
        <f t="shared" si="1"/>
        <v>Asia</v>
      </c>
      <c r="C74" s="43" t="str">
        <f t="shared" si="2"/>
        <v>ATH</v>
      </c>
      <c r="D74" s="43" t="str">
        <f>'Input - Bookings'!D74</f>
        <v>A</v>
      </c>
      <c r="E74" s="43" t="str">
        <f>'Input - Bookings'!J74</f>
        <v>TH</v>
      </c>
      <c r="F74" s="44" t="str">
        <f>'Input - Bookings'!F74</f>
        <v>065</v>
      </c>
      <c r="G74" s="44" t="str">
        <f>'Input - Bookings'!I74</f>
        <v>DILOK AND SONS CO.,LTD.</v>
      </c>
      <c r="H74" s="44" t="str">
        <f>'Input - Bookings'!K74</f>
        <v>H38391</v>
      </c>
      <c r="I74" s="45" t="str">
        <f>VLOOKUP(H74,'Input - Bookings'!$G$2:$H$611,2,0)</f>
        <v>006065</v>
      </c>
      <c r="J74" s="44" t="str">
        <f>'Input - Bookings'!N74</f>
        <v>D466</v>
      </c>
      <c r="K74" s="44" t="str">
        <f>'Input - Bookings'!O74</f>
        <v>H3.0XT</v>
      </c>
      <c r="L74" s="44" t="str">
        <f>'Input - Bookings'!C74</f>
        <v>USD</v>
      </c>
      <c r="M74" s="46" t="str">
        <f t="array" ref="M74">IF(L74="USD",INDEX('AP Plants'!A:A,MATCH(J74,'AP Plants'!D:D,0)),INDEX('Australia Plants'!A:A,MATCH(J74,'Australia Plants'!D:D,0)))</f>
        <v>SN</v>
      </c>
      <c r="N74" s="10">
        <v>1.0</v>
      </c>
      <c r="O74" s="9">
        <v>28990.0</v>
      </c>
      <c r="P74" s="9">
        <v>17827.686999999994</v>
      </c>
      <c r="Q74" s="47">
        <v>0.10083170625299964</v>
      </c>
      <c r="R74" s="48">
        <f t="shared" si="3"/>
        <v>0.3850401173</v>
      </c>
      <c r="S74" s="49">
        <f t="shared" si="4"/>
        <v>0</v>
      </c>
      <c r="T74" s="49">
        <f t="shared" si="21"/>
        <v>0.1008317063</v>
      </c>
      <c r="U74" s="50" t="str">
        <f t="shared" si="6"/>
        <v>AOP</v>
      </c>
      <c r="V74" s="51">
        <f t="shared" si="27"/>
        <v>1797.596099</v>
      </c>
      <c r="W74" s="52">
        <f t="shared" si="8"/>
        <v>1797.596099</v>
      </c>
      <c r="X74" s="9">
        <f t="shared" si="25"/>
        <v>17827.687</v>
      </c>
      <c r="Y74" s="8"/>
      <c r="Z74" s="8"/>
      <c r="AA74" s="8"/>
      <c r="AB74" s="8" t="str">
        <f t="shared" si="10"/>
        <v>ATHH38391H3.0XT</v>
      </c>
      <c r="AC74" s="8" t="str">
        <f>IF(AB74='Input - Bookings'!S67,"OK","Check")</f>
        <v>Check</v>
      </c>
      <c r="AD74" s="53"/>
      <c r="AE74" s="54"/>
      <c r="AF74" s="54"/>
      <c r="AG74" s="55"/>
      <c r="AH74" s="55"/>
      <c r="AI74" s="8" t="str">
        <f t="array" ref="AI74">XLOOKUP($J74,'AP Plants'!D:D,'AP Plants'!B:B)</f>
        <v>Class 5 NOT BT</v>
      </c>
      <c r="AJ74" s="56"/>
      <c r="AK74" s="56"/>
      <c r="AL74" s="49">
        <v>0.015</v>
      </c>
      <c r="AM74" s="49">
        <f t="array" ref="AM74">XLOOKUP($AI74,Warranty!B:B,Warranty!E:E)</f>
        <v>0.005</v>
      </c>
      <c r="AN74" s="8">
        <f>IF($L74="AUD",VLOOKUP(RIGHT('Wk - Margins'!$J74,3),'AU Freight'!C:G,5,0),0)</f>
        <v>0</v>
      </c>
      <c r="AO74" s="49">
        <f t="shared" si="11"/>
        <v>0</v>
      </c>
      <c r="AP74" s="57">
        <f t="shared" si="12"/>
        <v>0</v>
      </c>
      <c r="AQ74" s="58">
        <f t="shared" si="13"/>
        <v>1</v>
      </c>
      <c r="AR74" s="59">
        <f>IF(L74="AUD",O74*'Currency &amp; Conversion'!$L$7,'Wk - Margins'!O74)</f>
        <v>28990</v>
      </c>
      <c r="AS74" s="59">
        <f>IF(L74="AUD",P74*'Currency &amp; Conversion'!$L$7,'Wk - Margins'!P74)</f>
        <v>17827.687</v>
      </c>
    </row>
    <row r="75" ht="12.75" hidden="1" customHeight="1">
      <c r="A75" s="42" t="str">
        <f>'Input - Bookings'!A75</f>
        <v>21/06/2023</v>
      </c>
      <c r="B75" s="43" t="str">
        <f t="shared" si="1"/>
        <v>Asia</v>
      </c>
      <c r="C75" s="43" t="str">
        <f t="shared" si="2"/>
        <v>ATH</v>
      </c>
      <c r="D75" s="43" t="str">
        <f>'Input - Bookings'!D75</f>
        <v>A</v>
      </c>
      <c r="E75" s="43" t="str">
        <f>'Input - Bookings'!J75</f>
        <v>TH</v>
      </c>
      <c r="F75" s="44" t="str">
        <f>'Input - Bookings'!F75</f>
        <v>065</v>
      </c>
      <c r="G75" s="44" t="str">
        <f>'Input - Bookings'!I75</f>
        <v>DILOK AND SONS CO.,LTD.</v>
      </c>
      <c r="H75" s="44" t="str">
        <f>'Input - Bookings'!K75</f>
        <v>H38644</v>
      </c>
      <c r="I75" s="45" t="str">
        <f>VLOOKUP(H75,'Input - Bookings'!$G$2:$H$611,2,0)</f>
        <v>006065</v>
      </c>
      <c r="J75" s="44" t="str">
        <f>'Input - Bookings'!N75</f>
        <v>A3C3</v>
      </c>
      <c r="K75" s="44" t="str">
        <f>'Input - Bookings'!O75</f>
        <v>S1.5UT</v>
      </c>
      <c r="L75" s="44" t="str">
        <f>'Input - Bookings'!C75</f>
        <v>USD</v>
      </c>
      <c r="M75" s="46" t="str">
        <f t="array" ref="M75">IF(L75="USD",INDEX('AP Plants'!A:A,MATCH(J75,'AP Plants'!D:D,0)),INDEX('Australia Plants'!A:A,MATCH(J75,'Australia Plants'!D:D,0)))</f>
        <v>Ruyi</v>
      </c>
      <c r="N75" s="10">
        <v>1.0</v>
      </c>
      <c r="O75" s="9">
        <v>9030.0</v>
      </c>
      <c r="P75" s="9">
        <v>6474.5</v>
      </c>
      <c r="Q75" s="47">
        <v>0.33687994936931187</v>
      </c>
      <c r="R75" s="48">
        <f t="shared" si="3"/>
        <v>0.2830011074</v>
      </c>
      <c r="S75" s="49">
        <f t="shared" si="4"/>
        <v>0</v>
      </c>
      <c r="T75" s="49">
        <f t="shared" si="21"/>
        <v>0.3368799494</v>
      </c>
      <c r="U75" s="50" t="str">
        <f t="shared" si="6"/>
        <v>AOP</v>
      </c>
      <c r="V75" s="51">
        <f t="shared" si="27"/>
        <v>2181.129232</v>
      </c>
      <c r="W75" s="52">
        <f t="shared" si="8"/>
        <v>2181.129232</v>
      </c>
      <c r="X75" s="9">
        <f t="shared" si="25"/>
        <v>6474.5</v>
      </c>
      <c r="Y75" s="8"/>
      <c r="Z75" s="8"/>
      <c r="AA75" s="8"/>
      <c r="AB75" s="8" t="str">
        <f t="shared" si="10"/>
        <v>ATHH38644S1.5UT</v>
      </c>
      <c r="AC75" s="8" t="str">
        <f>IF(AB75='Input - Bookings'!S68,"OK","Check")</f>
        <v>Check</v>
      </c>
      <c r="AD75" s="53"/>
      <c r="AE75" s="54"/>
      <c r="AF75" s="54"/>
      <c r="AG75" s="55"/>
      <c r="AH75" s="55"/>
      <c r="AI75" s="8" t="str">
        <f t="array" ref="AI75">XLOOKUP($J75,'AP Plants'!D:D,'AP Plants'!B:B)</f>
        <v>Class 3</v>
      </c>
      <c r="AJ75" s="56"/>
      <c r="AK75" s="56"/>
      <c r="AL75" s="49">
        <v>0.015</v>
      </c>
      <c r="AM75" s="49">
        <f t="array" ref="AM75">XLOOKUP($AI75,Warranty!B:B,Warranty!E:E)</f>
        <v>0.015</v>
      </c>
      <c r="AN75" s="8">
        <f>IF($L75="AUD",VLOOKUP(RIGHT('Wk - Margins'!$J75,3),'AU Freight'!C:G,5,0),0)</f>
        <v>0</v>
      </c>
      <c r="AO75" s="49">
        <f t="shared" si="11"/>
        <v>0</v>
      </c>
      <c r="AP75" s="57">
        <f t="shared" si="12"/>
        <v>0</v>
      </c>
      <c r="AQ75" s="58">
        <f t="shared" si="13"/>
        <v>1</v>
      </c>
      <c r="AR75" s="59">
        <f>IF(L75="AUD",O75*'Currency &amp; Conversion'!$L$7,'Wk - Margins'!O75)</f>
        <v>9030</v>
      </c>
      <c r="AS75" s="59">
        <f>IF(L75="AUD",P75*'Currency &amp; Conversion'!$L$7,'Wk - Margins'!P75)</f>
        <v>6474.5</v>
      </c>
    </row>
    <row r="76" ht="12.75" hidden="1" customHeight="1">
      <c r="A76" s="42" t="str">
        <f>'Input - Bookings'!A76</f>
        <v>21/06/2023</v>
      </c>
      <c r="B76" s="43" t="str">
        <f t="shared" si="1"/>
        <v>Asia</v>
      </c>
      <c r="C76" s="43" t="str">
        <f t="shared" si="2"/>
        <v>ATH</v>
      </c>
      <c r="D76" s="43" t="str">
        <f>'Input - Bookings'!D76</f>
        <v>A</v>
      </c>
      <c r="E76" s="43" t="str">
        <f>'Input - Bookings'!J76</f>
        <v>TH</v>
      </c>
      <c r="F76" s="44" t="str">
        <f>'Input - Bookings'!F76</f>
        <v>065</v>
      </c>
      <c r="G76" s="44" t="str">
        <f>'Input - Bookings'!I76</f>
        <v>DILOK AND SONS CO.,LTD.</v>
      </c>
      <c r="H76" s="44" t="str">
        <f>'Input - Bookings'!K76</f>
        <v>H38645</v>
      </c>
      <c r="I76" s="45" t="str">
        <f>VLOOKUP(H76,'Input - Bookings'!$G$2:$H$611,2,0)</f>
        <v>006065</v>
      </c>
      <c r="J76" s="44" t="str">
        <f>'Input - Bookings'!N76</f>
        <v>C915</v>
      </c>
      <c r="K76" s="44" t="str">
        <f>'Input - Bookings'!O76</f>
        <v>R1.50EX  2</v>
      </c>
      <c r="L76" s="44" t="str">
        <f>'Input - Bookings'!C76</f>
        <v>USD</v>
      </c>
      <c r="M76" s="46" t="str">
        <f t="array" ref="M76">IF(L76="USD",INDEX('AP Plants'!A:A,MATCH(J76,'AP Plants'!D:D,0)),INDEX('Australia Plants'!A:A,MATCH(J76,'Australia Plants'!D:D,0)))</f>
        <v>SN</v>
      </c>
      <c r="N76" s="10">
        <v>1.0</v>
      </c>
      <c r="O76" s="9">
        <v>23790.0</v>
      </c>
      <c r="P76" s="9">
        <v>14493.050000000001</v>
      </c>
      <c r="Q76" s="47">
        <v>0.133992830555559</v>
      </c>
      <c r="R76" s="48">
        <f t="shared" si="3"/>
        <v>0.3907923497</v>
      </c>
      <c r="S76" s="49">
        <f t="shared" si="4"/>
        <v>0</v>
      </c>
      <c r="T76" s="49">
        <f t="shared" si="21"/>
        <v>0.1339928306</v>
      </c>
      <c r="U76" s="50" t="str">
        <f t="shared" si="6"/>
        <v>AOP</v>
      </c>
      <c r="V76" s="51">
        <f t="shared" si="27"/>
        <v>1941.964793</v>
      </c>
      <c r="W76" s="52">
        <f t="shared" si="8"/>
        <v>1941.964793</v>
      </c>
      <c r="X76" s="9">
        <f t="shared" si="25"/>
        <v>14493.05</v>
      </c>
      <c r="Y76" s="8"/>
      <c r="Z76" s="8"/>
      <c r="AA76" s="8"/>
      <c r="AB76" s="8" t="str">
        <f t="shared" si="10"/>
        <v>ATHH38645R1.50EX  2</v>
      </c>
      <c r="AC76" s="8" t="str">
        <f>IF(AB76='Input - Bookings'!S69,"OK","Check")</f>
        <v>Check</v>
      </c>
      <c r="AD76" s="53"/>
      <c r="AE76" s="54"/>
      <c r="AF76" s="54"/>
      <c r="AG76" s="55"/>
      <c r="AH76" s="55"/>
      <c r="AI76" s="8" t="str">
        <f t="array" ref="AI76">XLOOKUP($J76,'AP Plants'!D:D,'AP Plants'!B:B)</f>
        <v>Class 2</v>
      </c>
      <c r="AJ76" s="56"/>
      <c r="AK76" s="56"/>
      <c r="AL76" s="49">
        <v>0.015</v>
      </c>
      <c r="AM76" s="49">
        <f t="array" ref="AM76">XLOOKUP($AI76,Warranty!B:B,Warranty!E:E)</f>
        <v>0.015</v>
      </c>
      <c r="AN76" s="8">
        <f>IF($L76="AUD",VLOOKUP(RIGHT('Wk - Margins'!$J76,3),'AU Freight'!C:G,5,0),0)</f>
        <v>0</v>
      </c>
      <c r="AO76" s="49">
        <f t="shared" si="11"/>
        <v>0</v>
      </c>
      <c r="AP76" s="57">
        <f t="shared" si="12"/>
        <v>0</v>
      </c>
      <c r="AQ76" s="58">
        <f t="shared" si="13"/>
        <v>1</v>
      </c>
      <c r="AR76" s="59">
        <f>IF(L76="AUD",O76*'Currency &amp; Conversion'!$L$7,'Wk - Margins'!O76)</f>
        <v>23790</v>
      </c>
      <c r="AS76" s="59">
        <f>IF(L76="AUD",P76*'Currency &amp; Conversion'!$L$7,'Wk - Margins'!P76)</f>
        <v>14493.05</v>
      </c>
    </row>
    <row r="77" ht="12.75" hidden="1" customHeight="1">
      <c r="A77" s="42" t="str">
        <f>'Input - Bookings'!A77</f>
        <v>21/06/2023</v>
      </c>
      <c r="B77" s="43" t="str">
        <f t="shared" si="1"/>
        <v>Asia</v>
      </c>
      <c r="C77" s="43" t="str">
        <f t="shared" si="2"/>
        <v>AVN</v>
      </c>
      <c r="D77" s="43" t="str">
        <f>'Input - Bookings'!D77</f>
        <v>A</v>
      </c>
      <c r="E77" s="43" t="str">
        <f>'Input - Bookings'!J77</f>
        <v>VN</v>
      </c>
      <c r="F77" s="44" t="str">
        <f>'Input - Bookings'!F77</f>
        <v>067</v>
      </c>
      <c r="G77" s="44" t="str">
        <f>'Input - Bookings'!I77</f>
        <v>KY LUC CO., LTD</v>
      </c>
      <c r="H77" s="44" t="str">
        <f>'Input - Bookings'!K77</f>
        <v>H38450</v>
      </c>
      <c r="I77" s="45" t="str">
        <f>VLOOKUP(H77,'Input - Bookings'!$G$2:$H$611,2,0)</f>
        <v>017005</v>
      </c>
      <c r="J77" s="44" t="str">
        <f>'Input - Bookings'!N77</f>
        <v>C900</v>
      </c>
      <c r="K77" s="44" t="str">
        <f>'Input - Bookings'!O77</f>
        <v>FBR18SZ</v>
      </c>
      <c r="L77" s="44" t="str">
        <f>'Input - Bookings'!C77</f>
        <v>USD</v>
      </c>
      <c r="M77" s="46" t="str">
        <f t="array" ref="M77">IF(L77="USD",INDEX('AP Plants'!A:A,MATCH(J77,'AP Plants'!D:D,0)),INDEX('Australia Plants'!A:A,MATCH(J77,'Australia Plants'!D:D,0)))</f>
        <v>SN</v>
      </c>
      <c r="N77" s="10">
        <v>1.0</v>
      </c>
      <c r="O77" s="9">
        <v>31055.0</v>
      </c>
      <c r="P77" s="9">
        <v>19537.375000000004</v>
      </c>
      <c r="Q77" s="47">
        <v>0.1630293606248474</v>
      </c>
      <c r="R77" s="48">
        <f t="shared" si="3"/>
        <v>0.3708782805</v>
      </c>
      <c r="S77" s="49">
        <f t="shared" si="4"/>
        <v>0</v>
      </c>
      <c r="T77" s="49">
        <f t="shared" si="21"/>
        <v>0.1630293606</v>
      </c>
      <c r="U77" s="50" t="str">
        <f t="shared" si="6"/>
        <v>AOP</v>
      </c>
      <c r="V77" s="51">
        <f t="shared" ref="V77:V611" si="28">N77*P77*(Q77-S77)</f>
        <v>3185.165755</v>
      </c>
      <c r="W77" s="52">
        <f t="shared" si="8"/>
        <v>3185.165755</v>
      </c>
      <c r="X77" s="9">
        <f t="shared" si="25"/>
        <v>19537.375</v>
      </c>
      <c r="Y77" s="8"/>
      <c r="Z77" s="8"/>
      <c r="AA77" s="8"/>
      <c r="AB77" s="8" t="str">
        <f t="shared" si="10"/>
        <v>AVNH38450FBR18SZ</v>
      </c>
      <c r="AC77" s="8" t="str">
        <f>IF(AB77='Input - Bookings'!S70,"OK","Check")</f>
        <v>Check</v>
      </c>
      <c r="AD77" s="53"/>
      <c r="AE77" s="54"/>
      <c r="AF77" s="54"/>
      <c r="AG77" s="55"/>
      <c r="AH77" s="62"/>
      <c r="AI77" s="8" t="str">
        <f t="array" ref="AI77">XLOOKUP($J77,'AP Plants'!D:D,'AP Plants'!B:B)</f>
        <v>Class 2</v>
      </c>
      <c r="AJ77" s="56"/>
      <c r="AK77" s="56"/>
      <c r="AL77" s="49">
        <v>0.015</v>
      </c>
      <c r="AM77" s="49">
        <f t="array" ref="AM77">XLOOKUP($AI77,Warranty!B:B,Warranty!E:E)</f>
        <v>0.015</v>
      </c>
      <c r="AN77" s="8">
        <f>IF($L77="AUD",VLOOKUP(RIGHT('Wk - Margins'!$J77,3),'AU Freight'!C:G,5,0),0)</f>
        <v>0</v>
      </c>
      <c r="AO77" s="49">
        <f t="shared" si="11"/>
        <v>0</v>
      </c>
      <c r="AP77" s="57">
        <f t="shared" si="12"/>
        <v>0</v>
      </c>
      <c r="AQ77" s="58">
        <f t="shared" si="13"/>
        <v>1</v>
      </c>
      <c r="AR77" s="59">
        <f>IF(L77="AUD",O77*'Currency &amp; Conversion'!$L$7,'Wk - Margins'!O77)</f>
        <v>31055</v>
      </c>
      <c r="AS77" s="59">
        <f>IF(L77="AUD",P77*'Currency &amp; Conversion'!$L$7,'Wk - Margins'!P77)</f>
        <v>19537.375</v>
      </c>
    </row>
    <row r="78" ht="12.75" hidden="1" customHeight="1">
      <c r="A78" s="42" t="str">
        <f>'Input - Bookings'!A78</f>
        <v>23/06/2023</v>
      </c>
      <c r="B78" s="43" t="str">
        <f t="shared" si="1"/>
        <v>Asia</v>
      </c>
      <c r="C78" s="43" t="str">
        <f t="shared" si="2"/>
        <v>AMY</v>
      </c>
      <c r="D78" s="43" t="str">
        <f>'Input - Bookings'!D78</f>
        <v>A</v>
      </c>
      <c r="E78" s="43" t="str">
        <f>'Input - Bookings'!J78</f>
        <v>MY</v>
      </c>
      <c r="F78" s="44" t="str">
        <f>'Input - Bookings'!F78</f>
        <v>065</v>
      </c>
      <c r="G78" s="44" t="str">
        <f>'Input - Bookings'!I78</f>
        <v>SIME DARBY MATERIAL</v>
      </c>
      <c r="H78" s="44" t="str">
        <f>'Input - Bookings'!K78</f>
        <v>H38988</v>
      </c>
      <c r="I78" s="45" t="str">
        <f>VLOOKUP(H78,'Input - Bookings'!$G$2:$H$611,2,0)</f>
        <v>011005</v>
      </c>
      <c r="J78" s="44" t="str">
        <f>'Input - Bookings'!N78</f>
        <v>A3C9</v>
      </c>
      <c r="K78" s="44" t="str">
        <f>'Input - Bookings'!O78</f>
        <v>T3.0UT</v>
      </c>
      <c r="L78" s="44" t="str">
        <f>'Input - Bookings'!C78</f>
        <v>USD</v>
      </c>
      <c r="M78" s="46" t="str">
        <f t="array" ref="M78">IF(L78="USD",INDEX('AP Plants'!A:A,MATCH(J78,'AP Plants'!D:D,0)),INDEX('Australia Plants'!A:A,MATCH(J78,'Australia Plants'!D:D,0)))</f>
        <v>Ruyi</v>
      </c>
      <c r="N78" s="10">
        <v>1.0</v>
      </c>
      <c r="O78" s="9">
        <v>9070.0</v>
      </c>
      <c r="P78" s="9">
        <v>5646.8</v>
      </c>
      <c r="Q78" s="47">
        <v>0.2754126597688322</v>
      </c>
      <c r="R78" s="48">
        <f t="shared" si="3"/>
        <v>0.3774200662</v>
      </c>
      <c r="S78" s="49">
        <f t="shared" si="4"/>
        <v>0</v>
      </c>
      <c r="T78" s="49">
        <f t="shared" si="21"/>
        <v>0.2754126598</v>
      </c>
      <c r="U78" s="50" t="str">
        <f t="shared" si="6"/>
        <v>AOP</v>
      </c>
      <c r="V78" s="51">
        <f t="shared" si="28"/>
        <v>1555.200207</v>
      </c>
      <c r="W78" s="52">
        <f t="shared" si="8"/>
        <v>1555.200207</v>
      </c>
      <c r="X78" s="9">
        <f t="shared" si="25"/>
        <v>5646.8</v>
      </c>
      <c r="Y78" s="8"/>
      <c r="Z78" s="8"/>
      <c r="AA78" s="8"/>
      <c r="AB78" s="8" t="str">
        <f t="shared" si="10"/>
        <v>AMYH38988T3.0UT</v>
      </c>
      <c r="AC78" s="8" t="str">
        <f>IF(AB78='Input - Bookings'!S71,"OK","Check")</f>
        <v>Check</v>
      </c>
      <c r="AD78" s="53"/>
      <c r="AE78" s="54"/>
      <c r="AF78" s="54"/>
      <c r="AG78" s="55"/>
      <c r="AH78" s="55"/>
      <c r="AI78" s="8" t="str">
        <f t="array" ref="AI78">XLOOKUP($J78,'AP Plants'!D:D,'AP Plants'!B:B)</f>
        <v>Class 3</v>
      </c>
      <c r="AJ78" s="56"/>
      <c r="AK78" s="56"/>
      <c r="AL78" s="49">
        <v>0.015</v>
      </c>
      <c r="AM78" s="49">
        <f t="array" ref="AM78">XLOOKUP($AI78,Warranty!B:B,Warranty!E:E)</f>
        <v>0.015</v>
      </c>
      <c r="AN78" s="8">
        <f>IF($L78="AUD",VLOOKUP(RIGHT('Wk - Margins'!$J78,3),'AU Freight'!C:G,5,0),0)</f>
        <v>0</v>
      </c>
      <c r="AO78" s="49">
        <f t="shared" si="11"/>
        <v>0</v>
      </c>
      <c r="AP78" s="57">
        <f t="shared" si="12"/>
        <v>0</v>
      </c>
      <c r="AQ78" s="58">
        <f t="shared" si="13"/>
        <v>1</v>
      </c>
      <c r="AR78" s="59">
        <f>IF(L78="AUD",O78*'Currency &amp; Conversion'!$L$7,'Wk - Margins'!O78)</f>
        <v>9070</v>
      </c>
      <c r="AS78" s="59">
        <f>IF(L78="AUD",P78*'Currency &amp; Conversion'!$L$7,'Wk - Margins'!P78)</f>
        <v>5646.8</v>
      </c>
    </row>
    <row r="79" ht="12.75" hidden="1" customHeight="1">
      <c r="A79" s="42" t="str">
        <f>'Input - Bookings'!A79</f>
        <v>23/06/2023</v>
      </c>
      <c r="B79" s="43" t="str">
        <f t="shared" si="1"/>
        <v>Asia</v>
      </c>
      <c r="C79" s="43" t="str">
        <f t="shared" si="2"/>
        <v>AMY</v>
      </c>
      <c r="D79" s="43" t="str">
        <f>'Input - Bookings'!D79</f>
        <v>A</v>
      </c>
      <c r="E79" s="43" t="str">
        <f>'Input - Bookings'!J79</f>
        <v>MY</v>
      </c>
      <c r="F79" s="44" t="str">
        <f>'Input - Bookings'!F79</f>
        <v>065</v>
      </c>
      <c r="G79" s="44" t="str">
        <f>'Input - Bookings'!I79</f>
        <v>SIME DARBY MATERIAL</v>
      </c>
      <c r="H79" s="44" t="str">
        <f>'Input - Bookings'!K79</f>
        <v>H38989</v>
      </c>
      <c r="I79" s="45" t="str">
        <f>VLOOKUP(H79,'Input - Bookings'!$G$2:$H$611,2,0)</f>
        <v>011005</v>
      </c>
      <c r="J79" s="44" t="str">
        <f>'Input - Bookings'!N79</f>
        <v>A3C9</v>
      </c>
      <c r="K79" s="44" t="str">
        <f>'Input - Bookings'!O79</f>
        <v>T3.0UT</v>
      </c>
      <c r="L79" s="44" t="str">
        <f>'Input - Bookings'!C79</f>
        <v>USD</v>
      </c>
      <c r="M79" s="46" t="str">
        <f t="array" ref="M79">IF(L79="USD",INDEX('AP Plants'!A:A,MATCH(J79,'AP Plants'!D:D,0)),INDEX('Australia Plants'!A:A,MATCH(J79,'Australia Plants'!D:D,0)))</f>
        <v>Ruyi</v>
      </c>
      <c r="N79" s="10">
        <v>1.0</v>
      </c>
      <c r="O79" s="9">
        <v>9070.0</v>
      </c>
      <c r="P79" s="9">
        <v>5646.8</v>
      </c>
      <c r="Q79" s="47">
        <v>0.2754126597688322</v>
      </c>
      <c r="R79" s="48">
        <f t="shared" si="3"/>
        <v>0.3774200662</v>
      </c>
      <c r="S79" s="49">
        <f t="shared" si="4"/>
        <v>0</v>
      </c>
      <c r="T79" s="49">
        <f t="shared" si="21"/>
        <v>0.2754126598</v>
      </c>
      <c r="U79" s="50" t="str">
        <f t="shared" si="6"/>
        <v>AOP</v>
      </c>
      <c r="V79" s="51">
        <f t="shared" si="28"/>
        <v>1555.200207</v>
      </c>
      <c r="W79" s="52">
        <f t="shared" si="8"/>
        <v>1555.200207</v>
      </c>
      <c r="X79" s="9">
        <f t="shared" si="25"/>
        <v>5646.8</v>
      </c>
      <c r="Y79" s="8"/>
      <c r="Z79" s="8"/>
      <c r="AA79" s="8"/>
      <c r="AB79" s="8" t="str">
        <f t="shared" si="10"/>
        <v>AMYH38989T3.0UT</v>
      </c>
      <c r="AC79" s="8" t="str">
        <f>IF(AB79='Input - Bookings'!S72,"OK","Check")</f>
        <v>Check</v>
      </c>
      <c r="AD79" s="53"/>
      <c r="AE79" s="54"/>
      <c r="AF79" s="54"/>
      <c r="AG79" s="55"/>
      <c r="AH79" s="55"/>
      <c r="AI79" s="8" t="str">
        <f t="array" ref="AI79">XLOOKUP($J79,'AP Plants'!D:D,'AP Plants'!B:B)</f>
        <v>Class 3</v>
      </c>
      <c r="AJ79" s="56"/>
      <c r="AK79" s="56"/>
      <c r="AL79" s="49">
        <v>0.015</v>
      </c>
      <c r="AM79" s="49">
        <f t="array" ref="AM79">XLOOKUP($AI79,Warranty!B:B,Warranty!E:E)</f>
        <v>0.015</v>
      </c>
      <c r="AN79" s="8">
        <f>IF($L79="AUD",VLOOKUP(RIGHT('Wk - Margins'!$J79,3),'AU Freight'!C:G,5,0),0)</f>
        <v>0</v>
      </c>
      <c r="AO79" s="49">
        <f t="shared" si="11"/>
        <v>0</v>
      </c>
      <c r="AP79" s="57">
        <f t="shared" si="12"/>
        <v>0</v>
      </c>
      <c r="AQ79" s="58">
        <f t="shared" si="13"/>
        <v>1</v>
      </c>
      <c r="AR79" s="59">
        <f>IF(L79="AUD",O79*'Currency &amp; Conversion'!$L$7,'Wk - Margins'!O79)</f>
        <v>9070</v>
      </c>
      <c r="AS79" s="59">
        <f>IF(L79="AUD",P79*'Currency &amp; Conversion'!$L$7,'Wk - Margins'!P79)</f>
        <v>5646.8</v>
      </c>
    </row>
    <row r="80" ht="12.75" hidden="1" customHeight="1">
      <c r="A80" s="42" t="str">
        <f>'Input - Bookings'!A80</f>
        <v>23/06/2023</v>
      </c>
      <c r="B80" s="43" t="str">
        <f t="shared" si="1"/>
        <v>Asia</v>
      </c>
      <c r="C80" s="43" t="str">
        <f t="shared" si="2"/>
        <v>AMY</v>
      </c>
      <c r="D80" s="43" t="str">
        <f>'Input - Bookings'!D80</f>
        <v>A</v>
      </c>
      <c r="E80" s="43" t="str">
        <f>'Input - Bookings'!J80</f>
        <v>MY</v>
      </c>
      <c r="F80" s="44" t="str">
        <f>'Input - Bookings'!F80</f>
        <v>065</v>
      </c>
      <c r="G80" s="44" t="str">
        <f>'Input - Bookings'!I80</f>
        <v>SIME DARBY MATERIAL</v>
      </c>
      <c r="H80" s="44" t="str">
        <f>'Input - Bookings'!K80</f>
        <v>H38990</v>
      </c>
      <c r="I80" s="45" t="str">
        <f>VLOOKUP(H80,'Input - Bookings'!$G$2:$H$611,2,0)</f>
        <v>011005</v>
      </c>
      <c r="J80" s="44" t="str">
        <f>'Input - Bookings'!N80</f>
        <v>A3C9</v>
      </c>
      <c r="K80" s="44" t="str">
        <f>'Input - Bookings'!O80</f>
        <v>T3.0UT</v>
      </c>
      <c r="L80" s="44" t="str">
        <f>'Input - Bookings'!C80</f>
        <v>USD</v>
      </c>
      <c r="M80" s="46" t="str">
        <f t="array" ref="M80">IF(L80="USD",INDEX('AP Plants'!A:A,MATCH(J80,'AP Plants'!D:D,0)),INDEX('Australia Plants'!A:A,MATCH(J80,'Australia Plants'!D:D,0)))</f>
        <v>Ruyi</v>
      </c>
      <c r="N80" s="10">
        <v>1.0</v>
      </c>
      <c r="O80" s="9">
        <v>9070.0</v>
      </c>
      <c r="P80" s="9">
        <v>5646.8</v>
      </c>
      <c r="Q80" s="47">
        <v>0.2754126597688322</v>
      </c>
      <c r="R80" s="48">
        <f t="shared" si="3"/>
        <v>0.3774200662</v>
      </c>
      <c r="S80" s="49">
        <f t="shared" si="4"/>
        <v>0</v>
      </c>
      <c r="T80" s="49">
        <f t="shared" si="21"/>
        <v>0.2754126598</v>
      </c>
      <c r="U80" s="50" t="str">
        <f t="shared" si="6"/>
        <v>AOP</v>
      </c>
      <c r="V80" s="51">
        <f t="shared" si="28"/>
        <v>1555.200207</v>
      </c>
      <c r="W80" s="52">
        <f t="shared" si="8"/>
        <v>1555.200207</v>
      </c>
      <c r="X80" s="9">
        <f t="shared" si="25"/>
        <v>5646.8</v>
      </c>
      <c r="Y80" s="8"/>
      <c r="Z80" s="8"/>
      <c r="AA80" s="8"/>
      <c r="AB80" s="8" t="str">
        <f t="shared" si="10"/>
        <v>AMYH38990T3.0UT</v>
      </c>
      <c r="AC80" s="8" t="str">
        <f>IF(AB80='Input - Bookings'!S73,"OK","Check")</f>
        <v>Check</v>
      </c>
      <c r="AD80" s="53"/>
      <c r="AE80" s="54"/>
      <c r="AF80" s="54"/>
      <c r="AG80" s="55"/>
      <c r="AH80" s="55"/>
      <c r="AI80" s="8" t="str">
        <f t="array" ref="AI80">XLOOKUP($J80,'AP Plants'!D:D,'AP Plants'!B:B)</f>
        <v>Class 3</v>
      </c>
      <c r="AJ80" s="56"/>
      <c r="AK80" s="56"/>
      <c r="AL80" s="49">
        <v>0.015</v>
      </c>
      <c r="AM80" s="49">
        <f t="array" ref="AM80">XLOOKUP($AI80,Warranty!B:B,Warranty!E:E)</f>
        <v>0.015</v>
      </c>
      <c r="AN80" s="8">
        <f>IF($L80="AUD",VLOOKUP(RIGHT('Wk - Margins'!$J80,3),'AU Freight'!C:G,5,0),0)</f>
        <v>0</v>
      </c>
      <c r="AO80" s="49">
        <f t="shared" si="11"/>
        <v>0</v>
      </c>
      <c r="AP80" s="57">
        <f t="shared" si="12"/>
        <v>0</v>
      </c>
      <c r="AQ80" s="58">
        <f t="shared" si="13"/>
        <v>1</v>
      </c>
      <c r="AR80" s="59">
        <f>IF(L80="AUD",O80*'Currency &amp; Conversion'!$L$7,'Wk - Margins'!O80)</f>
        <v>9070</v>
      </c>
      <c r="AS80" s="59">
        <f>IF(L80="AUD",P80*'Currency &amp; Conversion'!$L$7,'Wk - Margins'!P80)</f>
        <v>5646.8</v>
      </c>
    </row>
    <row r="81" ht="12.75" hidden="1" customHeight="1">
      <c r="A81" s="42" t="str">
        <f>'Input - Bookings'!A81</f>
        <v>23/06/2023</v>
      </c>
      <c r="B81" s="43" t="str">
        <f t="shared" si="1"/>
        <v>Asia</v>
      </c>
      <c r="C81" s="43" t="str">
        <f t="shared" si="2"/>
        <v>AMY</v>
      </c>
      <c r="D81" s="43" t="str">
        <f>'Input - Bookings'!D81</f>
        <v>A</v>
      </c>
      <c r="E81" s="43" t="str">
        <f>'Input - Bookings'!J81</f>
        <v>MY</v>
      </c>
      <c r="F81" s="44" t="str">
        <f>'Input - Bookings'!F81</f>
        <v>065</v>
      </c>
      <c r="G81" s="44" t="str">
        <f>'Input - Bookings'!I81</f>
        <v>SIME DARBY MATERIAL</v>
      </c>
      <c r="H81" s="44" t="str">
        <f>'Input - Bookings'!K81</f>
        <v>H38991</v>
      </c>
      <c r="I81" s="45" t="str">
        <f>VLOOKUP(H81,'Input - Bookings'!$G$2:$H$611,2,0)</f>
        <v>011005</v>
      </c>
      <c r="J81" s="44" t="str">
        <f>'Input - Bookings'!N81</f>
        <v>A3C9</v>
      </c>
      <c r="K81" s="44" t="str">
        <f>'Input - Bookings'!O81</f>
        <v>T3.0UT</v>
      </c>
      <c r="L81" s="44" t="str">
        <f>'Input - Bookings'!C81</f>
        <v>USD</v>
      </c>
      <c r="M81" s="46" t="str">
        <f t="array" ref="M81">IF(L81="USD",INDEX('AP Plants'!A:A,MATCH(J81,'AP Plants'!D:D,0)),INDEX('Australia Plants'!A:A,MATCH(J81,'Australia Plants'!D:D,0)))</f>
        <v>Ruyi</v>
      </c>
      <c r="N81" s="10">
        <v>1.0</v>
      </c>
      <c r="O81" s="9">
        <v>9070.0</v>
      </c>
      <c r="P81" s="9">
        <v>5646.8</v>
      </c>
      <c r="Q81" s="47">
        <v>0.2754126597688322</v>
      </c>
      <c r="R81" s="48">
        <f t="shared" si="3"/>
        <v>0.3774200662</v>
      </c>
      <c r="S81" s="49">
        <f t="shared" si="4"/>
        <v>0</v>
      </c>
      <c r="T81" s="49">
        <f t="shared" si="21"/>
        <v>0.2754126598</v>
      </c>
      <c r="U81" s="50" t="str">
        <f t="shared" si="6"/>
        <v>AOP</v>
      </c>
      <c r="V81" s="51">
        <f t="shared" si="28"/>
        <v>1555.200207</v>
      </c>
      <c r="W81" s="52">
        <f t="shared" si="8"/>
        <v>1555.200207</v>
      </c>
      <c r="X81" s="9">
        <f t="shared" si="25"/>
        <v>5646.8</v>
      </c>
      <c r="Y81" s="8"/>
      <c r="Z81" s="8"/>
      <c r="AA81" s="8"/>
      <c r="AB81" s="8" t="str">
        <f t="shared" si="10"/>
        <v>AMYH38991T3.0UT</v>
      </c>
      <c r="AC81" s="8" t="str">
        <f>IF(AB81='Input - Bookings'!S74,"OK","Check")</f>
        <v>Check</v>
      </c>
      <c r="AD81" s="53"/>
      <c r="AE81" s="54"/>
      <c r="AF81" s="54"/>
      <c r="AG81" s="55"/>
      <c r="AH81" s="55"/>
      <c r="AI81" s="8" t="str">
        <f t="array" ref="AI81">XLOOKUP($J81,'AP Plants'!D:D,'AP Plants'!B:B)</f>
        <v>Class 3</v>
      </c>
      <c r="AJ81" s="56"/>
      <c r="AK81" s="56"/>
      <c r="AL81" s="49">
        <v>0.015</v>
      </c>
      <c r="AM81" s="49">
        <f t="array" ref="AM81">XLOOKUP($AI81,Warranty!B:B,Warranty!E:E)</f>
        <v>0.015</v>
      </c>
      <c r="AN81" s="8">
        <f>IF($L81="AUD",VLOOKUP(RIGHT('Wk - Margins'!$J81,3),'AU Freight'!C:G,5,0),0)</f>
        <v>0</v>
      </c>
      <c r="AO81" s="49">
        <f t="shared" si="11"/>
        <v>0</v>
      </c>
      <c r="AP81" s="57">
        <f t="shared" si="12"/>
        <v>0</v>
      </c>
      <c r="AQ81" s="58">
        <f t="shared" si="13"/>
        <v>1</v>
      </c>
      <c r="AR81" s="59">
        <f>IF(L81="AUD",O81*'Currency &amp; Conversion'!$L$7,'Wk - Margins'!O81)</f>
        <v>9070</v>
      </c>
      <c r="AS81" s="59">
        <f>IF(L81="AUD",P81*'Currency &amp; Conversion'!$L$7,'Wk - Margins'!P81)</f>
        <v>5646.8</v>
      </c>
    </row>
    <row r="82" ht="12.75" hidden="1" customHeight="1">
      <c r="A82" s="42" t="str">
        <f>'Input - Bookings'!A82</f>
        <v>23/06/2023</v>
      </c>
      <c r="B82" s="43" t="str">
        <f t="shared" si="1"/>
        <v>Asia</v>
      </c>
      <c r="C82" s="43" t="str">
        <f t="shared" si="2"/>
        <v>AMY</v>
      </c>
      <c r="D82" s="43" t="str">
        <f>'Input - Bookings'!D82</f>
        <v>A</v>
      </c>
      <c r="E82" s="43" t="str">
        <f>'Input - Bookings'!J82</f>
        <v>MY</v>
      </c>
      <c r="F82" s="44" t="str">
        <f>'Input - Bookings'!F82</f>
        <v>065</v>
      </c>
      <c r="G82" s="44" t="str">
        <f>'Input - Bookings'!I82</f>
        <v>SIME DARBY MATERIAL</v>
      </c>
      <c r="H82" s="44" t="str">
        <f>'Input - Bookings'!K82</f>
        <v>H38992</v>
      </c>
      <c r="I82" s="45" t="str">
        <f>VLOOKUP(H82,'Input - Bookings'!$G$2:$H$611,2,0)</f>
        <v>011005</v>
      </c>
      <c r="J82" s="44" t="str">
        <f>'Input - Bookings'!N82</f>
        <v>A3C9</v>
      </c>
      <c r="K82" s="44" t="str">
        <f>'Input - Bookings'!O82</f>
        <v>T3.0UT</v>
      </c>
      <c r="L82" s="44" t="str">
        <f>'Input - Bookings'!C82</f>
        <v>USD</v>
      </c>
      <c r="M82" s="46" t="str">
        <f t="array" ref="M82">IF(L82="USD",INDEX('AP Plants'!A:A,MATCH(J82,'AP Plants'!D:D,0)),INDEX('Australia Plants'!A:A,MATCH(J82,'Australia Plants'!D:D,0)))</f>
        <v>Ruyi</v>
      </c>
      <c r="N82" s="10">
        <v>1.0</v>
      </c>
      <c r="O82" s="9">
        <v>9070.0</v>
      </c>
      <c r="P82" s="9">
        <v>5646.8</v>
      </c>
      <c r="Q82" s="47">
        <v>0.2754126597688322</v>
      </c>
      <c r="R82" s="48">
        <f t="shared" si="3"/>
        <v>0.3774200662</v>
      </c>
      <c r="S82" s="49">
        <f t="shared" si="4"/>
        <v>0</v>
      </c>
      <c r="T82" s="49">
        <f t="shared" si="21"/>
        <v>0.2754126598</v>
      </c>
      <c r="U82" s="50" t="str">
        <f t="shared" si="6"/>
        <v>AOP</v>
      </c>
      <c r="V82" s="51">
        <f t="shared" si="28"/>
        <v>1555.200207</v>
      </c>
      <c r="W82" s="52">
        <f t="shared" si="8"/>
        <v>1555.200207</v>
      </c>
      <c r="X82" s="9">
        <f t="shared" si="25"/>
        <v>5646.8</v>
      </c>
      <c r="Y82" s="8"/>
      <c r="Z82" s="8"/>
      <c r="AA82" s="8"/>
      <c r="AB82" s="8" t="str">
        <f t="shared" si="10"/>
        <v>AMYH38992T3.0UT</v>
      </c>
      <c r="AC82" s="8" t="str">
        <f>IF(AB82='Input - Bookings'!E75,"OK","Check")</f>
        <v>Check</v>
      </c>
      <c r="AD82" s="53"/>
      <c r="AE82" s="54"/>
      <c r="AF82" s="54"/>
      <c r="AG82" s="55"/>
      <c r="AH82" s="55"/>
      <c r="AI82" s="8" t="str">
        <f t="array" ref="AI82">XLOOKUP($J82,'AP Plants'!D:D,'AP Plants'!B:B)</f>
        <v>Class 3</v>
      </c>
      <c r="AJ82" s="56"/>
      <c r="AK82" s="56"/>
      <c r="AL82" s="49">
        <v>0.015</v>
      </c>
      <c r="AM82" s="49">
        <f t="array" ref="AM82">XLOOKUP($AI82,Warranty!B:B,Warranty!E:E)</f>
        <v>0.015</v>
      </c>
      <c r="AN82" s="8">
        <f>IF($L82="AUD",VLOOKUP(RIGHT('Wk - Margins'!$J82,3),'AU Freight'!C:G,5,0),0)</f>
        <v>0</v>
      </c>
      <c r="AO82" s="49">
        <f t="shared" si="11"/>
        <v>0</v>
      </c>
      <c r="AP82" s="57">
        <f t="shared" si="12"/>
        <v>0</v>
      </c>
      <c r="AQ82" s="58">
        <f t="shared" si="13"/>
        <v>1</v>
      </c>
      <c r="AR82" s="59">
        <f>IF(L82="AUD",O82*'Currency &amp; Conversion'!$L$7,'Wk - Margins'!O82)</f>
        <v>9070</v>
      </c>
      <c r="AS82" s="59">
        <f>IF(L82="AUD",P82*'Currency &amp; Conversion'!$L$7,'Wk - Margins'!P82)</f>
        <v>5646.8</v>
      </c>
    </row>
    <row r="83" ht="12.75" hidden="1" customHeight="1">
      <c r="A83" s="42" t="str">
        <f>'Input - Bookings'!A83</f>
        <v>23/06/2023</v>
      </c>
      <c r="B83" s="43" t="str">
        <f t="shared" si="1"/>
        <v>Asia</v>
      </c>
      <c r="C83" s="43" t="str">
        <f t="shared" si="2"/>
        <v>AMY</v>
      </c>
      <c r="D83" s="43" t="str">
        <f>'Input - Bookings'!D83</f>
        <v>A</v>
      </c>
      <c r="E83" s="43" t="str">
        <f>'Input - Bookings'!J83</f>
        <v>MY</v>
      </c>
      <c r="F83" s="44" t="str">
        <f>'Input - Bookings'!F83</f>
        <v>065</v>
      </c>
      <c r="G83" s="44" t="str">
        <f>'Input - Bookings'!I83</f>
        <v>SIME DARBY MATERIAL</v>
      </c>
      <c r="H83" s="44" t="str">
        <f>'Input - Bookings'!K83</f>
        <v>H38993</v>
      </c>
      <c r="I83" s="45" t="str">
        <f>VLOOKUP(H83,'Input - Bookings'!$G$2:$H$611,2,0)</f>
        <v>011005</v>
      </c>
      <c r="J83" s="44" t="str">
        <f>'Input - Bookings'!N83</f>
        <v>A3C9</v>
      </c>
      <c r="K83" s="44" t="str">
        <f>'Input - Bookings'!O83</f>
        <v>T3.0UT</v>
      </c>
      <c r="L83" s="44" t="str">
        <f>'Input - Bookings'!C83</f>
        <v>USD</v>
      </c>
      <c r="M83" s="46" t="str">
        <f t="array" ref="M83">IF(L83="USD",INDEX('AP Plants'!A:A,MATCH(J83,'AP Plants'!D:D,0)),INDEX('Australia Plants'!A:A,MATCH(J83,'Australia Plants'!D:D,0)))</f>
        <v>Ruyi</v>
      </c>
      <c r="N83" s="10">
        <v>1.0</v>
      </c>
      <c r="O83" s="9">
        <v>9070.0</v>
      </c>
      <c r="P83" s="9">
        <v>5646.8</v>
      </c>
      <c r="Q83" s="47">
        <v>0.2754126597688322</v>
      </c>
      <c r="R83" s="48">
        <f t="shared" si="3"/>
        <v>0.3774200662</v>
      </c>
      <c r="S83" s="49">
        <f t="shared" si="4"/>
        <v>0</v>
      </c>
      <c r="T83" s="49">
        <f t="shared" si="21"/>
        <v>0.2754126598</v>
      </c>
      <c r="U83" s="50" t="str">
        <f t="shared" si="6"/>
        <v>AOP</v>
      </c>
      <c r="V83" s="51">
        <f t="shared" si="28"/>
        <v>1555.200207</v>
      </c>
      <c r="W83" s="52">
        <f t="shared" si="8"/>
        <v>1555.200207</v>
      </c>
      <c r="X83" s="9">
        <f t="shared" si="25"/>
        <v>5646.8</v>
      </c>
      <c r="Y83" s="8"/>
      <c r="Z83" s="8"/>
      <c r="AA83" s="8"/>
      <c r="AB83" s="8" t="str">
        <f t="shared" si="10"/>
        <v>AMYH38993T3.0UT</v>
      </c>
      <c r="AC83" s="8" t="str">
        <f>IF(AB83='Input - Bookings'!E76,"OK","Check")</f>
        <v>Check</v>
      </c>
      <c r="AD83" s="53"/>
      <c r="AE83" s="54"/>
      <c r="AF83" s="54"/>
      <c r="AG83" s="55"/>
      <c r="AH83" s="55"/>
      <c r="AI83" s="8" t="str">
        <f t="array" ref="AI83">XLOOKUP($J83,'AP Plants'!D:D,'AP Plants'!B:B)</f>
        <v>Class 3</v>
      </c>
      <c r="AJ83" s="56"/>
      <c r="AK83" s="56"/>
      <c r="AL83" s="49">
        <v>0.015</v>
      </c>
      <c r="AM83" s="49">
        <f t="array" ref="AM83">XLOOKUP($AI83,Warranty!B:B,Warranty!E:E)</f>
        <v>0.015</v>
      </c>
      <c r="AN83" s="8">
        <f>IF($L83="AUD",VLOOKUP(RIGHT('Wk - Margins'!$J83,3),'AU Freight'!C:G,5,0),0)</f>
        <v>0</v>
      </c>
      <c r="AO83" s="49">
        <f t="shared" si="11"/>
        <v>0</v>
      </c>
      <c r="AP83" s="57">
        <f t="shared" si="12"/>
        <v>0</v>
      </c>
      <c r="AQ83" s="58">
        <f t="shared" si="13"/>
        <v>1</v>
      </c>
      <c r="AR83" s="59">
        <f>IF(L83="AUD",O83*'Currency &amp; Conversion'!$L$7,'Wk - Margins'!O83)</f>
        <v>9070</v>
      </c>
      <c r="AS83" s="59">
        <f>IF(L83="AUD",P83*'Currency &amp; Conversion'!$L$7,'Wk - Margins'!P83)</f>
        <v>5646.8</v>
      </c>
    </row>
    <row r="84" ht="12.75" hidden="1" customHeight="1">
      <c r="A84" s="42" t="str">
        <f>'Input - Bookings'!A84</f>
        <v>23/06/2023</v>
      </c>
      <c r="B84" s="43" t="str">
        <f t="shared" si="1"/>
        <v>Asia</v>
      </c>
      <c r="C84" s="43" t="str">
        <f t="shared" si="2"/>
        <v>AMY</v>
      </c>
      <c r="D84" s="43" t="str">
        <f>'Input - Bookings'!D84</f>
        <v>A</v>
      </c>
      <c r="E84" s="43" t="str">
        <f>'Input - Bookings'!J84</f>
        <v>MY</v>
      </c>
      <c r="F84" s="44" t="str">
        <f>'Input - Bookings'!F84</f>
        <v>065</v>
      </c>
      <c r="G84" s="44" t="str">
        <f>'Input - Bookings'!I84</f>
        <v>SIME DARBY MATERIAL</v>
      </c>
      <c r="H84" s="44" t="str">
        <f>'Input - Bookings'!K84</f>
        <v>H38994</v>
      </c>
      <c r="I84" s="45" t="str">
        <f>VLOOKUP(H84,'Input - Bookings'!$G$2:$H$611,2,0)</f>
        <v>011005</v>
      </c>
      <c r="J84" s="44" t="str">
        <f>'Input - Bookings'!N84</f>
        <v>A3C9</v>
      </c>
      <c r="K84" s="44" t="str">
        <f>'Input - Bookings'!O84</f>
        <v>T3.0UT</v>
      </c>
      <c r="L84" s="44" t="str">
        <f>'Input - Bookings'!C84</f>
        <v>USD</v>
      </c>
      <c r="M84" s="46" t="str">
        <f t="array" ref="M84">IF(L84="USD",INDEX('AP Plants'!A:A,MATCH(J84,'AP Plants'!D:D,0)),INDEX('Australia Plants'!A:A,MATCH(J84,'Australia Plants'!D:D,0)))</f>
        <v>Ruyi</v>
      </c>
      <c r="N84" s="10">
        <v>1.0</v>
      </c>
      <c r="O84" s="9">
        <v>9070.0</v>
      </c>
      <c r="P84" s="9">
        <v>5646.8</v>
      </c>
      <c r="Q84" s="47">
        <v>0.2754126597688322</v>
      </c>
      <c r="R84" s="48">
        <f t="shared" si="3"/>
        <v>0.3774200662</v>
      </c>
      <c r="S84" s="49">
        <f t="shared" si="4"/>
        <v>0</v>
      </c>
      <c r="T84" s="49">
        <f t="shared" si="21"/>
        <v>0.2754126598</v>
      </c>
      <c r="U84" s="50" t="str">
        <f t="shared" si="6"/>
        <v>AOP</v>
      </c>
      <c r="V84" s="51">
        <f t="shared" si="28"/>
        <v>1555.200207</v>
      </c>
      <c r="W84" s="52">
        <f t="shared" si="8"/>
        <v>1555.200207</v>
      </c>
      <c r="X84" s="9">
        <f t="shared" si="25"/>
        <v>5646.8</v>
      </c>
      <c r="Y84" s="8"/>
      <c r="Z84" s="8"/>
      <c r="AA84" s="8"/>
      <c r="AB84" s="8" t="str">
        <f t="shared" si="10"/>
        <v>AMYH38994T3.0UT</v>
      </c>
      <c r="AC84" s="8" t="str">
        <f>IF(AB84='Input - Bookings'!E77,"OK","Check")</f>
        <v>Check</v>
      </c>
      <c r="AD84" s="53"/>
      <c r="AE84" s="54"/>
      <c r="AF84" s="54"/>
      <c r="AG84" s="55"/>
      <c r="AH84" s="62"/>
      <c r="AI84" s="8" t="str">
        <f t="array" ref="AI84">XLOOKUP($J84,'AP Plants'!D:D,'AP Plants'!B:B)</f>
        <v>Class 3</v>
      </c>
      <c r="AJ84" s="56"/>
      <c r="AK84" s="56"/>
      <c r="AL84" s="49">
        <v>0.015</v>
      </c>
      <c r="AM84" s="49">
        <f t="array" ref="AM84">XLOOKUP($AI84,Warranty!B:B,Warranty!E:E)</f>
        <v>0.015</v>
      </c>
      <c r="AN84" s="8">
        <f>IF($L84="AUD",VLOOKUP(RIGHT('Wk - Margins'!$J84,3),'AU Freight'!C:G,5,0),0)</f>
        <v>0</v>
      </c>
      <c r="AO84" s="49">
        <f t="shared" si="11"/>
        <v>0</v>
      </c>
      <c r="AP84" s="57">
        <f t="shared" si="12"/>
        <v>0</v>
      </c>
      <c r="AQ84" s="58">
        <f t="shared" si="13"/>
        <v>1</v>
      </c>
      <c r="AR84" s="59">
        <f>IF(L84="AUD",O84*'Currency &amp; Conversion'!$L$7,'Wk - Margins'!O84)</f>
        <v>9070</v>
      </c>
      <c r="AS84" s="59">
        <f>IF(L84="AUD",P84*'Currency &amp; Conversion'!$L$7,'Wk - Margins'!P84)</f>
        <v>5646.8</v>
      </c>
    </row>
    <row r="85" ht="12.75" customHeight="1">
      <c r="A85" s="42" t="str">
        <f>'Input - Bookings'!A85</f>
        <v>25/06/2023</v>
      </c>
      <c r="B85" s="43" t="str">
        <f t="shared" si="1"/>
        <v>Asia</v>
      </c>
      <c r="C85" s="43" t="str">
        <f t="shared" si="2"/>
        <v>AKR</v>
      </c>
      <c r="D85" s="43" t="str">
        <f>'Input - Bookings'!D85</f>
        <v>A</v>
      </c>
      <c r="E85" s="43" t="str">
        <f>'Input - Bookings'!J85</f>
        <v>KR</v>
      </c>
      <c r="F85" s="44" t="str">
        <f>'Input - Bookings'!F85</f>
        <v>067</v>
      </c>
      <c r="G85" s="44" t="str">
        <f>'Input - Bookings'!I85</f>
        <v>YALE EQUIPMENT, INC</v>
      </c>
      <c r="H85" s="44" t="str">
        <f>'Input - Bookings'!K85</f>
        <v>H39197</v>
      </c>
      <c r="I85" s="45" t="str">
        <f>VLOOKUP(H85,'Input - Bookings'!$G$2:$H$611,2,0)</f>
        <v>816405</v>
      </c>
      <c r="J85" s="44" t="str">
        <f>'Input - Bookings'!N85</f>
        <v>B869</v>
      </c>
      <c r="K85" s="44" t="str">
        <f>'Input - Bookings'!O85</f>
        <v>MTC15</v>
      </c>
      <c r="L85" s="44" t="str">
        <f>'Input - Bookings'!C85</f>
        <v>USD</v>
      </c>
      <c r="M85" s="46" t="str">
        <f t="array" ref="M85">IF(L85="USD",INDEX('AP Plants'!A:A,MATCH(J85,'AP Plants'!D:D,0)),INDEX('Australia Plants'!A:A,MATCH(J85,'Australia Plants'!D:D,0)))</f>
        <v>Masate</v>
      </c>
      <c r="N85" s="10">
        <v>1.0</v>
      </c>
      <c r="O85" s="9">
        <v>114475.0</v>
      </c>
      <c r="P85" s="9">
        <v>75492.94999999998</v>
      </c>
      <c r="Q85" s="47">
        <f t="shared" ref="Q85:Q86" si="29">AQ85</f>
        <v>0.3944413835</v>
      </c>
      <c r="R85" s="48">
        <f t="shared" si="3"/>
        <v>0.3405289364</v>
      </c>
      <c r="S85" s="49">
        <f t="shared" si="4"/>
        <v>0</v>
      </c>
      <c r="T85" s="49">
        <f t="shared" si="21"/>
        <v>0.3944413835</v>
      </c>
      <c r="U85" s="50" t="str">
        <f t="shared" si="6"/>
        <v>AOP</v>
      </c>
      <c r="V85" s="51">
        <f t="shared" si="28"/>
        <v>29777.54364</v>
      </c>
      <c r="W85" s="52">
        <f t="shared" si="8"/>
        <v>29777.54364</v>
      </c>
      <c r="X85" s="9">
        <f t="shared" si="25"/>
        <v>75492.95</v>
      </c>
      <c r="Y85" s="8"/>
      <c r="Z85" s="8"/>
      <c r="AA85" s="8"/>
      <c r="AB85" s="8" t="str">
        <f t="shared" si="10"/>
        <v>AKRH39197MTC15</v>
      </c>
      <c r="AC85" s="8" t="str">
        <f>IF(AB85='Input - Bookings'!E78,"OK","Check")</f>
        <v>Check</v>
      </c>
      <c r="AD85" s="53"/>
      <c r="AE85" s="54">
        <v>0.0</v>
      </c>
      <c r="AF85" s="54">
        <v>0.0</v>
      </c>
      <c r="AG85" s="55"/>
      <c r="AH85" s="55">
        <v>41637.29</v>
      </c>
      <c r="AI85" s="8" t="str">
        <f t="array" ref="AI85">XLOOKUP($J85,'AP Plants'!D:D,'AP Plants'!B:B)</f>
        <v>Class 2</v>
      </c>
      <c r="AJ85" s="56"/>
      <c r="AK85" s="56">
        <f>(AH85*(1+VLOOKUP(M85,'Currency &amp; Conversion'!$F$13:$G$19,2,0))*'Currency &amp; Conversion'!$L$3)</f>
        <v>44383.88967</v>
      </c>
      <c r="AL85" s="49">
        <v>0.015</v>
      </c>
      <c r="AM85" s="49">
        <f t="array" ref="AM85">XLOOKUP($AI85,Warranty!B:B,Warranty!E:E)</f>
        <v>0.015</v>
      </c>
      <c r="AN85" s="8">
        <f>IF($L85="AUD",VLOOKUP(RIGHT('Wk - Margins'!$J85,3),'AU Freight'!C:G,5,0),0)</f>
        <v>0</v>
      </c>
      <c r="AO85" s="49">
        <f t="shared" si="11"/>
        <v>0</v>
      </c>
      <c r="AP85" s="63">
        <f t="shared" si="12"/>
        <v>45715.40636</v>
      </c>
      <c r="AQ85" s="64">
        <f t="shared" si="13"/>
        <v>0.3944413835</v>
      </c>
      <c r="AR85" s="59">
        <f>IF(L85="AUD",O85*'Currency &amp; Conversion'!$L$7,'Wk - Margins'!O85)</f>
        <v>114475</v>
      </c>
      <c r="AS85" s="59">
        <f>IF(L85="AUD",P85*'Currency &amp; Conversion'!$L$7,'Wk - Margins'!P85)</f>
        <v>75492.95</v>
      </c>
    </row>
    <row r="86" ht="12.75" customHeight="1">
      <c r="A86" s="42" t="str">
        <f>'Input - Bookings'!A86</f>
        <v>25/06/2023</v>
      </c>
      <c r="B86" s="43" t="str">
        <f t="shared" si="1"/>
        <v>Asia</v>
      </c>
      <c r="C86" s="43" t="str">
        <f t="shared" si="2"/>
        <v>APH</v>
      </c>
      <c r="D86" s="43" t="str">
        <f>'Input - Bookings'!D86</f>
        <v>A</v>
      </c>
      <c r="E86" s="43" t="str">
        <f>'Input - Bookings'!J86</f>
        <v>PH</v>
      </c>
      <c r="F86" s="44" t="str">
        <f>'Input - Bookings'!F86</f>
        <v>067</v>
      </c>
      <c r="G86" s="44" t="str">
        <f>'Input - Bookings'!I86</f>
        <v>YALETRAK PHILIPPINES, INC</v>
      </c>
      <c r="H86" s="44" t="str">
        <f>'Input - Bookings'!K86</f>
        <v>H39200</v>
      </c>
      <c r="I86" s="45" t="str">
        <f>VLOOKUP(H86,'Input - Bookings'!$G$2:$H$611,2,0)</f>
        <v>808065</v>
      </c>
      <c r="J86" s="44" t="str">
        <f>'Input - Bookings'!N86</f>
        <v>C295</v>
      </c>
      <c r="K86" s="44" t="str">
        <f>'Input - Bookings'!O86</f>
        <v>NR035DC</v>
      </c>
      <c r="L86" s="44" t="str">
        <f>'Input - Bookings'!C86</f>
        <v>USD</v>
      </c>
      <c r="M86" s="46" t="str">
        <f t="array" ref="M86">IF(L86="USD",INDEX('AP Plants'!A:A,MATCH(J86,'AP Plants'!D:D,0)),INDEX('Australia Plants'!A:A,MATCH(J86,'Australia Plants'!D:D,0)))</f>
        <v>Greenville</v>
      </c>
      <c r="N86" s="10">
        <v>1.0</v>
      </c>
      <c r="O86" s="9">
        <v>41460.0</v>
      </c>
      <c r="P86" s="9">
        <v>29636.0</v>
      </c>
      <c r="Q86" s="47">
        <f t="shared" si="29"/>
        <v>0.06368852862</v>
      </c>
      <c r="R86" s="48">
        <f t="shared" si="3"/>
        <v>0.2851905451</v>
      </c>
      <c r="S86" s="49">
        <f t="shared" si="4"/>
        <v>0</v>
      </c>
      <c r="T86" s="49">
        <f t="shared" si="21"/>
        <v>0.06368852862</v>
      </c>
      <c r="U86" s="50" t="str">
        <f t="shared" si="6"/>
        <v>AOP</v>
      </c>
      <c r="V86" s="51">
        <f t="shared" si="28"/>
        <v>1887.473234</v>
      </c>
      <c r="W86" s="52">
        <f t="shared" si="8"/>
        <v>1887.473234</v>
      </c>
      <c r="X86" s="9">
        <f t="shared" si="25"/>
        <v>29636</v>
      </c>
      <c r="Y86" s="8"/>
      <c r="Z86" s="8"/>
      <c r="AA86" s="8"/>
      <c r="AB86" s="8" t="str">
        <f t="shared" si="10"/>
        <v>APHH39200NR035DC</v>
      </c>
      <c r="AC86" s="8" t="str">
        <f>IF(AB86='Input - Bookings'!E79,"OK","Check")</f>
        <v>Check</v>
      </c>
      <c r="AD86" s="53"/>
      <c r="AE86" s="54">
        <v>0.0</v>
      </c>
      <c r="AF86" s="54">
        <v>0.0</v>
      </c>
      <c r="AG86" s="55">
        <v>26916.092765</v>
      </c>
      <c r="AH86" s="55"/>
      <c r="AI86" s="8" t="str">
        <f t="array" ref="AI86">XLOOKUP($J86,'AP Plants'!D:D,'AP Plants'!B:B)</f>
        <v>Class 2</v>
      </c>
      <c r="AJ86" s="56"/>
      <c r="AK86" s="56">
        <f>(AG86*(1+VLOOKUP(M86,'Currency &amp; Conversion'!$F$13:$G$19,2,0))+((AE86+AF86)*90%))</f>
        <v>26940.31725</v>
      </c>
      <c r="AL86" s="49">
        <v>0.015</v>
      </c>
      <c r="AM86" s="49">
        <f t="array" ref="AM86">XLOOKUP($AI86,Warranty!B:B,Warranty!E:E)</f>
        <v>0.015</v>
      </c>
      <c r="AN86" s="8">
        <f>IF($L86="AUD",VLOOKUP(RIGHT('Wk - Margins'!$J86,3),'AU Freight'!C:G,5,0),0)</f>
        <v>0</v>
      </c>
      <c r="AO86" s="49">
        <f t="shared" si="11"/>
        <v>0</v>
      </c>
      <c r="AP86" s="63">
        <f t="shared" si="12"/>
        <v>27748.52677</v>
      </c>
      <c r="AQ86" s="64">
        <f t="shared" si="13"/>
        <v>0.06368852862</v>
      </c>
      <c r="AR86" s="59">
        <f>IF(L86="AUD",O86*'Currency &amp; Conversion'!$L$7,'Wk - Margins'!O86)</f>
        <v>41460</v>
      </c>
      <c r="AS86" s="59">
        <f>IF(L86="AUD",P86*'Currency &amp; Conversion'!$L$7,'Wk - Margins'!P86)</f>
        <v>29636</v>
      </c>
    </row>
    <row r="87" ht="12.75" hidden="1" customHeight="1">
      <c r="A87" s="42" t="str">
        <f>'Input - Bookings'!A87</f>
        <v>26/06/2023</v>
      </c>
      <c r="B87" s="43" t="str">
        <f t="shared" si="1"/>
        <v>Asia</v>
      </c>
      <c r="C87" s="43" t="str">
        <f t="shared" si="2"/>
        <v>AKR</v>
      </c>
      <c r="D87" s="43" t="str">
        <f>'Input - Bookings'!D87</f>
        <v>A</v>
      </c>
      <c r="E87" s="43" t="str">
        <f>'Input - Bookings'!J87</f>
        <v>KR</v>
      </c>
      <c r="F87" s="44" t="str">
        <f>'Input - Bookings'!F87</f>
        <v>065</v>
      </c>
      <c r="G87" s="44" t="str">
        <f>'Input - Bookings'!I87</f>
        <v>HYSTER KOREA INC.</v>
      </c>
      <c r="H87" s="44" t="str">
        <f>'Input - Bookings'!K87</f>
        <v>H39397</v>
      </c>
      <c r="I87" s="45" t="str">
        <f>VLOOKUP(H87,'Input - Bookings'!$G$2:$H$611,2,0)</f>
        <v>081645</v>
      </c>
      <c r="J87" s="44" t="str">
        <f>'Input - Bookings'!N87</f>
        <v>A3B5</v>
      </c>
      <c r="K87" s="44" t="str">
        <f>'Input - Bookings'!O87</f>
        <v>P2.0UTE</v>
      </c>
      <c r="L87" s="44" t="str">
        <f>'Input - Bookings'!C87</f>
        <v>USD</v>
      </c>
      <c r="M87" s="46" t="str">
        <f t="array" ref="M87">IF(L87="USD",INDEX('AP Plants'!A:A,MATCH(J87,'AP Plants'!D:D,0)),INDEX('Australia Plants'!A:A,MATCH(J87,'Australia Plants'!D:D,0)))</f>
        <v>Ruyi</v>
      </c>
      <c r="N87" s="10">
        <v>1.0</v>
      </c>
      <c r="O87" s="9">
        <v>3235.0</v>
      </c>
      <c r="P87" s="9">
        <v>2028.0</v>
      </c>
      <c r="Q87" s="47">
        <v>0.1552369686268681</v>
      </c>
      <c r="R87" s="48">
        <f t="shared" si="3"/>
        <v>0.3731066461</v>
      </c>
      <c r="S87" s="49">
        <f t="shared" si="4"/>
        <v>0</v>
      </c>
      <c r="T87" s="49">
        <f t="shared" si="21"/>
        <v>0.1552369686</v>
      </c>
      <c r="U87" s="50" t="str">
        <f t="shared" si="6"/>
        <v>AOP</v>
      </c>
      <c r="V87" s="51">
        <f t="shared" si="28"/>
        <v>314.8205724</v>
      </c>
      <c r="W87" s="52">
        <f t="shared" si="8"/>
        <v>314.8205724</v>
      </c>
      <c r="X87" s="9">
        <f t="shared" si="25"/>
        <v>2028</v>
      </c>
      <c r="Y87" s="8"/>
      <c r="Z87" s="8"/>
      <c r="AA87" s="8"/>
      <c r="AB87" s="8" t="str">
        <f t="shared" si="10"/>
        <v>AKRH39397P2.0UTE</v>
      </c>
      <c r="AC87" s="8" t="str">
        <f>IF(AB87='Input - Bookings'!E80,"OK","Check")</f>
        <v>Check</v>
      </c>
      <c r="AD87" s="53"/>
      <c r="AE87" s="54"/>
      <c r="AF87" s="54"/>
      <c r="AG87" s="55"/>
      <c r="AH87" s="55"/>
      <c r="AI87" s="8" t="str">
        <f t="array" ref="AI87">XLOOKUP($J87,'AP Plants'!D:D,'AP Plants'!B:B)</f>
        <v>Class 3</v>
      </c>
      <c r="AJ87" s="56"/>
      <c r="AK87" s="56"/>
      <c r="AL87" s="49">
        <v>0.015</v>
      </c>
      <c r="AM87" s="49">
        <f t="array" ref="AM87">XLOOKUP($AI87,Warranty!B:B,Warranty!E:E)</f>
        <v>0.015</v>
      </c>
      <c r="AN87" s="8">
        <f>IF($L87="AUD",VLOOKUP(RIGHT('Wk - Margins'!$J87,3),'AU Freight'!C:G,5,0),0)</f>
        <v>0</v>
      </c>
      <c r="AO87" s="49">
        <f t="shared" si="11"/>
        <v>0</v>
      </c>
      <c r="AP87" s="57">
        <f t="shared" si="12"/>
        <v>0</v>
      </c>
      <c r="AQ87" s="58">
        <f t="shared" si="13"/>
        <v>1</v>
      </c>
      <c r="AR87" s="59">
        <f>IF(L87="AUD",O87*'Currency &amp; Conversion'!$L$7,'Wk - Margins'!O87)</f>
        <v>3235</v>
      </c>
      <c r="AS87" s="59">
        <f>IF(L87="AUD",P87*'Currency &amp; Conversion'!$L$7,'Wk - Margins'!P87)</f>
        <v>2028</v>
      </c>
    </row>
    <row r="88" ht="12.75" hidden="1" customHeight="1">
      <c r="A88" s="42" t="str">
        <f>'Input - Bookings'!A88</f>
        <v>26/06/2023</v>
      </c>
      <c r="B88" s="43" t="str">
        <f t="shared" si="1"/>
        <v>Asia</v>
      </c>
      <c r="C88" s="43" t="str">
        <f t="shared" si="2"/>
        <v>AKR</v>
      </c>
      <c r="D88" s="43" t="str">
        <f>'Input - Bookings'!D88</f>
        <v>A</v>
      </c>
      <c r="E88" s="43" t="str">
        <f>'Input - Bookings'!J88</f>
        <v>KR</v>
      </c>
      <c r="F88" s="44" t="str">
        <f>'Input - Bookings'!F88</f>
        <v>065</v>
      </c>
      <c r="G88" s="44" t="str">
        <f>'Input - Bookings'!I88</f>
        <v>HYSTER KOREA INC.</v>
      </c>
      <c r="H88" s="44" t="str">
        <f>'Input - Bookings'!K88</f>
        <v>H39398</v>
      </c>
      <c r="I88" s="45" t="str">
        <f>VLOOKUP(H88,'Input - Bookings'!$G$2:$H$611,2,0)</f>
        <v>081645</v>
      </c>
      <c r="J88" s="44" t="str">
        <f>'Input - Bookings'!N88</f>
        <v>A3B5</v>
      </c>
      <c r="K88" s="44" t="str">
        <f>'Input - Bookings'!O88</f>
        <v>P2.0UTE</v>
      </c>
      <c r="L88" s="44" t="str">
        <f>'Input - Bookings'!C88</f>
        <v>USD</v>
      </c>
      <c r="M88" s="46" t="str">
        <f t="array" ref="M88">IF(L88="USD",INDEX('AP Plants'!A:A,MATCH(J88,'AP Plants'!D:D,0)),INDEX('Australia Plants'!A:A,MATCH(J88,'Australia Plants'!D:D,0)))</f>
        <v>Ruyi</v>
      </c>
      <c r="N88" s="10">
        <v>1.0</v>
      </c>
      <c r="O88" s="9">
        <v>3235.0</v>
      </c>
      <c r="P88" s="9">
        <v>2028.0</v>
      </c>
      <c r="Q88" s="47">
        <v>0.1552369686268681</v>
      </c>
      <c r="R88" s="48">
        <f t="shared" si="3"/>
        <v>0.3731066461</v>
      </c>
      <c r="S88" s="49">
        <f t="shared" si="4"/>
        <v>0</v>
      </c>
      <c r="T88" s="49">
        <f t="shared" si="21"/>
        <v>0.1552369686</v>
      </c>
      <c r="U88" s="50" t="str">
        <f t="shared" si="6"/>
        <v>AOP</v>
      </c>
      <c r="V88" s="51">
        <f t="shared" si="28"/>
        <v>314.8205724</v>
      </c>
      <c r="W88" s="52">
        <f t="shared" si="8"/>
        <v>314.8205724</v>
      </c>
      <c r="X88" s="9">
        <f t="shared" si="25"/>
        <v>2028</v>
      </c>
      <c r="Y88" s="8"/>
      <c r="Z88" s="8"/>
      <c r="AA88" s="8"/>
      <c r="AB88" s="8" t="str">
        <f t="shared" si="10"/>
        <v>AKRH39398P2.0UTE</v>
      </c>
      <c r="AC88" s="8" t="str">
        <f>IF(AB88='Input - Bookings'!E81,"OK","Check")</f>
        <v>Check</v>
      </c>
      <c r="AD88" s="53"/>
      <c r="AE88" s="54"/>
      <c r="AF88" s="54"/>
      <c r="AG88" s="55"/>
      <c r="AH88" s="55"/>
      <c r="AI88" s="8" t="str">
        <f t="array" ref="AI88">XLOOKUP($J88,'AP Plants'!D:D,'AP Plants'!B:B)</f>
        <v>Class 3</v>
      </c>
      <c r="AJ88" s="56"/>
      <c r="AK88" s="56"/>
      <c r="AL88" s="49">
        <v>0.015</v>
      </c>
      <c r="AM88" s="49">
        <f t="array" ref="AM88">XLOOKUP($AI88,Warranty!B:B,Warranty!E:E)</f>
        <v>0.015</v>
      </c>
      <c r="AN88" s="8">
        <f>IF($L88="AUD",VLOOKUP(RIGHT('Wk - Margins'!$J88,3),'AU Freight'!C:G,5,0),0)</f>
        <v>0</v>
      </c>
      <c r="AO88" s="49">
        <f t="shared" si="11"/>
        <v>0</v>
      </c>
      <c r="AP88" s="57">
        <f t="shared" si="12"/>
        <v>0</v>
      </c>
      <c r="AQ88" s="58">
        <f t="shared" si="13"/>
        <v>1</v>
      </c>
      <c r="AR88" s="59">
        <f>IF(L88="AUD",O88*'Currency &amp; Conversion'!$L$7,'Wk - Margins'!O88)</f>
        <v>3235</v>
      </c>
      <c r="AS88" s="59">
        <f>IF(L88="AUD",P88*'Currency &amp; Conversion'!$L$7,'Wk - Margins'!P88)</f>
        <v>2028</v>
      </c>
    </row>
    <row r="89" ht="12.75" hidden="1" customHeight="1">
      <c r="A89" s="42" t="str">
        <f>'Input - Bookings'!A89</f>
        <v>26/06/2023</v>
      </c>
      <c r="B89" s="43" t="str">
        <f t="shared" si="1"/>
        <v>Asia</v>
      </c>
      <c r="C89" s="43" t="str">
        <f t="shared" si="2"/>
        <v>AKR</v>
      </c>
      <c r="D89" s="43" t="str">
        <f>'Input - Bookings'!D89</f>
        <v>A</v>
      </c>
      <c r="E89" s="43" t="str">
        <f>'Input - Bookings'!J89</f>
        <v>KR</v>
      </c>
      <c r="F89" s="44" t="str">
        <f>'Input - Bookings'!F89</f>
        <v>065</v>
      </c>
      <c r="G89" s="44" t="str">
        <f>'Input - Bookings'!I89</f>
        <v>HYSTER KOREA INC.</v>
      </c>
      <c r="H89" s="44" t="str">
        <f>'Input - Bookings'!K89</f>
        <v>H39399</v>
      </c>
      <c r="I89" s="45" t="str">
        <f>VLOOKUP(H89,'Input - Bookings'!$G$2:$H$611,2,0)</f>
        <v>081645</v>
      </c>
      <c r="J89" s="44" t="str">
        <f>'Input - Bookings'!N89</f>
        <v>A3B5</v>
      </c>
      <c r="K89" s="44" t="str">
        <f>'Input - Bookings'!O89</f>
        <v>P2.0UTE</v>
      </c>
      <c r="L89" s="44" t="str">
        <f>'Input - Bookings'!C89</f>
        <v>USD</v>
      </c>
      <c r="M89" s="46" t="str">
        <f t="array" ref="M89">IF(L89="USD",INDEX('AP Plants'!A:A,MATCH(J89,'AP Plants'!D:D,0)),INDEX('Australia Plants'!A:A,MATCH(J89,'Australia Plants'!D:D,0)))</f>
        <v>Ruyi</v>
      </c>
      <c r="N89" s="10">
        <v>1.0</v>
      </c>
      <c r="O89" s="9">
        <v>3235.0</v>
      </c>
      <c r="P89" s="9">
        <v>2028.0</v>
      </c>
      <c r="Q89" s="47">
        <v>0.1552369686268681</v>
      </c>
      <c r="R89" s="48">
        <f t="shared" si="3"/>
        <v>0.3731066461</v>
      </c>
      <c r="S89" s="49">
        <f t="shared" si="4"/>
        <v>0</v>
      </c>
      <c r="T89" s="49">
        <f t="shared" si="21"/>
        <v>0.1552369686</v>
      </c>
      <c r="U89" s="50" t="str">
        <f t="shared" si="6"/>
        <v>AOP</v>
      </c>
      <c r="V89" s="51">
        <f t="shared" si="28"/>
        <v>314.8205724</v>
      </c>
      <c r="W89" s="52">
        <f t="shared" si="8"/>
        <v>314.8205724</v>
      </c>
      <c r="X89" s="9">
        <f t="shared" si="25"/>
        <v>2028</v>
      </c>
      <c r="Y89" s="8"/>
      <c r="Z89" s="8"/>
      <c r="AA89" s="8"/>
      <c r="AB89" s="8" t="str">
        <f t="shared" si="10"/>
        <v>AKRH39399P2.0UTE</v>
      </c>
      <c r="AC89" s="8" t="str">
        <f>IF(AB89='Input - Bookings'!E82,"OK","Check")</f>
        <v>Check</v>
      </c>
      <c r="AD89" s="53"/>
      <c r="AE89" s="54"/>
      <c r="AF89" s="54"/>
      <c r="AG89" s="55"/>
      <c r="AH89" s="55"/>
      <c r="AI89" s="8" t="str">
        <f t="array" ref="AI89">XLOOKUP($J89,'AP Plants'!D:D,'AP Plants'!B:B)</f>
        <v>Class 3</v>
      </c>
      <c r="AJ89" s="56"/>
      <c r="AK89" s="56"/>
      <c r="AL89" s="49">
        <v>0.015</v>
      </c>
      <c r="AM89" s="49">
        <f t="array" ref="AM89">XLOOKUP($AI89,Warranty!B:B,Warranty!E:E)</f>
        <v>0.015</v>
      </c>
      <c r="AN89" s="8">
        <f>IF($L89="AUD",VLOOKUP(RIGHT('Wk - Margins'!$J89,3),'AU Freight'!C:G,5,0),0)</f>
        <v>0</v>
      </c>
      <c r="AO89" s="49">
        <f t="shared" si="11"/>
        <v>0</v>
      </c>
      <c r="AP89" s="57">
        <f t="shared" si="12"/>
        <v>0</v>
      </c>
      <c r="AQ89" s="58">
        <f t="shared" si="13"/>
        <v>1</v>
      </c>
      <c r="AR89" s="59">
        <f>IF(L89="AUD",O89*'Currency &amp; Conversion'!$L$7,'Wk - Margins'!O89)</f>
        <v>3235</v>
      </c>
      <c r="AS89" s="59">
        <f>IF(L89="AUD",P89*'Currency &amp; Conversion'!$L$7,'Wk - Margins'!P89)</f>
        <v>2028</v>
      </c>
    </row>
    <row r="90" ht="12.75" hidden="1" customHeight="1">
      <c r="A90" s="42" t="str">
        <f>'Input - Bookings'!A90</f>
        <v>26/06/2023</v>
      </c>
      <c r="B90" s="43" t="str">
        <f t="shared" si="1"/>
        <v>Asia</v>
      </c>
      <c r="C90" s="43" t="str">
        <f t="shared" si="2"/>
        <v>AKR</v>
      </c>
      <c r="D90" s="43" t="str">
        <f>'Input - Bookings'!D90</f>
        <v>A</v>
      </c>
      <c r="E90" s="43" t="str">
        <f>'Input - Bookings'!J90</f>
        <v>KR</v>
      </c>
      <c r="F90" s="44" t="str">
        <f>'Input - Bookings'!F90</f>
        <v>065</v>
      </c>
      <c r="G90" s="44" t="str">
        <f>'Input - Bookings'!I90</f>
        <v>HYSTER KOREA INC.</v>
      </c>
      <c r="H90" s="44" t="str">
        <f>'Input - Bookings'!K90</f>
        <v>H39400</v>
      </c>
      <c r="I90" s="45" t="str">
        <f>VLOOKUP(H90,'Input - Bookings'!$G$2:$H$611,2,0)</f>
        <v>081645</v>
      </c>
      <c r="J90" s="44" t="str">
        <f>'Input - Bookings'!N90</f>
        <v>A3B5</v>
      </c>
      <c r="K90" s="44" t="str">
        <f>'Input - Bookings'!O90</f>
        <v>P2.0UTE</v>
      </c>
      <c r="L90" s="44" t="str">
        <f>'Input - Bookings'!C90</f>
        <v>USD</v>
      </c>
      <c r="M90" s="46" t="str">
        <f t="array" ref="M90">IF(L90="USD",INDEX('AP Plants'!A:A,MATCH(J90,'AP Plants'!D:D,0)),INDEX('Australia Plants'!A:A,MATCH(J90,'Australia Plants'!D:D,0)))</f>
        <v>Ruyi</v>
      </c>
      <c r="N90" s="10">
        <v>1.0</v>
      </c>
      <c r="O90" s="9">
        <v>3235.0</v>
      </c>
      <c r="P90" s="9">
        <v>2028.0</v>
      </c>
      <c r="Q90" s="47">
        <v>0.1552369686268681</v>
      </c>
      <c r="R90" s="48">
        <f t="shared" si="3"/>
        <v>0.3731066461</v>
      </c>
      <c r="S90" s="49">
        <f t="shared" si="4"/>
        <v>0</v>
      </c>
      <c r="T90" s="49">
        <f t="shared" si="21"/>
        <v>0.1552369686</v>
      </c>
      <c r="U90" s="50" t="str">
        <f t="shared" si="6"/>
        <v>AOP</v>
      </c>
      <c r="V90" s="51">
        <f t="shared" si="28"/>
        <v>314.8205724</v>
      </c>
      <c r="W90" s="52">
        <f t="shared" si="8"/>
        <v>314.8205724</v>
      </c>
      <c r="X90" s="9">
        <f t="shared" si="25"/>
        <v>2028</v>
      </c>
      <c r="Y90" s="8"/>
      <c r="Z90" s="8"/>
      <c r="AA90" s="8"/>
      <c r="AB90" s="8" t="str">
        <f t="shared" si="10"/>
        <v>AKRH39400P2.0UTE</v>
      </c>
      <c r="AC90" s="8" t="str">
        <f>IF(AB90='Input - Bookings'!E83,"OK","Check")</f>
        <v>Check</v>
      </c>
      <c r="AD90" s="53"/>
      <c r="AE90" s="54"/>
      <c r="AF90" s="54"/>
      <c r="AG90" s="55"/>
      <c r="AH90" s="55"/>
      <c r="AI90" s="8" t="str">
        <f t="array" ref="AI90">XLOOKUP($J90,'AP Plants'!D:D,'AP Plants'!B:B)</f>
        <v>Class 3</v>
      </c>
      <c r="AJ90" s="56"/>
      <c r="AK90" s="56"/>
      <c r="AL90" s="49">
        <v>0.015</v>
      </c>
      <c r="AM90" s="49">
        <f t="array" ref="AM90">XLOOKUP($AI90,Warranty!B:B,Warranty!E:E)</f>
        <v>0.015</v>
      </c>
      <c r="AN90" s="8">
        <f>IF($L90="AUD",VLOOKUP(RIGHT('Wk - Margins'!$J90,3),'AU Freight'!C:G,5,0),0)</f>
        <v>0</v>
      </c>
      <c r="AO90" s="49">
        <f t="shared" si="11"/>
        <v>0</v>
      </c>
      <c r="AP90" s="57">
        <f t="shared" si="12"/>
        <v>0</v>
      </c>
      <c r="AQ90" s="58">
        <f t="shared" si="13"/>
        <v>1</v>
      </c>
      <c r="AR90" s="59">
        <f>IF(L90="AUD",O90*'Currency &amp; Conversion'!$L$7,'Wk - Margins'!O90)</f>
        <v>3235</v>
      </c>
      <c r="AS90" s="59">
        <f>IF(L90="AUD",P90*'Currency &amp; Conversion'!$L$7,'Wk - Margins'!P90)</f>
        <v>2028</v>
      </c>
    </row>
    <row r="91" ht="12.75" hidden="1" customHeight="1">
      <c r="A91" s="42" t="str">
        <f>'Input - Bookings'!A91</f>
        <v>26/06/2023</v>
      </c>
      <c r="B91" s="43" t="str">
        <f t="shared" si="1"/>
        <v>Asia</v>
      </c>
      <c r="C91" s="43" t="str">
        <f t="shared" si="2"/>
        <v>AKR</v>
      </c>
      <c r="D91" s="43" t="str">
        <f>'Input - Bookings'!D91</f>
        <v>A</v>
      </c>
      <c r="E91" s="43" t="str">
        <f>'Input - Bookings'!J91</f>
        <v>KR</v>
      </c>
      <c r="F91" s="44" t="str">
        <f>'Input - Bookings'!F91</f>
        <v>065</v>
      </c>
      <c r="G91" s="44" t="str">
        <f>'Input - Bookings'!I91</f>
        <v>HYSTER KOREA INC.</v>
      </c>
      <c r="H91" s="44" t="str">
        <f>'Input - Bookings'!K91</f>
        <v>H39401</v>
      </c>
      <c r="I91" s="45" t="str">
        <f>VLOOKUP(H91,'Input - Bookings'!$G$2:$H$611,2,0)</f>
        <v>081645</v>
      </c>
      <c r="J91" s="44" t="str">
        <f>'Input - Bookings'!N91</f>
        <v>A3B5</v>
      </c>
      <c r="K91" s="44" t="str">
        <f>'Input - Bookings'!O91</f>
        <v>P2.0UTE</v>
      </c>
      <c r="L91" s="44" t="str">
        <f>'Input - Bookings'!C91</f>
        <v>USD</v>
      </c>
      <c r="M91" s="46" t="str">
        <f t="array" ref="M91">IF(L91="USD",INDEX('AP Plants'!A:A,MATCH(J91,'AP Plants'!D:D,0)),INDEX('Australia Plants'!A:A,MATCH(J91,'Australia Plants'!D:D,0)))</f>
        <v>Ruyi</v>
      </c>
      <c r="N91" s="10">
        <v>1.0</v>
      </c>
      <c r="O91" s="9">
        <v>3235.0</v>
      </c>
      <c r="P91" s="9">
        <v>2028.0</v>
      </c>
      <c r="Q91" s="47">
        <v>0.1552369686268681</v>
      </c>
      <c r="R91" s="48">
        <f t="shared" si="3"/>
        <v>0.3731066461</v>
      </c>
      <c r="S91" s="49">
        <f t="shared" si="4"/>
        <v>0</v>
      </c>
      <c r="T91" s="49">
        <f t="shared" si="21"/>
        <v>0.1552369686</v>
      </c>
      <c r="U91" s="50" t="str">
        <f t="shared" si="6"/>
        <v>AOP</v>
      </c>
      <c r="V91" s="51">
        <f t="shared" si="28"/>
        <v>314.8205724</v>
      </c>
      <c r="W91" s="52">
        <f t="shared" si="8"/>
        <v>314.8205724</v>
      </c>
      <c r="X91" s="9">
        <f t="shared" si="25"/>
        <v>2028</v>
      </c>
      <c r="Y91" s="8"/>
      <c r="Z91" s="8"/>
      <c r="AA91" s="8"/>
      <c r="AB91" s="8" t="str">
        <f t="shared" si="10"/>
        <v>AKRH39401P2.0UTE</v>
      </c>
      <c r="AC91" s="8" t="str">
        <f>IF(AB91='Input - Bookings'!E84,"OK","Check")</f>
        <v>Check</v>
      </c>
      <c r="AD91" s="53"/>
      <c r="AE91" s="54"/>
      <c r="AF91" s="54"/>
      <c r="AG91" s="55"/>
      <c r="AH91" s="55"/>
      <c r="AI91" s="8" t="str">
        <f t="array" ref="AI91">XLOOKUP($J91,'AP Plants'!D:D,'AP Plants'!B:B)</f>
        <v>Class 3</v>
      </c>
      <c r="AJ91" s="56"/>
      <c r="AK91" s="56"/>
      <c r="AL91" s="49">
        <v>0.015</v>
      </c>
      <c r="AM91" s="49">
        <f t="array" ref="AM91">XLOOKUP($AI91,Warranty!B:B,Warranty!E:E)</f>
        <v>0.015</v>
      </c>
      <c r="AN91" s="8">
        <f>IF($L91="AUD",VLOOKUP(RIGHT('Wk - Margins'!$J91,3),'AU Freight'!C:G,5,0),0)</f>
        <v>0</v>
      </c>
      <c r="AO91" s="49">
        <f t="shared" si="11"/>
        <v>0</v>
      </c>
      <c r="AP91" s="57">
        <f t="shared" si="12"/>
        <v>0</v>
      </c>
      <c r="AQ91" s="58">
        <f t="shared" si="13"/>
        <v>1</v>
      </c>
      <c r="AR91" s="59">
        <f>IF(L91="AUD",O91*'Currency &amp; Conversion'!$L$7,'Wk - Margins'!O91)</f>
        <v>3235</v>
      </c>
      <c r="AS91" s="59">
        <f>IF(L91="AUD",P91*'Currency &amp; Conversion'!$L$7,'Wk - Margins'!P91)</f>
        <v>2028</v>
      </c>
    </row>
    <row r="92" ht="12.75" hidden="1" customHeight="1">
      <c r="A92" s="42" t="str">
        <f>'Input - Bookings'!A92</f>
        <v>26/06/2023</v>
      </c>
      <c r="B92" s="43" t="str">
        <f t="shared" si="1"/>
        <v>Asia</v>
      </c>
      <c r="C92" s="43" t="str">
        <f t="shared" si="2"/>
        <v>AKR</v>
      </c>
      <c r="D92" s="43" t="str">
        <f>'Input - Bookings'!D92</f>
        <v>A</v>
      </c>
      <c r="E92" s="43" t="str">
        <f>'Input - Bookings'!J92</f>
        <v>KR</v>
      </c>
      <c r="F92" s="44" t="str">
        <f>'Input - Bookings'!F92</f>
        <v>065</v>
      </c>
      <c r="G92" s="44" t="str">
        <f>'Input - Bookings'!I92</f>
        <v>HYSTER KOREA INC.</v>
      </c>
      <c r="H92" s="44" t="str">
        <f>'Input - Bookings'!K92</f>
        <v>H39402</v>
      </c>
      <c r="I92" s="45" t="str">
        <f>VLOOKUP(H92,'Input - Bookings'!$G$2:$H$611,2,0)</f>
        <v>081645</v>
      </c>
      <c r="J92" s="44" t="str">
        <f>'Input - Bookings'!N92</f>
        <v>A3B5</v>
      </c>
      <c r="K92" s="44" t="str">
        <f>'Input - Bookings'!O92</f>
        <v>P2.0UTE</v>
      </c>
      <c r="L92" s="44" t="str">
        <f>'Input - Bookings'!C92</f>
        <v>USD</v>
      </c>
      <c r="M92" s="46" t="str">
        <f t="array" ref="M92">IF(L92="USD",INDEX('AP Plants'!A:A,MATCH(J92,'AP Plants'!D:D,0)),INDEX('Australia Plants'!A:A,MATCH(J92,'Australia Plants'!D:D,0)))</f>
        <v>Ruyi</v>
      </c>
      <c r="N92" s="10">
        <v>1.0</v>
      </c>
      <c r="O92" s="9">
        <v>3235.0</v>
      </c>
      <c r="P92" s="9">
        <v>2028.0</v>
      </c>
      <c r="Q92" s="47">
        <v>0.1552369686268681</v>
      </c>
      <c r="R92" s="48">
        <f t="shared" si="3"/>
        <v>0.3731066461</v>
      </c>
      <c r="S92" s="49">
        <f t="shared" si="4"/>
        <v>0</v>
      </c>
      <c r="T92" s="49">
        <f t="shared" si="21"/>
        <v>0.1552369686</v>
      </c>
      <c r="U92" s="50" t="str">
        <f t="shared" si="6"/>
        <v>AOP</v>
      </c>
      <c r="V92" s="51">
        <f t="shared" si="28"/>
        <v>314.8205724</v>
      </c>
      <c r="W92" s="52">
        <f t="shared" si="8"/>
        <v>314.8205724</v>
      </c>
      <c r="X92" s="9">
        <f t="shared" si="25"/>
        <v>2028</v>
      </c>
      <c r="Y92" s="8"/>
      <c r="Z92" s="8"/>
      <c r="AA92" s="8"/>
      <c r="AB92" s="8" t="str">
        <f t="shared" si="10"/>
        <v>AKRH39402P2.0UTE</v>
      </c>
      <c r="AC92" s="8" t="str">
        <f>IF(AB92='Input - Bookings'!E85,"OK","Check")</f>
        <v>Check</v>
      </c>
      <c r="AD92" s="53"/>
      <c r="AE92" s="54"/>
      <c r="AF92" s="54"/>
      <c r="AG92" s="55"/>
      <c r="AH92" s="55"/>
      <c r="AI92" s="8" t="str">
        <f t="array" ref="AI92">XLOOKUP($J92,'AP Plants'!D:D,'AP Plants'!B:B)</f>
        <v>Class 3</v>
      </c>
      <c r="AJ92" s="56"/>
      <c r="AK92" s="56"/>
      <c r="AL92" s="49">
        <v>0.015</v>
      </c>
      <c r="AM92" s="49">
        <f t="array" ref="AM92">XLOOKUP($AI92,Warranty!B:B,Warranty!E:E)</f>
        <v>0.015</v>
      </c>
      <c r="AN92" s="8">
        <f>IF($L92="AUD",VLOOKUP(RIGHT('Wk - Margins'!$J92,3),'AU Freight'!C:G,5,0),0)</f>
        <v>0</v>
      </c>
      <c r="AO92" s="49">
        <f t="shared" si="11"/>
        <v>0</v>
      </c>
      <c r="AP92" s="57">
        <f t="shared" si="12"/>
        <v>0</v>
      </c>
      <c r="AQ92" s="58">
        <f t="shared" si="13"/>
        <v>1</v>
      </c>
      <c r="AR92" s="59">
        <f>IF(L92="AUD",O92*'Currency &amp; Conversion'!$L$7,'Wk - Margins'!O92)</f>
        <v>3235</v>
      </c>
      <c r="AS92" s="59">
        <f>IF(L92="AUD",P92*'Currency &amp; Conversion'!$L$7,'Wk - Margins'!P92)</f>
        <v>2028</v>
      </c>
    </row>
    <row r="93" ht="12.75" hidden="1" customHeight="1">
      <c r="A93" s="42" t="str">
        <f>'Input - Bookings'!A93</f>
        <v>26/06/2023</v>
      </c>
      <c r="B93" s="43" t="str">
        <f t="shared" si="1"/>
        <v>Asia</v>
      </c>
      <c r="C93" s="43" t="str">
        <f t="shared" si="2"/>
        <v>AKR</v>
      </c>
      <c r="D93" s="43" t="str">
        <f>'Input - Bookings'!D93</f>
        <v>A</v>
      </c>
      <c r="E93" s="43" t="str">
        <f>'Input - Bookings'!J93</f>
        <v>KR</v>
      </c>
      <c r="F93" s="44" t="str">
        <f>'Input - Bookings'!F93</f>
        <v>065</v>
      </c>
      <c r="G93" s="44" t="str">
        <f>'Input - Bookings'!I93</f>
        <v>HYSTER KOREA INC.</v>
      </c>
      <c r="H93" s="44" t="str">
        <f>'Input - Bookings'!K93</f>
        <v>H39403</v>
      </c>
      <c r="I93" s="45" t="str">
        <f>VLOOKUP(H93,'Input - Bookings'!$G$2:$H$611,2,0)</f>
        <v>081645</v>
      </c>
      <c r="J93" s="44" t="str">
        <f>'Input - Bookings'!N93</f>
        <v>A3B5</v>
      </c>
      <c r="K93" s="44" t="str">
        <f>'Input - Bookings'!O93</f>
        <v>P2.0UTE</v>
      </c>
      <c r="L93" s="44" t="str">
        <f>'Input - Bookings'!C93</f>
        <v>USD</v>
      </c>
      <c r="M93" s="46" t="str">
        <f t="array" ref="M93">IF(L93="USD",INDEX('AP Plants'!A:A,MATCH(J93,'AP Plants'!D:D,0)),INDEX('Australia Plants'!A:A,MATCH(J93,'Australia Plants'!D:D,0)))</f>
        <v>Ruyi</v>
      </c>
      <c r="N93" s="10">
        <v>1.0</v>
      </c>
      <c r="O93" s="9">
        <v>3235.0</v>
      </c>
      <c r="P93" s="9">
        <v>2028.0</v>
      </c>
      <c r="Q93" s="47">
        <v>0.1552369686268681</v>
      </c>
      <c r="R93" s="48">
        <f t="shared" si="3"/>
        <v>0.3731066461</v>
      </c>
      <c r="S93" s="49">
        <f t="shared" si="4"/>
        <v>0</v>
      </c>
      <c r="T93" s="49">
        <f t="shared" si="21"/>
        <v>0.1552369686</v>
      </c>
      <c r="U93" s="50" t="str">
        <f t="shared" si="6"/>
        <v>AOP</v>
      </c>
      <c r="V93" s="51">
        <f t="shared" si="28"/>
        <v>314.8205724</v>
      </c>
      <c r="W93" s="52">
        <f t="shared" si="8"/>
        <v>314.8205724</v>
      </c>
      <c r="X93" s="9">
        <f t="shared" si="25"/>
        <v>2028</v>
      </c>
      <c r="Y93" s="8"/>
      <c r="Z93" s="8"/>
      <c r="AA93" s="8"/>
      <c r="AB93" s="8" t="str">
        <f t="shared" si="10"/>
        <v>AKRH39403P2.0UTE</v>
      </c>
      <c r="AC93" s="8" t="str">
        <f>IF(AB93='Input - Bookings'!E86,"OK","Check")</f>
        <v>Check</v>
      </c>
      <c r="AD93" s="53"/>
      <c r="AE93" s="54"/>
      <c r="AF93" s="54"/>
      <c r="AG93" s="55"/>
      <c r="AH93" s="62"/>
      <c r="AI93" s="8" t="str">
        <f t="array" ref="AI93">XLOOKUP($J93,'AP Plants'!D:D,'AP Plants'!B:B)</f>
        <v>Class 3</v>
      </c>
      <c r="AJ93" s="56"/>
      <c r="AK93" s="56"/>
      <c r="AL93" s="49">
        <v>0.015</v>
      </c>
      <c r="AM93" s="49">
        <f t="array" ref="AM93">XLOOKUP($AI93,Warranty!B:B,Warranty!E:E)</f>
        <v>0.015</v>
      </c>
      <c r="AN93" s="8">
        <f>IF($L93="AUD",VLOOKUP(RIGHT('Wk - Margins'!$J93,3),'AU Freight'!C:G,5,0),0)</f>
        <v>0</v>
      </c>
      <c r="AO93" s="49">
        <f t="shared" si="11"/>
        <v>0</v>
      </c>
      <c r="AP93" s="57">
        <f t="shared" si="12"/>
        <v>0</v>
      </c>
      <c r="AQ93" s="58">
        <f t="shared" si="13"/>
        <v>1</v>
      </c>
      <c r="AR93" s="59">
        <f>IF(L93="AUD",O93*'Currency &amp; Conversion'!$L$7,'Wk - Margins'!O93)</f>
        <v>3235</v>
      </c>
      <c r="AS93" s="59">
        <f>IF(L93="AUD",P93*'Currency &amp; Conversion'!$L$7,'Wk - Margins'!P93)</f>
        <v>2028</v>
      </c>
    </row>
    <row r="94" ht="12.75" hidden="1" customHeight="1">
      <c r="A94" s="42" t="str">
        <f>'Input - Bookings'!A94</f>
        <v>26/06/2023</v>
      </c>
      <c r="B94" s="43" t="str">
        <f t="shared" si="1"/>
        <v>Asia</v>
      </c>
      <c r="C94" s="43" t="str">
        <f t="shared" si="2"/>
        <v>AKR</v>
      </c>
      <c r="D94" s="43" t="str">
        <f>'Input - Bookings'!D94</f>
        <v>A</v>
      </c>
      <c r="E94" s="43" t="str">
        <f>'Input - Bookings'!J94</f>
        <v>KR</v>
      </c>
      <c r="F94" s="44" t="str">
        <f>'Input - Bookings'!F94</f>
        <v>065</v>
      </c>
      <c r="G94" s="44" t="str">
        <f>'Input - Bookings'!I94</f>
        <v>HYSTER KOREA INC.</v>
      </c>
      <c r="H94" s="44" t="str">
        <f>'Input - Bookings'!K94</f>
        <v>H39404</v>
      </c>
      <c r="I94" s="45" t="str">
        <f>VLOOKUP(H94,'Input - Bookings'!$G$2:$H$611,2,0)</f>
        <v>081645</v>
      </c>
      <c r="J94" s="44" t="str">
        <f>'Input - Bookings'!N94</f>
        <v>A3B5</v>
      </c>
      <c r="K94" s="44" t="str">
        <f>'Input - Bookings'!O94</f>
        <v>P2.0UTE</v>
      </c>
      <c r="L94" s="44" t="str">
        <f>'Input - Bookings'!C94</f>
        <v>USD</v>
      </c>
      <c r="M94" s="46" t="str">
        <f t="array" ref="M94">IF(L94="USD",INDEX('AP Plants'!A:A,MATCH(J94,'AP Plants'!D:D,0)),INDEX('Australia Plants'!A:A,MATCH(J94,'Australia Plants'!D:D,0)))</f>
        <v>Ruyi</v>
      </c>
      <c r="N94" s="10">
        <v>1.0</v>
      </c>
      <c r="O94" s="9">
        <v>3235.0</v>
      </c>
      <c r="P94" s="9">
        <v>2028.0</v>
      </c>
      <c r="Q94" s="47">
        <v>0.1552369686268681</v>
      </c>
      <c r="R94" s="48">
        <f t="shared" si="3"/>
        <v>0.3731066461</v>
      </c>
      <c r="S94" s="49">
        <f t="shared" si="4"/>
        <v>0</v>
      </c>
      <c r="T94" s="49">
        <f t="shared" si="21"/>
        <v>0.1552369686</v>
      </c>
      <c r="U94" s="50" t="str">
        <f t="shared" si="6"/>
        <v>AOP</v>
      </c>
      <c r="V94" s="51">
        <f t="shared" si="28"/>
        <v>314.8205724</v>
      </c>
      <c r="W94" s="52">
        <f t="shared" si="8"/>
        <v>314.8205724</v>
      </c>
      <c r="X94" s="9">
        <f t="shared" si="25"/>
        <v>2028</v>
      </c>
      <c r="Y94" s="8"/>
      <c r="Z94" s="8"/>
      <c r="AA94" s="8"/>
      <c r="AB94" s="8" t="str">
        <f t="shared" si="10"/>
        <v>AKRH39404P2.0UTE</v>
      </c>
      <c r="AC94" s="8" t="str">
        <f>IF(AB94='Input - Bookings'!E87,"OK","Check")</f>
        <v>Check</v>
      </c>
      <c r="AD94" s="53"/>
      <c r="AE94" s="54"/>
      <c r="AF94" s="54"/>
      <c r="AG94" s="55"/>
      <c r="AH94" s="62"/>
      <c r="AI94" s="8" t="str">
        <f t="array" ref="AI94">XLOOKUP($J94,'AP Plants'!D:D,'AP Plants'!B:B)</f>
        <v>Class 3</v>
      </c>
      <c r="AJ94" s="56"/>
      <c r="AK94" s="56"/>
      <c r="AL94" s="49">
        <v>0.015</v>
      </c>
      <c r="AM94" s="49">
        <f t="array" ref="AM94">XLOOKUP($AI94,Warranty!B:B,Warranty!E:E)</f>
        <v>0.015</v>
      </c>
      <c r="AN94" s="8">
        <f>IF($L94="AUD",VLOOKUP(RIGHT('Wk - Margins'!$J94,3),'AU Freight'!C:G,5,0),0)</f>
        <v>0</v>
      </c>
      <c r="AO94" s="49">
        <f t="shared" si="11"/>
        <v>0</v>
      </c>
      <c r="AP94" s="57">
        <f t="shared" si="12"/>
        <v>0</v>
      </c>
      <c r="AQ94" s="58">
        <f t="shared" si="13"/>
        <v>1</v>
      </c>
      <c r="AR94" s="59">
        <f>IF(L94="AUD",O94*'Currency &amp; Conversion'!$L$7,'Wk - Margins'!O94)</f>
        <v>3235</v>
      </c>
      <c r="AS94" s="59">
        <f>IF(L94="AUD",P94*'Currency &amp; Conversion'!$L$7,'Wk - Margins'!P94)</f>
        <v>2028</v>
      </c>
    </row>
    <row r="95" ht="12.75" hidden="1" customHeight="1">
      <c r="A95" s="42" t="str">
        <f>'Input - Bookings'!A95</f>
        <v>26/06/2023</v>
      </c>
      <c r="B95" s="43" t="str">
        <f t="shared" si="1"/>
        <v>Asia</v>
      </c>
      <c r="C95" s="43" t="str">
        <f t="shared" si="2"/>
        <v>AKR</v>
      </c>
      <c r="D95" s="43" t="str">
        <f>'Input - Bookings'!D95</f>
        <v>A</v>
      </c>
      <c r="E95" s="43" t="str">
        <f>'Input - Bookings'!J95</f>
        <v>KR</v>
      </c>
      <c r="F95" s="44" t="str">
        <f>'Input - Bookings'!F95</f>
        <v>065</v>
      </c>
      <c r="G95" s="44" t="str">
        <f>'Input - Bookings'!I95</f>
        <v>HYSTER KOREA INC.</v>
      </c>
      <c r="H95" s="44" t="str">
        <f>'Input - Bookings'!K95</f>
        <v>H39405</v>
      </c>
      <c r="I95" s="45" t="str">
        <f>VLOOKUP(H95,'Input - Bookings'!$G$2:$H$611,2,0)</f>
        <v>081645</v>
      </c>
      <c r="J95" s="44" t="str">
        <f>'Input - Bookings'!N95</f>
        <v>A3B5</v>
      </c>
      <c r="K95" s="44" t="str">
        <f>'Input - Bookings'!O95</f>
        <v>P2.0UTE</v>
      </c>
      <c r="L95" s="44" t="str">
        <f>'Input - Bookings'!C95</f>
        <v>USD</v>
      </c>
      <c r="M95" s="46" t="str">
        <f t="array" ref="M95">IF(L95="USD",INDEX('AP Plants'!A:A,MATCH(J95,'AP Plants'!D:D,0)),INDEX('Australia Plants'!A:A,MATCH(J95,'Australia Plants'!D:D,0)))</f>
        <v>Ruyi</v>
      </c>
      <c r="N95" s="10">
        <v>1.0</v>
      </c>
      <c r="O95" s="9">
        <v>3235.0</v>
      </c>
      <c r="P95" s="9">
        <v>2028.0</v>
      </c>
      <c r="Q95" s="47">
        <v>0.1552369686268681</v>
      </c>
      <c r="R95" s="48">
        <f t="shared" si="3"/>
        <v>0.3731066461</v>
      </c>
      <c r="S95" s="49">
        <f t="shared" si="4"/>
        <v>0</v>
      </c>
      <c r="T95" s="49">
        <f t="shared" si="21"/>
        <v>0.1552369686</v>
      </c>
      <c r="U95" s="50" t="str">
        <f t="shared" si="6"/>
        <v>AOP</v>
      </c>
      <c r="V95" s="51">
        <f t="shared" si="28"/>
        <v>314.8205724</v>
      </c>
      <c r="W95" s="52">
        <f t="shared" si="8"/>
        <v>314.8205724</v>
      </c>
      <c r="X95" s="9">
        <f t="shared" si="25"/>
        <v>2028</v>
      </c>
      <c r="Y95" s="8"/>
      <c r="Z95" s="8"/>
      <c r="AA95" s="8"/>
      <c r="AB95" s="8" t="str">
        <f t="shared" si="10"/>
        <v>AKRH39405P2.0UTE</v>
      </c>
      <c r="AC95" s="8" t="str">
        <f>IF(AB95='Input - Bookings'!E88,"OK","Check")</f>
        <v>Check</v>
      </c>
      <c r="AD95" s="60"/>
      <c r="AE95" s="54"/>
      <c r="AF95" s="54"/>
      <c r="AG95" s="55"/>
      <c r="AH95" s="62"/>
      <c r="AI95" s="8" t="str">
        <f t="array" ref="AI95">XLOOKUP($J95,'AP Plants'!D:D,'AP Plants'!B:B)</f>
        <v>Class 3</v>
      </c>
      <c r="AJ95" s="56"/>
      <c r="AK95" s="56"/>
      <c r="AL95" s="49">
        <v>0.015</v>
      </c>
      <c r="AM95" s="49">
        <f t="array" ref="AM95">XLOOKUP($AI95,Warranty!B:B,Warranty!E:E)</f>
        <v>0.015</v>
      </c>
      <c r="AN95" s="8">
        <f>IF($L95="AUD",VLOOKUP(RIGHT('Wk - Margins'!$J95,3),'AU Freight'!C:G,5,0),0)</f>
        <v>0</v>
      </c>
      <c r="AO95" s="49">
        <f t="shared" si="11"/>
        <v>0</v>
      </c>
      <c r="AP95" s="57">
        <f t="shared" si="12"/>
        <v>0</v>
      </c>
      <c r="AQ95" s="58">
        <f t="shared" si="13"/>
        <v>1</v>
      </c>
      <c r="AR95" s="59">
        <f>IF(L95="AUD",O95*'Currency &amp; Conversion'!$L$7,'Wk - Margins'!O95)</f>
        <v>3235</v>
      </c>
      <c r="AS95" s="59">
        <f>IF(L95="AUD",P95*'Currency &amp; Conversion'!$L$7,'Wk - Margins'!P95)</f>
        <v>2028</v>
      </c>
    </row>
    <row r="96" ht="12.75" hidden="1" customHeight="1">
      <c r="A96" s="42" t="str">
        <f>'Input - Bookings'!A96</f>
        <v>26/06/2023</v>
      </c>
      <c r="B96" s="43" t="str">
        <f t="shared" si="1"/>
        <v>Asia</v>
      </c>
      <c r="C96" s="43" t="str">
        <f t="shared" si="2"/>
        <v>AKR</v>
      </c>
      <c r="D96" s="43" t="str">
        <f>'Input - Bookings'!D96</f>
        <v>A</v>
      </c>
      <c r="E96" s="43" t="str">
        <f>'Input - Bookings'!J96</f>
        <v>KR</v>
      </c>
      <c r="F96" s="44" t="str">
        <f>'Input - Bookings'!F96</f>
        <v>065</v>
      </c>
      <c r="G96" s="44" t="str">
        <f>'Input - Bookings'!I96</f>
        <v>HYSTER KOREA INC.</v>
      </c>
      <c r="H96" s="44" t="str">
        <f>'Input - Bookings'!K96</f>
        <v>H39406</v>
      </c>
      <c r="I96" s="45" t="str">
        <f>VLOOKUP(H96,'Input - Bookings'!$G$2:$H$611,2,0)</f>
        <v>081645</v>
      </c>
      <c r="J96" s="44" t="str">
        <f>'Input - Bookings'!N96</f>
        <v>A3B5</v>
      </c>
      <c r="K96" s="44" t="str">
        <f>'Input - Bookings'!O96</f>
        <v>P2.0UTE</v>
      </c>
      <c r="L96" s="44" t="str">
        <f>'Input - Bookings'!C96</f>
        <v>USD</v>
      </c>
      <c r="M96" s="46" t="str">
        <f t="array" ref="M96">IF(L96="USD",INDEX('AP Plants'!A:A,MATCH(J96,'AP Plants'!D:D,0)),INDEX('Australia Plants'!A:A,MATCH(J96,'Australia Plants'!D:D,0)))</f>
        <v>Ruyi</v>
      </c>
      <c r="N96" s="10">
        <v>1.0</v>
      </c>
      <c r="O96" s="9">
        <v>3235.0</v>
      </c>
      <c r="P96" s="9">
        <v>2028.0</v>
      </c>
      <c r="Q96" s="47">
        <v>0.1552369686268681</v>
      </c>
      <c r="R96" s="48">
        <f t="shared" si="3"/>
        <v>0.3731066461</v>
      </c>
      <c r="S96" s="49">
        <f t="shared" si="4"/>
        <v>0</v>
      </c>
      <c r="T96" s="49">
        <f t="shared" si="21"/>
        <v>0.1552369686</v>
      </c>
      <c r="U96" s="50" t="str">
        <f t="shared" si="6"/>
        <v>AOP</v>
      </c>
      <c r="V96" s="51">
        <f t="shared" si="28"/>
        <v>314.8205724</v>
      </c>
      <c r="W96" s="52">
        <f t="shared" si="8"/>
        <v>314.8205724</v>
      </c>
      <c r="X96" s="9">
        <f t="shared" si="25"/>
        <v>2028</v>
      </c>
      <c r="Y96" s="8"/>
      <c r="Z96" s="8"/>
      <c r="AA96" s="8"/>
      <c r="AB96" s="8" t="str">
        <f t="shared" si="10"/>
        <v>AKRH39406P2.0UTE</v>
      </c>
      <c r="AC96" s="8" t="str">
        <f>IF(AB96='Input - Bookings'!E89,"OK","Check")</f>
        <v>Check</v>
      </c>
      <c r="AD96" s="60"/>
      <c r="AE96" s="54"/>
      <c r="AF96" s="54"/>
      <c r="AG96" s="55"/>
      <c r="AH96" s="62"/>
      <c r="AI96" s="8" t="str">
        <f t="array" ref="AI96">XLOOKUP($J96,'AP Plants'!D:D,'AP Plants'!B:B)</f>
        <v>Class 3</v>
      </c>
      <c r="AJ96" s="56"/>
      <c r="AK96" s="56"/>
      <c r="AL96" s="49">
        <v>0.015</v>
      </c>
      <c r="AM96" s="49">
        <f t="array" ref="AM96">XLOOKUP($AI96,Warranty!B:B,Warranty!E:E)</f>
        <v>0.015</v>
      </c>
      <c r="AN96" s="8">
        <f>IF($L96="AUD",VLOOKUP(RIGHT('Wk - Margins'!$J96,3),'AU Freight'!C:G,5,0),0)</f>
        <v>0</v>
      </c>
      <c r="AO96" s="49">
        <f t="shared" si="11"/>
        <v>0</v>
      </c>
      <c r="AP96" s="57">
        <f t="shared" si="12"/>
        <v>0</v>
      </c>
      <c r="AQ96" s="58">
        <f t="shared" si="13"/>
        <v>1</v>
      </c>
      <c r="AR96" s="59">
        <f>IF(L96="AUD",O96*'Currency &amp; Conversion'!$L$7,'Wk - Margins'!O96)</f>
        <v>3235</v>
      </c>
      <c r="AS96" s="59">
        <f>IF(L96="AUD",P96*'Currency &amp; Conversion'!$L$7,'Wk - Margins'!P96)</f>
        <v>2028</v>
      </c>
    </row>
    <row r="97" ht="12.75" hidden="1" customHeight="1">
      <c r="A97" s="42" t="str">
        <f>'Input - Bookings'!A97</f>
        <v>26/06/2023</v>
      </c>
      <c r="B97" s="43" t="str">
        <f t="shared" si="1"/>
        <v>Asia</v>
      </c>
      <c r="C97" s="43" t="str">
        <f t="shared" si="2"/>
        <v>AKR</v>
      </c>
      <c r="D97" s="43" t="str">
        <f>'Input - Bookings'!D97</f>
        <v>A</v>
      </c>
      <c r="E97" s="43" t="str">
        <f>'Input - Bookings'!J97</f>
        <v>KR</v>
      </c>
      <c r="F97" s="44" t="str">
        <f>'Input - Bookings'!F97</f>
        <v>065</v>
      </c>
      <c r="G97" s="44" t="str">
        <f>'Input - Bookings'!I97</f>
        <v>HYSTER KOREA INC.</v>
      </c>
      <c r="H97" s="44" t="str">
        <f>'Input - Bookings'!K97</f>
        <v>H39407</v>
      </c>
      <c r="I97" s="45" t="str">
        <f>VLOOKUP(H97,'Input - Bookings'!$G$2:$H$611,2,0)</f>
        <v>081645</v>
      </c>
      <c r="J97" s="44" t="str">
        <f>'Input - Bookings'!N97</f>
        <v>A3B5</v>
      </c>
      <c r="K97" s="44" t="str">
        <f>'Input - Bookings'!O97</f>
        <v>P2.0UTE</v>
      </c>
      <c r="L97" s="44" t="str">
        <f>'Input - Bookings'!C97</f>
        <v>USD</v>
      </c>
      <c r="M97" s="46" t="str">
        <f t="array" ref="M97">IF(L97="USD",INDEX('AP Plants'!A:A,MATCH(J97,'AP Plants'!D:D,0)),INDEX('Australia Plants'!A:A,MATCH(J97,'Australia Plants'!D:D,0)))</f>
        <v>Ruyi</v>
      </c>
      <c r="N97" s="10">
        <v>1.0</v>
      </c>
      <c r="O97" s="9">
        <v>3235.0</v>
      </c>
      <c r="P97" s="9">
        <v>2028.0</v>
      </c>
      <c r="Q97" s="47">
        <v>0.1552369686268681</v>
      </c>
      <c r="R97" s="48">
        <f t="shared" si="3"/>
        <v>0.3731066461</v>
      </c>
      <c r="S97" s="49">
        <f t="shared" si="4"/>
        <v>0</v>
      </c>
      <c r="T97" s="49">
        <f t="shared" si="21"/>
        <v>0.1552369686</v>
      </c>
      <c r="U97" s="50" t="str">
        <f t="shared" si="6"/>
        <v>AOP</v>
      </c>
      <c r="V97" s="51">
        <f t="shared" si="28"/>
        <v>314.8205724</v>
      </c>
      <c r="W97" s="52">
        <f t="shared" si="8"/>
        <v>314.8205724</v>
      </c>
      <c r="X97" s="9">
        <f t="shared" si="25"/>
        <v>2028</v>
      </c>
      <c r="Y97" s="8"/>
      <c r="Z97" s="8"/>
      <c r="AA97" s="8"/>
      <c r="AB97" s="8" t="str">
        <f t="shared" si="10"/>
        <v>AKRH39407P2.0UTE</v>
      </c>
      <c r="AC97" s="8" t="str">
        <f>IF(AB97='Input - Bookings'!E90,"OK","Check")</f>
        <v>Check</v>
      </c>
      <c r="AD97" s="60"/>
      <c r="AE97" s="54"/>
      <c r="AF97" s="54"/>
      <c r="AG97" s="55"/>
      <c r="AH97" s="62"/>
      <c r="AI97" s="8" t="str">
        <f t="array" ref="AI97">XLOOKUP($J97,'AP Plants'!D:D,'AP Plants'!B:B)</f>
        <v>Class 3</v>
      </c>
      <c r="AJ97" s="56"/>
      <c r="AK97" s="56"/>
      <c r="AL97" s="49">
        <v>0.015</v>
      </c>
      <c r="AM97" s="49">
        <f t="array" ref="AM97">XLOOKUP($AI97,Warranty!B:B,Warranty!E:E)</f>
        <v>0.015</v>
      </c>
      <c r="AN97" s="8">
        <f>IF($L97="AUD",VLOOKUP(RIGHT('Wk - Margins'!$J97,3),'AU Freight'!C:G,5,0),0)</f>
        <v>0</v>
      </c>
      <c r="AO97" s="49">
        <f t="shared" si="11"/>
        <v>0</v>
      </c>
      <c r="AP97" s="57">
        <f t="shared" si="12"/>
        <v>0</v>
      </c>
      <c r="AQ97" s="58">
        <f t="shared" si="13"/>
        <v>1</v>
      </c>
      <c r="AR97" s="59">
        <f>IF(L97="AUD",O97*'Currency &amp; Conversion'!$L$7,'Wk - Margins'!O97)</f>
        <v>3235</v>
      </c>
      <c r="AS97" s="59">
        <f>IF(L97="AUD",P97*'Currency &amp; Conversion'!$L$7,'Wk - Margins'!P97)</f>
        <v>2028</v>
      </c>
    </row>
    <row r="98" ht="12.75" hidden="1" customHeight="1">
      <c r="A98" s="42" t="str">
        <f>'Input - Bookings'!A98</f>
        <v>26/06/2023</v>
      </c>
      <c r="B98" s="43" t="str">
        <f t="shared" si="1"/>
        <v>Asia</v>
      </c>
      <c r="C98" s="43" t="str">
        <f t="shared" si="2"/>
        <v>AKR</v>
      </c>
      <c r="D98" s="43" t="str">
        <f>'Input - Bookings'!D98</f>
        <v>A</v>
      </c>
      <c r="E98" s="43" t="str">
        <f>'Input - Bookings'!J98</f>
        <v>KR</v>
      </c>
      <c r="F98" s="44" t="str">
        <f>'Input - Bookings'!F98</f>
        <v>065</v>
      </c>
      <c r="G98" s="44" t="str">
        <f>'Input - Bookings'!I98</f>
        <v>HYSTER KOREA INC.</v>
      </c>
      <c r="H98" s="44" t="str">
        <f>'Input - Bookings'!K98</f>
        <v>H39408</v>
      </c>
      <c r="I98" s="45" t="str">
        <f>VLOOKUP(H98,'Input - Bookings'!$G$2:$H$611,2,0)</f>
        <v>081645</v>
      </c>
      <c r="J98" s="44" t="str">
        <f>'Input - Bookings'!N98</f>
        <v>A3B5</v>
      </c>
      <c r="K98" s="44" t="str">
        <f>'Input - Bookings'!O98</f>
        <v>P2.0UTE</v>
      </c>
      <c r="L98" s="44" t="str">
        <f>'Input - Bookings'!C98</f>
        <v>USD</v>
      </c>
      <c r="M98" s="46" t="str">
        <f t="array" ref="M98">IF(L98="USD",INDEX('AP Plants'!A:A,MATCH(J98,'AP Plants'!D:D,0)),INDEX('Australia Plants'!A:A,MATCH(J98,'Australia Plants'!D:D,0)))</f>
        <v>Ruyi</v>
      </c>
      <c r="N98" s="10">
        <v>1.0</v>
      </c>
      <c r="O98" s="9">
        <v>3235.0</v>
      </c>
      <c r="P98" s="9">
        <v>2028.0</v>
      </c>
      <c r="Q98" s="47">
        <v>0.1552369686268681</v>
      </c>
      <c r="R98" s="48">
        <f t="shared" si="3"/>
        <v>0.3731066461</v>
      </c>
      <c r="S98" s="49">
        <f t="shared" si="4"/>
        <v>0</v>
      </c>
      <c r="T98" s="49">
        <f t="shared" si="21"/>
        <v>0.1552369686</v>
      </c>
      <c r="U98" s="50" t="str">
        <f t="shared" si="6"/>
        <v>AOP</v>
      </c>
      <c r="V98" s="51">
        <f t="shared" si="28"/>
        <v>314.8205724</v>
      </c>
      <c r="W98" s="52">
        <f t="shared" si="8"/>
        <v>314.8205724</v>
      </c>
      <c r="X98" s="9">
        <f t="shared" si="25"/>
        <v>2028</v>
      </c>
      <c r="Y98" s="8"/>
      <c r="Z98" s="8"/>
      <c r="AA98" s="8"/>
      <c r="AB98" s="8" t="str">
        <f t="shared" si="10"/>
        <v>AKRH39408P2.0UTE</v>
      </c>
      <c r="AC98" s="8" t="str">
        <f>IF(AB98='Input - Bookings'!E91,"OK","Check")</f>
        <v>Check</v>
      </c>
      <c r="AD98" s="60"/>
      <c r="AE98" s="54"/>
      <c r="AF98" s="54"/>
      <c r="AG98" s="55"/>
      <c r="AH98" s="62"/>
      <c r="AI98" s="8" t="str">
        <f t="array" ref="AI98">XLOOKUP($J98,'AP Plants'!D:D,'AP Plants'!B:B)</f>
        <v>Class 3</v>
      </c>
      <c r="AJ98" s="56"/>
      <c r="AK98" s="56"/>
      <c r="AL98" s="49">
        <v>0.015</v>
      </c>
      <c r="AM98" s="49">
        <f t="array" ref="AM98">XLOOKUP($AI98,Warranty!B:B,Warranty!E:E)</f>
        <v>0.015</v>
      </c>
      <c r="AN98" s="8">
        <f>IF($L98="AUD",VLOOKUP(RIGHT('Wk - Margins'!$J98,3),'AU Freight'!C:G,5,0),0)</f>
        <v>0</v>
      </c>
      <c r="AO98" s="49">
        <f t="shared" si="11"/>
        <v>0</v>
      </c>
      <c r="AP98" s="57">
        <f t="shared" si="12"/>
        <v>0</v>
      </c>
      <c r="AQ98" s="58">
        <f t="shared" si="13"/>
        <v>1</v>
      </c>
      <c r="AR98" s="59">
        <f>IF(L98="AUD",O98*'Currency &amp; Conversion'!$L$7,'Wk - Margins'!O98)</f>
        <v>3235</v>
      </c>
      <c r="AS98" s="59">
        <f>IF(L98="AUD",P98*'Currency &amp; Conversion'!$L$7,'Wk - Margins'!P98)</f>
        <v>2028</v>
      </c>
    </row>
    <row r="99" ht="12.75" hidden="1" customHeight="1">
      <c r="A99" s="42" t="str">
        <f>'Input - Bookings'!A99</f>
        <v>26/06/2023</v>
      </c>
      <c r="B99" s="43" t="str">
        <f t="shared" si="1"/>
        <v>Asia</v>
      </c>
      <c r="C99" s="43" t="str">
        <f t="shared" si="2"/>
        <v>AKR</v>
      </c>
      <c r="D99" s="43" t="str">
        <f>'Input - Bookings'!D99</f>
        <v>A</v>
      </c>
      <c r="E99" s="43" t="str">
        <f>'Input - Bookings'!J99</f>
        <v>KR</v>
      </c>
      <c r="F99" s="44" t="str">
        <f>'Input - Bookings'!F99</f>
        <v>065</v>
      </c>
      <c r="G99" s="44" t="str">
        <f>'Input - Bookings'!I99</f>
        <v>HYSTER KOREA INC.</v>
      </c>
      <c r="H99" s="44" t="str">
        <f>'Input - Bookings'!K99</f>
        <v>H39409</v>
      </c>
      <c r="I99" s="45" t="str">
        <f>VLOOKUP(H99,'Input - Bookings'!$G$2:$H$611,2,0)</f>
        <v>081645</v>
      </c>
      <c r="J99" s="44" t="str">
        <f>'Input - Bookings'!N99</f>
        <v>A3B5</v>
      </c>
      <c r="K99" s="44" t="str">
        <f>'Input - Bookings'!O99</f>
        <v>P2.0UTE</v>
      </c>
      <c r="L99" s="44" t="str">
        <f>'Input - Bookings'!C99</f>
        <v>USD</v>
      </c>
      <c r="M99" s="46" t="str">
        <f t="array" ref="M99">IF(L99="USD",INDEX('AP Plants'!A:A,MATCH(J99,'AP Plants'!D:D,0)),INDEX('Australia Plants'!A:A,MATCH(J99,'Australia Plants'!D:D,0)))</f>
        <v>Ruyi</v>
      </c>
      <c r="N99" s="10">
        <v>1.0</v>
      </c>
      <c r="O99" s="9">
        <v>3235.0</v>
      </c>
      <c r="P99" s="9">
        <v>2028.0</v>
      </c>
      <c r="Q99" s="47">
        <v>0.1552369686268681</v>
      </c>
      <c r="R99" s="48">
        <f t="shared" si="3"/>
        <v>0.3731066461</v>
      </c>
      <c r="S99" s="49">
        <f t="shared" si="4"/>
        <v>0</v>
      </c>
      <c r="T99" s="49">
        <f t="shared" si="21"/>
        <v>0.1552369686</v>
      </c>
      <c r="U99" s="50" t="str">
        <f t="shared" si="6"/>
        <v>AOP</v>
      </c>
      <c r="V99" s="51">
        <f t="shared" si="28"/>
        <v>314.8205724</v>
      </c>
      <c r="W99" s="52">
        <f t="shared" si="8"/>
        <v>314.8205724</v>
      </c>
      <c r="X99" s="9">
        <f t="shared" si="25"/>
        <v>2028</v>
      </c>
      <c r="Y99" s="8"/>
      <c r="Z99" s="8"/>
      <c r="AA99" s="8"/>
      <c r="AB99" s="8" t="str">
        <f t="shared" si="10"/>
        <v>AKRH39409P2.0UTE</v>
      </c>
      <c r="AC99" s="8" t="str">
        <f>IF(AB99='Input - Bookings'!E92,"OK","Check")</f>
        <v>Check</v>
      </c>
      <c r="AD99" s="60"/>
      <c r="AE99" s="54"/>
      <c r="AF99" s="54"/>
      <c r="AG99" s="55"/>
      <c r="AH99" s="62"/>
      <c r="AI99" s="8" t="str">
        <f t="array" ref="AI99">XLOOKUP($J99,'AP Plants'!D:D,'AP Plants'!B:B)</f>
        <v>Class 3</v>
      </c>
      <c r="AJ99" s="56"/>
      <c r="AK99" s="56"/>
      <c r="AL99" s="49">
        <v>0.015</v>
      </c>
      <c r="AM99" s="49">
        <f t="array" ref="AM99">XLOOKUP($AI99,Warranty!B:B,Warranty!E:E)</f>
        <v>0.015</v>
      </c>
      <c r="AN99" s="8">
        <f>IF($L99="AUD",VLOOKUP(RIGHT('Wk - Margins'!$J99,3),'AU Freight'!C:G,5,0),0)</f>
        <v>0</v>
      </c>
      <c r="AO99" s="49">
        <f t="shared" si="11"/>
        <v>0</v>
      </c>
      <c r="AP99" s="57">
        <f t="shared" si="12"/>
        <v>0</v>
      </c>
      <c r="AQ99" s="58">
        <f t="shared" si="13"/>
        <v>1</v>
      </c>
      <c r="AR99" s="59">
        <f>IF(L99="AUD",O99*'Currency &amp; Conversion'!$L$7,'Wk - Margins'!O99)</f>
        <v>3235</v>
      </c>
      <c r="AS99" s="59">
        <f>IF(L99="AUD",P99*'Currency &amp; Conversion'!$L$7,'Wk - Margins'!P99)</f>
        <v>2028</v>
      </c>
    </row>
    <row r="100" ht="12.75" hidden="1" customHeight="1">
      <c r="A100" s="42" t="str">
        <f>'Input - Bookings'!A100</f>
        <v>26/06/2023</v>
      </c>
      <c r="B100" s="43" t="str">
        <f t="shared" si="1"/>
        <v>Asia</v>
      </c>
      <c r="C100" s="43" t="str">
        <f t="shared" si="2"/>
        <v>AKR</v>
      </c>
      <c r="D100" s="43" t="str">
        <f>'Input - Bookings'!D100</f>
        <v>A</v>
      </c>
      <c r="E100" s="43" t="str">
        <f>'Input - Bookings'!J100</f>
        <v>KR</v>
      </c>
      <c r="F100" s="44" t="str">
        <f>'Input - Bookings'!F100</f>
        <v>065</v>
      </c>
      <c r="G100" s="44" t="str">
        <f>'Input - Bookings'!I100</f>
        <v>HYSTER KOREA INC.</v>
      </c>
      <c r="H100" s="44" t="str">
        <f>'Input - Bookings'!K100</f>
        <v>H39410</v>
      </c>
      <c r="I100" s="45" t="str">
        <f>VLOOKUP(H100,'Input - Bookings'!$G$2:$H$611,2,0)</f>
        <v>081645</v>
      </c>
      <c r="J100" s="44" t="str">
        <f>'Input - Bookings'!N100</f>
        <v>A3B5</v>
      </c>
      <c r="K100" s="44" t="str">
        <f>'Input - Bookings'!O100</f>
        <v>P2.0UTE</v>
      </c>
      <c r="L100" s="44" t="str">
        <f>'Input - Bookings'!C100</f>
        <v>USD</v>
      </c>
      <c r="M100" s="46" t="str">
        <f t="array" ref="M100">IF(L100="USD",INDEX('AP Plants'!A:A,MATCH(J100,'AP Plants'!D:D,0)),INDEX('Australia Plants'!A:A,MATCH(J100,'Australia Plants'!D:D,0)))</f>
        <v>Ruyi</v>
      </c>
      <c r="N100" s="10">
        <v>1.0</v>
      </c>
      <c r="O100" s="9">
        <v>3235.0</v>
      </c>
      <c r="P100" s="9">
        <v>2028.0</v>
      </c>
      <c r="Q100" s="47">
        <v>0.1552369686268681</v>
      </c>
      <c r="R100" s="48">
        <f t="shared" si="3"/>
        <v>0.3731066461</v>
      </c>
      <c r="S100" s="49">
        <f t="shared" si="4"/>
        <v>0</v>
      </c>
      <c r="T100" s="49">
        <f t="shared" si="21"/>
        <v>0.1552369686</v>
      </c>
      <c r="U100" s="50" t="str">
        <f t="shared" si="6"/>
        <v>AOP</v>
      </c>
      <c r="V100" s="51">
        <f t="shared" si="28"/>
        <v>314.8205724</v>
      </c>
      <c r="W100" s="52">
        <f t="shared" si="8"/>
        <v>314.8205724</v>
      </c>
      <c r="X100" s="9">
        <f t="shared" si="25"/>
        <v>2028</v>
      </c>
      <c r="Y100" s="8"/>
      <c r="Z100" s="8"/>
      <c r="AA100" s="8"/>
      <c r="AB100" s="8" t="str">
        <f t="shared" si="10"/>
        <v>AKRH39410P2.0UTE</v>
      </c>
      <c r="AC100" s="8" t="str">
        <f>IF(AB100='Input - Bookings'!E93,"OK","Check")</f>
        <v>Check</v>
      </c>
      <c r="AD100" s="60"/>
      <c r="AE100" s="54"/>
      <c r="AF100" s="54"/>
      <c r="AG100" s="55"/>
      <c r="AH100" s="62"/>
      <c r="AI100" s="8" t="str">
        <f t="array" ref="AI100">XLOOKUP($J100,'AP Plants'!D:D,'AP Plants'!B:B)</f>
        <v>Class 3</v>
      </c>
      <c r="AJ100" s="56"/>
      <c r="AK100" s="56"/>
      <c r="AL100" s="49">
        <v>0.015</v>
      </c>
      <c r="AM100" s="49">
        <f t="array" ref="AM100">XLOOKUP($AI100,Warranty!B:B,Warranty!E:E)</f>
        <v>0.015</v>
      </c>
      <c r="AN100" s="8">
        <f>IF($L100="AUD",VLOOKUP(RIGHT('Wk - Margins'!$J100,3),'AU Freight'!C:G,5,0),0)</f>
        <v>0</v>
      </c>
      <c r="AO100" s="49">
        <f t="shared" si="11"/>
        <v>0</v>
      </c>
      <c r="AP100" s="57">
        <f t="shared" si="12"/>
        <v>0</v>
      </c>
      <c r="AQ100" s="58">
        <f t="shared" si="13"/>
        <v>1</v>
      </c>
      <c r="AR100" s="59">
        <f>IF(L100="AUD",O100*'Currency &amp; Conversion'!$L$7,'Wk - Margins'!O100)</f>
        <v>3235</v>
      </c>
      <c r="AS100" s="59">
        <f>IF(L100="AUD",P100*'Currency &amp; Conversion'!$L$7,'Wk - Margins'!P100)</f>
        <v>2028</v>
      </c>
    </row>
    <row r="101" ht="12.75" hidden="1" customHeight="1">
      <c r="A101" s="42" t="str">
        <f>'Input - Bookings'!A101</f>
        <v>26/06/2023</v>
      </c>
      <c r="B101" s="43" t="str">
        <f t="shared" si="1"/>
        <v>Asia</v>
      </c>
      <c r="C101" s="43" t="str">
        <f t="shared" si="2"/>
        <v>AKR</v>
      </c>
      <c r="D101" s="43" t="str">
        <f>'Input - Bookings'!D101</f>
        <v>A</v>
      </c>
      <c r="E101" s="43" t="str">
        <f>'Input - Bookings'!J101</f>
        <v>KR</v>
      </c>
      <c r="F101" s="44" t="str">
        <f>'Input - Bookings'!F101</f>
        <v>065</v>
      </c>
      <c r="G101" s="44" t="str">
        <f>'Input - Bookings'!I101</f>
        <v>HYSTER KOREA INC.</v>
      </c>
      <c r="H101" s="44" t="str">
        <f>'Input - Bookings'!K101</f>
        <v>H39411</v>
      </c>
      <c r="I101" s="45" t="str">
        <f>VLOOKUP(H101,'Input - Bookings'!$G$2:$H$611,2,0)</f>
        <v>081645</v>
      </c>
      <c r="J101" s="44" t="str">
        <f>'Input - Bookings'!N101</f>
        <v>A3B5</v>
      </c>
      <c r="K101" s="44" t="str">
        <f>'Input - Bookings'!O101</f>
        <v>P2.0UTE</v>
      </c>
      <c r="L101" s="44" t="str">
        <f>'Input - Bookings'!C101</f>
        <v>USD</v>
      </c>
      <c r="M101" s="46" t="str">
        <f t="array" ref="M101">IF(L101="USD",INDEX('AP Plants'!A:A,MATCH(J101,'AP Plants'!D:D,0)),INDEX('Australia Plants'!A:A,MATCH(J101,'Australia Plants'!D:D,0)))</f>
        <v>Ruyi</v>
      </c>
      <c r="N101" s="10">
        <v>1.0</v>
      </c>
      <c r="O101" s="9">
        <v>3235.0</v>
      </c>
      <c r="P101" s="9">
        <v>2028.0</v>
      </c>
      <c r="Q101" s="47">
        <v>0.1552369686268681</v>
      </c>
      <c r="R101" s="48">
        <f t="shared" si="3"/>
        <v>0.3731066461</v>
      </c>
      <c r="S101" s="49">
        <f t="shared" si="4"/>
        <v>0</v>
      </c>
      <c r="T101" s="49">
        <f t="shared" si="21"/>
        <v>0.1552369686</v>
      </c>
      <c r="U101" s="50" t="str">
        <f t="shared" si="6"/>
        <v>AOP</v>
      </c>
      <c r="V101" s="51">
        <f t="shared" si="28"/>
        <v>314.8205724</v>
      </c>
      <c r="W101" s="52">
        <f t="shared" si="8"/>
        <v>314.8205724</v>
      </c>
      <c r="X101" s="9">
        <f t="shared" si="25"/>
        <v>2028</v>
      </c>
      <c r="Y101" s="8"/>
      <c r="Z101" s="8"/>
      <c r="AA101" s="8"/>
      <c r="AB101" s="8" t="str">
        <f t="shared" si="10"/>
        <v>AKRH39411P2.0UTE</v>
      </c>
      <c r="AC101" s="8" t="str">
        <f>IF(AB101='Input - Bookings'!E94,"OK","Check")</f>
        <v>Check</v>
      </c>
      <c r="AD101" s="60"/>
      <c r="AE101" s="54"/>
      <c r="AF101" s="54"/>
      <c r="AG101" s="55"/>
      <c r="AH101" s="55"/>
      <c r="AI101" s="8" t="str">
        <f t="array" ref="AI101">XLOOKUP($J101,'AP Plants'!D:D,'AP Plants'!B:B)</f>
        <v>Class 3</v>
      </c>
      <c r="AJ101" s="56"/>
      <c r="AK101" s="56"/>
      <c r="AL101" s="49">
        <v>0.015</v>
      </c>
      <c r="AM101" s="49">
        <f t="array" ref="AM101">XLOOKUP($AI101,Warranty!B:B,Warranty!E:E)</f>
        <v>0.015</v>
      </c>
      <c r="AN101" s="8">
        <f>IF($L101="AUD",VLOOKUP(RIGHT('Wk - Margins'!$J101,3),'AU Freight'!C:G,5,0),0)</f>
        <v>0</v>
      </c>
      <c r="AO101" s="49">
        <f t="shared" si="11"/>
        <v>0</v>
      </c>
      <c r="AP101" s="57">
        <f t="shared" si="12"/>
        <v>0</v>
      </c>
      <c r="AQ101" s="58">
        <f t="shared" si="13"/>
        <v>1</v>
      </c>
      <c r="AR101" s="59">
        <f>IF(L101="AUD",O101*'Currency &amp; Conversion'!$L$7,'Wk - Margins'!O101)</f>
        <v>3235</v>
      </c>
      <c r="AS101" s="59">
        <f>IF(L101="AUD",P101*'Currency &amp; Conversion'!$L$7,'Wk - Margins'!P101)</f>
        <v>2028</v>
      </c>
    </row>
    <row r="102" ht="12.75" hidden="1" customHeight="1">
      <c r="A102" s="42" t="str">
        <f>'Input - Bookings'!A102</f>
        <v>26/06/2023</v>
      </c>
      <c r="B102" s="43" t="str">
        <f t="shared" si="1"/>
        <v>Asia</v>
      </c>
      <c r="C102" s="43" t="str">
        <f t="shared" si="2"/>
        <v>AKR</v>
      </c>
      <c r="D102" s="43" t="str">
        <f>'Input - Bookings'!D102</f>
        <v>A</v>
      </c>
      <c r="E102" s="43" t="str">
        <f>'Input - Bookings'!J102</f>
        <v>KR</v>
      </c>
      <c r="F102" s="44" t="str">
        <f>'Input - Bookings'!F102</f>
        <v>065</v>
      </c>
      <c r="G102" s="44" t="str">
        <f>'Input - Bookings'!I102</f>
        <v>HYSTER KOREA INC.</v>
      </c>
      <c r="H102" s="44" t="str">
        <f>'Input - Bookings'!K102</f>
        <v>H39412</v>
      </c>
      <c r="I102" s="45" t="str">
        <f>VLOOKUP(H102,'Input - Bookings'!$G$2:$H$611,2,0)</f>
        <v>081645</v>
      </c>
      <c r="J102" s="44" t="str">
        <f>'Input - Bookings'!N102</f>
        <v>A3B5</v>
      </c>
      <c r="K102" s="44" t="str">
        <f>'Input - Bookings'!O102</f>
        <v>P2.0UTE</v>
      </c>
      <c r="L102" s="44" t="str">
        <f>'Input - Bookings'!C102</f>
        <v>USD</v>
      </c>
      <c r="M102" s="46" t="str">
        <f t="array" ref="M102">IF(L102="USD",INDEX('AP Plants'!A:A,MATCH(J102,'AP Plants'!D:D,0)),INDEX('Australia Plants'!A:A,MATCH(J102,'Australia Plants'!D:D,0)))</f>
        <v>Ruyi</v>
      </c>
      <c r="N102" s="10">
        <v>1.0</v>
      </c>
      <c r="O102" s="9">
        <v>3235.0</v>
      </c>
      <c r="P102" s="9">
        <v>2028.0</v>
      </c>
      <c r="Q102" s="47">
        <v>0.1552369686268681</v>
      </c>
      <c r="R102" s="48">
        <f t="shared" si="3"/>
        <v>0.3731066461</v>
      </c>
      <c r="S102" s="49">
        <f t="shared" si="4"/>
        <v>0</v>
      </c>
      <c r="T102" s="49">
        <f t="shared" si="21"/>
        <v>0.1552369686</v>
      </c>
      <c r="U102" s="50" t="str">
        <f t="shared" si="6"/>
        <v>AOP</v>
      </c>
      <c r="V102" s="51">
        <f t="shared" si="28"/>
        <v>314.8205724</v>
      </c>
      <c r="W102" s="52">
        <f t="shared" si="8"/>
        <v>314.8205724</v>
      </c>
      <c r="X102" s="9">
        <f t="shared" si="25"/>
        <v>2028</v>
      </c>
      <c r="Y102" s="8"/>
      <c r="Z102" s="8"/>
      <c r="AA102" s="8"/>
      <c r="AB102" s="8" t="str">
        <f t="shared" si="10"/>
        <v>AKRH39412P2.0UTE</v>
      </c>
      <c r="AC102" s="8" t="str">
        <f>IF(AB102='Input - Bookings'!E95,"OK","Check")</f>
        <v>Check</v>
      </c>
      <c r="AD102" s="60"/>
      <c r="AE102" s="54"/>
      <c r="AF102" s="54"/>
      <c r="AG102" s="55"/>
      <c r="AH102" s="55"/>
      <c r="AI102" s="8" t="str">
        <f t="array" ref="AI102">XLOOKUP($J102,'AP Plants'!D:D,'AP Plants'!B:B)</f>
        <v>Class 3</v>
      </c>
      <c r="AJ102" s="56"/>
      <c r="AK102" s="56"/>
      <c r="AL102" s="49">
        <v>0.015</v>
      </c>
      <c r="AM102" s="49">
        <f t="array" ref="AM102">XLOOKUP($AI102,Warranty!B:B,Warranty!E:E)</f>
        <v>0.015</v>
      </c>
      <c r="AN102" s="8">
        <f>IF($L102="AUD",VLOOKUP(RIGHT('Wk - Margins'!$J102,3),'AU Freight'!C:G,5,0),0)</f>
        <v>0</v>
      </c>
      <c r="AO102" s="49">
        <f t="shared" si="11"/>
        <v>0</v>
      </c>
      <c r="AP102" s="57">
        <f t="shared" si="12"/>
        <v>0</v>
      </c>
      <c r="AQ102" s="58">
        <f t="shared" si="13"/>
        <v>1</v>
      </c>
      <c r="AR102" s="59">
        <f>IF(L102="AUD",O102*'Currency &amp; Conversion'!$L$7,'Wk - Margins'!O102)</f>
        <v>3235</v>
      </c>
      <c r="AS102" s="59">
        <f>IF(L102="AUD",P102*'Currency &amp; Conversion'!$L$7,'Wk - Margins'!P102)</f>
        <v>2028</v>
      </c>
    </row>
    <row r="103" ht="12.75" hidden="1" customHeight="1">
      <c r="A103" s="42" t="str">
        <f>'Input - Bookings'!A103</f>
        <v>26/06/2023</v>
      </c>
      <c r="B103" s="43" t="str">
        <f t="shared" si="1"/>
        <v>Asia</v>
      </c>
      <c r="C103" s="43" t="str">
        <f t="shared" si="2"/>
        <v>AKR</v>
      </c>
      <c r="D103" s="43" t="str">
        <f>'Input - Bookings'!D103</f>
        <v>A</v>
      </c>
      <c r="E103" s="43" t="str">
        <f>'Input - Bookings'!J103</f>
        <v>KR</v>
      </c>
      <c r="F103" s="44" t="str">
        <f>'Input - Bookings'!F103</f>
        <v>065</v>
      </c>
      <c r="G103" s="44" t="str">
        <f>'Input - Bookings'!I103</f>
        <v>HYSTER KOREA INC.</v>
      </c>
      <c r="H103" s="44" t="str">
        <f>'Input - Bookings'!K103</f>
        <v>H39413</v>
      </c>
      <c r="I103" s="45" t="str">
        <f>VLOOKUP(H103,'Input - Bookings'!$G$2:$H$611,2,0)</f>
        <v>081645</v>
      </c>
      <c r="J103" s="44" t="str">
        <f>'Input - Bookings'!N103</f>
        <v>A3B5</v>
      </c>
      <c r="K103" s="44" t="str">
        <f>'Input - Bookings'!O103</f>
        <v>P2.0UTE</v>
      </c>
      <c r="L103" s="44" t="str">
        <f>'Input - Bookings'!C103</f>
        <v>USD</v>
      </c>
      <c r="M103" s="46" t="str">
        <f t="array" ref="M103">IF(L103="USD",INDEX('AP Plants'!A:A,MATCH(J103,'AP Plants'!D:D,0)),INDEX('Australia Plants'!A:A,MATCH(J103,'Australia Plants'!D:D,0)))</f>
        <v>Ruyi</v>
      </c>
      <c r="N103" s="10">
        <v>1.0</v>
      </c>
      <c r="O103" s="9">
        <v>3235.0</v>
      </c>
      <c r="P103" s="9">
        <v>2028.0</v>
      </c>
      <c r="Q103" s="47">
        <v>0.1552369686268681</v>
      </c>
      <c r="R103" s="48">
        <f t="shared" si="3"/>
        <v>0.3731066461</v>
      </c>
      <c r="S103" s="49">
        <f t="shared" si="4"/>
        <v>0</v>
      </c>
      <c r="T103" s="49">
        <f t="shared" si="21"/>
        <v>0.1552369686</v>
      </c>
      <c r="U103" s="50" t="str">
        <f t="shared" si="6"/>
        <v>AOP</v>
      </c>
      <c r="V103" s="51">
        <f t="shared" si="28"/>
        <v>314.8205724</v>
      </c>
      <c r="W103" s="52">
        <f t="shared" si="8"/>
        <v>314.8205724</v>
      </c>
      <c r="X103" s="9">
        <f t="shared" si="25"/>
        <v>2028</v>
      </c>
      <c r="Y103" s="8"/>
      <c r="Z103" s="8"/>
      <c r="AA103" s="8"/>
      <c r="AB103" s="8" t="str">
        <f t="shared" si="10"/>
        <v>AKRH39413P2.0UTE</v>
      </c>
      <c r="AC103" s="8" t="str">
        <f>IF(AB103='Input - Bookings'!E96,"OK","Check")</f>
        <v>Check</v>
      </c>
      <c r="AD103" s="60"/>
      <c r="AE103" s="54"/>
      <c r="AF103" s="54"/>
      <c r="AG103" s="55"/>
      <c r="AH103" s="55"/>
      <c r="AI103" s="8" t="str">
        <f t="array" ref="AI103">XLOOKUP($J103,'AP Plants'!D:D,'AP Plants'!B:B)</f>
        <v>Class 3</v>
      </c>
      <c r="AJ103" s="56"/>
      <c r="AK103" s="56"/>
      <c r="AL103" s="49">
        <v>0.015</v>
      </c>
      <c r="AM103" s="49">
        <f t="array" ref="AM103">XLOOKUP($AI103,Warranty!B:B,Warranty!E:E)</f>
        <v>0.015</v>
      </c>
      <c r="AN103" s="8">
        <f>IF($L103="AUD",VLOOKUP(RIGHT('Wk - Margins'!$J103,3),'AU Freight'!C:G,5,0),0)</f>
        <v>0</v>
      </c>
      <c r="AO103" s="49">
        <f t="shared" si="11"/>
        <v>0</v>
      </c>
      <c r="AP103" s="57">
        <f t="shared" si="12"/>
        <v>0</v>
      </c>
      <c r="AQ103" s="58">
        <f t="shared" si="13"/>
        <v>1</v>
      </c>
      <c r="AR103" s="59">
        <f>IF(L103="AUD",O103*'Currency &amp; Conversion'!$L$7,'Wk - Margins'!O103)</f>
        <v>3235</v>
      </c>
      <c r="AS103" s="59">
        <f>IF(L103="AUD",P103*'Currency &amp; Conversion'!$L$7,'Wk - Margins'!P103)</f>
        <v>2028</v>
      </c>
    </row>
    <row r="104" ht="12.75" hidden="1" customHeight="1">
      <c r="A104" s="42" t="str">
        <f>'Input - Bookings'!A104</f>
        <v>26/06/2023</v>
      </c>
      <c r="B104" s="43" t="str">
        <f t="shared" si="1"/>
        <v>Asia</v>
      </c>
      <c r="C104" s="43" t="str">
        <f t="shared" si="2"/>
        <v>AKR</v>
      </c>
      <c r="D104" s="43" t="str">
        <f>'Input - Bookings'!D104</f>
        <v>A</v>
      </c>
      <c r="E104" s="43" t="str">
        <f>'Input - Bookings'!J104</f>
        <v>KR</v>
      </c>
      <c r="F104" s="44" t="str">
        <f>'Input - Bookings'!F104</f>
        <v>065</v>
      </c>
      <c r="G104" s="44" t="str">
        <f>'Input - Bookings'!I104</f>
        <v>HYSTER KOREA INC.</v>
      </c>
      <c r="H104" s="44" t="str">
        <f>'Input - Bookings'!K104</f>
        <v>H39414</v>
      </c>
      <c r="I104" s="45" t="str">
        <f>VLOOKUP(H104,'Input - Bookings'!$G$2:$H$611,2,0)</f>
        <v>081645</v>
      </c>
      <c r="J104" s="44" t="str">
        <f>'Input - Bookings'!N104</f>
        <v>A3B5</v>
      </c>
      <c r="K104" s="44" t="str">
        <f>'Input - Bookings'!O104</f>
        <v>P2.0UTE</v>
      </c>
      <c r="L104" s="44" t="str">
        <f>'Input - Bookings'!C104</f>
        <v>USD</v>
      </c>
      <c r="M104" s="46" t="str">
        <f t="array" ref="M104">IF(L104="USD",INDEX('AP Plants'!A:A,MATCH(J104,'AP Plants'!D:D,0)),INDEX('Australia Plants'!A:A,MATCH(J104,'Australia Plants'!D:D,0)))</f>
        <v>Ruyi</v>
      </c>
      <c r="N104" s="10">
        <v>1.0</v>
      </c>
      <c r="O104" s="9">
        <v>3235.0</v>
      </c>
      <c r="P104" s="9">
        <v>2028.0</v>
      </c>
      <c r="Q104" s="47">
        <v>0.1552369686268681</v>
      </c>
      <c r="R104" s="48">
        <f t="shared" si="3"/>
        <v>0.3731066461</v>
      </c>
      <c r="S104" s="49">
        <f t="shared" si="4"/>
        <v>0</v>
      </c>
      <c r="T104" s="49">
        <f t="shared" si="21"/>
        <v>0.1552369686</v>
      </c>
      <c r="U104" s="50" t="str">
        <f t="shared" si="6"/>
        <v>AOP</v>
      </c>
      <c r="V104" s="51">
        <f t="shared" si="28"/>
        <v>314.8205724</v>
      </c>
      <c r="W104" s="52">
        <f t="shared" si="8"/>
        <v>314.8205724</v>
      </c>
      <c r="X104" s="9">
        <f t="shared" si="25"/>
        <v>2028</v>
      </c>
      <c r="Y104" s="8"/>
      <c r="Z104" s="8"/>
      <c r="AA104" s="8"/>
      <c r="AB104" s="8" t="str">
        <f t="shared" si="10"/>
        <v>AKRH39414P2.0UTE</v>
      </c>
      <c r="AC104" s="8" t="str">
        <f>IF(AB104='Input - Bookings'!E97,"OK","Check")</f>
        <v>Check</v>
      </c>
      <c r="AD104" s="60"/>
      <c r="AE104" s="54"/>
      <c r="AF104" s="54"/>
      <c r="AG104" s="55"/>
      <c r="AH104" s="55"/>
      <c r="AI104" s="8" t="str">
        <f t="array" ref="AI104">XLOOKUP($J104,'AP Plants'!D:D,'AP Plants'!B:B)</f>
        <v>Class 3</v>
      </c>
      <c r="AJ104" s="56"/>
      <c r="AK104" s="56"/>
      <c r="AL104" s="49">
        <v>0.015</v>
      </c>
      <c r="AM104" s="49">
        <f t="array" ref="AM104">XLOOKUP($AI104,Warranty!B:B,Warranty!E:E)</f>
        <v>0.015</v>
      </c>
      <c r="AN104" s="8">
        <f>IF($L104="AUD",VLOOKUP(RIGHT('Wk - Margins'!$J104,3),'AU Freight'!C:G,5,0),0)</f>
        <v>0</v>
      </c>
      <c r="AO104" s="49">
        <f t="shared" si="11"/>
        <v>0</v>
      </c>
      <c r="AP104" s="57">
        <f t="shared" si="12"/>
        <v>0</v>
      </c>
      <c r="AQ104" s="58">
        <f t="shared" si="13"/>
        <v>1</v>
      </c>
      <c r="AR104" s="59">
        <f>IF(L104="AUD",O104*'Currency &amp; Conversion'!$L$7,'Wk - Margins'!O104)</f>
        <v>3235</v>
      </c>
      <c r="AS104" s="59">
        <f>IF(L104="AUD",P104*'Currency &amp; Conversion'!$L$7,'Wk - Margins'!P104)</f>
        <v>2028</v>
      </c>
    </row>
    <row r="105" ht="12.75" hidden="1" customHeight="1">
      <c r="A105" s="42" t="str">
        <f>'Input - Bookings'!A105</f>
        <v>26/06/2023</v>
      </c>
      <c r="B105" s="43" t="str">
        <f t="shared" si="1"/>
        <v>Asia</v>
      </c>
      <c r="C105" s="43" t="str">
        <f t="shared" si="2"/>
        <v>AKR</v>
      </c>
      <c r="D105" s="43" t="str">
        <f>'Input - Bookings'!D105</f>
        <v>A</v>
      </c>
      <c r="E105" s="43" t="str">
        <f>'Input - Bookings'!J105</f>
        <v>KR</v>
      </c>
      <c r="F105" s="44" t="str">
        <f>'Input - Bookings'!F105</f>
        <v>065</v>
      </c>
      <c r="G105" s="44" t="str">
        <f>'Input - Bookings'!I105</f>
        <v>HYSTER KOREA INC.</v>
      </c>
      <c r="H105" s="44" t="str">
        <f>'Input - Bookings'!K105</f>
        <v>H39415</v>
      </c>
      <c r="I105" s="45" t="str">
        <f>VLOOKUP(H105,'Input - Bookings'!$G$2:$H$611,2,0)</f>
        <v>081645</v>
      </c>
      <c r="J105" s="44" t="str">
        <f>'Input - Bookings'!N105</f>
        <v>A3B5</v>
      </c>
      <c r="K105" s="44" t="str">
        <f>'Input - Bookings'!O105</f>
        <v>P2.0UTE</v>
      </c>
      <c r="L105" s="44" t="str">
        <f>'Input - Bookings'!C105</f>
        <v>USD</v>
      </c>
      <c r="M105" s="46" t="str">
        <f t="array" ref="M105">IF(L105="USD",INDEX('AP Plants'!A:A,MATCH(J105,'AP Plants'!D:D,0)),INDEX('Australia Plants'!A:A,MATCH(J105,'Australia Plants'!D:D,0)))</f>
        <v>Ruyi</v>
      </c>
      <c r="N105" s="10">
        <v>1.0</v>
      </c>
      <c r="O105" s="9">
        <v>3235.0</v>
      </c>
      <c r="P105" s="9">
        <v>2028.0</v>
      </c>
      <c r="Q105" s="47">
        <v>0.1552369686268681</v>
      </c>
      <c r="R105" s="48">
        <f t="shared" si="3"/>
        <v>0.3731066461</v>
      </c>
      <c r="S105" s="49">
        <f t="shared" si="4"/>
        <v>0</v>
      </c>
      <c r="T105" s="49">
        <f t="shared" si="21"/>
        <v>0.1552369686</v>
      </c>
      <c r="U105" s="50" t="str">
        <f t="shared" si="6"/>
        <v>AOP</v>
      </c>
      <c r="V105" s="51">
        <f t="shared" si="28"/>
        <v>314.8205724</v>
      </c>
      <c r="W105" s="52">
        <f t="shared" si="8"/>
        <v>314.8205724</v>
      </c>
      <c r="X105" s="9">
        <f t="shared" si="25"/>
        <v>2028</v>
      </c>
      <c r="Y105" s="8"/>
      <c r="Z105" s="8"/>
      <c r="AA105" s="8"/>
      <c r="AB105" s="8" t="str">
        <f t="shared" si="10"/>
        <v>AKRH39415P2.0UTE</v>
      </c>
      <c r="AC105" s="8" t="str">
        <f>IF(AB105='Input - Bookings'!E98,"OK","Check")</f>
        <v>Check</v>
      </c>
      <c r="AD105" s="60"/>
      <c r="AE105" s="54"/>
      <c r="AF105" s="54"/>
      <c r="AG105" s="55"/>
      <c r="AH105" s="62"/>
      <c r="AI105" s="8" t="str">
        <f t="array" ref="AI105">XLOOKUP($J105,'AP Plants'!D:D,'AP Plants'!B:B)</f>
        <v>Class 3</v>
      </c>
      <c r="AJ105" s="56"/>
      <c r="AK105" s="56"/>
      <c r="AL105" s="49">
        <v>0.015</v>
      </c>
      <c r="AM105" s="49">
        <f t="array" ref="AM105">XLOOKUP($AI105,Warranty!B:B,Warranty!E:E)</f>
        <v>0.015</v>
      </c>
      <c r="AN105" s="8">
        <f>IF($L105="AUD",VLOOKUP(RIGHT('Wk - Margins'!$J105,3),'AU Freight'!C:G,5,0),0)</f>
        <v>0</v>
      </c>
      <c r="AO105" s="49">
        <f t="shared" si="11"/>
        <v>0</v>
      </c>
      <c r="AP105" s="57">
        <f t="shared" si="12"/>
        <v>0</v>
      </c>
      <c r="AQ105" s="58">
        <f t="shared" si="13"/>
        <v>1</v>
      </c>
      <c r="AR105" s="59">
        <f>IF(L105="AUD",O105*'Currency &amp; Conversion'!$L$7,'Wk - Margins'!O105)</f>
        <v>3235</v>
      </c>
      <c r="AS105" s="59">
        <f>IF(L105="AUD",P105*'Currency &amp; Conversion'!$L$7,'Wk - Margins'!P105)</f>
        <v>2028</v>
      </c>
    </row>
    <row r="106" ht="12.75" hidden="1" customHeight="1">
      <c r="A106" s="42" t="str">
        <f>'Input - Bookings'!A106</f>
        <v>26/06/2023</v>
      </c>
      <c r="B106" s="43" t="str">
        <f t="shared" si="1"/>
        <v>Asia</v>
      </c>
      <c r="C106" s="43" t="str">
        <f t="shared" si="2"/>
        <v>AKR</v>
      </c>
      <c r="D106" s="43" t="str">
        <f>'Input - Bookings'!D106</f>
        <v>A</v>
      </c>
      <c r="E106" s="43" t="str">
        <f>'Input - Bookings'!J106</f>
        <v>KR</v>
      </c>
      <c r="F106" s="44" t="str">
        <f>'Input - Bookings'!F106</f>
        <v>065</v>
      </c>
      <c r="G106" s="44" t="str">
        <f>'Input - Bookings'!I106</f>
        <v>HYSTER KOREA INC.</v>
      </c>
      <c r="H106" s="44" t="str">
        <f>'Input - Bookings'!K106</f>
        <v>H39416</v>
      </c>
      <c r="I106" s="45" t="str">
        <f>VLOOKUP(H106,'Input - Bookings'!$G$2:$H$611,2,0)</f>
        <v>081645</v>
      </c>
      <c r="J106" s="44" t="str">
        <f>'Input - Bookings'!N106</f>
        <v>A3B5</v>
      </c>
      <c r="K106" s="44" t="str">
        <f>'Input - Bookings'!O106</f>
        <v>P2.0UTE</v>
      </c>
      <c r="L106" s="44" t="str">
        <f>'Input - Bookings'!C106</f>
        <v>USD</v>
      </c>
      <c r="M106" s="46" t="str">
        <f t="array" ref="M106">IF(L106="USD",INDEX('AP Plants'!A:A,MATCH(J106,'AP Plants'!D:D,0)),INDEX('Australia Plants'!A:A,MATCH(J106,'Australia Plants'!D:D,0)))</f>
        <v>Ruyi</v>
      </c>
      <c r="N106" s="10">
        <v>1.0</v>
      </c>
      <c r="O106" s="9">
        <v>3235.0</v>
      </c>
      <c r="P106" s="9">
        <v>2028.0</v>
      </c>
      <c r="Q106" s="47">
        <v>0.1552369686268681</v>
      </c>
      <c r="R106" s="48">
        <f t="shared" si="3"/>
        <v>0.3731066461</v>
      </c>
      <c r="S106" s="49">
        <f t="shared" si="4"/>
        <v>0</v>
      </c>
      <c r="T106" s="49">
        <f t="shared" si="21"/>
        <v>0.1552369686</v>
      </c>
      <c r="U106" s="50" t="str">
        <f t="shared" si="6"/>
        <v>AOP</v>
      </c>
      <c r="V106" s="51">
        <f t="shared" si="28"/>
        <v>314.8205724</v>
      </c>
      <c r="W106" s="52">
        <f t="shared" si="8"/>
        <v>314.8205724</v>
      </c>
      <c r="X106" s="9">
        <f t="shared" si="25"/>
        <v>2028</v>
      </c>
      <c r="Y106" s="8"/>
      <c r="Z106" s="8"/>
      <c r="AA106" s="8"/>
      <c r="AB106" s="8" t="str">
        <f t="shared" si="10"/>
        <v>AKRH39416P2.0UTE</v>
      </c>
      <c r="AC106" s="8" t="str">
        <f>IF(AB106='Input - Bookings'!E99,"OK","Check")</f>
        <v>Check</v>
      </c>
      <c r="AD106" s="60"/>
      <c r="AE106" s="54"/>
      <c r="AF106" s="54"/>
      <c r="AG106" s="55"/>
      <c r="AH106" s="62"/>
      <c r="AI106" s="8" t="str">
        <f t="array" ref="AI106">XLOOKUP($J106,'AP Plants'!D:D,'AP Plants'!B:B)</f>
        <v>Class 3</v>
      </c>
      <c r="AJ106" s="56"/>
      <c r="AK106" s="56"/>
      <c r="AL106" s="49">
        <v>0.015</v>
      </c>
      <c r="AM106" s="49">
        <f t="array" ref="AM106">XLOOKUP($AI106,Warranty!B:B,Warranty!E:E)</f>
        <v>0.015</v>
      </c>
      <c r="AN106" s="8">
        <f>IF($L106="AUD",VLOOKUP(RIGHT('Wk - Margins'!$J106,3),'AU Freight'!C:G,5,0),0)</f>
        <v>0</v>
      </c>
      <c r="AO106" s="49">
        <f t="shared" si="11"/>
        <v>0</v>
      </c>
      <c r="AP106" s="57">
        <f t="shared" si="12"/>
        <v>0</v>
      </c>
      <c r="AQ106" s="58">
        <f t="shared" si="13"/>
        <v>1</v>
      </c>
      <c r="AR106" s="59">
        <f>IF(L106="AUD",O106*'Currency &amp; Conversion'!$L$7,'Wk - Margins'!O106)</f>
        <v>3235</v>
      </c>
      <c r="AS106" s="59">
        <f>IF(L106="AUD",P106*'Currency &amp; Conversion'!$L$7,'Wk - Margins'!P106)</f>
        <v>2028</v>
      </c>
    </row>
    <row r="107" ht="12.75" hidden="1" customHeight="1">
      <c r="A107" s="42" t="str">
        <f>'Input - Bookings'!A107</f>
        <v>26/06/2023</v>
      </c>
      <c r="B107" s="43" t="str">
        <f t="shared" si="1"/>
        <v>Asia</v>
      </c>
      <c r="C107" s="43" t="str">
        <f t="shared" si="2"/>
        <v>AKR</v>
      </c>
      <c r="D107" s="43" t="str">
        <f>'Input - Bookings'!D107</f>
        <v>A</v>
      </c>
      <c r="E107" s="43" t="str">
        <f>'Input - Bookings'!J107</f>
        <v>KR</v>
      </c>
      <c r="F107" s="44" t="str">
        <f>'Input - Bookings'!F107</f>
        <v>065</v>
      </c>
      <c r="G107" s="44" t="str">
        <f>'Input - Bookings'!I107</f>
        <v>HYSTER KOREA INC.</v>
      </c>
      <c r="H107" s="44" t="str">
        <f>'Input - Bookings'!K107</f>
        <v>H39417</v>
      </c>
      <c r="I107" s="45" t="str">
        <f>VLOOKUP(H107,'Input - Bookings'!$G$2:$H$611,2,0)</f>
        <v>081645</v>
      </c>
      <c r="J107" s="44" t="str">
        <f>'Input - Bookings'!N107</f>
        <v>A3B5</v>
      </c>
      <c r="K107" s="44" t="str">
        <f>'Input - Bookings'!O107</f>
        <v>P2.0UTE</v>
      </c>
      <c r="L107" s="44" t="str">
        <f>'Input - Bookings'!C107</f>
        <v>USD</v>
      </c>
      <c r="M107" s="46" t="str">
        <f t="array" ref="M107">IF(L107="USD",INDEX('AP Plants'!A:A,MATCH(J107,'AP Plants'!D:D,0)),INDEX('Australia Plants'!A:A,MATCH(J107,'Australia Plants'!D:D,0)))</f>
        <v>Ruyi</v>
      </c>
      <c r="N107" s="10">
        <v>1.0</v>
      </c>
      <c r="O107" s="9">
        <v>3235.0</v>
      </c>
      <c r="P107" s="9">
        <v>2028.0</v>
      </c>
      <c r="Q107" s="47">
        <v>0.1552369686268681</v>
      </c>
      <c r="R107" s="48">
        <f t="shared" si="3"/>
        <v>0.3731066461</v>
      </c>
      <c r="S107" s="49">
        <f t="shared" si="4"/>
        <v>0</v>
      </c>
      <c r="T107" s="49">
        <f t="shared" si="21"/>
        <v>0.1552369686</v>
      </c>
      <c r="U107" s="50" t="str">
        <f t="shared" si="6"/>
        <v>AOP</v>
      </c>
      <c r="V107" s="51">
        <f t="shared" si="28"/>
        <v>314.8205724</v>
      </c>
      <c r="W107" s="52">
        <f t="shared" si="8"/>
        <v>314.8205724</v>
      </c>
      <c r="X107" s="9">
        <f t="shared" si="25"/>
        <v>2028</v>
      </c>
      <c r="Y107" s="8"/>
      <c r="Z107" s="8"/>
      <c r="AA107" s="8"/>
      <c r="AB107" s="8" t="str">
        <f t="shared" si="10"/>
        <v>AKRH39417P2.0UTE</v>
      </c>
      <c r="AC107" s="8" t="str">
        <f>IF(AB107='Input - Bookings'!E100,"OK","Check")</f>
        <v>Check</v>
      </c>
      <c r="AD107" s="60"/>
      <c r="AE107" s="54"/>
      <c r="AF107" s="54"/>
      <c r="AG107" s="55"/>
      <c r="AH107" s="62"/>
      <c r="AI107" s="8" t="str">
        <f t="array" ref="AI107">XLOOKUP($J107,'AP Plants'!D:D,'AP Plants'!B:B)</f>
        <v>Class 3</v>
      </c>
      <c r="AJ107" s="56"/>
      <c r="AK107" s="56"/>
      <c r="AL107" s="49">
        <v>0.015</v>
      </c>
      <c r="AM107" s="49">
        <f t="array" ref="AM107">XLOOKUP($AI107,Warranty!B:B,Warranty!E:E)</f>
        <v>0.015</v>
      </c>
      <c r="AN107" s="8">
        <f>IF($L107="AUD",VLOOKUP(RIGHT('Wk - Margins'!$J107,3),'AU Freight'!C:G,5,0),0)</f>
        <v>0</v>
      </c>
      <c r="AO107" s="49">
        <f t="shared" si="11"/>
        <v>0</v>
      </c>
      <c r="AP107" s="57">
        <f t="shared" si="12"/>
        <v>0</v>
      </c>
      <c r="AQ107" s="58">
        <f t="shared" si="13"/>
        <v>1</v>
      </c>
      <c r="AR107" s="59">
        <f>IF(L107="AUD",O107*'Currency &amp; Conversion'!$L$7,'Wk - Margins'!O107)</f>
        <v>3235</v>
      </c>
      <c r="AS107" s="59">
        <f>IF(L107="AUD",P107*'Currency &amp; Conversion'!$L$7,'Wk - Margins'!P107)</f>
        <v>2028</v>
      </c>
    </row>
    <row r="108" ht="12.75" hidden="1" customHeight="1">
      <c r="A108" s="42" t="str">
        <f>'Input - Bookings'!A108</f>
        <v>26/06/2023</v>
      </c>
      <c r="B108" s="43" t="str">
        <f t="shared" si="1"/>
        <v>Asia</v>
      </c>
      <c r="C108" s="43" t="str">
        <f t="shared" si="2"/>
        <v>AKR</v>
      </c>
      <c r="D108" s="43" t="str">
        <f>'Input - Bookings'!D108</f>
        <v>A</v>
      </c>
      <c r="E108" s="43" t="str">
        <f>'Input - Bookings'!J108</f>
        <v>KR</v>
      </c>
      <c r="F108" s="44" t="str">
        <f>'Input - Bookings'!F108</f>
        <v>065</v>
      </c>
      <c r="G108" s="44" t="str">
        <f>'Input - Bookings'!I108</f>
        <v>HYSTER KOREA INC.</v>
      </c>
      <c r="H108" s="44" t="str">
        <f>'Input - Bookings'!K108</f>
        <v>H39418</v>
      </c>
      <c r="I108" s="45" t="str">
        <f>VLOOKUP(H108,'Input - Bookings'!$G$2:$H$611,2,0)</f>
        <v>081645</v>
      </c>
      <c r="J108" s="44" t="str">
        <f>'Input - Bookings'!N108</f>
        <v>A3B5</v>
      </c>
      <c r="K108" s="44" t="str">
        <f>'Input - Bookings'!O108</f>
        <v>P2.0UTE</v>
      </c>
      <c r="L108" s="44" t="str">
        <f>'Input - Bookings'!C108</f>
        <v>USD</v>
      </c>
      <c r="M108" s="46" t="str">
        <f t="array" ref="M108">IF(L108="USD",INDEX('AP Plants'!A:A,MATCH(J108,'AP Plants'!D:D,0)),INDEX('Australia Plants'!A:A,MATCH(J108,'Australia Plants'!D:D,0)))</f>
        <v>Ruyi</v>
      </c>
      <c r="N108" s="10">
        <v>1.0</v>
      </c>
      <c r="O108" s="9">
        <v>3235.0</v>
      </c>
      <c r="P108" s="9">
        <v>2028.0</v>
      </c>
      <c r="Q108" s="47">
        <v>0.1552369686268681</v>
      </c>
      <c r="R108" s="48">
        <f t="shared" si="3"/>
        <v>0.3731066461</v>
      </c>
      <c r="S108" s="49">
        <f t="shared" si="4"/>
        <v>0</v>
      </c>
      <c r="T108" s="49">
        <f t="shared" si="21"/>
        <v>0.1552369686</v>
      </c>
      <c r="U108" s="50" t="str">
        <f t="shared" si="6"/>
        <v>AOP</v>
      </c>
      <c r="V108" s="51">
        <f t="shared" si="28"/>
        <v>314.8205724</v>
      </c>
      <c r="W108" s="52">
        <f t="shared" si="8"/>
        <v>314.8205724</v>
      </c>
      <c r="X108" s="9">
        <f t="shared" si="25"/>
        <v>2028</v>
      </c>
      <c r="Y108" s="8"/>
      <c r="Z108" s="8"/>
      <c r="AA108" s="8"/>
      <c r="AB108" s="8" t="str">
        <f t="shared" si="10"/>
        <v>AKRH39418P2.0UTE</v>
      </c>
      <c r="AC108" s="8" t="str">
        <f>IF(AB108='Input - Bookings'!S101,"OK","Check")</f>
        <v>Check</v>
      </c>
      <c r="AD108" s="60"/>
      <c r="AE108" s="54"/>
      <c r="AF108" s="54"/>
      <c r="AG108" s="55"/>
      <c r="AH108" s="62"/>
      <c r="AI108" s="8" t="str">
        <f t="array" ref="AI108">XLOOKUP($J108,'AP Plants'!D:D,'AP Plants'!B:B)</f>
        <v>Class 3</v>
      </c>
      <c r="AJ108" s="56"/>
      <c r="AK108" s="56"/>
      <c r="AL108" s="49">
        <v>0.015</v>
      </c>
      <c r="AM108" s="49">
        <f t="array" ref="AM108">XLOOKUP($AI108,Warranty!B:B,Warranty!E:E)</f>
        <v>0.015</v>
      </c>
      <c r="AN108" s="8">
        <f>IF($L108="AUD",VLOOKUP(RIGHT('Wk - Margins'!$J108,3),'AU Freight'!C:G,5,0),0)</f>
        <v>0</v>
      </c>
      <c r="AO108" s="49">
        <f t="shared" si="11"/>
        <v>0</v>
      </c>
      <c r="AP108" s="57">
        <f t="shared" si="12"/>
        <v>0</v>
      </c>
      <c r="AQ108" s="58">
        <f t="shared" si="13"/>
        <v>1</v>
      </c>
      <c r="AR108" s="59">
        <f>IF(L108="AUD",O108*'Currency &amp; Conversion'!$L$7,'Wk - Margins'!O108)</f>
        <v>3235</v>
      </c>
      <c r="AS108" s="59">
        <f>IF(L108="AUD",P108*'Currency &amp; Conversion'!$L$7,'Wk - Margins'!P108)</f>
        <v>2028</v>
      </c>
    </row>
    <row r="109" ht="12.75" hidden="1" customHeight="1">
      <c r="A109" s="42" t="str">
        <f>'Input - Bookings'!A109</f>
        <v>26/06/2023</v>
      </c>
      <c r="B109" s="43" t="str">
        <f t="shared" si="1"/>
        <v>Asia</v>
      </c>
      <c r="C109" s="43" t="str">
        <f t="shared" si="2"/>
        <v>AKR</v>
      </c>
      <c r="D109" s="43" t="str">
        <f>'Input - Bookings'!D109</f>
        <v>A</v>
      </c>
      <c r="E109" s="43" t="str">
        <f>'Input - Bookings'!J109</f>
        <v>KR</v>
      </c>
      <c r="F109" s="44" t="str">
        <f>'Input - Bookings'!F109</f>
        <v>065</v>
      </c>
      <c r="G109" s="44" t="str">
        <f>'Input - Bookings'!I109</f>
        <v>HYSTER KOREA INC.</v>
      </c>
      <c r="H109" s="44" t="str">
        <f>'Input - Bookings'!K109</f>
        <v>H39419</v>
      </c>
      <c r="I109" s="45" t="str">
        <f>VLOOKUP(H109,'Input - Bookings'!$G$2:$H$611,2,0)</f>
        <v>081645</v>
      </c>
      <c r="J109" s="44" t="str">
        <f>'Input - Bookings'!N109</f>
        <v>A3B5</v>
      </c>
      <c r="K109" s="44" t="str">
        <f>'Input - Bookings'!O109</f>
        <v>P2.0UTE</v>
      </c>
      <c r="L109" s="44" t="str">
        <f>'Input - Bookings'!C109</f>
        <v>USD</v>
      </c>
      <c r="M109" s="46" t="str">
        <f t="array" ref="M109">IF(L109="USD",INDEX('AP Plants'!A:A,MATCH(J109,'AP Plants'!D:D,0)),INDEX('Australia Plants'!A:A,MATCH(J109,'Australia Plants'!D:D,0)))</f>
        <v>Ruyi</v>
      </c>
      <c r="N109" s="10">
        <v>1.0</v>
      </c>
      <c r="O109" s="9">
        <v>3235.0</v>
      </c>
      <c r="P109" s="9">
        <v>2028.0</v>
      </c>
      <c r="Q109" s="47">
        <v>0.1552369686268681</v>
      </c>
      <c r="R109" s="48">
        <f t="shared" si="3"/>
        <v>0.3731066461</v>
      </c>
      <c r="S109" s="49">
        <f t="shared" si="4"/>
        <v>0</v>
      </c>
      <c r="T109" s="49">
        <f t="shared" si="21"/>
        <v>0.1552369686</v>
      </c>
      <c r="U109" s="50" t="str">
        <f t="shared" si="6"/>
        <v>AOP</v>
      </c>
      <c r="V109" s="51">
        <f t="shared" si="28"/>
        <v>314.8205724</v>
      </c>
      <c r="W109" s="52">
        <f t="shared" si="8"/>
        <v>314.8205724</v>
      </c>
      <c r="X109" s="9">
        <f t="shared" si="25"/>
        <v>2028</v>
      </c>
      <c r="Y109" s="8"/>
      <c r="Z109" s="8"/>
      <c r="AA109" s="8"/>
      <c r="AB109" s="8" t="str">
        <f t="shared" si="10"/>
        <v>AKRH39419P2.0UTE</v>
      </c>
      <c r="AC109" s="8" t="str">
        <f>IF(AB109='Input - Bookings'!S102,"OK","Check")</f>
        <v>Check</v>
      </c>
      <c r="AD109" s="60"/>
      <c r="AE109" s="54"/>
      <c r="AF109" s="54"/>
      <c r="AG109" s="55"/>
      <c r="AH109" s="62"/>
      <c r="AI109" s="8" t="str">
        <f t="array" ref="AI109">XLOOKUP($J109,'AP Plants'!D:D,'AP Plants'!B:B)</f>
        <v>Class 3</v>
      </c>
      <c r="AJ109" s="56"/>
      <c r="AK109" s="56"/>
      <c r="AL109" s="49">
        <v>0.015</v>
      </c>
      <c r="AM109" s="49">
        <f t="array" ref="AM109">XLOOKUP($AI109,Warranty!B:B,Warranty!E:E)</f>
        <v>0.015</v>
      </c>
      <c r="AN109" s="8">
        <f>IF($L109="AUD",VLOOKUP(RIGHT('Wk - Margins'!$J109,3),'AU Freight'!C:G,5,0),0)</f>
        <v>0</v>
      </c>
      <c r="AO109" s="49">
        <f t="shared" si="11"/>
        <v>0</v>
      </c>
      <c r="AP109" s="57">
        <f t="shared" si="12"/>
        <v>0</v>
      </c>
      <c r="AQ109" s="58">
        <f t="shared" si="13"/>
        <v>1</v>
      </c>
      <c r="AR109" s="59">
        <f>IF(L109="AUD",O109*'Currency &amp; Conversion'!$L$7,'Wk - Margins'!O109)</f>
        <v>3235</v>
      </c>
      <c r="AS109" s="59">
        <f>IF(L109="AUD",P109*'Currency &amp; Conversion'!$L$7,'Wk - Margins'!P109)</f>
        <v>2028</v>
      </c>
    </row>
    <row r="110" ht="12.75" hidden="1" customHeight="1">
      <c r="A110" s="42" t="str">
        <f>'Input - Bookings'!A110</f>
        <v>26/06/2023</v>
      </c>
      <c r="B110" s="43" t="str">
        <f t="shared" si="1"/>
        <v>Asia</v>
      </c>
      <c r="C110" s="43" t="str">
        <f t="shared" si="2"/>
        <v>AKR</v>
      </c>
      <c r="D110" s="43" t="str">
        <f>'Input - Bookings'!D110</f>
        <v>A</v>
      </c>
      <c r="E110" s="43" t="str">
        <f>'Input - Bookings'!J110</f>
        <v>KR</v>
      </c>
      <c r="F110" s="44" t="str">
        <f>'Input - Bookings'!F110</f>
        <v>065</v>
      </c>
      <c r="G110" s="44" t="str">
        <f>'Input - Bookings'!I110</f>
        <v>HYSTER KOREA INC.</v>
      </c>
      <c r="H110" s="44" t="str">
        <f>'Input - Bookings'!K110</f>
        <v>H39420</v>
      </c>
      <c r="I110" s="45" t="str">
        <f>VLOOKUP(H110,'Input - Bookings'!$G$2:$H$611,2,0)</f>
        <v>081645</v>
      </c>
      <c r="J110" s="44" t="str">
        <f>'Input - Bookings'!N110</f>
        <v>A3B5</v>
      </c>
      <c r="K110" s="44" t="str">
        <f>'Input - Bookings'!O110</f>
        <v>P2.0UTE</v>
      </c>
      <c r="L110" s="44" t="str">
        <f>'Input - Bookings'!C110</f>
        <v>USD</v>
      </c>
      <c r="M110" s="46" t="str">
        <f t="array" ref="M110">IF(L110="USD",INDEX('AP Plants'!A:A,MATCH(J110,'AP Plants'!D:D,0)),INDEX('Australia Plants'!A:A,MATCH(J110,'Australia Plants'!D:D,0)))</f>
        <v>Ruyi</v>
      </c>
      <c r="N110" s="10">
        <v>1.0</v>
      </c>
      <c r="O110" s="9">
        <v>3235.0</v>
      </c>
      <c r="P110" s="9">
        <v>2028.0</v>
      </c>
      <c r="Q110" s="47">
        <v>0.1552369686268681</v>
      </c>
      <c r="R110" s="48">
        <f t="shared" si="3"/>
        <v>0.3731066461</v>
      </c>
      <c r="S110" s="49">
        <f t="shared" si="4"/>
        <v>0</v>
      </c>
      <c r="T110" s="49">
        <f t="shared" si="21"/>
        <v>0.1552369686</v>
      </c>
      <c r="U110" s="50" t="str">
        <f t="shared" si="6"/>
        <v>AOP</v>
      </c>
      <c r="V110" s="51">
        <f t="shared" si="28"/>
        <v>314.8205724</v>
      </c>
      <c r="W110" s="52">
        <f t="shared" si="8"/>
        <v>314.8205724</v>
      </c>
      <c r="X110" s="9">
        <f t="shared" si="25"/>
        <v>2028</v>
      </c>
      <c r="Y110" s="8"/>
      <c r="Z110" s="8"/>
      <c r="AA110" s="8"/>
      <c r="AB110" s="8" t="str">
        <f t="shared" si="10"/>
        <v>AKRH39420P2.0UTE</v>
      </c>
      <c r="AC110" s="8" t="str">
        <f>IF(AB110='Input - Bookings'!S103,"OK","Check")</f>
        <v>Check</v>
      </c>
      <c r="AD110" s="60"/>
      <c r="AE110" s="54"/>
      <c r="AF110" s="54"/>
      <c r="AG110" s="55"/>
      <c r="AH110" s="62"/>
      <c r="AI110" s="8" t="str">
        <f t="array" ref="AI110">XLOOKUP($J110,'AP Plants'!D:D,'AP Plants'!B:B)</f>
        <v>Class 3</v>
      </c>
      <c r="AJ110" s="56"/>
      <c r="AK110" s="56"/>
      <c r="AL110" s="49">
        <v>0.015</v>
      </c>
      <c r="AM110" s="49">
        <f t="array" ref="AM110">XLOOKUP($AI110,Warranty!B:B,Warranty!E:E)</f>
        <v>0.015</v>
      </c>
      <c r="AN110" s="8">
        <f>IF($L110="AUD",VLOOKUP(RIGHT('Wk - Margins'!$J110,3),'AU Freight'!C:G,5,0),0)</f>
        <v>0</v>
      </c>
      <c r="AO110" s="49">
        <f t="shared" si="11"/>
        <v>0</v>
      </c>
      <c r="AP110" s="57">
        <f t="shared" si="12"/>
        <v>0</v>
      </c>
      <c r="AQ110" s="58">
        <f t="shared" si="13"/>
        <v>1</v>
      </c>
      <c r="AR110" s="59">
        <f>IF(L110="AUD",O110*'Currency &amp; Conversion'!$L$7,'Wk - Margins'!O110)</f>
        <v>3235</v>
      </c>
      <c r="AS110" s="59">
        <f>IF(L110="AUD",P110*'Currency &amp; Conversion'!$L$7,'Wk - Margins'!P110)</f>
        <v>2028</v>
      </c>
    </row>
    <row r="111" ht="12.75" hidden="1" customHeight="1">
      <c r="A111" s="42" t="str">
        <f>'Input - Bookings'!A111</f>
        <v>26/06/2023</v>
      </c>
      <c r="B111" s="43" t="str">
        <f t="shared" si="1"/>
        <v>Asia</v>
      </c>
      <c r="C111" s="43" t="str">
        <f t="shared" si="2"/>
        <v>AKR</v>
      </c>
      <c r="D111" s="43" t="str">
        <f>'Input - Bookings'!D111</f>
        <v>A</v>
      </c>
      <c r="E111" s="43" t="str">
        <f>'Input - Bookings'!J111</f>
        <v>KR</v>
      </c>
      <c r="F111" s="44" t="str">
        <f>'Input - Bookings'!F111</f>
        <v>065</v>
      </c>
      <c r="G111" s="44" t="str">
        <f>'Input - Bookings'!I111</f>
        <v>HYSTER KOREA INC.</v>
      </c>
      <c r="H111" s="44" t="str">
        <f>'Input - Bookings'!K111</f>
        <v>H39421</v>
      </c>
      <c r="I111" s="45" t="str">
        <f>VLOOKUP(H111,'Input - Bookings'!$G$2:$H$611,2,0)</f>
        <v>081645</v>
      </c>
      <c r="J111" s="44" t="str">
        <f>'Input - Bookings'!N111</f>
        <v>A3B5</v>
      </c>
      <c r="K111" s="44" t="str">
        <f>'Input - Bookings'!O111</f>
        <v>P2.0UTE</v>
      </c>
      <c r="L111" s="44" t="str">
        <f>'Input - Bookings'!C111</f>
        <v>USD</v>
      </c>
      <c r="M111" s="46" t="str">
        <f t="array" ref="M111">IF(L111="USD",INDEX('AP Plants'!A:A,MATCH(J111,'AP Plants'!D:D,0)),INDEX('Australia Plants'!A:A,MATCH(J111,'Australia Plants'!D:D,0)))</f>
        <v>Ruyi</v>
      </c>
      <c r="N111" s="10">
        <v>1.0</v>
      </c>
      <c r="O111" s="9">
        <v>3235.0</v>
      </c>
      <c r="P111" s="9">
        <v>2028.0</v>
      </c>
      <c r="Q111" s="47">
        <v>0.1552369686268681</v>
      </c>
      <c r="R111" s="48">
        <f t="shared" si="3"/>
        <v>0.3731066461</v>
      </c>
      <c r="S111" s="49">
        <f t="shared" si="4"/>
        <v>0</v>
      </c>
      <c r="T111" s="49">
        <f t="shared" si="21"/>
        <v>0.1552369686</v>
      </c>
      <c r="U111" s="50" t="str">
        <f t="shared" si="6"/>
        <v>AOP</v>
      </c>
      <c r="V111" s="51">
        <f t="shared" si="28"/>
        <v>314.8205724</v>
      </c>
      <c r="W111" s="52">
        <f t="shared" si="8"/>
        <v>314.8205724</v>
      </c>
      <c r="X111" s="9">
        <f t="shared" si="25"/>
        <v>2028</v>
      </c>
      <c r="Y111" s="8"/>
      <c r="Z111" s="8"/>
      <c r="AA111" s="8"/>
      <c r="AB111" s="8" t="str">
        <f t="shared" si="10"/>
        <v>AKRH39421P2.0UTE</v>
      </c>
      <c r="AC111" s="8" t="str">
        <f>IF(AB111='Input - Bookings'!S104,"OK","Check")</f>
        <v>Check</v>
      </c>
      <c r="AD111" s="60"/>
      <c r="AE111" s="54"/>
      <c r="AF111" s="54"/>
      <c r="AG111" s="55"/>
      <c r="AH111" s="62"/>
      <c r="AI111" s="8" t="str">
        <f t="array" ref="AI111">XLOOKUP($J111,'AP Plants'!D:D,'AP Plants'!B:B)</f>
        <v>Class 3</v>
      </c>
      <c r="AJ111" s="56"/>
      <c r="AK111" s="56"/>
      <c r="AL111" s="49">
        <v>0.015</v>
      </c>
      <c r="AM111" s="49">
        <f t="array" ref="AM111">XLOOKUP($AI111,Warranty!B:B,Warranty!E:E)</f>
        <v>0.015</v>
      </c>
      <c r="AN111" s="8">
        <f>IF($L111="AUD",VLOOKUP(RIGHT('Wk - Margins'!$J111,3),'AU Freight'!C:G,5,0),0)</f>
        <v>0</v>
      </c>
      <c r="AO111" s="49">
        <f t="shared" si="11"/>
        <v>0</v>
      </c>
      <c r="AP111" s="57">
        <f t="shared" si="12"/>
        <v>0</v>
      </c>
      <c r="AQ111" s="58">
        <f t="shared" si="13"/>
        <v>1</v>
      </c>
      <c r="AR111" s="59">
        <f>IF(L111="AUD",O111*'Currency &amp; Conversion'!$L$7,'Wk - Margins'!O111)</f>
        <v>3235</v>
      </c>
      <c r="AS111" s="59">
        <f>IF(L111="AUD",P111*'Currency &amp; Conversion'!$L$7,'Wk - Margins'!P111)</f>
        <v>2028</v>
      </c>
    </row>
    <row r="112" ht="12.75" hidden="1" customHeight="1">
      <c r="A112" s="42" t="str">
        <f>'Input - Bookings'!A112</f>
        <v>26/06/2023</v>
      </c>
      <c r="B112" s="43" t="str">
        <f t="shared" si="1"/>
        <v>Asia</v>
      </c>
      <c r="C112" s="43" t="str">
        <f t="shared" si="2"/>
        <v>AKR</v>
      </c>
      <c r="D112" s="43" t="str">
        <f>'Input - Bookings'!D112</f>
        <v>A</v>
      </c>
      <c r="E112" s="43" t="str">
        <f>'Input - Bookings'!J112</f>
        <v>KR</v>
      </c>
      <c r="F112" s="44" t="str">
        <f>'Input - Bookings'!F112</f>
        <v>065</v>
      </c>
      <c r="G112" s="44" t="str">
        <f>'Input - Bookings'!I112</f>
        <v>HYSTER KOREA INC.</v>
      </c>
      <c r="H112" s="44" t="str">
        <f>'Input - Bookings'!K112</f>
        <v>H39422</v>
      </c>
      <c r="I112" s="45" t="str">
        <f>VLOOKUP(H112,'Input - Bookings'!$G$2:$H$611,2,0)</f>
        <v>081645</v>
      </c>
      <c r="J112" s="44" t="str">
        <f>'Input - Bookings'!N112</f>
        <v>A3B5</v>
      </c>
      <c r="K112" s="44" t="str">
        <f>'Input - Bookings'!O112</f>
        <v>P2.0UTE</v>
      </c>
      <c r="L112" s="44" t="str">
        <f>'Input - Bookings'!C112</f>
        <v>USD</v>
      </c>
      <c r="M112" s="46" t="str">
        <f t="array" ref="M112">IF(L112="USD",INDEX('AP Plants'!A:A,MATCH(J112,'AP Plants'!D:D,0)),INDEX('Australia Plants'!A:A,MATCH(J112,'Australia Plants'!D:D,0)))</f>
        <v>Ruyi</v>
      </c>
      <c r="N112" s="10">
        <v>1.0</v>
      </c>
      <c r="O112" s="9">
        <v>3235.0</v>
      </c>
      <c r="P112" s="9">
        <v>2028.0</v>
      </c>
      <c r="Q112" s="47">
        <v>0.1552369686268681</v>
      </c>
      <c r="R112" s="48">
        <f t="shared" si="3"/>
        <v>0.3731066461</v>
      </c>
      <c r="S112" s="49">
        <f t="shared" si="4"/>
        <v>0</v>
      </c>
      <c r="T112" s="49">
        <f t="shared" si="21"/>
        <v>0.1552369686</v>
      </c>
      <c r="U112" s="50" t="str">
        <f t="shared" si="6"/>
        <v>AOP</v>
      </c>
      <c r="V112" s="51">
        <f t="shared" si="28"/>
        <v>314.8205724</v>
      </c>
      <c r="W112" s="52">
        <f t="shared" si="8"/>
        <v>314.8205724</v>
      </c>
      <c r="X112" s="9">
        <f t="shared" si="25"/>
        <v>2028</v>
      </c>
      <c r="Y112" s="8"/>
      <c r="Z112" s="8"/>
      <c r="AA112" s="8"/>
      <c r="AB112" s="8" t="str">
        <f t="shared" si="10"/>
        <v>AKRH39422P2.0UTE</v>
      </c>
      <c r="AC112" s="8" t="str">
        <f>IF(AB112='Input - Bookings'!S105,"OK","Check")</f>
        <v>Check</v>
      </c>
      <c r="AD112" s="60"/>
      <c r="AE112" s="54"/>
      <c r="AF112" s="54"/>
      <c r="AG112" s="55"/>
      <c r="AH112" s="62"/>
      <c r="AI112" s="8" t="str">
        <f t="array" ref="AI112">XLOOKUP($J112,'AP Plants'!D:D,'AP Plants'!B:B)</f>
        <v>Class 3</v>
      </c>
      <c r="AJ112" s="56"/>
      <c r="AK112" s="56"/>
      <c r="AL112" s="49">
        <v>0.015</v>
      </c>
      <c r="AM112" s="49">
        <f t="array" ref="AM112">XLOOKUP($AI112,Warranty!B:B,Warranty!E:E)</f>
        <v>0.015</v>
      </c>
      <c r="AN112" s="8">
        <f>IF($L112="AUD",VLOOKUP(RIGHT('Wk - Margins'!$J112,3),'AU Freight'!C:G,5,0),0)</f>
        <v>0</v>
      </c>
      <c r="AO112" s="49">
        <f t="shared" si="11"/>
        <v>0</v>
      </c>
      <c r="AP112" s="57">
        <f t="shared" si="12"/>
        <v>0</v>
      </c>
      <c r="AQ112" s="58">
        <f t="shared" si="13"/>
        <v>1</v>
      </c>
      <c r="AR112" s="59">
        <f>IF(L112="AUD",O112*'Currency &amp; Conversion'!$L$7,'Wk - Margins'!O112)</f>
        <v>3235</v>
      </c>
      <c r="AS112" s="59">
        <f>IF(L112="AUD",P112*'Currency &amp; Conversion'!$L$7,'Wk - Margins'!P112)</f>
        <v>2028</v>
      </c>
    </row>
    <row r="113" ht="12.75" hidden="1" customHeight="1">
      <c r="A113" s="42" t="str">
        <f>'Input - Bookings'!A113</f>
        <v>26/06/2023</v>
      </c>
      <c r="B113" s="43" t="str">
        <f t="shared" si="1"/>
        <v>Asia</v>
      </c>
      <c r="C113" s="43" t="str">
        <f t="shared" si="2"/>
        <v>AKR</v>
      </c>
      <c r="D113" s="43" t="str">
        <f>'Input - Bookings'!D113</f>
        <v>A</v>
      </c>
      <c r="E113" s="43" t="str">
        <f>'Input - Bookings'!J113</f>
        <v>KR</v>
      </c>
      <c r="F113" s="44" t="str">
        <f>'Input - Bookings'!F113</f>
        <v>065</v>
      </c>
      <c r="G113" s="44" t="str">
        <f>'Input - Bookings'!I113</f>
        <v>HYSTER KOREA INC.</v>
      </c>
      <c r="H113" s="44" t="str">
        <f>'Input - Bookings'!K113</f>
        <v>H39423</v>
      </c>
      <c r="I113" s="45" t="str">
        <f>VLOOKUP(H113,'Input - Bookings'!$G$2:$H$611,2,0)</f>
        <v>081645</v>
      </c>
      <c r="J113" s="44" t="str">
        <f>'Input - Bookings'!N113</f>
        <v>A3B5</v>
      </c>
      <c r="K113" s="44" t="str">
        <f>'Input - Bookings'!O113</f>
        <v>P2.0UTE</v>
      </c>
      <c r="L113" s="44" t="str">
        <f>'Input - Bookings'!C113</f>
        <v>USD</v>
      </c>
      <c r="M113" s="46" t="str">
        <f t="array" ref="M113">IF(L113="USD",INDEX('AP Plants'!A:A,MATCH(J113,'AP Plants'!D:D,0)),INDEX('Australia Plants'!A:A,MATCH(J113,'Australia Plants'!D:D,0)))</f>
        <v>Ruyi</v>
      </c>
      <c r="N113" s="10">
        <v>1.0</v>
      </c>
      <c r="O113" s="9">
        <v>3235.0</v>
      </c>
      <c r="P113" s="9">
        <v>2028.0</v>
      </c>
      <c r="Q113" s="47">
        <v>0.1552369686268681</v>
      </c>
      <c r="R113" s="48">
        <f t="shared" si="3"/>
        <v>0.3731066461</v>
      </c>
      <c r="S113" s="49">
        <f t="shared" si="4"/>
        <v>0</v>
      </c>
      <c r="T113" s="49">
        <f t="shared" si="21"/>
        <v>0.1552369686</v>
      </c>
      <c r="U113" s="50" t="str">
        <f t="shared" si="6"/>
        <v>AOP</v>
      </c>
      <c r="V113" s="51">
        <f t="shared" si="28"/>
        <v>314.8205724</v>
      </c>
      <c r="W113" s="52">
        <f t="shared" si="8"/>
        <v>314.8205724</v>
      </c>
      <c r="X113" s="9">
        <f t="shared" si="25"/>
        <v>2028</v>
      </c>
      <c r="Y113" s="8"/>
      <c r="Z113" s="8"/>
      <c r="AA113" s="8"/>
      <c r="AB113" s="8" t="str">
        <f t="shared" si="10"/>
        <v>AKRH39423P2.0UTE</v>
      </c>
      <c r="AC113" s="8" t="str">
        <f>IF(AB113='Input - Bookings'!S106,"OK","Check")</f>
        <v>Check</v>
      </c>
      <c r="AD113" s="60"/>
      <c r="AE113" s="54"/>
      <c r="AF113" s="54"/>
      <c r="AG113" s="55"/>
      <c r="AH113" s="62"/>
      <c r="AI113" s="8" t="str">
        <f t="array" ref="AI113">XLOOKUP($J113,'AP Plants'!D:D,'AP Plants'!B:B)</f>
        <v>Class 3</v>
      </c>
      <c r="AJ113" s="56"/>
      <c r="AK113" s="56"/>
      <c r="AL113" s="49">
        <v>0.015</v>
      </c>
      <c r="AM113" s="49">
        <f t="array" ref="AM113">XLOOKUP($AI113,Warranty!B:B,Warranty!E:E)</f>
        <v>0.015</v>
      </c>
      <c r="AN113" s="8">
        <f>IF($L113="AUD",VLOOKUP(RIGHT('Wk - Margins'!$J113,3),'AU Freight'!C:G,5,0),0)</f>
        <v>0</v>
      </c>
      <c r="AO113" s="49">
        <f t="shared" si="11"/>
        <v>0</v>
      </c>
      <c r="AP113" s="57">
        <f t="shared" si="12"/>
        <v>0</v>
      </c>
      <c r="AQ113" s="58">
        <f t="shared" si="13"/>
        <v>1</v>
      </c>
      <c r="AR113" s="59">
        <f>IF(L113="AUD",O113*'Currency &amp; Conversion'!$L$7,'Wk - Margins'!O113)</f>
        <v>3235</v>
      </c>
      <c r="AS113" s="59">
        <f>IF(L113="AUD",P113*'Currency &amp; Conversion'!$L$7,'Wk - Margins'!P113)</f>
        <v>2028</v>
      </c>
    </row>
    <row r="114" ht="12.75" hidden="1" customHeight="1">
      <c r="A114" s="42" t="str">
        <f>'Input - Bookings'!A114</f>
        <v>26/06/2023</v>
      </c>
      <c r="B114" s="43" t="str">
        <f t="shared" si="1"/>
        <v>Asia</v>
      </c>
      <c r="C114" s="43" t="str">
        <f t="shared" si="2"/>
        <v>AKR</v>
      </c>
      <c r="D114" s="43" t="str">
        <f>'Input - Bookings'!D114</f>
        <v>A</v>
      </c>
      <c r="E114" s="43" t="str">
        <f>'Input - Bookings'!J114</f>
        <v>KR</v>
      </c>
      <c r="F114" s="44" t="str">
        <f>'Input - Bookings'!F114</f>
        <v>065</v>
      </c>
      <c r="G114" s="44" t="str">
        <f>'Input - Bookings'!I114</f>
        <v>HYSTER KOREA INC.</v>
      </c>
      <c r="H114" s="44" t="str">
        <f>'Input - Bookings'!K114</f>
        <v>H39424</v>
      </c>
      <c r="I114" s="45" t="str">
        <f>VLOOKUP(H114,'Input - Bookings'!$G$2:$H$611,2,0)</f>
        <v>081645</v>
      </c>
      <c r="J114" s="44" t="str">
        <f>'Input - Bookings'!N114</f>
        <v>A3B5</v>
      </c>
      <c r="K114" s="44" t="str">
        <f>'Input - Bookings'!O114</f>
        <v>P2.0UTE</v>
      </c>
      <c r="L114" s="44" t="str">
        <f>'Input - Bookings'!C114</f>
        <v>USD</v>
      </c>
      <c r="M114" s="46" t="str">
        <f t="array" ref="M114">IF(L114="USD",INDEX('AP Plants'!A:A,MATCH(J114,'AP Plants'!D:D,0)),INDEX('Australia Plants'!A:A,MATCH(J114,'Australia Plants'!D:D,0)))</f>
        <v>Ruyi</v>
      </c>
      <c r="N114" s="10">
        <v>1.0</v>
      </c>
      <c r="O114" s="9">
        <v>3235.0</v>
      </c>
      <c r="P114" s="9">
        <v>2028.0</v>
      </c>
      <c r="Q114" s="47">
        <v>0.1552369686268681</v>
      </c>
      <c r="R114" s="48">
        <f t="shared" si="3"/>
        <v>0.3731066461</v>
      </c>
      <c r="S114" s="49">
        <f t="shared" si="4"/>
        <v>0</v>
      </c>
      <c r="T114" s="49">
        <f t="shared" si="21"/>
        <v>0.1552369686</v>
      </c>
      <c r="U114" s="50" t="str">
        <f t="shared" si="6"/>
        <v>AOP</v>
      </c>
      <c r="V114" s="51">
        <f t="shared" si="28"/>
        <v>314.8205724</v>
      </c>
      <c r="W114" s="52">
        <f t="shared" si="8"/>
        <v>314.8205724</v>
      </c>
      <c r="X114" s="9">
        <f t="shared" si="25"/>
        <v>2028</v>
      </c>
      <c r="Y114" s="8"/>
      <c r="Z114" s="8"/>
      <c r="AA114" s="8"/>
      <c r="AB114" s="8" t="str">
        <f t="shared" si="10"/>
        <v>AKRH39424P2.0UTE</v>
      </c>
      <c r="AC114" s="8" t="str">
        <f>IF(AB114='Input - Bookings'!S107,"OK","Check")</f>
        <v>Check</v>
      </c>
      <c r="AD114" s="60"/>
      <c r="AE114" s="54"/>
      <c r="AF114" s="54"/>
      <c r="AG114" s="55"/>
      <c r="AH114" s="62"/>
      <c r="AI114" s="8" t="str">
        <f t="array" ref="AI114">XLOOKUP($J114,'AP Plants'!D:D,'AP Plants'!B:B)</f>
        <v>Class 3</v>
      </c>
      <c r="AJ114" s="56"/>
      <c r="AK114" s="56"/>
      <c r="AL114" s="49">
        <v>0.015</v>
      </c>
      <c r="AM114" s="49">
        <f t="array" ref="AM114">XLOOKUP($AI114,Warranty!B:B,Warranty!E:E)</f>
        <v>0.015</v>
      </c>
      <c r="AN114" s="8">
        <f>IF($L114="AUD",VLOOKUP(RIGHT('Wk - Margins'!$J114,3),'AU Freight'!C:G,5,0),0)</f>
        <v>0</v>
      </c>
      <c r="AO114" s="49">
        <f t="shared" si="11"/>
        <v>0</v>
      </c>
      <c r="AP114" s="57">
        <f t="shared" si="12"/>
        <v>0</v>
      </c>
      <c r="AQ114" s="58">
        <f t="shared" si="13"/>
        <v>1</v>
      </c>
      <c r="AR114" s="59">
        <f>IF(L114="AUD",O114*'Currency &amp; Conversion'!$L$7,'Wk - Margins'!O114)</f>
        <v>3235</v>
      </c>
      <c r="AS114" s="59">
        <f>IF(L114="AUD",P114*'Currency &amp; Conversion'!$L$7,'Wk - Margins'!P114)</f>
        <v>2028</v>
      </c>
    </row>
    <row r="115" ht="12.75" hidden="1" customHeight="1">
      <c r="A115" s="42" t="str">
        <f>'Input - Bookings'!A115</f>
        <v>26/06/2023</v>
      </c>
      <c r="B115" s="43" t="str">
        <f t="shared" si="1"/>
        <v>Asia</v>
      </c>
      <c r="C115" s="43" t="str">
        <f t="shared" si="2"/>
        <v>AKR</v>
      </c>
      <c r="D115" s="43" t="str">
        <f>'Input - Bookings'!D115</f>
        <v>A</v>
      </c>
      <c r="E115" s="43" t="str">
        <f>'Input - Bookings'!J115</f>
        <v>KR</v>
      </c>
      <c r="F115" s="44" t="str">
        <f>'Input - Bookings'!F115</f>
        <v>065</v>
      </c>
      <c r="G115" s="44" t="str">
        <f>'Input - Bookings'!I115</f>
        <v>HYSTER KOREA INC.</v>
      </c>
      <c r="H115" s="44" t="str">
        <f>'Input - Bookings'!K115</f>
        <v>H39425</v>
      </c>
      <c r="I115" s="45" t="str">
        <f>VLOOKUP(H115,'Input - Bookings'!$G$2:$H$611,2,0)</f>
        <v>081645</v>
      </c>
      <c r="J115" s="44" t="str">
        <f>'Input - Bookings'!N115</f>
        <v>A3B5</v>
      </c>
      <c r="K115" s="44" t="str">
        <f>'Input - Bookings'!O115</f>
        <v>P2.0UTE</v>
      </c>
      <c r="L115" s="44" t="str">
        <f>'Input - Bookings'!C115</f>
        <v>USD</v>
      </c>
      <c r="M115" s="46" t="str">
        <f t="array" ref="M115">IF(L115="USD",INDEX('AP Plants'!A:A,MATCH(J115,'AP Plants'!D:D,0)),INDEX('Australia Plants'!A:A,MATCH(J115,'Australia Plants'!D:D,0)))</f>
        <v>Ruyi</v>
      </c>
      <c r="N115" s="10">
        <v>1.0</v>
      </c>
      <c r="O115" s="9">
        <v>3235.0</v>
      </c>
      <c r="P115" s="9">
        <v>2028.0</v>
      </c>
      <c r="Q115" s="47">
        <v>0.1552369686268681</v>
      </c>
      <c r="R115" s="48">
        <f t="shared" si="3"/>
        <v>0.3731066461</v>
      </c>
      <c r="S115" s="49">
        <f t="shared" si="4"/>
        <v>0</v>
      </c>
      <c r="T115" s="49">
        <f t="shared" si="21"/>
        <v>0.1552369686</v>
      </c>
      <c r="U115" s="50" t="str">
        <f t="shared" si="6"/>
        <v>AOP</v>
      </c>
      <c r="V115" s="51">
        <f t="shared" si="28"/>
        <v>314.8205724</v>
      </c>
      <c r="W115" s="52">
        <f t="shared" si="8"/>
        <v>314.8205724</v>
      </c>
      <c r="X115" s="9">
        <f t="shared" si="25"/>
        <v>2028</v>
      </c>
      <c r="Y115" s="8"/>
      <c r="Z115" s="8"/>
      <c r="AA115" s="8"/>
      <c r="AB115" s="8" t="str">
        <f t="shared" si="10"/>
        <v>AKRH39425P2.0UTE</v>
      </c>
      <c r="AC115" s="8" t="str">
        <f>IF(AB115='Input - Bookings'!S108,"OK","Check")</f>
        <v>Check</v>
      </c>
      <c r="AD115" s="60"/>
      <c r="AE115" s="54"/>
      <c r="AF115" s="54"/>
      <c r="AG115" s="55"/>
      <c r="AH115" s="62"/>
      <c r="AI115" s="8" t="str">
        <f t="array" ref="AI115">XLOOKUP($J115,'AP Plants'!D:D,'AP Plants'!B:B)</f>
        <v>Class 3</v>
      </c>
      <c r="AJ115" s="56"/>
      <c r="AK115" s="56"/>
      <c r="AL115" s="49">
        <v>0.015</v>
      </c>
      <c r="AM115" s="49">
        <f t="array" ref="AM115">XLOOKUP($AI115,Warranty!B:B,Warranty!E:E)</f>
        <v>0.015</v>
      </c>
      <c r="AN115" s="8">
        <f>IF($L115="AUD",VLOOKUP(RIGHT('Wk - Margins'!$J115,3),'AU Freight'!C:G,5,0),0)</f>
        <v>0</v>
      </c>
      <c r="AO115" s="49">
        <f t="shared" si="11"/>
        <v>0</v>
      </c>
      <c r="AP115" s="57">
        <f t="shared" si="12"/>
        <v>0</v>
      </c>
      <c r="AQ115" s="58">
        <f t="shared" si="13"/>
        <v>1</v>
      </c>
      <c r="AR115" s="59">
        <f>IF(L115="AUD",O115*'Currency &amp; Conversion'!$L$7,'Wk - Margins'!O115)</f>
        <v>3235</v>
      </c>
      <c r="AS115" s="59">
        <f>IF(L115="AUD",P115*'Currency &amp; Conversion'!$L$7,'Wk - Margins'!P115)</f>
        <v>2028</v>
      </c>
    </row>
    <row r="116" ht="12.75" hidden="1" customHeight="1">
      <c r="A116" s="42" t="str">
        <f>'Input - Bookings'!A116</f>
        <v>26/06/2023</v>
      </c>
      <c r="B116" s="43" t="str">
        <f t="shared" si="1"/>
        <v>Asia</v>
      </c>
      <c r="C116" s="43" t="str">
        <f t="shared" si="2"/>
        <v>AKR</v>
      </c>
      <c r="D116" s="43" t="str">
        <f>'Input - Bookings'!D116</f>
        <v>A</v>
      </c>
      <c r="E116" s="43" t="str">
        <f>'Input - Bookings'!J116</f>
        <v>KR</v>
      </c>
      <c r="F116" s="44" t="str">
        <f>'Input - Bookings'!F116</f>
        <v>065</v>
      </c>
      <c r="G116" s="44" t="str">
        <f>'Input - Bookings'!I116</f>
        <v>HYSTER KOREA INC.</v>
      </c>
      <c r="H116" s="44" t="str">
        <f>'Input - Bookings'!K116</f>
        <v>H39426</v>
      </c>
      <c r="I116" s="45" t="str">
        <f>VLOOKUP(H116,'Input - Bookings'!$G$2:$H$611,2,0)</f>
        <v>081645</v>
      </c>
      <c r="J116" s="44" t="str">
        <f>'Input - Bookings'!N116</f>
        <v>A3B5</v>
      </c>
      <c r="K116" s="44" t="str">
        <f>'Input - Bookings'!O116</f>
        <v>P2.0UTE</v>
      </c>
      <c r="L116" s="44" t="str">
        <f>'Input - Bookings'!C116</f>
        <v>USD</v>
      </c>
      <c r="M116" s="46" t="str">
        <f t="array" ref="M116">IF(L116="USD",INDEX('AP Plants'!A:A,MATCH(J116,'AP Plants'!D:D,0)),INDEX('Australia Plants'!A:A,MATCH(J116,'Australia Plants'!D:D,0)))</f>
        <v>Ruyi</v>
      </c>
      <c r="N116" s="10">
        <v>1.0</v>
      </c>
      <c r="O116" s="9">
        <v>3235.0</v>
      </c>
      <c r="P116" s="9">
        <v>2028.0</v>
      </c>
      <c r="Q116" s="47">
        <v>0.1552369686268681</v>
      </c>
      <c r="R116" s="48">
        <f t="shared" si="3"/>
        <v>0.3731066461</v>
      </c>
      <c r="S116" s="49">
        <f t="shared" si="4"/>
        <v>0</v>
      </c>
      <c r="T116" s="49">
        <f t="shared" si="21"/>
        <v>0.1552369686</v>
      </c>
      <c r="U116" s="50" t="str">
        <f t="shared" si="6"/>
        <v>AOP</v>
      </c>
      <c r="V116" s="51">
        <f t="shared" si="28"/>
        <v>314.8205724</v>
      </c>
      <c r="W116" s="52">
        <f t="shared" si="8"/>
        <v>314.8205724</v>
      </c>
      <c r="X116" s="9">
        <f t="shared" si="25"/>
        <v>2028</v>
      </c>
      <c r="Y116" s="8"/>
      <c r="Z116" s="8"/>
      <c r="AA116" s="8"/>
      <c r="AB116" s="8" t="str">
        <f t="shared" si="10"/>
        <v>AKRH39426P2.0UTE</v>
      </c>
      <c r="AC116" s="8" t="str">
        <f>IF(AB116='Input - Bookings'!S109,"OK","Check")</f>
        <v>Check</v>
      </c>
      <c r="AD116" s="60"/>
      <c r="AE116" s="54"/>
      <c r="AF116" s="54"/>
      <c r="AG116" s="55"/>
      <c r="AH116" s="62"/>
      <c r="AI116" s="8" t="str">
        <f t="array" ref="AI116">XLOOKUP($J116,'AP Plants'!D:D,'AP Plants'!B:B)</f>
        <v>Class 3</v>
      </c>
      <c r="AJ116" s="56"/>
      <c r="AK116" s="56"/>
      <c r="AL116" s="49">
        <v>0.015</v>
      </c>
      <c r="AM116" s="49">
        <f t="array" ref="AM116">XLOOKUP($AI116,Warranty!B:B,Warranty!E:E)</f>
        <v>0.015</v>
      </c>
      <c r="AN116" s="8">
        <f>IF($L116="AUD",VLOOKUP(RIGHT('Wk - Margins'!$J116,3),'AU Freight'!C:G,5,0),0)</f>
        <v>0</v>
      </c>
      <c r="AO116" s="49">
        <f t="shared" si="11"/>
        <v>0</v>
      </c>
      <c r="AP116" s="57">
        <f t="shared" si="12"/>
        <v>0</v>
      </c>
      <c r="AQ116" s="58">
        <f t="shared" si="13"/>
        <v>1</v>
      </c>
      <c r="AR116" s="59">
        <f>IF(L116="AUD",O116*'Currency &amp; Conversion'!$L$7,'Wk - Margins'!O116)</f>
        <v>3235</v>
      </c>
      <c r="AS116" s="59">
        <f>IF(L116="AUD",P116*'Currency &amp; Conversion'!$L$7,'Wk - Margins'!P116)</f>
        <v>2028</v>
      </c>
    </row>
    <row r="117" ht="12.75" hidden="1" customHeight="1">
      <c r="A117" s="42" t="str">
        <f>'Input - Bookings'!A117</f>
        <v>26/06/2023</v>
      </c>
      <c r="B117" s="43" t="str">
        <f t="shared" si="1"/>
        <v>Asia</v>
      </c>
      <c r="C117" s="43" t="str">
        <f t="shared" si="2"/>
        <v>AKR</v>
      </c>
      <c r="D117" s="43" t="str">
        <f>'Input - Bookings'!D117</f>
        <v>A</v>
      </c>
      <c r="E117" s="43" t="str">
        <f>'Input - Bookings'!J117</f>
        <v>KR</v>
      </c>
      <c r="F117" s="44" t="str">
        <f>'Input - Bookings'!F117</f>
        <v>065</v>
      </c>
      <c r="G117" s="44" t="str">
        <f>'Input - Bookings'!I117</f>
        <v>HYSTER KOREA INC.</v>
      </c>
      <c r="H117" s="44" t="str">
        <f>'Input - Bookings'!K117</f>
        <v>H39427</v>
      </c>
      <c r="I117" s="45" t="str">
        <f>VLOOKUP(H117,'Input - Bookings'!$G$2:$H$611,2,0)</f>
        <v>081645</v>
      </c>
      <c r="J117" s="44" t="str">
        <f>'Input - Bookings'!N117</f>
        <v>A3B5</v>
      </c>
      <c r="K117" s="44" t="str">
        <f>'Input - Bookings'!O117</f>
        <v>P2.0UTE</v>
      </c>
      <c r="L117" s="44" t="str">
        <f>'Input - Bookings'!C117</f>
        <v>USD</v>
      </c>
      <c r="M117" s="46" t="str">
        <f t="array" ref="M117">IF(L117="USD",INDEX('AP Plants'!A:A,MATCH(J117,'AP Plants'!D:D,0)),INDEX('Australia Plants'!A:A,MATCH(J117,'Australia Plants'!D:D,0)))</f>
        <v>Ruyi</v>
      </c>
      <c r="N117" s="10">
        <v>1.0</v>
      </c>
      <c r="O117" s="9">
        <v>3235.0</v>
      </c>
      <c r="P117" s="9">
        <v>2028.0</v>
      </c>
      <c r="Q117" s="47">
        <v>0.1552369686268681</v>
      </c>
      <c r="R117" s="48">
        <f t="shared" si="3"/>
        <v>0.3731066461</v>
      </c>
      <c r="S117" s="49">
        <f t="shared" si="4"/>
        <v>0</v>
      </c>
      <c r="T117" s="49">
        <f t="shared" si="21"/>
        <v>0.1552369686</v>
      </c>
      <c r="U117" s="50" t="str">
        <f t="shared" si="6"/>
        <v>AOP</v>
      </c>
      <c r="V117" s="51">
        <f t="shared" si="28"/>
        <v>314.8205724</v>
      </c>
      <c r="W117" s="52">
        <f t="shared" si="8"/>
        <v>314.8205724</v>
      </c>
      <c r="X117" s="9">
        <f t="shared" si="25"/>
        <v>2028</v>
      </c>
      <c r="Y117" s="8"/>
      <c r="Z117" s="8"/>
      <c r="AA117" s="8"/>
      <c r="AB117" s="8" t="str">
        <f t="shared" si="10"/>
        <v>AKRH39427P2.0UTE</v>
      </c>
      <c r="AC117" s="8" t="str">
        <f>IF(AB117='Input - Bookings'!S110,"OK","Check")</f>
        <v>Check</v>
      </c>
      <c r="AD117" s="60"/>
      <c r="AE117" s="54"/>
      <c r="AF117" s="54"/>
      <c r="AG117" s="55"/>
      <c r="AH117" s="62"/>
      <c r="AI117" s="8" t="str">
        <f t="array" ref="AI117">XLOOKUP($J117,'AP Plants'!D:D,'AP Plants'!B:B)</f>
        <v>Class 3</v>
      </c>
      <c r="AJ117" s="56"/>
      <c r="AK117" s="56"/>
      <c r="AL117" s="49">
        <v>0.015</v>
      </c>
      <c r="AM117" s="49">
        <f t="array" ref="AM117">XLOOKUP($AI117,Warranty!B:B,Warranty!E:E)</f>
        <v>0.015</v>
      </c>
      <c r="AN117" s="8">
        <f>IF($L117="AUD",VLOOKUP(RIGHT('Wk - Margins'!$J117,3),'AU Freight'!C:G,5,0),0)</f>
        <v>0</v>
      </c>
      <c r="AO117" s="49">
        <f t="shared" si="11"/>
        <v>0</v>
      </c>
      <c r="AP117" s="57">
        <f t="shared" si="12"/>
        <v>0</v>
      </c>
      <c r="AQ117" s="58">
        <f t="shared" si="13"/>
        <v>1</v>
      </c>
      <c r="AR117" s="59">
        <f>IF(L117="AUD",O117*'Currency &amp; Conversion'!$L$7,'Wk - Margins'!O117)</f>
        <v>3235</v>
      </c>
      <c r="AS117" s="59">
        <f>IF(L117="AUD",P117*'Currency &amp; Conversion'!$L$7,'Wk - Margins'!P117)</f>
        <v>2028</v>
      </c>
    </row>
    <row r="118" ht="12.75" hidden="1" customHeight="1">
      <c r="A118" s="42" t="str">
        <f>'Input - Bookings'!A118</f>
        <v>26/06/2023</v>
      </c>
      <c r="B118" s="43" t="str">
        <f t="shared" si="1"/>
        <v>Asia</v>
      </c>
      <c r="C118" s="43" t="str">
        <f t="shared" si="2"/>
        <v>AKR</v>
      </c>
      <c r="D118" s="43" t="str">
        <f>'Input - Bookings'!D118</f>
        <v>A</v>
      </c>
      <c r="E118" s="43" t="str">
        <f>'Input - Bookings'!J118</f>
        <v>KR</v>
      </c>
      <c r="F118" s="44" t="str">
        <f>'Input - Bookings'!F118</f>
        <v>065</v>
      </c>
      <c r="G118" s="44" t="str">
        <f>'Input - Bookings'!I118</f>
        <v>HYSTER KOREA INC.</v>
      </c>
      <c r="H118" s="44" t="str">
        <f>'Input - Bookings'!K118</f>
        <v>H39428</v>
      </c>
      <c r="I118" s="45" t="str">
        <f>VLOOKUP(H118,'Input - Bookings'!$G$2:$H$611,2,0)</f>
        <v>081645</v>
      </c>
      <c r="J118" s="44" t="str">
        <f>'Input - Bookings'!N118</f>
        <v>A3B5</v>
      </c>
      <c r="K118" s="44" t="str">
        <f>'Input - Bookings'!O118</f>
        <v>P2.0UTE</v>
      </c>
      <c r="L118" s="44" t="str">
        <f>'Input - Bookings'!C118</f>
        <v>USD</v>
      </c>
      <c r="M118" s="46" t="str">
        <f t="array" ref="M118">IF(L118="USD",INDEX('AP Plants'!A:A,MATCH(J118,'AP Plants'!D:D,0)),INDEX('Australia Plants'!A:A,MATCH(J118,'Australia Plants'!D:D,0)))</f>
        <v>Ruyi</v>
      </c>
      <c r="N118" s="10">
        <v>1.0</v>
      </c>
      <c r="O118" s="9">
        <v>3235.0</v>
      </c>
      <c r="P118" s="9">
        <v>2028.0</v>
      </c>
      <c r="Q118" s="47">
        <v>0.1552369686268681</v>
      </c>
      <c r="R118" s="48">
        <f t="shared" si="3"/>
        <v>0.3731066461</v>
      </c>
      <c r="S118" s="49">
        <f t="shared" si="4"/>
        <v>0</v>
      </c>
      <c r="T118" s="49">
        <f t="shared" si="21"/>
        <v>0.1552369686</v>
      </c>
      <c r="U118" s="50" t="str">
        <f t="shared" si="6"/>
        <v>AOP</v>
      </c>
      <c r="V118" s="51">
        <f t="shared" si="28"/>
        <v>314.8205724</v>
      </c>
      <c r="W118" s="52">
        <f t="shared" si="8"/>
        <v>314.8205724</v>
      </c>
      <c r="X118" s="9">
        <f t="shared" si="25"/>
        <v>2028</v>
      </c>
      <c r="Y118" s="8"/>
      <c r="Z118" s="8"/>
      <c r="AA118" s="8"/>
      <c r="AB118" s="8" t="str">
        <f t="shared" si="10"/>
        <v>AKRH39428P2.0UTE</v>
      </c>
      <c r="AC118" s="8" t="str">
        <f>IF(AB118='Input - Bookings'!S111,"OK","Check")</f>
        <v>Check</v>
      </c>
      <c r="AD118" s="60"/>
      <c r="AE118" s="54"/>
      <c r="AF118" s="54"/>
      <c r="AG118" s="55"/>
      <c r="AH118" s="62"/>
      <c r="AI118" s="8" t="str">
        <f t="array" ref="AI118">XLOOKUP($J118,'AP Plants'!D:D,'AP Plants'!B:B)</f>
        <v>Class 3</v>
      </c>
      <c r="AJ118" s="56"/>
      <c r="AK118" s="56"/>
      <c r="AL118" s="49">
        <v>0.015</v>
      </c>
      <c r="AM118" s="49">
        <f t="array" ref="AM118">XLOOKUP($AI118,Warranty!B:B,Warranty!E:E)</f>
        <v>0.015</v>
      </c>
      <c r="AN118" s="8">
        <f>IF($L118="AUD",VLOOKUP(RIGHT('Wk - Margins'!$J118,3),'AU Freight'!C:G,5,0),0)</f>
        <v>0</v>
      </c>
      <c r="AO118" s="49">
        <f t="shared" si="11"/>
        <v>0</v>
      </c>
      <c r="AP118" s="57">
        <f t="shared" si="12"/>
        <v>0</v>
      </c>
      <c r="AQ118" s="58">
        <f t="shared" si="13"/>
        <v>1</v>
      </c>
      <c r="AR118" s="59">
        <f>IF(L118="AUD",O118*'Currency &amp; Conversion'!$L$7,'Wk - Margins'!O118)</f>
        <v>3235</v>
      </c>
      <c r="AS118" s="59">
        <f>IF(L118="AUD",P118*'Currency &amp; Conversion'!$L$7,'Wk - Margins'!P118)</f>
        <v>2028</v>
      </c>
    </row>
    <row r="119" ht="12.75" hidden="1" customHeight="1">
      <c r="A119" s="42" t="str">
        <f>'Input - Bookings'!A119</f>
        <v>26/06/2023</v>
      </c>
      <c r="B119" s="43" t="str">
        <f t="shared" si="1"/>
        <v>Asia</v>
      </c>
      <c r="C119" s="43" t="str">
        <f t="shared" si="2"/>
        <v>AKR</v>
      </c>
      <c r="D119" s="43" t="str">
        <f>'Input - Bookings'!D119</f>
        <v>A</v>
      </c>
      <c r="E119" s="43" t="str">
        <f>'Input - Bookings'!J119</f>
        <v>KR</v>
      </c>
      <c r="F119" s="44" t="str">
        <f>'Input - Bookings'!F119</f>
        <v>065</v>
      </c>
      <c r="G119" s="44" t="str">
        <f>'Input - Bookings'!I119</f>
        <v>HYSTER KOREA INC.</v>
      </c>
      <c r="H119" s="44" t="str">
        <f>'Input - Bookings'!K119</f>
        <v>H39429</v>
      </c>
      <c r="I119" s="45" t="str">
        <f>VLOOKUP(H119,'Input - Bookings'!$G$2:$H$611,2,0)</f>
        <v>081645</v>
      </c>
      <c r="J119" s="44" t="str">
        <f>'Input - Bookings'!N119</f>
        <v>A3B5</v>
      </c>
      <c r="K119" s="44" t="str">
        <f>'Input - Bookings'!O119</f>
        <v>P2.0UTE</v>
      </c>
      <c r="L119" s="44" t="str">
        <f>'Input - Bookings'!C119</f>
        <v>USD</v>
      </c>
      <c r="M119" s="46" t="str">
        <f t="array" ref="M119">IF(L119="USD",INDEX('AP Plants'!A:A,MATCH(J119,'AP Plants'!D:D,0)),INDEX('Australia Plants'!A:A,MATCH(J119,'Australia Plants'!D:D,0)))</f>
        <v>Ruyi</v>
      </c>
      <c r="N119" s="10">
        <v>1.0</v>
      </c>
      <c r="O119" s="9">
        <v>3235.0</v>
      </c>
      <c r="P119" s="9">
        <v>2028.0</v>
      </c>
      <c r="Q119" s="47">
        <v>0.1552369686268681</v>
      </c>
      <c r="R119" s="48">
        <f t="shared" si="3"/>
        <v>0.3731066461</v>
      </c>
      <c r="S119" s="49">
        <f t="shared" si="4"/>
        <v>0</v>
      </c>
      <c r="T119" s="49">
        <f t="shared" si="21"/>
        <v>0.1552369686</v>
      </c>
      <c r="U119" s="50" t="str">
        <f t="shared" si="6"/>
        <v>AOP</v>
      </c>
      <c r="V119" s="51">
        <f t="shared" si="28"/>
        <v>314.8205724</v>
      </c>
      <c r="W119" s="52">
        <f t="shared" si="8"/>
        <v>314.8205724</v>
      </c>
      <c r="X119" s="9">
        <f t="shared" si="25"/>
        <v>2028</v>
      </c>
      <c r="Y119" s="8"/>
      <c r="Z119" s="8"/>
      <c r="AA119" s="8"/>
      <c r="AB119" s="8" t="str">
        <f t="shared" si="10"/>
        <v>AKRH39429P2.0UTE</v>
      </c>
      <c r="AC119" s="8" t="str">
        <f>IF(AB119='Input - Bookings'!S112,"OK","Check")</f>
        <v>Check</v>
      </c>
      <c r="AD119" s="60"/>
      <c r="AE119" s="54"/>
      <c r="AF119" s="54"/>
      <c r="AG119" s="55"/>
      <c r="AH119" s="62"/>
      <c r="AI119" s="8" t="str">
        <f t="array" ref="AI119">XLOOKUP($J119,'AP Plants'!D:D,'AP Plants'!B:B)</f>
        <v>Class 3</v>
      </c>
      <c r="AJ119" s="56"/>
      <c r="AK119" s="56"/>
      <c r="AL119" s="49">
        <v>0.015</v>
      </c>
      <c r="AM119" s="49">
        <f t="array" ref="AM119">XLOOKUP($AI119,Warranty!B:B,Warranty!E:E)</f>
        <v>0.015</v>
      </c>
      <c r="AN119" s="8">
        <f>IF($L119="AUD",VLOOKUP(RIGHT('Wk - Margins'!$J119,3),'AU Freight'!C:G,5,0),0)</f>
        <v>0</v>
      </c>
      <c r="AO119" s="49">
        <f t="shared" si="11"/>
        <v>0</v>
      </c>
      <c r="AP119" s="57">
        <f t="shared" si="12"/>
        <v>0</v>
      </c>
      <c r="AQ119" s="58">
        <f t="shared" si="13"/>
        <v>1</v>
      </c>
      <c r="AR119" s="59">
        <f>IF(L119="AUD",O119*'Currency &amp; Conversion'!$L$7,'Wk - Margins'!O119)</f>
        <v>3235</v>
      </c>
      <c r="AS119" s="59">
        <f>IF(L119="AUD",P119*'Currency &amp; Conversion'!$L$7,'Wk - Margins'!P119)</f>
        <v>2028</v>
      </c>
    </row>
    <row r="120" ht="12.75" hidden="1" customHeight="1">
      <c r="A120" s="42" t="str">
        <f>'Input - Bookings'!A120</f>
        <v>26/06/2023</v>
      </c>
      <c r="B120" s="43" t="str">
        <f t="shared" si="1"/>
        <v>Asia</v>
      </c>
      <c r="C120" s="43" t="str">
        <f t="shared" si="2"/>
        <v>AKR</v>
      </c>
      <c r="D120" s="43" t="str">
        <f>'Input - Bookings'!D120</f>
        <v>A</v>
      </c>
      <c r="E120" s="43" t="str">
        <f>'Input - Bookings'!J120</f>
        <v>KR</v>
      </c>
      <c r="F120" s="44" t="str">
        <f>'Input - Bookings'!F120</f>
        <v>065</v>
      </c>
      <c r="G120" s="44" t="str">
        <f>'Input - Bookings'!I120</f>
        <v>HYSTER KOREA INC.</v>
      </c>
      <c r="H120" s="44" t="str">
        <f>'Input - Bookings'!K120</f>
        <v>H39430</v>
      </c>
      <c r="I120" s="45" t="str">
        <f>VLOOKUP(H120,'Input - Bookings'!$G$2:$H$611,2,0)</f>
        <v>081645</v>
      </c>
      <c r="J120" s="44" t="str">
        <f>'Input - Bookings'!N120</f>
        <v>A3B5</v>
      </c>
      <c r="K120" s="44" t="str">
        <f>'Input - Bookings'!O120</f>
        <v>P2.0UTE</v>
      </c>
      <c r="L120" s="44" t="str">
        <f>'Input - Bookings'!C120</f>
        <v>USD</v>
      </c>
      <c r="M120" s="46" t="str">
        <f t="array" ref="M120">IF(L120="USD",INDEX('AP Plants'!A:A,MATCH(J120,'AP Plants'!D:D,0)),INDEX('Australia Plants'!A:A,MATCH(J120,'Australia Plants'!D:D,0)))</f>
        <v>Ruyi</v>
      </c>
      <c r="N120" s="10">
        <v>1.0</v>
      </c>
      <c r="O120" s="9">
        <v>3235.0</v>
      </c>
      <c r="P120" s="9">
        <v>2028.0</v>
      </c>
      <c r="Q120" s="47">
        <v>0.1552369686268681</v>
      </c>
      <c r="R120" s="48">
        <f t="shared" si="3"/>
        <v>0.3731066461</v>
      </c>
      <c r="S120" s="49">
        <f t="shared" si="4"/>
        <v>0</v>
      </c>
      <c r="T120" s="49">
        <f t="shared" si="21"/>
        <v>0.1552369686</v>
      </c>
      <c r="U120" s="50" t="str">
        <f t="shared" si="6"/>
        <v>AOP</v>
      </c>
      <c r="V120" s="51">
        <f t="shared" si="28"/>
        <v>314.8205724</v>
      </c>
      <c r="W120" s="52">
        <f t="shared" si="8"/>
        <v>314.8205724</v>
      </c>
      <c r="X120" s="9">
        <f t="shared" si="25"/>
        <v>2028</v>
      </c>
      <c r="Y120" s="8"/>
      <c r="Z120" s="8"/>
      <c r="AA120" s="8"/>
      <c r="AB120" s="8" t="str">
        <f t="shared" si="10"/>
        <v>AKRH39430P2.0UTE</v>
      </c>
      <c r="AC120" s="8" t="str">
        <f>IF(AB120='Input - Bookings'!S113,"OK","Check")</f>
        <v>Check</v>
      </c>
      <c r="AD120" s="60"/>
      <c r="AE120" s="54"/>
      <c r="AF120" s="54"/>
      <c r="AG120" s="55"/>
      <c r="AH120" s="62"/>
      <c r="AI120" s="8" t="str">
        <f t="array" ref="AI120">XLOOKUP($J120,'AP Plants'!D:D,'AP Plants'!B:B)</f>
        <v>Class 3</v>
      </c>
      <c r="AJ120" s="56"/>
      <c r="AK120" s="56"/>
      <c r="AL120" s="49">
        <v>0.015</v>
      </c>
      <c r="AM120" s="49">
        <f t="array" ref="AM120">XLOOKUP($AI120,Warranty!B:B,Warranty!E:E)</f>
        <v>0.015</v>
      </c>
      <c r="AN120" s="8">
        <f>IF($L120="AUD",VLOOKUP(RIGHT('Wk - Margins'!$J120,3),'AU Freight'!C:G,5,0),0)</f>
        <v>0</v>
      </c>
      <c r="AO120" s="49">
        <f t="shared" si="11"/>
        <v>0</v>
      </c>
      <c r="AP120" s="57">
        <f t="shared" si="12"/>
        <v>0</v>
      </c>
      <c r="AQ120" s="58">
        <f t="shared" si="13"/>
        <v>1</v>
      </c>
      <c r="AR120" s="59">
        <f>IF(L120="AUD",O120*'Currency &amp; Conversion'!$L$7,'Wk - Margins'!O120)</f>
        <v>3235</v>
      </c>
      <c r="AS120" s="59">
        <f>IF(L120="AUD",P120*'Currency &amp; Conversion'!$L$7,'Wk - Margins'!P120)</f>
        <v>2028</v>
      </c>
    </row>
    <row r="121" ht="12.75" hidden="1" customHeight="1">
      <c r="A121" s="42" t="str">
        <f>'Input - Bookings'!A121</f>
        <v>26/06/2023</v>
      </c>
      <c r="B121" s="43" t="str">
        <f t="shared" si="1"/>
        <v>Asia</v>
      </c>
      <c r="C121" s="43" t="str">
        <f t="shared" si="2"/>
        <v>AKR</v>
      </c>
      <c r="D121" s="43" t="str">
        <f>'Input - Bookings'!D121</f>
        <v>A</v>
      </c>
      <c r="E121" s="43" t="str">
        <f>'Input - Bookings'!J121</f>
        <v>KR</v>
      </c>
      <c r="F121" s="44" t="str">
        <f>'Input - Bookings'!F121</f>
        <v>065</v>
      </c>
      <c r="G121" s="44" t="str">
        <f>'Input - Bookings'!I121</f>
        <v>HYSTER KOREA INC.</v>
      </c>
      <c r="H121" s="44" t="str">
        <f>'Input - Bookings'!K121</f>
        <v>H39431</v>
      </c>
      <c r="I121" s="45" t="str">
        <f>VLOOKUP(H121,'Input - Bookings'!$G$2:$H$611,2,0)</f>
        <v>081645</v>
      </c>
      <c r="J121" s="44" t="str">
        <f>'Input - Bookings'!N121</f>
        <v>A3B5</v>
      </c>
      <c r="K121" s="44" t="str">
        <f>'Input - Bookings'!O121</f>
        <v>P2.0UTE</v>
      </c>
      <c r="L121" s="44" t="str">
        <f>'Input - Bookings'!C121</f>
        <v>USD</v>
      </c>
      <c r="M121" s="46" t="str">
        <f t="array" ref="M121">IF(L121="USD",INDEX('AP Plants'!A:A,MATCH(J121,'AP Plants'!D:D,0)),INDEX('Australia Plants'!A:A,MATCH(J121,'Australia Plants'!D:D,0)))</f>
        <v>Ruyi</v>
      </c>
      <c r="N121" s="10">
        <v>1.0</v>
      </c>
      <c r="O121" s="9">
        <v>3235.0</v>
      </c>
      <c r="P121" s="9">
        <v>2028.0</v>
      </c>
      <c r="Q121" s="47">
        <v>0.1552369686268681</v>
      </c>
      <c r="R121" s="48">
        <f t="shared" si="3"/>
        <v>0.3731066461</v>
      </c>
      <c r="S121" s="49">
        <f t="shared" si="4"/>
        <v>0</v>
      </c>
      <c r="T121" s="49">
        <f t="shared" si="21"/>
        <v>0.1552369686</v>
      </c>
      <c r="U121" s="50" t="str">
        <f t="shared" si="6"/>
        <v>AOP</v>
      </c>
      <c r="V121" s="51">
        <f t="shared" si="28"/>
        <v>314.8205724</v>
      </c>
      <c r="W121" s="52">
        <f t="shared" si="8"/>
        <v>314.8205724</v>
      </c>
      <c r="X121" s="9">
        <f t="shared" si="25"/>
        <v>2028</v>
      </c>
      <c r="Y121" s="8"/>
      <c r="Z121" s="8"/>
      <c r="AA121" s="8"/>
      <c r="AB121" s="8" t="str">
        <f t="shared" si="10"/>
        <v>AKRH39431P2.0UTE</v>
      </c>
      <c r="AC121" s="8" t="str">
        <f>IF(AB121='Input - Bookings'!S114,"OK","Check")</f>
        <v>Check</v>
      </c>
      <c r="AD121" s="60"/>
      <c r="AE121" s="54"/>
      <c r="AF121" s="54"/>
      <c r="AG121" s="55"/>
      <c r="AH121" s="55"/>
      <c r="AI121" s="8" t="str">
        <f t="array" ref="AI121">XLOOKUP($J121,'AP Plants'!D:D,'AP Plants'!B:B)</f>
        <v>Class 3</v>
      </c>
      <c r="AJ121" s="56"/>
      <c r="AK121" s="56"/>
      <c r="AL121" s="49">
        <v>0.015</v>
      </c>
      <c r="AM121" s="49">
        <f t="array" ref="AM121">XLOOKUP($AI121,Warranty!B:B,Warranty!E:E)</f>
        <v>0.015</v>
      </c>
      <c r="AN121" s="8">
        <f>IF($L121="AUD",VLOOKUP(RIGHT('Wk - Margins'!$J121,3),'AU Freight'!C:G,5,0),0)</f>
        <v>0</v>
      </c>
      <c r="AO121" s="49">
        <f t="shared" si="11"/>
        <v>0</v>
      </c>
      <c r="AP121" s="57">
        <f t="shared" si="12"/>
        <v>0</v>
      </c>
      <c r="AQ121" s="58">
        <f t="shared" si="13"/>
        <v>1</v>
      </c>
      <c r="AR121" s="59">
        <f>IF(L121="AUD",O121*'Currency &amp; Conversion'!$L$7,'Wk - Margins'!O121)</f>
        <v>3235</v>
      </c>
      <c r="AS121" s="59">
        <f>IF(L121="AUD",P121*'Currency &amp; Conversion'!$L$7,'Wk - Margins'!P121)</f>
        <v>2028</v>
      </c>
    </row>
    <row r="122" ht="12.75" hidden="1" customHeight="1">
      <c r="A122" s="42" t="str">
        <f>'Input - Bookings'!A122</f>
        <v>26/06/2023</v>
      </c>
      <c r="B122" s="43" t="str">
        <f t="shared" si="1"/>
        <v>Asia</v>
      </c>
      <c r="C122" s="43" t="str">
        <f t="shared" si="2"/>
        <v>AKR</v>
      </c>
      <c r="D122" s="43" t="str">
        <f>'Input - Bookings'!D122</f>
        <v>A</v>
      </c>
      <c r="E122" s="43" t="str">
        <f>'Input - Bookings'!J122</f>
        <v>KR</v>
      </c>
      <c r="F122" s="44" t="str">
        <f>'Input - Bookings'!F122</f>
        <v>065</v>
      </c>
      <c r="G122" s="44" t="str">
        <f>'Input - Bookings'!I122</f>
        <v>HYSTER KOREA INC.</v>
      </c>
      <c r="H122" s="44" t="str">
        <f>'Input - Bookings'!K122</f>
        <v>H39432</v>
      </c>
      <c r="I122" s="45" t="str">
        <f>VLOOKUP(H122,'Input - Bookings'!$G$2:$H$611,2,0)</f>
        <v>081645</v>
      </c>
      <c r="J122" s="44" t="str">
        <f>'Input - Bookings'!N122</f>
        <v>A3B5</v>
      </c>
      <c r="K122" s="44" t="str">
        <f>'Input - Bookings'!O122</f>
        <v>P2.0UTE</v>
      </c>
      <c r="L122" s="44" t="str">
        <f>'Input - Bookings'!C122</f>
        <v>USD</v>
      </c>
      <c r="M122" s="46" t="str">
        <f t="array" ref="M122">IF(L122="USD",INDEX('AP Plants'!A:A,MATCH(J122,'AP Plants'!D:D,0)),INDEX('Australia Plants'!A:A,MATCH(J122,'Australia Plants'!D:D,0)))</f>
        <v>Ruyi</v>
      </c>
      <c r="N122" s="10">
        <v>1.0</v>
      </c>
      <c r="O122" s="9">
        <v>3235.0</v>
      </c>
      <c r="P122" s="9">
        <v>2028.0</v>
      </c>
      <c r="Q122" s="47">
        <v>0.1552369686268681</v>
      </c>
      <c r="R122" s="48">
        <f t="shared" si="3"/>
        <v>0.3731066461</v>
      </c>
      <c r="S122" s="49">
        <f t="shared" si="4"/>
        <v>0</v>
      </c>
      <c r="T122" s="49">
        <f t="shared" si="21"/>
        <v>0.1552369686</v>
      </c>
      <c r="U122" s="50" t="str">
        <f t="shared" si="6"/>
        <v>AOP</v>
      </c>
      <c r="V122" s="51">
        <f t="shared" si="28"/>
        <v>314.8205724</v>
      </c>
      <c r="W122" s="52">
        <f t="shared" si="8"/>
        <v>314.8205724</v>
      </c>
      <c r="X122" s="9">
        <f t="shared" si="25"/>
        <v>2028</v>
      </c>
      <c r="Y122" s="8"/>
      <c r="Z122" s="8"/>
      <c r="AA122" s="8"/>
      <c r="AB122" s="8" t="str">
        <f t="shared" si="10"/>
        <v>AKRH39432P2.0UTE</v>
      </c>
      <c r="AC122" s="8" t="str">
        <f>IF(AB122='Input - Bookings'!S115,"OK","Check")</f>
        <v>Check</v>
      </c>
      <c r="AD122" s="60"/>
      <c r="AE122" s="54"/>
      <c r="AF122" s="54"/>
      <c r="AG122" s="55"/>
      <c r="AH122" s="55"/>
      <c r="AI122" s="8" t="str">
        <f t="array" ref="AI122">XLOOKUP($J122,'AP Plants'!D:D,'AP Plants'!B:B)</f>
        <v>Class 3</v>
      </c>
      <c r="AJ122" s="56"/>
      <c r="AK122" s="56"/>
      <c r="AL122" s="49">
        <v>0.015</v>
      </c>
      <c r="AM122" s="49">
        <f t="array" ref="AM122">XLOOKUP($AI122,Warranty!B:B,Warranty!E:E)</f>
        <v>0.015</v>
      </c>
      <c r="AN122" s="8">
        <f>IF($L122="AUD",VLOOKUP(RIGHT('Wk - Margins'!$J122,3),'AU Freight'!C:G,5,0),0)</f>
        <v>0</v>
      </c>
      <c r="AO122" s="49">
        <f t="shared" si="11"/>
        <v>0</v>
      </c>
      <c r="AP122" s="57">
        <f t="shared" si="12"/>
        <v>0</v>
      </c>
      <c r="AQ122" s="58">
        <f t="shared" si="13"/>
        <v>1</v>
      </c>
      <c r="AR122" s="59">
        <f>IF(L122="AUD",O122*'Currency &amp; Conversion'!$L$7,'Wk - Margins'!O122)</f>
        <v>3235</v>
      </c>
      <c r="AS122" s="59">
        <f>IF(L122="AUD",P122*'Currency &amp; Conversion'!$L$7,'Wk - Margins'!P122)</f>
        <v>2028</v>
      </c>
    </row>
    <row r="123" ht="12.75" hidden="1" customHeight="1">
      <c r="A123" s="42" t="str">
        <f>'Input - Bookings'!A123</f>
        <v>26/06/2023</v>
      </c>
      <c r="B123" s="43" t="str">
        <f t="shared" si="1"/>
        <v>Asia</v>
      </c>
      <c r="C123" s="43" t="str">
        <f t="shared" si="2"/>
        <v>AKR</v>
      </c>
      <c r="D123" s="43" t="str">
        <f>'Input - Bookings'!D123</f>
        <v>A</v>
      </c>
      <c r="E123" s="43" t="str">
        <f>'Input - Bookings'!J123</f>
        <v>KR</v>
      </c>
      <c r="F123" s="44" t="str">
        <f>'Input - Bookings'!F123</f>
        <v>065</v>
      </c>
      <c r="G123" s="44" t="str">
        <f>'Input - Bookings'!I123</f>
        <v>HYSTER KOREA INC.</v>
      </c>
      <c r="H123" s="44" t="str">
        <f>'Input - Bookings'!K123</f>
        <v>H39433</v>
      </c>
      <c r="I123" s="45" t="str">
        <f>VLOOKUP(H123,'Input - Bookings'!$G$2:$H$611,2,0)</f>
        <v>081645</v>
      </c>
      <c r="J123" s="44" t="str">
        <f>'Input - Bookings'!N123</f>
        <v>A3B5</v>
      </c>
      <c r="K123" s="44" t="str">
        <f>'Input - Bookings'!O123</f>
        <v>P2.0UTE</v>
      </c>
      <c r="L123" s="44" t="str">
        <f>'Input - Bookings'!C123</f>
        <v>USD</v>
      </c>
      <c r="M123" s="46" t="str">
        <f t="array" ref="M123">IF(L123="USD",INDEX('AP Plants'!A:A,MATCH(J123,'AP Plants'!D:D,0)),INDEX('Australia Plants'!A:A,MATCH(J123,'Australia Plants'!D:D,0)))</f>
        <v>Ruyi</v>
      </c>
      <c r="N123" s="10">
        <v>1.0</v>
      </c>
      <c r="O123" s="9">
        <v>3235.0</v>
      </c>
      <c r="P123" s="9">
        <v>2028.0</v>
      </c>
      <c r="Q123" s="47">
        <v>0.1552369686268681</v>
      </c>
      <c r="R123" s="48">
        <f t="shared" si="3"/>
        <v>0.3731066461</v>
      </c>
      <c r="S123" s="49">
        <f t="shared" si="4"/>
        <v>0</v>
      </c>
      <c r="T123" s="49">
        <f t="shared" si="21"/>
        <v>0.1552369686</v>
      </c>
      <c r="U123" s="50" t="str">
        <f t="shared" si="6"/>
        <v>AOP</v>
      </c>
      <c r="V123" s="51">
        <f t="shared" si="28"/>
        <v>314.8205724</v>
      </c>
      <c r="W123" s="52">
        <f t="shared" si="8"/>
        <v>314.8205724</v>
      </c>
      <c r="X123" s="9">
        <f t="shared" si="25"/>
        <v>2028</v>
      </c>
      <c r="Y123" s="8"/>
      <c r="Z123" s="8"/>
      <c r="AA123" s="8"/>
      <c r="AB123" s="8" t="str">
        <f t="shared" si="10"/>
        <v>AKRH39433P2.0UTE</v>
      </c>
      <c r="AC123" s="8" t="str">
        <f>IF(AB123='Input - Bookings'!S116,"OK","Check")</f>
        <v>Check</v>
      </c>
      <c r="AD123" s="60"/>
      <c r="AE123" s="54"/>
      <c r="AF123" s="54"/>
      <c r="AG123" s="55"/>
      <c r="AH123" s="62"/>
      <c r="AI123" s="8" t="str">
        <f t="array" ref="AI123">XLOOKUP($J123,'AP Plants'!D:D,'AP Plants'!B:B)</f>
        <v>Class 3</v>
      </c>
      <c r="AJ123" s="56"/>
      <c r="AK123" s="56"/>
      <c r="AL123" s="49">
        <v>0.015</v>
      </c>
      <c r="AM123" s="49">
        <f t="array" ref="AM123">XLOOKUP($AI123,Warranty!B:B,Warranty!E:E)</f>
        <v>0.015</v>
      </c>
      <c r="AN123" s="8">
        <f>IF($L123="AUD",VLOOKUP(RIGHT('Wk - Margins'!$J123,3),'AU Freight'!C:G,5,0),0)</f>
        <v>0</v>
      </c>
      <c r="AO123" s="49">
        <f t="shared" si="11"/>
        <v>0</v>
      </c>
      <c r="AP123" s="57">
        <f t="shared" si="12"/>
        <v>0</v>
      </c>
      <c r="AQ123" s="58">
        <f t="shared" si="13"/>
        <v>1</v>
      </c>
      <c r="AR123" s="59">
        <f>IF(L123="AUD",O123*'Currency &amp; Conversion'!$L$7,'Wk - Margins'!O123)</f>
        <v>3235</v>
      </c>
      <c r="AS123" s="59">
        <f>IF(L123="AUD",P123*'Currency &amp; Conversion'!$L$7,'Wk - Margins'!P123)</f>
        <v>2028</v>
      </c>
    </row>
    <row r="124" ht="12.75" hidden="1" customHeight="1">
      <c r="A124" s="42" t="str">
        <f>'Input - Bookings'!A124</f>
        <v>26/06/2023</v>
      </c>
      <c r="B124" s="43" t="str">
        <f t="shared" si="1"/>
        <v>Asia</v>
      </c>
      <c r="C124" s="43" t="str">
        <f t="shared" si="2"/>
        <v>AKR</v>
      </c>
      <c r="D124" s="43" t="str">
        <f>'Input - Bookings'!D124</f>
        <v>A</v>
      </c>
      <c r="E124" s="43" t="str">
        <f>'Input - Bookings'!J124</f>
        <v>KR</v>
      </c>
      <c r="F124" s="44" t="str">
        <f>'Input - Bookings'!F124</f>
        <v>065</v>
      </c>
      <c r="G124" s="44" t="str">
        <f>'Input - Bookings'!I124</f>
        <v>HYSTER KOREA INC.</v>
      </c>
      <c r="H124" s="44" t="str">
        <f>'Input - Bookings'!K124</f>
        <v>H39434</v>
      </c>
      <c r="I124" s="45" t="str">
        <f>VLOOKUP(H124,'Input - Bookings'!$G$2:$H$611,2,0)</f>
        <v>081645</v>
      </c>
      <c r="J124" s="44" t="str">
        <f>'Input - Bookings'!N124</f>
        <v>A3B5</v>
      </c>
      <c r="K124" s="44" t="str">
        <f>'Input - Bookings'!O124</f>
        <v>P2.0UTE</v>
      </c>
      <c r="L124" s="44" t="str">
        <f>'Input - Bookings'!C124</f>
        <v>USD</v>
      </c>
      <c r="M124" s="46" t="str">
        <f t="array" ref="M124">IF(L124="USD",INDEX('AP Plants'!A:A,MATCH(J124,'AP Plants'!D:D,0)),INDEX('Australia Plants'!A:A,MATCH(J124,'Australia Plants'!D:D,0)))</f>
        <v>Ruyi</v>
      </c>
      <c r="N124" s="10">
        <v>1.0</v>
      </c>
      <c r="O124" s="9">
        <v>3235.0</v>
      </c>
      <c r="P124" s="9">
        <v>2028.0</v>
      </c>
      <c r="Q124" s="47">
        <v>0.1552369686268681</v>
      </c>
      <c r="R124" s="48">
        <f t="shared" si="3"/>
        <v>0.3731066461</v>
      </c>
      <c r="S124" s="49">
        <f t="shared" si="4"/>
        <v>0</v>
      </c>
      <c r="T124" s="49">
        <f t="shared" si="21"/>
        <v>0.1552369686</v>
      </c>
      <c r="U124" s="50" t="str">
        <f t="shared" si="6"/>
        <v>AOP</v>
      </c>
      <c r="V124" s="51">
        <f t="shared" si="28"/>
        <v>314.8205724</v>
      </c>
      <c r="W124" s="52">
        <f t="shared" si="8"/>
        <v>314.8205724</v>
      </c>
      <c r="X124" s="9">
        <f t="shared" si="25"/>
        <v>2028</v>
      </c>
      <c r="Y124" s="8"/>
      <c r="Z124" s="8"/>
      <c r="AA124" s="8"/>
      <c r="AB124" s="8" t="str">
        <f t="shared" si="10"/>
        <v>AKRH39434P2.0UTE</v>
      </c>
      <c r="AC124" s="8" t="str">
        <f>IF(AB124='Input - Bookings'!S117,"OK","Check")</f>
        <v>Check</v>
      </c>
      <c r="AD124" s="60"/>
      <c r="AE124" s="54"/>
      <c r="AF124" s="54"/>
      <c r="AG124" s="55"/>
      <c r="AH124" s="62"/>
      <c r="AI124" s="8" t="str">
        <f t="array" ref="AI124">XLOOKUP($J124,'AP Plants'!D:D,'AP Plants'!B:B)</f>
        <v>Class 3</v>
      </c>
      <c r="AJ124" s="56"/>
      <c r="AK124" s="56"/>
      <c r="AL124" s="49">
        <v>0.015</v>
      </c>
      <c r="AM124" s="49">
        <f t="array" ref="AM124">XLOOKUP($AI124,Warranty!B:B,Warranty!E:E)</f>
        <v>0.015</v>
      </c>
      <c r="AN124" s="8">
        <f>IF($L124="AUD",VLOOKUP(RIGHT('Wk - Margins'!$J124,3),'AU Freight'!C:G,5,0),0)</f>
        <v>0</v>
      </c>
      <c r="AO124" s="49">
        <f t="shared" si="11"/>
        <v>0</v>
      </c>
      <c r="AP124" s="57">
        <f t="shared" si="12"/>
        <v>0</v>
      </c>
      <c r="AQ124" s="58">
        <f t="shared" si="13"/>
        <v>1</v>
      </c>
      <c r="AR124" s="59">
        <f>IF(L124="AUD",O124*'Currency &amp; Conversion'!$L$7,'Wk - Margins'!O124)</f>
        <v>3235</v>
      </c>
      <c r="AS124" s="59">
        <f>IF(L124="AUD",P124*'Currency &amp; Conversion'!$L$7,'Wk - Margins'!P124)</f>
        <v>2028</v>
      </c>
    </row>
    <row r="125" ht="12.75" hidden="1" customHeight="1">
      <c r="A125" s="42" t="str">
        <f>'Input - Bookings'!A125</f>
        <v>26/06/2023</v>
      </c>
      <c r="B125" s="43" t="str">
        <f t="shared" si="1"/>
        <v>Asia</v>
      </c>
      <c r="C125" s="43" t="str">
        <f t="shared" si="2"/>
        <v>AKR</v>
      </c>
      <c r="D125" s="43" t="str">
        <f>'Input - Bookings'!D125</f>
        <v>A</v>
      </c>
      <c r="E125" s="43" t="str">
        <f>'Input - Bookings'!J125</f>
        <v>KR</v>
      </c>
      <c r="F125" s="44" t="str">
        <f>'Input - Bookings'!F125</f>
        <v>065</v>
      </c>
      <c r="G125" s="44" t="str">
        <f>'Input - Bookings'!I125</f>
        <v>HYSTER KOREA INC.</v>
      </c>
      <c r="H125" s="44" t="str">
        <f>'Input - Bookings'!K125</f>
        <v>H39435</v>
      </c>
      <c r="I125" s="45" t="str">
        <f>VLOOKUP(H125,'Input - Bookings'!$G$2:$H$611,2,0)</f>
        <v>081645</v>
      </c>
      <c r="J125" s="44" t="str">
        <f>'Input - Bookings'!N125</f>
        <v>A3B5</v>
      </c>
      <c r="K125" s="44" t="str">
        <f>'Input - Bookings'!O125</f>
        <v>P2.0UTE</v>
      </c>
      <c r="L125" s="44" t="str">
        <f>'Input - Bookings'!C125</f>
        <v>USD</v>
      </c>
      <c r="M125" s="46" t="str">
        <f t="array" ref="M125">IF(L125="USD",INDEX('AP Plants'!A:A,MATCH(J125,'AP Plants'!D:D,0)),INDEX('Australia Plants'!A:A,MATCH(J125,'Australia Plants'!D:D,0)))</f>
        <v>Ruyi</v>
      </c>
      <c r="N125" s="10">
        <v>1.0</v>
      </c>
      <c r="O125" s="9">
        <v>3235.0</v>
      </c>
      <c r="P125" s="9">
        <v>2028.0</v>
      </c>
      <c r="Q125" s="47">
        <v>0.1552369686268681</v>
      </c>
      <c r="R125" s="48">
        <f t="shared" si="3"/>
        <v>0.3731066461</v>
      </c>
      <c r="S125" s="49">
        <f t="shared" si="4"/>
        <v>0</v>
      </c>
      <c r="T125" s="49">
        <f t="shared" si="21"/>
        <v>0.1552369686</v>
      </c>
      <c r="U125" s="50" t="str">
        <f t="shared" si="6"/>
        <v>AOP</v>
      </c>
      <c r="V125" s="51">
        <f t="shared" si="28"/>
        <v>314.8205724</v>
      </c>
      <c r="W125" s="52">
        <f t="shared" si="8"/>
        <v>314.8205724</v>
      </c>
      <c r="X125" s="9">
        <f t="shared" si="25"/>
        <v>2028</v>
      </c>
      <c r="Y125" s="8"/>
      <c r="Z125" s="8"/>
      <c r="AA125" s="8"/>
      <c r="AB125" s="8" t="str">
        <f t="shared" si="10"/>
        <v>AKRH39435P2.0UTE</v>
      </c>
      <c r="AC125" s="8" t="str">
        <f>IF(AB125='Input - Bookings'!S118,"OK","Check")</f>
        <v>Check</v>
      </c>
      <c r="AD125" s="53"/>
      <c r="AE125" s="54"/>
      <c r="AF125" s="54"/>
      <c r="AG125" s="55"/>
      <c r="AH125" s="62"/>
      <c r="AI125" s="8" t="str">
        <f t="array" ref="AI125">XLOOKUP($J125,'AP Plants'!D:D,'AP Plants'!B:B)</f>
        <v>Class 3</v>
      </c>
      <c r="AJ125" s="56"/>
      <c r="AK125" s="56"/>
      <c r="AL125" s="49">
        <v>0.015</v>
      </c>
      <c r="AM125" s="49">
        <f t="array" ref="AM125">XLOOKUP($AI125,Warranty!B:B,Warranty!E:E)</f>
        <v>0.015</v>
      </c>
      <c r="AN125" s="8">
        <f>IF($L125="AUD",VLOOKUP(RIGHT('Wk - Margins'!$J125,3),'AU Freight'!C:G,5,0),0)</f>
        <v>0</v>
      </c>
      <c r="AO125" s="49">
        <f t="shared" si="11"/>
        <v>0</v>
      </c>
      <c r="AP125" s="57">
        <f t="shared" si="12"/>
        <v>0</v>
      </c>
      <c r="AQ125" s="58">
        <f t="shared" si="13"/>
        <v>1</v>
      </c>
      <c r="AR125" s="59">
        <f>IF(L125="AUD",O125*'Currency &amp; Conversion'!$L$7,'Wk - Margins'!O125)</f>
        <v>3235</v>
      </c>
      <c r="AS125" s="59">
        <f>IF(L125="AUD",P125*'Currency &amp; Conversion'!$L$7,'Wk - Margins'!P125)</f>
        <v>2028</v>
      </c>
    </row>
    <row r="126" ht="12.75" hidden="1" customHeight="1">
      <c r="A126" s="42" t="str">
        <f>'Input - Bookings'!A126</f>
        <v>26/06/2023</v>
      </c>
      <c r="B126" s="43" t="str">
        <f t="shared" si="1"/>
        <v>Asia</v>
      </c>
      <c r="C126" s="43" t="str">
        <f t="shared" si="2"/>
        <v>AKR</v>
      </c>
      <c r="D126" s="43" t="str">
        <f>'Input - Bookings'!D126</f>
        <v>A</v>
      </c>
      <c r="E126" s="43" t="str">
        <f>'Input - Bookings'!J126</f>
        <v>KR</v>
      </c>
      <c r="F126" s="44" t="str">
        <f>'Input - Bookings'!F126</f>
        <v>065</v>
      </c>
      <c r="G126" s="44" t="str">
        <f>'Input - Bookings'!I126</f>
        <v>HYSTER KOREA INC.</v>
      </c>
      <c r="H126" s="44" t="str">
        <f>'Input - Bookings'!K126</f>
        <v>H39436</v>
      </c>
      <c r="I126" s="45" t="str">
        <f>VLOOKUP(H126,'Input - Bookings'!$G$2:$H$611,2,0)</f>
        <v>081645</v>
      </c>
      <c r="J126" s="44" t="str">
        <f>'Input - Bookings'!N126</f>
        <v>A3B5</v>
      </c>
      <c r="K126" s="44" t="str">
        <f>'Input - Bookings'!O126</f>
        <v>P2.0UTE</v>
      </c>
      <c r="L126" s="44" t="str">
        <f>'Input - Bookings'!C126</f>
        <v>USD</v>
      </c>
      <c r="M126" s="46" t="str">
        <f t="array" ref="M126">IF(L126="USD",INDEX('AP Plants'!A:A,MATCH(J126,'AP Plants'!D:D,0)),INDEX('Australia Plants'!A:A,MATCH(J126,'Australia Plants'!D:D,0)))</f>
        <v>Ruyi</v>
      </c>
      <c r="N126" s="10">
        <v>1.0</v>
      </c>
      <c r="O126" s="9">
        <v>3235.0</v>
      </c>
      <c r="P126" s="9">
        <v>2028.0</v>
      </c>
      <c r="Q126" s="47">
        <v>0.1552369686268681</v>
      </c>
      <c r="R126" s="48">
        <f t="shared" si="3"/>
        <v>0.3731066461</v>
      </c>
      <c r="S126" s="49">
        <f t="shared" si="4"/>
        <v>0</v>
      </c>
      <c r="T126" s="49">
        <f t="shared" si="21"/>
        <v>0.1552369686</v>
      </c>
      <c r="U126" s="50" t="str">
        <f t="shared" si="6"/>
        <v>AOP</v>
      </c>
      <c r="V126" s="51">
        <f t="shared" si="28"/>
        <v>314.8205724</v>
      </c>
      <c r="W126" s="52">
        <f t="shared" si="8"/>
        <v>314.8205724</v>
      </c>
      <c r="X126" s="9">
        <f t="shared" si="25"/>
        <v>2028</v>
      </c>
      <c r="Y126" s="8"/>
      <c r="Z126" s="8"/>
      <c r="AA126" s="8"/>
      <c r="AB126" s="8" t="str">
        <f t="shared" si="10"/>
        <v>AKRH39436P2.0UTE</v>
      </c>
      <c r="AC126" s="8" t="str">
        <f>IF(AB126='Input - Bookings'!S119,"OK","Check")</f>
        <v>Check</v>
      </c>
      <c r="AD126" s="53"/>
      <c r="AE126" s="54"/>
      <c r="AF126" s="54"/>
      <c r="AG126" s="55"/>
      <c r="AH126" s="55"/>
      <c r="AI126" s="8" t="str">
        <f t="array" ref="AI126">XLOOKUP($J126,'AP Plants'!D:D,'AP Plants'!B:B)</f>
        <v>Class 3</v>
      </c>
      <c r="AJ126" s="56"/>
      <c r="AK126" s="56"/>
      <c r="AL126" s="49">
        <v>0.015</v>
      </c>
      <c r="AM126" s="49">
        <f t="array" ref="AM126">XLOOKUP($AI126,Warranty!B:B,Warranty!E:E)</f>
        <v>0.015</v>
      </c>
      <c r="AN126" s="8">
        <f>IF($L126="AUD",VLOOKUP(RIGHT('Wk - Margins'!$J126,3),'AU Freight'!C:G,5,0),0)</f>
        <v>0</v>
      </c>
      <c r="AO126" s="49">
        <f t="shared" si="11"/>
        <v>0</v>
      </c>
      <c r="AP126" s="57">
        <f t="shared" si="12"/>
        <v>0</v>
      </c>
      <c r="AQ126" s="58">
        <f t="shared" si="13"/>
        <v>1</v>
      </c>
      <c r="AR126" s="59">
        <f>IF(L126="AUD",O126*'Currency &amp; Conversion'!$L$7,'Wk - Margins'!O126)</f>
        <v>3235</v>
      </c>
      <c r="AS126" s="59">
        <f>IF(L126="AUD",P126*'Currency &amp; Conversion'!$L$7,'Wk - Margins'!P126)</f>
        <v>2028</v>
      </c>
    </row>
    <row r="127" ht="12.75" hidden="1" customHeight="1">
      <c r="A127" s="42" t="str">
        <f>'Input - Bookings'!A127</f>
        <v>26/06/2023</v>
      </c>
      <c r="B127" s="43" t="str">
        <f t="shared" si="1"/>
        <v>Asia</v>
      </c>
      <c r="C127" s="43" t="str">
        <f t="shared" si="2"/>
        <v>AKR</v>
      </c>
      <c r="D127" s="43" t="str">
        <f>'Input - Bookings'!D127</f>
        <v>A</v>
      </c>
      <c r="E127" s="43" t="str">
        <f>'Input - Bookings'!J127</f>
        <v>KR</v>
      </c>
      <c r="F127" s="44" t="str">
        <f>'Input - Bookings'!F127</f>
        <v>065</v>
      </c>
      <c r="G127" s="44" t="str">
        <f>'Input - Bookings'!I127</f>
        <v>HYSTER KOREA INC.</v>
      </c>
      <c r="H127" s="44" t="str">
        <f>'Input - Bookings'!K127</f>
        <v>H39437</v>
      </c>
      <c r="I127" s="45" t="str">
        <f>VLOOKUP(H127,'Input - Bookings'!$G$2:$H$611,2,0)</f>
        <v>081645</v>
      </c>
      <c r="J127" s="44" t="str">
        <f>'Input - Bookings'!N127</f>
        <v>A3B5</v>
      </c>
      <c r="K127" s="44" t="str">
        <f>'Input - Bookings'!O127</f>
        <v>P2.0UTE</v>
      </c>
      <c r="L127" s="44" t="str">
        <f>'Input - Bookings'!C127</f>
        <v>USD</v>
      </c>
      <c r="M127" s="46" t="str">
        <f t="array" ref="M127">IF(L127="USD",INDEX('AP Plants'!A:A,MATCH(J127,'AP Plants'!D:D,0)),INDEX('Australia Plants'!A:A,MATCH(J127,'Australia Plants'!D:D,0)))</f>
        <v>Ruyi</v>
      </c>
      <c r="N127" s="10">
        <v>1.0</v>
      </c>
      <c r="O127" s="9">
        <v>3235.0</v>
      </c>
      <c r="P127" s="9">
        <v>2028.0</v>
      </c>
      <c r="Q127" s="47">
        <v>0.1552369686268681</v>
      </c>
      <c r="R127" s="48">
        <f t="shared" si="3"/>
        <v>0.3731066461</v>
      </c>
      <c r="S127" s="49">
        <f t="shared" si="4"/>
        <v>0</v>
      </c>
      <c r="T127" s="49">
        <f t="shared" si="21"/>
        <v>0.1552369686</v>
      </c>
      <c r="U127" s="50" t="str">
        <f t="shared" si="6"/>
        <v>AOP</v>
      </c>
      <c r="V127" s="51">
        <f t="shared" si="28"/>
        <v>314.8205724</v>
      </c>
      <c r="W127" s="52">
        <f t="shared" si="8"/>
        <v>314.8205724</v>
      </c>
      <c r="X127" s="9">
        <f t="shared" si="25"/>
        <v>2028</v>
      </c>
      <c r="Y127" s="8"/>
      <c r="Z127" s="8"/>
      <c r="AA127" s="8"/>
      <c r="AB127" s="8" t="str">
        <f t="shared" si="10"/>
        <v>AKRH39437P2.0UTE</v>
      </c>
      <c r="AC127" s="8" t="str">
        <f>IF(AB127='Input - Bookings'!S120,"OK","Check")</f>
        <v>Check</v>
      </c>
      <c r="AD127" s="53"/>
      <c r="AE127" s="54"/>
      <c r="AF127" s="54"/>
      <c r="AG127" s="55"/>
      <c r="AH127" s="55"/>
      <c r="AI127" s="8" t="str">
        <f t="array" ref="AI127">XLOOKUP($J127,'AP Plants'!D:D,'AP Plants'!B:B)</f>
        <v>Class 3</v>
      </c>
      <c r="AJ127" s="56"/>
      <c r="AK127" s="56"/>
      <c r="AL127" s="49">
        <v>0.015</v>
      </c>
      <c r="AM127" s="49">
        <f t="array" ref="AM127">XLOOKUP($AI127,Warranty!B:B,Warranty!E:E)</f>
        <v>0.015</v>
      </c>
      <c r="AN127" s="8">
        <f>IF($L127="AUD",VLOOKUP(RIGHT('Wk - Margins'!$J127,3),'AU Freight'!C:G,5,0),0)</f>
        <v>0</v>
      </c>
      <c r="AO127" s="49">
        <f t="shared" si="11"/>
        <v>0</v>
      </c>
      <c r="AP127" s="57">
        <f t="shared" si="12"/>
        <v>0</v>
      </c>
      <c r="AQ127" s="58">
        <f t="shared" si="13"/>
        <v>1</v>
      </c>
      <c r="AR127" s="59">
        <f>IF(L127="AUD",O127*'Currency &amp; Conversion'!$L$7,'Wk - Margins'!O127)</f>
        <v>3235</v>
      </c>
      <c r="AS127" s="59">
        <f>IF(L127="AUD",P127*'Currency &amp; Conversion'!$L$7,'Wk - Margins'!P127)</f>
        <v>2028</v>
      </c>
    </row>
    <row r="128" ht="12.75" hidden="1" customHeight="1">
      <c r="A128" s="42" t="str">
        <f>'Input - Bookings'!A128</f>
        <v>26/06/2023</v>
      </c>
      <c r="B128" s="43" t="str">
        <f t="shared" si="1"/>
        <v>Asia</v>
      </c>
      <c r="C128" s="43" t="str">
        <f t="shared" si="2"/>
        <v>AKR</v>
      </c>
      <c r="D128" s="43" t="str">
        <f>'Input - Bookings'!D128</f>
        <v>A</v>
      </c>
      <c r="E128" s="43" t="str">
        <f>'Input - Bookings'!J128</f>
        <v>KR</v>
      </c>
      <c r="F128" s="44" t="str">
        <f>'Input - Bookings'!F128</f>
        <v>065</v>
      </c>
      <c r="G128" s="44" t="str">
        <f>'Input - Bookings'!I128</f>
        <v>HYSTER KOREA INC.</v>
      </c>
      <c r="H128" s="44" t="str">
        <f>'Input - Bookings'!K128</f>
        <v>H39438</v>
      </c>
      <c r="I128" s="45" t="str">
        <f>VLOOKUP(H128,'Input - Bookings'!$G$2:$H$611,2,0)</f>
        <v>081645</v>
      </c>
      <c r="J128" s="44" t="str">
        <f>'Input - Bookings'!N128</f>
        <v>A3B5</v>
      </c>
      <c r="K128" s="44" t="str">
        <f>'Input - Bookings'!O128</f>
        <v>P2.0UTE</v>
      </c>
      <c r="L128" s="44" t="str">
        <f>'Input - Bookings'!C128</f>
        <v>USD</v>
      </c>
      <c r="M128" s="46" t="str">
        <f t="array" ref="M128">IF(L128="USD",INDEX('AP Plants'!A:A,MATCH(J128,'AP Plants'!D:D,0)),INDEX('Australia Plants'!A:A,MATCH(J128,'Australia Plants'!D:D,0)))</f>
        <v>Ruyi</v>
      </c>
      <c r="N128" s="10">
        <v>1.0</v>
      </c>
      <c r="O128" s="9">
        <v>3235.0</v>
      </c>
      <c r="P128" s="9">
        <v>2028.0</v>
      </c>
      <c r="Q128" s="47">
        <v>0.1552369686268681</v>
      </c>
      <c r="R128" s="48">
        <f t="shared" si="3"/>
        <v>0.3731066461</v>
      </c>
      <c r="S128" s="49">
        <f t="shared" si="4"/>
        <v>0</v>
      </c>
      <c r="T128" s="49">
        <f t="shared" si="21"/>
        <v>0.1552369686</v>
      </c>
      <c r="U128" s="50" t="str">
        <f t="shared" si="6"/>
        <v>AOP</v>
      </c>
      <c r="V128" s="51">
        <f t="shared" si="28"/>
        <v>314.8205724</v>
      </c>
      <c r="W128" s="52">
        <f t="shared" si="8"/>
        <v>314.8205724</v>
      </c>
      <c r="X128" s="9">
        <f t="shared" si="25"/>
        <v>2028</v>
      </c>
      <c r="Y128" s="8"/>
      <c r="Z128" s="8"/>
      <c r="AA128" s="8"/>
      <c r="AB128" s="8" t="str">
        <f t="shared" si="10"/>
        <v>AKRH39438P2.0UTE</v>
      </c>
      <c r="AC128" s="8" t="str">
        <f>IF(AB128='Input - Bookings'!S121,"OK","Check")</f>
        <v>Check</v>
      </c>
      <c r="AD128" s="53"/>
      <c r="AE128" s="54"/>
      <c r="AF128" s="54"/>
      <c r="AG128" s="55"/>
      <c r="AH128" s="55"/>
      <c r="AI128" s="8" t="str">
        <f t="array" ref="AI128">XLOOKUP($J128,'AP Plants'!D:D,'AP Plants'!B:B)</f>
        <v>Class 3</v>
      </c>
      <c r="AJ128" s="56"/>
      <c r="AK128" s="56"/>
      <c r="AL128" s="49">
        <v>0.015</v>
      </c>
      <c r="AM128" s="49">
        <f t="array" ref="AM128">XLOOKUP($AI128,Warranty!B:B,Warranty!E:E)</f>
        <v>0.015</v>
      </c>
      <c r="AN128" s="8">
        <f>IF($L128="AUD",VLOOKUP(RIGHT('Wk - Margins'!$J128,3),'AU Freight'!C:G,5,0),0)</f>
        <v>0</v>
      </c>
      <c r="AO128" s="49">
        <f t="shared" si="11"/>
        <v>0</v>
      </c>
      <c r="AP128" s="57">
        <f t="shared" si="12"/>
        <v>0</v>
      </c>
      <c r="AQ128" s="58">
        <f t="shared" si="13"/>
        <v>1</v>
      </c>
      <c r="AR128" s="59">
        <f>IF(L128="AUD",O128*'Currency &amp; Conversion'!$L$7,'Wk - Margins'!O128)</f>
        <v>3235</v>
      </c>
      <c r="AS128" s="59">
        <f>IF(L128="AUD",P128*'Currency &amp; Conversion'!$L$7,'Wk - Margins'!P128)</f>
        <v>2028</v>
      </c>
    </row>
    <row r="129" ht="12.75" hidden="1" customHeight="1">
      <c r="A129" s="42" t="str">
        <f>'Input - Bookings'!A129</f>
        <v>26/06/2023</v>
      </c>
      <c r="B129" s="43" t="str">
        <f t="shared" si="1"/>
        <v>Asia</v>
      </c>
      <c r="C129" s="43" t="str">
        <f t="shared" si="2"/>
        <v>AKR</v>
      </c>
      <c r="D129" s="43" t="str">
        <f>'Input - Bookings'!D129</f>
        <v>A</v>
      </c>
      <c r="E129" s="43" t="str">
        <f>'Input - Bookings'!J129</f>
        <v>KR</v>
      </c>
      <c r="F129" s="44" t="str">
        <f>'Input - Bookings'!F129</f>
        <v>065</v>
      </c>
      <c r="G129" s="44" t="str">
        <f>'Input - Bookings'!I129</f>
        <v>HYSTER KOREA INC.</v>
      </c>
      <c r="H129" s="44" t="str">
        <f>'Input - Bookings'!K129</f>
        <v>H39439</v>
      </c>
      <c r="I129" s="45" t="str">
        <f>VLOOKUP(H129,'Input - Bookings'!$G$2:$H$611,2,0)</f>
        <v>081645</v>
      </c>
      <c r="J129" s="44" t="str">
        <f>'Input - Bookings'!N129</f>
        <v>A3B5</v>
      </c>
      <c r="K129" s="44" t="str">
        <f>'Input - Bookings'!O129</f>
        <v>P2.0UTE</v>
      </c>
      <c r="L129" s="44" t="str">
        <f>'Input - Bookings'!C129</f>
        <v>USD</v>
      </c>
      <c r="M129" s="46" t="str">
        <f t="array" ref="M129">IF(L129="USD",INDEX('AP Plants'!A:A,MATCH(J129,'AP Plants'!D:D,0)),INDEX('Australia Plants'!A:A,MATCH(J129,'Australia Plants'!D:D,0)))</f>
        <v>Ruyi</v>
      </c>
      <c r="N129" s="10">
        <v>1.0</v>
      </c>
      <c r="O129" s="9">
        <v>3235.0</v>
      </c>
      <c r="P129" s="9">
        <v>2028.0</v>
      </c>
      <c r="Q129" s="47">
        <v>0.1552369686268681</v>
      </c>
      <c r="R129" s="48">
        <f t="shared" si="3"/>
        <v>0.3731066461</v>
      </c>
      <c r="S129" s="49">
        <f t="shared" si="4"/>
        <v>0</v>
      </c>
      <c r="T129" s="49">
        <f t="shared" si="21"/>
        <v>0.1552369686</v>
      </c>
      <c r="U129" s="50" t="str">
        <f t="shared" si="6"/>
        <v>AOP</v>
      </c>
      <c r="V129" s="51">
        <f t="shared" si="28"/>
        <v>314.8205724</v>
      </c>
      <c r="W129" s="52">
        <f t="shared" si="8"/>
        <v>314.8205724</v>
      </c>
      <c r="X129" s="9">
        <f t="shared" si="25"/>
        <v>2028</v>
      </c>
      <c r="Y129" s="8"/>
      <c r="Z129" s="8"/>
      <c r="AA129" s="8"/>
      <c r="AB129" s="8" t="str">
        <f t="shared" si="10"/>
        <v>AKRH39439P2.0UTE</v>
      </c>
      <c r="AC129" s="8" t="str">
        <f>IF(AB129='Input - Bookings'!S122,"OK","Check")</f>
        <v>Check</v>
      </c>
      <c r="AD129" s="53"/>
      <c r="AE129" s="54"/>
      <c r="AF129" s="54"/>
      <c r="AG129" s="55"/>
      <c r="AH129" s="62"/>
      <c r="AI129" s="8" t="str">
        <f t="array" ref="AI129">XLOOKUP($J129,'AP Plants'!D:D,'AP Plants'!B:B)</f>
        <v>Class 3</v>
      </c>
      <c r="AJ129" s="56"/>
      <c r="AK129" s="56"/>
      <c r="AL129" s="49">
        <v>0.015</v>
      </c>
      <c r="AM129" s="49">
        <f t="array" ref="AM129">XLOOKUP($AI129,Warranty!B:B,Warranty!E:E)</f>
        <v>0.015</v>
      </c>
      <c r="AN129" s="8">
        <f>IF($L129="AUD",VLOOKUP(RIGHT('Wk - Margins'!$J129,3),'AU Freight'!C:G,5,0),0)</f>
        <v>0</v>
      </c>
      <c r="AO129" s="49">
        <f t="shared" si="11"/>
        <v>0</v>
      </c>
      <c r="AP129" s="57">
        <f t="shared" si="12"/>
        <v>0</v>
      </c>
      <c r="AQ129" s="58">
        <f t="shared" si="13"/>
        <v>1</v>
      </c>
      <c r="AR129" s="59">
        <f>IF(L129="AUD",O129*'Currency &amp; Conversion'!$L$7,'Wk - Margins'!O129)</f>
        <v>3235</v>
      </c>
      <c r="AS129" s="59">
        <f>IF(L129="AUD",P129*'Currency &amp; Conversion'!$L$7,'Wk - Margins'!P129)</f>
        <v>2028</v>
      </c>
    </row>
    <row r="130" ht="12.75" hidden="1" customHeight="1">
      <c r="A130" s="42" t="str">
        <f>'Input - Bookings'!A130</f>
        <v>26/06/2023</v>
      </c>
      <c r="B130" s="43" t="str">
        <f t="shared" si="1"/>
        <v>Asia</v>
      </c>
      <c r="C130" s="43" t="str">
        <f t="shared" si="2"/>
        <v>AKR</v>
      </c>
      <c r="D130" s="43" t="str">
        <f>'Input - Bookings'!D130</f>
        <v>A</v>
      </c>
      <c r="E130" s="43" t="str">
        <f>'Input - Bookings'!J130</f>
        <v>KR</v>
      </c>
      <c r="F130" s="44" t="str">
        <f>'Input - Bookings'!F130</f>
        <v>065</v>
      </c>
      <c r="G130" s="44" t="str">
        <f>'Input - Bookings'!I130</f>
        <v>HYSTER KOREA INC.</v>
      </c>
      <c r="H130" s="44" t="str">
        <f>'Input - Bookings'!K130</f>
        <v>H39440</v>
      </c>
      <c r="I130" s="45" t="str">
        <f>VLOOKUP(H130,'Input - Bookings'!$G$2:$H$611,2,0)</f>
        <v>081645</v>
      </c>
      <c r="J130" s="44" t="str">
        <f>'Input - Bookings'!N130</f>
        <v>A3B5</v>
      </c>
      <c r="K130" s="44" t="str">
        <f>'Input - Bookings'!O130</f>
        <v>P2.0UTE</v>
      </c>
      <c r="L130" s="44" t="str">
        <f>'Input - Bookings'!C130</f>
        <v>USD</v>
      </c>
      <c r="M130" s="46" t="str">
        <f t="array" ref="M130">IF(L130="USD",INDEX('AP Plants'!A:A,MATCH(J130,'AP Plants'!D:D,0)),INDEX('Australia Plants'!A:A,MATCH(J130,'Australia Plants'!D:D,0)))</f>
        <v>Ruyi</v>
      </c>
      <c r="N130" s="10">
        <v>1.0</v>
      </c>
      <c r="O130" s="9">
        <v>3235.0</v>
      </c>
      <c r="P130" s="9">
        <v>2028.0</v>
      </c>
      <c r="Q130" s="47">
        <v>0.1552369686268681</v>
      </c>
      <c r="R130" s="48">
        <f t="shared" si="3"/>
        <v>0.3731066461</v>
      </c>
      <c r="S130" s="49">
        <f t="shared" si="4"/>
        <v>0</v>
      </c>
      <c r="T130" s="49">
        <f t="shared" si="21"/>
        <v>0.1552369686</v>
      </c>
      <c r="U130" s="50" t="str">
        <f t="shared" si="6"/>
        <v>AOP</v>
      </c>
      <c r="V130" s="51">
        <f t="shared" si="28"/>
        <v>314.8205724</v>
      </c>
      <c r="W130" s="52">
        <f t="shared" si="8"/>
        <v>314.8205724</v>
      </c>
      <c r="X130" s="9">
        <f t="shared" si="25"/>
        <v>2028</v>
      </c>
      <c r="Y130" s="8"/>
      <c r="Z130" s="8"/>
      <c r="AA130" s="8"/>
      <c r="AB130" s="8" t="str">
        <f t="shared" si="10"/>
        <v>AKRH39440P2.0UTE</v>
      </c>
      <c r="AC130" s="8" t="str">
        <f>IF(AB130='Input - Bookings'!S123,"OK","Check")</f>
        <v>Check</v>
      </c>
      <c r="AD130" s="53"/>
      <c r="AE130" s="54"/>
      <c r="AF130" s="54"/>
      <c r="AG130" s="55"/>
      <c r="AH130" s="62"/>
      <c r="AI130" s="8" t="str">
        <f t="array" ref="AI130">XLOOKUP($J130,'AP Plants'!D:D,'AP Plants'!B:B)</f>
        <v>Class 3</v>
      </c>
      <c r="AJ130" s="56"/>
      <c r="AK130" s="56"/>
      <c r="AL130" s="49">
        <v>0.015</v>
      </c>
      <c r="AM130" s="49">
        <f t="array" ref="AM130">XLOOKUP($AI130,Warranty!B:B,Warranty!E:E)</f>
        <v>0.015</v>
      </c>
      <c r="AN130" s="8">
        <f>IF($L130="AUD",VLOOKUP(RIGHT('Wk - Margins'!$J130,3),'AU Freight'!C:G,5,0),0)</f>
        <v>0</v>
      </c>
      <c r="AO130" s="49">
        <f t="shared" si="11"/>
        <v>0</v>
      </c>
      <c r="AP130" s="57">
        <f t="shared" si="12"/>
        <v>0</v>
      </c>
      <c r="AQ130" s="58">
        <f t="shared" si="13"/>
        <v>1</v>
      </c>
      <c r="AR130" s="59">
        <f>IF(L130="AUD",O130*'Currency &amp; Conversion'!$L$7,'Wk - Margins'!O130)</f>
        <v>3235</v>
      </c>
      <c r="AS130" s="59">
        <f>IF(L130="AUD",P130*'Currency &amp; Conversion'!$L$7,'Wk - Margins'!P130)</f>
        <v>2028</v>
      </c>
    </row>
    <row r="131" ht="12.75" hidden="1" customHeight="1">
      <c r="A131" s="42" t="str">
        <f>'Input - Bookings'!A131</f>
        <v>26/06/2023</v>
      </c>
      <c r="B131" s="43" t="str">
        <f t="shared" si="1"/>
        <v>Asia</v>
      </c>
      <c r="C131" s="43" t="str">
        <f t="shared" si="2"/>
        <v>AKR</v>
      </c>
      <c r="D131" s="43" t="str">
        <f>'Input - Bookings'!D131</f>
        <v>A</v>
      </c>
      <c r="E131" s="43" t="str">
        <f>'Input - Bookings'!J131</f>
        <v>KR</v>
      </c>
      <c r="F131" s="44" t="str">
        <f>'Input - Bookings'!F131</f>
        <v>065</v>
      </c>
      <c r="G131" s="44" t="str">
        <f>'Input - Bookings'!I131</f>
        <v>HYSTER KOREA INC.</v>
      </c>
      <c r="H131" s="44" t="str">
        <f>'Input - Bookings'!K131</f>
        <v>H39441</v>
      </c>
      <c r="I131" s="45" t="str">
        <f>VLOOKUP(H131,'Input - Bookings'!$G$2:$H$611,2,0)</f>
        <v>081645</v>
      </c>
      <c r="J131" s="44" t="str">
        <f>'Input - Bookings'!N131</f>
        <v>A3B5</v>
      </c>
      <c r="K131" s="44" t="str">
        <f>'Input - Bookings'!O131</f>
        <v>P2.0UTE</v>
      </c>
      <c r="L131" s="44" t="str">
        <f>'Input - Bookings'!C131</f>
        <v>USD</v>
      </c>
      <c r="M131" s="46" t="str">
        <f t="array" ref="M131">IF(L131="USD",INDEX('AP Plants'!A:A,MATCH(J131,'AP Plants'!D:D,0)),INDEX('Australia Plants'!A:A,MATCH(J131,'Australia Plants'!D:D,0)))</f>
        <v>Ruyi</v>
      </c>
      <c r="N131" s="10">
        <v>1.0</v>
      </c>
      <c r="O131" s="9">
        <v>3235.0</v>
      </c>
      <c r="P131" s="9">
        <v>2028.0</v>
      </c>
      <c r="Q131" s="47">
        <v>0.1552369686268681</v>
      </c>
      <c r="R131" s="48">
        <f t="shared" si="3"/>
        <v>0.3731066461</v>
      </c>
      <c r="S131" s="49">
        <f t="shared" si="4"/>
        <v>0</v>
      </c>
      <c r="T131" s="49">
        <f t="shared" si="21"/>
        <v>0.1552369686</v>
      </c>
      <c r="U131" s="50" t="str">
        <f t="shared" si="6"/>
        <v>AOP</v>
      </c>
      <c r="V131" s="51">
        <f t="shared" si="28"/>
        <v>314.8205724</v>
      </c>
      <c r="W131" s="52">
        <f t="shared" si="8"/>
        <v>314.8205724</v>
      </c>
      <c r="X131" s="9">
        <f t="shared" si="25"/>
        <v>2028</v>
      </c>
      <c r="Y131" s="8"/>
      <c r="Z131" s="8"/>
      <c r="AA131" s="8"/>
      <c r="AB131" s="8" t="str">
        <f t="shared" si="10"/>
        <v>AKRH39441P2.0UTE</v>
      </c>
      <c r="AC131" s="8" t="str">
        <f>IF(AB131='Input - Bookings'!S124,"OK","Check")</f>
        <v>Check</v>
      </c>
      <c r="AD131" s="53"/>
      <c r="AE131" s="54"/>
      <c r="AF131" s="54"/>
      <c r="AG131" s="55"/>
      <c r="AH131" s="55"/>
      <c r="AI131" s="8" t="str">
        <f t="array" ref="AI131">XLOOKUP($J131,'AP Plants'!D:D,'AP Plants'!B:B)</f>
        <v>Class 3</v>
      </c>
      <c r="AJ131" s="56"/>
      <c r="AK131" s="56"/>
      <c r="AL131" s="49">
        <v>0.015</v>
      </c>
      <c r="AM131" s="49">
        <f t="array" ref="AM131">XLOOKUP($AI131,Warranty!B:B,Warranty!E:E)</f>
        <v>0.015</v>
      </c>
      <c r="AN131" s="8">
        <f>IF($L131="AUD",VLOOKUP(RIGHT('Wk - Margins'!$J131,3),'AU Freight'!C:G,5,0),0)</f>
        <v>0</v>
      </c>
      <c r="AO131" s="49">
        <f t="shared" si="11"/>
        <v>0</v>
      </c>
      <c r="AP131" s="57">
        <f t="shared" si="12"/>
        <v>0</v>
      </c>
      <c r="AQ131" s="58">
        <f t="shared" si="13"/>
        <v>1</v>
      </c>
      <c r="AR131" s="59">
        <f>IF(L131="AUD",O131*'Currency &amp; Conversion'!$L$7,'Wk - Margins'!O131)</f>
        <v>3235</v>
      </c>
      <c r="AS131" s="59">
        <f>IF(L131="AUD",P131*'Currency &amp; Conversion'!$L$7,'Wk - Margins'!P131)</f>
        <v>2028</v>
      </c>
    </row>
    <row r="132" ht="12.75" hidden="1" customHeight="1">
      <c r="A132" s="42" t="str">
        <f>'Input - Bookings'!A132</f>
        <v>26/06/2023</v>
      </c>
      <c r="B132" s="43" t="str">
        <f t="shared" si="1"/>
        <v>Asia</v>
      </c>
      <c r="C132" s="43" t="str">
        <f t="shared" si="2"/>
        <v>AKR</v>
      </c>
      <c r="D132" s="43" t="str">
        <f>'Input - Bookings'!D132</f>
        <v>A</v>
      </c>
      <c r="E132" s="43" t="str">
        <f>'Input - Bookings'!J132</f>
        <v>KR</v>
      </c>
      <c r="F132" s="44" t="str">
        <f>'Input - Bookings'!F132</f>
        <v>065</v>
      </c>
      <c r="G132" s="44" t="str">
        <f>'Input - Bookings'!I132</f>
        <v>HYSTER KOREA INC.</v>
      </c>
      <c r="H132" s="44" t="str">
        <f>'Input - Bookings'!K132</f>
        <v>H39442</v>
      </c>
      <c r="I132" s="45" t="str">
        <f>VLOOKUP(H132,'Input - Bookings'!$G$2:$H$611,2,0)</f>
        <v>081645</v>
      </c>
      <c r="J132" s="44" t="str">
        <f>'Input - Bookings'!N132</f>
        <v>A3B5</v>
      </c>
      <c r="K132" s="44" t="str">
        <f>'Input - Bookings'!O132</f>
        <v>P2.0UTE</v>
      </c>
      <c r="L132" s="44" t="str">
        <f>'Input - Bookings'!C132</f>
        <v>USD</v>
      </c>
      <c r="M132" s="46" t="str">
        <f t="array" ref="M132">IF(L132="USD",INDEX('AP Plants'!A:A,MATCH(J132,'AP Plants'!D:D,0)),INDEX('Australia Plants'!A:A,MATCH(J132,'Australia Plants'!D:D,0)))</f>
        <v>Ruyi</v>
      </c>
      <c r="N132" s="10">
        <v>1.0</v>
      </c>
      <c r="O132" s="9">
        <v>3235.0</v>
      </c>
      <c r="P132" s="9">
        <v>2028.0</v>
      </c>
      <c r="Q132" s="47">
        <v>0.1552369686268681</v>
      </c>
      <c r="R132" s="48">
        <f t="shared" si="3"/>
        <v>0.3731066461</v>
      </c>
      <c r="S132" s="49">
        <f t="shared" si="4"/>
        <v>0</v>
      </c>
      <c r="T132" s="49">
        <f t="shared" si="21"/>
        <v>0.1552369686</v>
      </c>
      <c r="U132" s="50" t="str">
        <f t="shared" si="6"/>
        <v>AOP</v>
      </c>
      <c r="V132" s="51">
        <f t="shared" si="28"/>
        <v>314.8205724</v>
      </c>
      <c r="W132" s="52">
        <f t="shared" si="8"/>
        <v>314.8205724</v>
      </c>
      <c r="X132" s="9">
        <f t="shared" si="25"/>
        <v>2028</v>
      </c>
      <c r="Y132" s="8"/>
      <c r="Z132" s="8"/>
      <c r="AA132" s="8"/>
      <c r="AB132" s="8" t="str">
        <f t="shared" si="10"/>
        <v>AKRH39442P2.0UTE</v>
      </c>
      <c r="AC132" s="8" t="str">
        <f>IF(AB132='Input - Bookings'!S125,"OK","Check")</f>
        <v>Check</v>
      </c>
      <c r="AD132" s="53"/>
      <c r="AE132" s="54"/>
      <c r="AF132" s="54"/>
      <c r="AG132" s="55"/>
      <c r="AH132" s="55"/>
      <c r="AI132" s="8" t="str">
        <f t="array" ref="AI132">XLOOKUP($J132,'AP Plants'!D:D,'AP Plants'!B:B)</f>
        <v>Class 3</v>
      </c>
      <c r="AJ132" s="56"/>
      <c r="AK132" s="56"/>
      <c r="AL132" s="49">
        <v>0.015</v>
      </c>
      <c r="AM132" s="49">
        <f t="array" ref="AM132">XLOOKUP($AI132,Warranty!B:B,Warranty!E:E)</f>
        <v>0.015</v>
      </c>
      <c r="AN132" s="8">
        <f>IF($L132="AUD",VLOOKUP(RIGHT('Wk - Margins'!$J132,3),'AU Freight'!C:G,5,0),0)</f>
        <v>0</v>
      </c>
      <c r="AO132" s="49">
        <f t="shared" si="11"/>
        <v>0</v>
      </c>
      <c r="AP132" s="57">
        <f t="shared" si="12"/>
        <v>0</v>
      </c>
      <c r="AQ132" s="58">
        <f t="shared" si="13"/>
        <v>1</v>
      </c>
      <c r="AR132" s="59">
        <f>IF(L132="AUD",O132*'Currency &amp; Conversion'!$L$7,'Wk - Margins'!O132)</f>
        <v>3235</v>
      </c>
      <c r="AS132" s="59">
        <f>IF(L132="AUD",P132*'Currency &amp; Conversion'!$L$7,'Wk - Margins'!P132)</f>
        <v>2028</v>
      </c>
    </row>
    <row r="133" ht="12.75" hidden="1" customHeight="1">
      <c r="A133" s="42" t="str">
        <f>'Input - Bookings'!A133</f>
        <v>26/06/2023</v>
      </c>
      <c r="B133" s="43" t="str">
        <f t="shared" si="1"/>
        <v>Asia</v>
      </c>
      <c r="C133" s="43" t="str">
        <f t="shared" si="2"/>
        <v>AKR</v>
      </c>
      <c r="D133" s="43" t="str">
        <f>'Input - Bookings'!D133</f>
        <v>A</v>
      </c>
      <c r="E133" s="43" t="str">
        <f>'Input - Bookings'!J133</f>
        <v>KR</v>
      </c>
      <c r="F133" s="44" t="str">
        <f>'Input - Bookings'!F133</f>
        <v>065</v>
      </c>
      <c r="G133" s="44" t="str">
        <f>'Input - Bookings'!I133</f>
        <v>HYSTER KOREA INC.</v>
      </c>
      <c r="H133" s="44" t="str">
        <f>'Input - Bookings'!K133</f>
        <v>H39443</v>
      </c>
      <c r="I133" s="45" t="str">
        <f>VLOOKUP(H133,'Input - Bookings'!$G$2:$H$611,2,0)</f>
        <v>081645</v>
      </c>
      <c r="J133" s="44" t="str">
        <f>'Input - Bookings'!N133</f>
        <v>A3B5</v>
      </c>
      <c r="K133" s="44" t="str">
        <f>'Input - Bookings'!O133</f>
        <v>P2.0UTE</v>
      </c>
      <c r="L133" s="44" t="str">
        <f>'Input - Bookings'!C133</f>
        <v>USD</v>
      </c>
      <c r="M133" s="46" t="str">
        <f t="array" ref="M133">IF(L133="USD",INDEX('AP Plants'!A:A,MATCH(J133,'AP Plants'!D:D,0)),INDEX('Australia Plants'!A:A,MATCH(J133,'Australia Plants'!D:D,0)))</f>
        <v>Ruyi</v>
      </c>
      <c r="N133" s="10">
        <v>1.0</v>
      </c>
      <c r="O133" s="9">
        <v>3235.0</v>
      </c>
      <c r="P133" s="9">
        <v>2028.0</v>
      </c>
      <c r="Q133" s="47">
        <v>0.1552369686268681</v>
      </c>
      <c r="R133" s="48">
        <f t="shared" si="3"/>
        <v>0.3731066461</v>
      </c>
      <c r="S133" s="49">
        <f t="shared" si="4"/>
        <v>0</v>
      </c>
      <c r="T133" s="49">
        <f t="shared" si="21"/>
        <v>0.1552369686</v>
      </c>
      <c r="U133" s="50" t="str">
        <f t="shared" si="6"/>
        <v>AOP</v>
      </c>
      <c r="V133" s="51">
        <f t="shared" si="28"/>
        <v>314.8205724</v>
      </c>
      <c r="W133" s="52">
        <f t="shared" si="8"/>
        <v>314.8205724</v>
      </c>
      <c r="X133" s="9">
        <f t="shared" si="25"/>
        <v>2028</v>
      </c>
      <c r="Y133" s="8"/>
      <c r="Z133" s="8"/>
      <c r="AA133" s="8"/>
      <c r="AB133" s="8" t="str">
        <f t="shared" si="10"/>
        <v>AKRH39443P2.0UTE</v>
      </c>
      <c r="AC133" s="8" t="str">
        <f>IF(AB133='Input - Bookings'!S126,"OK","Check")</f>
        <v>Check</v>
      </c>
      <c r="AD133" s="53"/>
      <c r="AE133" s="54"/>
      <c r="AF133" s="54"/>
      <c r="AG133" s="55"/>
      <c r="AH133" s="62"/>
      <c r="AI133" s="8" t="str">
        <f t="array" ref="AI133">XLOOKUP($J133,'AP Plants'!D:D,'AP Plants'!B:B)</f>
        <v>Class 3</v>
      </c>
      <c r="AJ133" s="56"/>
      <c r="AK133" s="56"/>
      <c r="AL133" s="49">
        <v>0.015</v>
      </c>
      <c r="AM133" s="49">
        <f t="array" ref="AM133">XLOOKUP($AI133,Warranty!B:B,Warranty!E:E)</f>
        <v>0.015</v>
      </c>
      <c r="AN133" s="8">
        <f>IF($L133="AUD",VLOOKUP(RIGHT('Wk - Margins'!$J133,3),'AU Freight'!C:G,5,0),0)</f>
        <v>0</v>
      </c>
      <c r="AO133" s="49">
        <f t="shared" si="11"/>
        <v>0</v>
      </c>
      <c r="AP133" s="57">
        <f t="shared" si="12"/>
        <v>0</v>
      </c>
      <c r="AQ133" s="58">
        <f t="shared" si="13"/>
        <v>1</v>
      </c>
      <c r="AR133" s="59">
        <f>IF(L133="AUD",O133*'Currency &amp; Conversion'!$L$7,'Wk - Margins'!O133)</f>
        <v>3235</v>
      </c>
      <c r="AS133" s="59">
        <f>IF(L133="AUD",P133*'Currency &amp; Conversion'!$L$7,'Wk - Margins'!P133)</f>
        <v>2028</v>
      </c>
    </row>
    <row r="134" ht="12.75" hidden="1" customHeight="1">
      <c r="A134" s="42" t="str">
        <f>'Input - Bookings'!A134</f>
        <v>26/06/2023</v>
      </c>
      <c r="B134" s="43" t="str">
        <f t="shared" si="1"/>
        <v>Asia</v>
      </c>
      <c r="C134" s="43" t="str">
        <f t="shared" si="2"/>
        <v>AKR</v>
      </c>
      <c r="D134" s="43" t="str">
        <f>'Input - Bookings'!D134</f>
        <v>A</v>
      </c>
      <c r="E134" s="43" t="str">
        <f>'Input - Bookings'!J134</f>
        <v>KR</v>
      </c>
      <c r="F134" s="44" t="str">
        <f>'Input - Bookings'!F134</f>
        <v>065</v>
      </c>
      <c r="G134" s="44" t="str">
        <f>'Input - Bookings'!I134</f>
        <v>HYSTER KOREA INC.</v>
      </c>
      <c r="H134" s="44" t="str">
        <f>'Input - Bookings'!K134</f>
        <v>H39444</v>
      </c>
      <c r="I134" s="45" t="str">
        <f>VLOOKUP(H134,'Input - Bookings'!$G$2:$H$611,2,0)</f>
        <v>081645</v>
      </c>
      <c r="J134" s="44" t="str">
        <f>'Input - Bookings'!N134</f>
        <v>A3B5</v>
      </c>
      <c r="K134" s="44" t="str">
        <f>'Input - Bookings'!O134</f>
        <v>P2.0UTE</v>
      </c>
      <c r="L134" s="44" t="str">
        <f>'Input - Bookings'!C134</f>
        <v>USD</v>
      </c>
      <c r="M134" s="46" t="str">
        <f t="array" ref="M134">IF(L134="USD",INDEX('AP Plants'!A:A,MATCH(J134,'AP Plants'!D:D,0)),INDEX('Australia Plants'!A:A,MATCH(J134,'Australia Plants'!D:D,0)))</f>
        <v>Ruyi</v>
      </c>
      <c r="N134" s="10">
        <v>1.0</v>
      </c>
      <c r="O134" s="9">
        <v>3235.0</v>
      </c>
      <c r="P134" s="9">
        <v>2028.0</v>
      </c>
      <c r="Q134" s="47">
        <v>0.1552369686268681</v>
      </c>
      <c r="R134" s="48">
        <f t="shared" si="3"/>
        <v>0.3731066461</v>
      </c>
      <c r="S134" s="49">
        <f t="shared" si="4"/>
        <v>0</v>
      </c>
      <c r="T134" s="49">
        <f t="shared" si="21"/>
        <v>0.1552369686</v>
      </c>
      <c r="U134" s="50" t="str">
        <f t="shared" si="6"/>
        <v>AOP</v>
      </c>
      <c r="V134" s="51">
        <f t="shared" si="28"/>
        <v>314.8205724</v>
      </c>
      <c r="W134" s="52">
        <f t="shared" si="8"/>
        <v>314.8205724</v>
      </c>
      <c r="X134" s="9">
        <f t="shared" si="25"/>
        <v>2028</v>
      </c>
      <c r="Y134" s="8"/>
      <c r="Z134" s="8"/>
      <c r="AA134" s="8"/>
      <c r="AB134" s="8" t="str">
        <f t="shared" si="10"/>
        <v>AKRH39444P2.0UTE</v>
      </c>
      <c r="AC134" s="8" t="str">
        <f>IF(AB134='Input - Bookings'!S127,"OK","Check")</f>
        <v>Check</v>
      </c>
      <c r="AD134" s="53"/>
      <c r="AE134" s="54"/>
      <c r="AF134" s="54"/>
      <c r="AG134" s="55"/>
      <c r="AH134" s="55"/>
      <c r="AI134" s="8" t="str">
        <f t="array" ref="AI134">XLOOKUP($J134,'AP Plants'!D:D,'AP Plants'!B:B)</f>
        <v>Class 3</v>
      </c>
      <c r="AJ134" s="56"/>
      <c r="AK134" s="56"/>
      <c r="AL134" s="49">
        <v>0.015</v>
      </c>
      <c r="AM134" s="49">
        <f t="array" ref="AM134">XLOOKUP($AI134,Warranty!B:B,Warranty!E:E)</f>
        <v>0.015</v>
      </c>
      <c r="AN134" s="8">
        <f>IF($L134="AUD",VLOOKUP(RIGHT('Wk - Margins'!$J134,3),'AU Freight'!C:G,5,0),0)</f>
        <v>0</v>
      </c>
      <c r="AO134" s="49">
        <f t="shared" si="11"/>
        <v>0</v>
      </c>
      <c r="AP134" s="57">
        <f t="shared" si="12"/>
        <v>0</v>
      </c>
      <c r="AQ134" s="58">
        <f t="shared" si="13"/>
        <v>1</v>
      </c>
      <c r="AR134" s="59">
        <f>IF(L134="AUD",O134*'Currency &amp; Conversion'!$L$7,'Wk - Margins'!O134)</f>
        <v>3235</v>
      </c>
      <c r="AS134" s="59">
        <f>IF(L134="AUD",P134*'Currency &amp; Conversion'!$L$7,'Wk - Margins'!P134)</f>
        <v>2028</v>
      </c>
    </row>
    <row r="135" ht="12.75" hidden="1" customHeight="1">
      <c r="A135" s="42" t="str">
        <f>'Input - Bookings'!A135</f>
        <v>26/06/2023</v>
      </c>
      <c r="B135" s="43" t="str">
        <f t="shared" si="1"/>
        <v>Asia</v>
      </c>
      <c r="C135" s="43" t="str">
        <f t="shared" si="2"/>
        <v>AKR</v>
      </c>
      <c r="D135" s="43" t="str">
        <f>'Input - Bookings'!D135</f>
        <v>A</v>
      </c>
      <c r="E135" s="43" t="str">
        <f>'Input - Bookings'!J135</f>
        <v>KR</v>
      </c>
      <c r="F135" s="44" t="str">
        <f>'Input - Bookings'!F135</f>
        <v>065</v>
      </c>
      <c r="G135" s="44" t="str">
        <f>'Input - Bookings'!I135</f>
        <v>HYSTER KOREA INC.</v>
      </c>
      <c r="H135" s="44" t="str">
        <f>'Input - Bookings'!K135</f>
        <v>H39445</v>
      </c>
      <c r="I135" s="45" t="str">
        <f>VLOOKUP(H135,'Input - Bookings'!$G$2:$H$611,2,0)</f>
        <v>081645</v>
      </c>
      <c r="J135" s="44" t="str">
        <f>'Input - Bookings'!N135</f>
        <v>A3B5</v>
      </c>
      <c r="K135" s="44" t="str">
        <f>'Input - Bookings'!O135</f>
        <v>P2.0UTE</v>
      </c>
      <c r="L135" s="44" t="str">
        <f>'Input - Bookings'!C135</f>
        <v>USD</v>
      </c>
      <c r="M135" s="46" t="str">
        <f t="array" ref="M135">IF(L135="USD",INDEX('AP Plants'!A:A,MATCH(J135,'AP Plants'!D:D,0)),INDEX('Australia Plants'!A:A,MATCH(J135,'Australia Plants'!D:D,0)))</f>
        <v>Ruyi</v>
      </c>
      <c r="N135" s="10">
        <v>1.0</v>
      </c>
      <c r="O135" s="9">
        <v>3235.0</v>
      </c>
      <c r="P135" s="9">
        <v>2028.0</v>
      </c>
      <c r="Q135" s="47">
        <v>0.1552369686268681</v>
      </c>
      <c r="R135" s="48">
        <f t="shared" si="3"/>
        <v>0.3731066461</v>
      </c>
      <c r="S135" s="49">
        <f t="shared" si="4"/>
        <v>0</v>
      </c>
      <c r="T135" s="49">
        <f t="shared" si="21"/>
        <v>0.1552369686</v>
      </c>
      <c r="U135" s="50" t="str">
        <f t="shared" si="6"/>
        <v>AOP</v>
      </c>
      <c r="V135" s="51">
        <f t="shared" si="28"/>
        <v>314.8205724</v>
      </c>
      <c r="W135" s="52">
        <f t="shared" si="8"/>
        <v>314.8205724</v>
      </c>
      <c r="X135" s="9">
        <f t="shared" si="25"/>
        <v>2028</v>
      </c>
      <c r="Y135" s="8"/>
      <c r="Z135" s="8"/>
      <c r="AA135" s="8"/>
      <c r="AB135" s="8" t="str">
        <f t="shared" si="10"/>
        <v>AKRH39445P2.0UTE</v>
      </c>
      <c r="AC135" s="8" t="str">
        <f>IF(AB135='Input - Bookings'!S128,"OK","Check")</f>
        <v>Check</v>
      </c>
      <c r="AD135" s="53"/>
      <c r="AE135" s="54"/>
      <c r="AF135" s="54"/>
      <c r="AG135" s="55"/>
      <c r="AH135" s="62"/>
      <c r="AI135" s="8" t="str">
        <f t="array" ref="AI135">XLOOKUP($J135,'AP Plants'!D:D,'AP Plants'!B:B)</f>
        <v>Class 3</v>
      </c>
      <c r="AJ135" s="56"/>
      <c r="AK135" s="56"/>
      <c r="AL135" s="49">
        <v>0.015</v>
      </c>
      <c r="AM135" s="49">
        <f t="array" ref="AM135">XLOOKUP($AI135,Warranty!B:B,Warranty!E:E)</f>
        <v>0.015</v>
      </c>
      <c r="AN135" s="8">
        <f>IF($L135="AUD",VLOOKUP(RIGHT('Wk - Margins'!$J135,3),'AU Freight'!C:G,5,0),0)</f>
        <v>0</v>
      </c>
      <c r="AO135" s="49">
        <f t="shared" si="11"/>
        <v>0</v>
      </c>
      <c r="AP135" s="57">
        <f t="shared" si="12"/>
        <v>0</v>
      </c>
      <c r="AQ135" s="58">
        <f t="shared" si="13"/>
        <v>1</v>
      </c>
      <c r="AR135" s="59">
        <f>IF(L135="AUD",O135*'Currency &amp; Conversion'!$L$7,'Wk - Margins'!O135)</f>
        <v>3235</v>
      </c>
      <c r="AS135" s="59">
        <f>IF(L135="AUD",P135*'Currency &amp; Conversion'!$L$7,'Wk - Margins'!P135)</f>
        <v>2028</v>
      </c>
    </row>
    <row r="136" ht="12.75" hidden="1" customHeight="1">
      <c r="A136" s="42" t="str">
        <f>'Input - Bookings'!A136</f>
        <v>26/06/2023</v>
      </c>
      <c r="B136" s="43" t="str">
        <f t="shared" si="1"/>
        <v>Asia</v>
      </c>
      <c r="C136" s="43" t="str">
        <f t="shared" si="2"/>
        <v>AKR</v>
      </c>
      <c r="D136" s="43" t="str">
        <f>'Input - Bookings'!D136</f>
        <v>A</v>
      </c>
      <c r="E136" s="43" t="str">
        <f>'Input - Bookings'!J136</f>
        <v>KR</v>
      </c>
      <c r="F136" s="44" t="str">
        <f>'Input - Bookings'!F136</f>
        <v>065</v>
      </c>
      <c r="G136" s="44" t="str">
        <f>'Input - Bookings'!I136</f>
        <v>HYSTER KOREA INC.</v>
      </c>
      <c r="H136" s="44" t="str">
        <f>'Input - Bookings'!K136</f>
        <v>H39446</v>
      </c>
      <c r="I136" s="45" t="str">
        <f>VLOOKUP(H136,'Input - Bookings'!$G$2:$H$611,2,0)</f>
        <v>081645</v>
      </c>
      <c r="J136" s="44" t="str">
        <f>'Input - Bookings'!N136</f>
        <v>A3B5</v>
      </c>
      <c r="K136" s="44" t="str">
        <f>'Input - Bookings'!O136</f>
        <v>P2.0UTE</v>
      </c>
      <c r="L136" s="44" t="str">
        <f>'Input - Bookings'!C136</f>
        <v>USD</v>
      </c>
      <c r="M136" s="46" t="str">
        <f t="array" ref="M136">IF(L136="USD",INDEX('AP Plants'!A:A,MATCH(J136,'AP Plants'!D:D,0)),INDEX('Australia Plants'!A:A,MATCH(J136,'Australia Plants'!D:D,0)))</f>
        <v>Ruyi</v>
      </c>
      <c r="N136" s="10">
        <v>1.0</v>
      </c>
      <c r="O136" s="9">
        <v>3235.0</v>
      </c>
      <c r="P136" s="9">
        <v>2028.0</v>
      </c>
      <c r="Q136" s="47">
        <v>0.1552369686268681</v>
      </c>
      <c r="R136" s="48">
        <f t="shared" si="3"/>
        <v>0.3731066461</v>
      </c>
      <c r="S136" s="49">
        <f t="shared" si="4"/>
        <v>0</v>
      </c>
      <c r="T136" s="49">
        <f t="shared" si="21"/>
        <v>0.1552369686</v>
      </c>
      <c r="U136" s="50" t="str">
        <f t="shared" si="6"/>
        <v>AOP</v>
      </c>
      <c r="V136" s="51">
        <f t="shared" si="28"/>
        <v>314.8205724</v>
      </c>
      <c r="W136" s="52">
        <f t="shared" si="8"/>
        <v>314.8205724</v>
      </c>
      <c r="X136" s="9">
        <f t="shared" si="25"/>
        <v>2028</v>
      </c>
      <c r="Y136" s="8"/>
      <c r="Z136" s="8"/>
      <c r="AA136" s="8"/>
      <c r="AB136" s="8" t="str">
        <f t="shared" si="10"/>
        <v>AKRH39446P2.0UTE</v>
      </c>
      <c r="AC136" s="8" t="str">
        <f>IF(AB136='Input - Bookings'!S129,"OK","Check")</f>
        <v>Check</v>
      </c>
      <c r="AD136" s="53"/>
      <c r="AE136" s="54"/>
      <c r="AF136" s="54"/>
      <c r="AG136" s="55"/>
      <c r="AH136" s="55"/>
      <c r="AI136" s="8" t="str">
        <f t="array" ref="AI136">XLOOKUP($J136,'AP Plants'!D:D,'AP Plants'!B:B)</f>
        <v>Class 3</v>
      </c>
      <c r="AJ136" s="56"/>
      <c r="AK136" s="56"/>
      <c r="AL136" s="49">
        <v>0.015</v>
      </c>
      <c r="AM136" s="49">
        <f t="array" ref="AM136">XLOOKUP($AI136,Warranty!B:B,Warranty!E:E)</f>
        <v>0.015</v>
      </c>
      <c r="AN136" s="8">
        <f>IF($L136="AUD",VLOOKUP(RIGHT('Wk - Margins'!$J136,3),'AU Freight'!C:G,5,0),0)</f>
        <v>0</v>
      </c>
      <c r="AO136" s="49">
        <f t="shared" si="11"/>
        <v>0</v>
      </c>
      <c r="AP136" s="57">
        <f t="shared" si="12"/>
        <v>0</v>
      </c>
      <c r="AQ136" s="58">
        <f t="shared" si="13"/>
        <v>1</v>
      </c>
      <c r="AR136" s="59">
        <f>IF(L136="AUD",O136*'Currency &amp; Conversion'!$L$7,'Wk - Margins'!O136)</f>
        <v>3235</v>
      </c>
      <c r="AS136" s="59">
        <f>IF(L136="AUD",P136*'Currency &amp; Conversion'!$L$7,'Wk - Margins'!P136)</f>
        <v>2028</v>
      </c>
    </row>
    <row r="137" ht="12.75" hidden="1" customHeight="1">
      <c r="A137" s="42" t="str">
        <f>'Input - Bookings'!A137</f>
        <v>26/06/2023</v>
      </c>
      <c r="B137" s="43" t="str">
        <f t="shared" si="1"/>
        <v>Asia</v>
      </c>
      <c r="C137" s="43" t="str">
        <f t="shared" si="2"/>
        <v>AKR</v>
      </c>
      <c r="D137" s="43" t="str">
        <f>'Input - Bookings'!D137</f>
        <v>A</v>
      </c>
      <c r="E137" s="43" t="str">
        <f>'Input - Bookings'!J137</f>
        <v>KR</v>
      </c>
      <c r="F137" s="44" t="str">
        <f>'Input - Bookings'!F137</f>
        <v>065</v>
      </c>
      <c r="G137" s="44" t="str">
        <f>'Input - Bookings'!I137</f>
        <v>HYSTER KOREA INC.</v>
      </c>
      <c r="H137" s="44" t="str">
        <f>'Input - Bookings'!K137</f>
        <v>H39447</v>
      </c>
      <c r="I137" s="45" t="str">
        <f>VLOOKUP(H137,'Input - Bookings'!$G$2:$H$611,2,0)</f>
        <v>081645</v>
      </c>
      <c r="J137" s="44" t="str">
        <f>'Input - Bookings'!N137</f>
        <v>A3B5</v>
      </c>
      <c r="K137" s="44" t="str">
        <f>'Input - Bookings'!O137</f>
        <v>P2.0UTE</v>
      </c>
      <c r="L137" s="44" t="str">
        <f>'Input - Bookings'!C137</f>
        <v>USD</v>
      </c>
      <c r="M137" s="46" t="str">
        <f t="array" ref="M137">IF(L137="USD",INDEX('AP Plants'!A:A,MATCH(J137,'AP Plants'!D:D,0)),INDEX('Australia Plants'!A:A,MATCH(J137,'Australia Plants'!D:D,0)))</f>
        <v>Ruyi</v>
      </c>
      <c r="N137" s="10">
        <v>1.0</v>
      </c>
      <c r="O137" s="9">
        <v>3235.0</v>
      </c>
      <c r="P137" s="9">
        <v>2028.0</v>
      </c>
      <c r="Q137" s="47">
        <v>0.1552369686268681</v>
      </c>
      <c r="R137" s="48">
        <f t="shared" si="3"/>
        <v>0.3731066461</v>
      </c>
      <c r="S137" s="49">
        <f t="shared" si="4"/>
        <v>0</v>
      </c>
      <c r="T137" s="49">
        <f t="shared" si="21"/>
        <v>0.1552369686</v>
      </c>
      <c r="U137" s="50" t="str">
        <f t="shared" si="6"/>
        <v>AOP</v>
      </c>
      <c r="V137" s="51">
        <f t="shared" si="28"/>
        <v>314.8205724</v>
      </c>
      <c r="W137" s="52">
        <f t="shared" si="8"/>
        <v>314.8205724</v>
      </c>
      <c r="X137" s="9">
        <f t="shared" si="25"/>
        <v>2028</v>
      </c>
      <c r="Y137" s="8"/>
      <c r="Z137" s="8"/>
      <c r="AA137" s="8"/>
      <c r="AB137" s="8" t="str">
        <f t="shared" si="10"/>
        <v>AKRH39447P2.0UTE</v>
      </c>
      <c r="AC137" s="8" t="str">
        <f>IF(AB137='Input - Bookings'!S130,"OK","Check")</f>
        <v>Check</v>
      </c>
      <c r="AD137" s="53"/>
      <c r="AE137" s="54"/>
      <c r="AF137" s="54"/>
      <c r="AG137" s="55"/>
      <c r="AH137" s="55"/>
      <c r="AI137" s="8" t="str">
        <f t="array" ref="AI137">XLOOKUP($J137,'AP Plants'!D:D,'AP Plants'!B:B)</f>
        <v>Class 3</v>
      </c>
      <c r="AJ137" s="56"/>
      <c r="AK137" s="56"/>
      <c r="AL137" s="49">
        <v>0.015</v>
      </c>
      <c r="AM137" s="49">
        <f t="array" ref="AM137">XLOOKUP($AI137,Warranty!B:B,Warranty!E:E)</f>
        <v>0.015</v>
      </c>
      <c r="AN137" s="8">
        <f>IF($L137="AUD",VLOOKUP(RIGHT('Wk - Margins'!$J137,3),'AU Freight'!C:G,5,0),0)</f>
        <v>0</v>
      </c>
      <c r="AO137" s="49">
        <f t="shared" si="11"/>
        <v>0</v>
      </c>
      <c r="AP137" s="57">
        <f t="shared" si="12"/>
        <v>0</v>
      </c>
      <c r="AQ137" s="58">
        <f t="shared" si="13"/>
        <v>1</v>
      </c>
      <c r="AR137" s="59">
        <f>IF(L137="AUD",O137*'Currency &amp; Conversion'!$L$7,'Wk - Margins'!O137)</f>
        <v>3235</v>
      </c>
      <c r="AS137" s="59">
        <f>IF(L137="AUD",P137*'Currency &amp; Conversion'!$L$7,'Wk - Margins'!P137)</f>
        <v>2028</v>
      </c>
    </row>
    <row r="138" ht="12.75" hidden="1" customHeight="1">
      <c r="A138" s="42" t="str">
        <f>'Input - Bookings'!A138</f>
        <v>26/06/2023</v>
      </c>
      <c r="B138" s="43" t="str">
        <f t="shared" si="1"/>
        <v>Asia</v>
      </c>
      <c r="C138" s="43" t="str">
        <f t="shared" si="2"/>
        <v>AKR</v>
      </c>
      <c r="D138" s="43" t="str">
        <f>'Input - Bookings'!D138</f>
        <v>A</v>
      </c>
      <c r="E138" s="43" t="str">
        <f>'Input - Bookings'!J138</f>
        <v>KR</v>
      </c>
      <c r="F138" s="44" t="str">
        <f>'Input - Bookings'!F138</f>
        <v>065</v>
      </c>
      <c r="G138" s="44" t="str">
        <f>'Input - Bookings'!I138</f>
        <v>HYSTER KOREA INC.</v>
      </c>
      <c r="H138" s="44" t="str">
        <f>'Input - Bookings'!K138</f>
        <v>H39448</v>
      </c>
      <c r="I138" s="45" t="str">
        <f>VLOOKUP(H138,'Input - Bookings'!$G$2:$H$611,2,0)</f>
        <v>081645</v>
      </c>
      <c r="J138" s="44" t="str">
        <f>'Input - Bookings'!N138</f>
        <v>A3B5</v>
      </c>
      <c r="K138" s="44" t="str">
        <f>'Input - Bookings'!O138</f>
        <v>P2.0UTE</v>
      </c>
      <c r="L138" s="44" t="str">
        <f>'Input - Bookings'!C138</f>
        <v>USD</v>
      </c>
      <c r="M138" s="46" t="str">
        <f t="array" ref="M138">IF(L138="USD",INDEX('AP Plants'!A:A,MATCH(J138,'AP Plants'!D:D,0)),INDEX('Australia Plants'!A:A,MATCH(J138,'Australia Plants'!D:D,0)))</f>
        <v>Ruyi</v>
      </c>
      <c r="N138" s="10">
        <v>1.0</v>
      </c>
      <c r="O138" s="9">
        <v>3235.0</v>
      </c>
      <c r="P138" s="9">
        <v>2028.0</v>
      </c>
      <c r="Q138" s="47">
        <v>0.1552369686268681</v>
      </c>
      <c r="R138" s="48">
        <f t="shared" si="3"/>
        <v>0.3731066461</v>
      </c>
      <c r="S138" s="49">
        <f t="shared" si="4"/>
        <v>0</v>
      </c>
      <c r="T138" s="49">
        <f t="shared" si="21"/>
        <v>0.1552369686</v>
      </c>
      <c r="U138" s="50" t="str">
        <f t="shared" si="6"/>
        <v>AOP</v>
      </c>
      <c r="V138" s="51">
        <f t="shared" si="28"/>
        <v>314.8205724</v>
      </c>
      <c r="W138" s="52">
        <f t="shared" si="8"/>
        <v>314.8205724</v>
      </c>
      <c r="X138" s="9">
        <f t="shared" si="25"/>
        <v>2028</v>
      </c>
      <c r="Y138" s="8"/>
      <c r="Z138" s="8"/>
      <c r="AA138" s="8"/>
      <c r="AB138" s="8" t="str">
        <f t="shared" si="10"/>
        <v>AKRH39448P2.0UTE</v>
      </c>
      <c r="AC138" s="8" t="str">
        <f>IF(AB138='Input - Bookings'!S131,"OK","Check")</f>
        <v>Check</v>
      </c>
      <c r="AD138" s="53"/>
      <c r="AE138" s="54"/>
      <c r="AF138" s="54"/>
      <c r="AG138" s="55"/>
      <c r="AH138" s="55"/>
      <c r="AI138" s="8" t="str">
        <f t="array" ref="AI138">XLOOKUP($J138,'AP Plants'!D:D,'AP Plants'!B:B)</f>
        <v>Class 3</v>
      </c>
      <c r="AJ138" s="56"/>
      <c r="AK138" s="56"/>
      <c r="AL138" s="49">
        <v>0.015</v>
      </c>
      <c r="AM138" s="49">
        <f t="array" ref="AM138">XLOOKUP($AI138,Warranty!B:B,Warranty!E:E)</f>
        <v>0.015</v>
      </c>
      <c r="AN138" s="8">
        <f>IF($L138="AUD",VLOOKUP(RIGHT('Wk - Margins'!$J138,3),'AU Freight'!C:G,5,0),0)</f>
        <v>0</v>
      </c>
      <c r="AO138" s="49">
        <f t="shared" si="11"/>
        <v>0</v>
      </c>
      <c r="AP138" s="57">
        <f t="shared" si="12"/>
        <v>0</v>
      </c>
      <c r="AQ138" s="58">
        <f t="shared" si="13"/>
        <v>1</v>
      </c>
      <c r="AR138" s="59">
        <f>IF(L138="AUD",O138*'Currency &amp; Conversion'!$L$7,'Wk - Margins'!O138)</f>
        <v>3235</v>
      </c>
      <c r="AS138" s="59">
        <f>IF(L138="AUD",P138*'Currency &amp; Conversion'!$L$7,'Wk - Margins'!P138)</f>
        <v>2028</v>
      </c>
    </row>
    <row r="139" ht="12.75" hidden="1" customHeight="1">
      <c r="A139" s="42" t="str">
        <f>'Input - Bookings'!A139</f>
        <v>26/06/2023</v>
      </c>
      <c r="B139" s="43" t="str">
        <f t="shared" si="1"/>
        <v>Asia</v>
      </c>
      <c r="C139" s="43" t="str">
        <f t="shared" si="2"/>
        <v>AKR</v>
      </c>
      <c r="D139" s="43" t="str">
        <f>'Input - Bookings'!D139</f>
        <v>A</v>
      </c>
      <c r="E139" s="43" t="str">
        <f>'Input - Bookings'!J139</f>
        <v>KR</v>
      </c>
      <c r="F139" s="44" t="str">
        <f>'Input - Bookings'!F139</f>
        <v>065</v>
      </c>
      <c r="G139" s="44" t="str">
        <f>'Input - Bookings'!I139</f>
        <v>HYSTER KOREA INC.</v>
      </c>
      <c r="H139" s="44" t="str">
        <f>'Input - Bookings'!K139</f>
        <v>H39449</v>
      </c>
      <c r="I139" s="45" t="str">
        <f>VLOOKUP(H139,'Input - Bookings'!$G$2:$H$611,2,0)</f>
        <v>081645</v>
      </c>
      <c r="J139" s="44" t="str">
        <f>'Input - Bookings'!N139</f>
        <v>A3B5</v>
      </c>
      <c r="K139" s="44" t="str">
        <f>'Input - Bookings'!O139</f>
        <v>P2.0UTE</v>
      </c>
      <c r="L139" s="44" t="str">
        <f>'Input - Bookings'!C139</f>
        <v>USD</v>
      </c>
      <c r="M139" s="46" t="str">
        <f t="array" ref="M139">IF(L139="USD",INDEX('AP Plants'!A:A,MATCH(J139,'AP Plants'!D:D,0)),INDEX('Australia Plants'!A:A,MATCH(J139,'Australia Plants'!D:D,0)))</f>
        <v>Ruyi</v>
      </c>
      <c r="N139" s="10">
        <v>1.0</v>
      </c>
      <c r="O139" s="9">
        <v>3235.0</v>
      </c>
      <c r="P139" s="9">
        <v>2028.0</v>
      </c>
      <c r="Q139" s="47">
        <v>0.1552369686268681</v>
      </c>
      <c r="R139" s="48">
        <f t="shared" si="3"/>
        <v>0.3731066461</v>
      </c>
      <c r="S139" s="49">
        <f t="shared" si="4"/>
        <v>0</v>
      </c>
      <c r="T139" s="49">
        <f t="shared" si="21"/>
        <v>0.1552369686</v>
      </c>
      <c r="U139" s="50" t="str">
        <f t="shared" si="6"/>
        <v>AOP</v>
      </c>
      <c r="V139" s="51">
        <f t="shared" si="28"/>
        <v>314.8205724</v>
      </c>
      <c r="W139" s="52">
        <f t="shared" si="8"/>
        <v>314.8205724</v>
      </c>
      <c r="X139" s="9">
        <f t="shared" si="25"/>
        <v>2028</v>
      </c>
      <c r="Y139" s="8"/>
      <c r="Z139" s="8"/>
      <c r="AA139" s="8"/>
      <c r="AB139" s="8" t="str">
        <f t="shared" si="10"/>
        <v>AKRH39449P2.0UTE</v>
      </c>
      <c r="AC139" s="8" t="str">
        <f>IF(AB139='Input - Bookings'!S132,"OK","Check")</f>
        <v>Check</v>
      </c>
      <c r="AD139" s="53"/>
      <c r="AE139" s="54"/>
      <c r="AF139" s="54"/>
      <c r="AG139" s="55"/>
      <c r="AH139" s="55"/>
      <c r="AI139" s="8" t="str">
        <f t="array" ref="AI139">XLOOKUP($J139,'AP Plants'!D:D,'AP Plants'!B:B)</f>
        <v>Class 3</v>
      </c>
      <c r="AJ139" s="56"/>
      <c r="AK139" s="56"/>
      <c r="AL139" s="49">
        <v>0.015</v>
      </c>
      <c r="AM139" s="49">
        <f t="array" ref="AM139">XLOOKUP($AI139,Warranty!B:B,Warranty!E:E)</f>
        <v>0.015</v>
      </c>
      <c r="AN139" s="8">
        <f>IF($L139="AUD",VLOOKUP(RIGHT('Wk - Margins'!$J139,3),'AU Freight'!C:G,5,0),0)</f>
        <v>0</v>
      </c>
      <c r="AO139" s="49">
        <f t="shared" si="11"/>
        <v>0</v>
      </c>
      <c r="AP139" s="57">
        <f t="shared" si="12"/>
        <v>0</v>
      </c>
      <c r="AQ139" s="58">
        <f t="shared" si="13"/>
        <v>1</v>
      </c>
      <c r="AR139" s="59">
        <f>IF(L139="AUD",O139*'Currency &amp; Conversion'!$L$7,'Wk - Margins'!O139)</f>
        <v>3235</v>
      </c>
      <c r="AS139" s="59">
        <f>IF(L139="AUD",P139*'Currency &amp; Conversion'!$L$7,'Wk - Margins'!P139)</f>
        <v>2028</v>
      </c>
    </row>
    <row r="140" ht="12.75" hidden="1" customHeight="1">
      <c r="A140" s="42" t="str">
        <f>'Input - Bookings'!A140</f>
        <v>26/06/2023</v>
      </c>
      <c r="B140" s="43" t="str">
        <f t="shared" si="1"/>
        <v>Asia</v>
      </c>
      <c r="C140" s="43" t="str">
        <f t="shared" si="2"/>
        <v>AKR</v>
      </c>
      <c r="D140" s="43" t="str">
        <f>'Input - Bookings'!D140</f>
        <v>A</v>
      </c>
      <c r="E140" s="43" t="str">
        <f>'Input - Bookings'!J140</f>
        <v>KR</v>
      </c>
      <c r="F140" s="44" t="str">
        <f>'Input - Bookings'!F140</f>
        <v>065</v>
      </c>
      <c r="G140" s="44" t="str">
        <f>'Input - Bookings'!I140</f>
        <v>HYSTER KOREA INC.</v>
      </c>
      <c r="H140" s="44" t="str">
        <f>'Input - Bookings'!K140</f>
        <v>H39450</v>
      </c>
      <c r="I140" s="45" t="str">
        <f>VLOOKUP(H140,'Input - Bookings'!$G$2:$H$611,2,0)</f>
        <v>081645</v>
      </c>
      <c r="J140" s="44" t="str">
        <f>'Input - Bookings'!N140</f>
        <v>A3B5</v>
      </c>
      <c r="K140" s="44" t="str">
        <f>'Input - Bookings'!O140</f>
        <v>P2.0UTE</v>
      </c>
      <c r="L140" s="44" t="str">
        <f>'Input - Bookings'!C140</f>
        <v>USD</v>
      </c>
      <c r="M140" s="46" t="str">
        <f t="array" ref="M140">IF(L140="USD",INDEX('AP Plants'!A:A,MATCH(J140,'AP Plants'!D:D,0)),INDEX('Australia Plants'!A:A,MATCH(J140,'Australia Plants'!D:D,0)))</f>
        <v>Ruyi</v>
      </c>
      <c r="N140" s="10">
        <v>1.0</v>
      </c>
      <c r="O140" s="9">
        <v>3235.0</v>
      </c>
      <c r="P140" s="9">
        <v>2028.0</v>
      </c>
      <c r="Q140" s="47">
        <v>0.1552369686268681</v>
      </c>
      <c r="R140" s="48">
        <f t="shared" si="3"/>
        <v>0.3731066461</v>
      </c>
      <c r="S140" s="49">
        <f t="shared" si="4"/>
        <v>0</v>
      </c>
      <c r="T140" s="49">
        <f t="shared" si="21"/>
        <v>0.1552369686</v>
      </c>
      <c r="U140" s="50" t="str">
        <f t="shared" si="6"/>
        <v>AOP</v>
      </c>
      <c r="V140" s="51">
        <f t="shared" si="28"/>
        <v>314.8205724</v>
      </c>
      <c r="W140" s="52">
        <f t="shared" si="8"/>
        <v>314.8205724</v>
      </c>
      <c r="X140" s="9">
        <f t="shared" si="25"/>
        <v>2028</v>
      </c>
      <c r="Y140" s="8"/>
      <c r="Z140" s="8"/>
      <c r="AA140" s="8"/>
      <c r="AB140" s="8" t="str">
        <f t="shared" si="10"/>
        <v>AKRH39450P2.0UTE</v>
      </c>
      <c r="AC140" s="8" t="str">
        <f>IF(AB140='Input - Bookings'!S133,"OK","Check")</f>
        <v>Check</v>
      </c>
      <c r="AD140" s="53"/>
      <c r="AE140" s="54"/>
      <c r="AF140" s="54"/>
      <c r="AG140" s="55"/>
      <c r="AH140" s="55"/>
      <c r="AI140" s="8" t="str">
        <f t="array" ref="AI140">XLOOKUP($J140,'AP Plants'!D:D,'AP Plants'!B:B)</f>
        <v>Class 3</v>
      </c>
      <c r="AJ140" s="56"/>
      <c r="AK140" s="56"/>
      <c r="AL140" s="49">
        <v>0.015</v>
      </c>
      <c r="AM140" s="49">
        <f t="array" ref="AM140">XLOOKUP($AI140,Warranty!B:B,Warranty!E:E)</f>
        <v>0.015</v>
      </c>
      <c r="AN140" s="8">
        <f>IF($L140="AUD",VLOOKUP(RIGHT('Wk - Margins'!$J140,3),'AU Freight'!C:G,5,0),0)</f>
        <v>0</v>
      </c>
      <c r="AO140" s="49">
        <f t="shared" si="11"/>
        <v>0</v>
      </c>
      <c r="AP140" s="57">
        <f t="shared" si="12"/>
        <v>0</v>
      </c>
      <c r="AQ140" s="58">
        <f t="shared" si="13"/>
        <v>1</v>
      </c>
      <c r="AR140" s="59">
        <f>IF(L140="AUD",O140*'Currency &amp; Conversion'!$L$7,'Wk - Margins'!O140)</f>
        <v>3235</v>
      </c>
      <c r="AS140" s="59">
        <f>IF(L140="AUD",P140*'Currency &amp; Conversion'!$L$7,'Wk - Margins'!P140)</f>
        <v>2028</v>
      </c>
    </row>
    <row r="141" ht="12.75" hidden="1" customHeight="1">
      <c r="A141" s="42" t="str">
        <f>'Input - Bookings'!A141</f>
        <v>26/06/2023</v>
      </c>
      <c r="B141" s="43" t="str">
        <f t="shared" si="1"/>
        <v>Asia</v>
      </c>
      <c r="C141" s="43" t="str">
        <f t="shared" si="2"/>
        <v>AKR</v>
      </c>
      <c r="D141" s="43" t="str">
        <f>'Input - Bookings'!D141</f>
        <v>A</v>
      </c>
      <c r="E141" s="43" t="str">
        <f>'Input - Bookings'!J141</f>
        <v>KR</v>
      </c>
      <c r="F141" s="44" t="str">
        <f>'Input - Bookings'!F141</f>
        <v>065</v>
      </c>
      <c r="G141" s="44" t="str">
        <f>'Input - Bookings'!I141</f>
        <v>HYSTER KOREA INC.</v>
      </c>
      <c r="H141" s="44" t="str">
        <f>'Input - Bookings'!K141</f>
        <v>H39451</v>
      </c>
      <c r="I141" s="45" t="str">
        <f>VLOOKUP(H141,'Input - Bookings'!$G$2:$H$611,2,0)</f>
        <v>081645</v>
      </c>
      <c r="J141" s="44" t="str">
        <f>'Input - Bookings'!N141</f>
        <v>A3B5</v>
      </c>
      <c r="K141" s="44" t="str">
        <f>'Input - Bookings'!O141</f>
        <v>P2.0UTE</v>
      </c>
      <c r="L141" s="44" t="str">
        <f>'Input - Bookings'!C141</f>
        <v>USD</v>
      </c>
      <c r="M141" s="46" t="str">
        <f t="array" ref="M141">IF(L141="USD",INDEX('AP Plants'!A:A,MATCH(J141,'AP Plants'!D:D,0)),INDEX('Australia Plants'!A:A,MATCH(J141,'Australia Plants'!D:D,0)))</f>
        <v>Ruyi</v>
      </c>
      <c r="N141" s="10">
        <v>1.0</v>
      </c>
      <c r="O141" s="9">
        <v>3235.0</v>
      </c>
      <c r="P141" s="9">
        <v>2028.0</v>
      </c>
      <c r="Q141" s="47">
        <v>0.1552369686268681</v>
      </c>
      <c r="R141" s="48">
        <f t="shared" si="3"/>
        <v>0.3731066461</v>
      </c>
      <c r="S141" s="49">
        <f t="shared" si="4"/>
        <v>0</v>
      </c>
      <c r="T141" s="49">
        <f t="shared" si="21"/>
        <v>0.1552369686</v>
      </c>
      <c r="U141" s="50" t="str">
        <f t="shared" si="6"/>
        <v>AOP</v>
      </c>
      <c r="V141" s="51">
        <f t="shared" si="28"/>
        <v>314.8205724</v>
      </c>
      <c r="W141" s="52">
        <f t="shared" si="8"/>
        <v>314.8205724</v>
      </c>
      <c r="X141" s="9">
        <f t="shared" si="25"/>
        <v>2028</v>
      </c>
      <c r="Y141" s="8"/>
      <c r="Z141" s="8"/>
      <c r="AA141" s="8"/>
      <c r="AB141" s="8" t="str">
        <f t="shared" si="10"/>
        <v>AKRH39451P2.0UTE</v>
      </c>
      <c r="AC141" s="8" t="str">
        <f>IF(AB141='Input - Bookings'!S134,"OK","Check")</f>
        <v>Check</v>
      </c>
      <c r="AD141" s="53"/>
      <c r="AE141" s="54"/>
      <c r="AF141" s="54"/>
      <c r="AG141" s="55"/>
      <c r="AH141" s="62"/>
      <c r="AI141" s="8" t="str">
        <f t="array" ref="AI141">XLOOKUP($J141,'AP Plants'!D:D,'AP Plants'!B:B)</f>
        <v>Class 3</v>
      </c>
      <c r="AJ141" s="56"/>
      <c r="AK141" s="56"/>
      <c r="AL141" s="49">
        <v>0.015</v>
      </c>
      <c r="AM141" s="49">
        <f t="array" ref="AM141">XLOOKUP($AI141,Warranty!B:B,Warranty!E:E)</f>
        <v>0.015</v>
      </c>
      <c r="AN141" s="8">
        <f>IF($L141="AUD",VLOOKUP(RIGHT('Wk - Margins'!$J141,3),'AU Freight'!C:G,5,0),0)</f>
        <v>0</v>
      </c>
      <c r="AO141" s="49">
        <f t="shared" si="11"/>
        <v>0</v>
      </c>
      <c r="AP141" s="57">
        <f t="shared" si="12"/>
        <v>0</v>
      </c>
      <c r="AQ141" s="58">
        <f t="shared" si="13"/>
        <v>1</v>
      </c>
      <c r="AR141" s="59">
        <f>IF(L141="AUD",O141*'Currency &amp; Conversion'!$L$7,'Wk - Margins'!O141)</f>
        <v>3235</v>
      </c>
      <c r="AS141" s="59">
        <f>IF(L141="AUD",P141*'Currency &amp; Conversion'!$L$7,'Wk - Margins'!P141)</f>
        <v>2028</v>
      </c>
    </row>
    <row r="142" ht="12.75" hidden="1" customHeight="1">
      <c r="A142" s="42" t="str">
        <f>'Input - Bookings'!A142</f>
        <v>26/06/2023</v>
      </c>
      <c r="B142" s="43" t="str">
        <f t="shared" si="1"/>
        <v>Asia</v>
      </c>
      <c r="C142" s="43" t="str">
        <f t="shared" si="2"/>
        <v>AKR</v>
      </c>
      <c r="D142" s="43" t="str">
        <f>'Input - Bookings'!D142</f>
        <v>A</v>
      </c>
      <c r="E142" s="43" t="str">
        <f>'Input - Bookings'!J142</f>
        <v>KR</v>
      </c>
      <c r="F142" s="44" t="str">
        <f>'Input - Bookings'!F142</f>
        <v>065</v>
      </c>
      <c r="G142" s="44" t="str">
        <f>'Input - Bookings'!I142</f>
        <v>HYSTER KOREA INC.</v>
      </c>
      <c r="H142" s="44" t="str">
        <f>'Input - Bookings'!K142</f>
        <v>H39452</v>
      </c>
      <c r="I142" s="45" t="str">
        <f>VLOOKUP(H142,'Input - Bookings'!$G$2:$H$611,2,0)</f>
        <v>081645</v>
      </c>
      <c r="J142" s="44" t="str">
        <f>'Input - Bookings'!N142</f>
        <v>A3B5</v>
      </c>
      <c r="K142" s="44" t="str">
        <f>'Input - Bookings'!O142</f>
        <v>P2.0UTE</v>
      </c>
      <c r="L142" s="44" t="str">
        <f>'Input - Bookings'!C142</f>
        <v>USD</v>
      </c>
      <c r="M142" s="46" t="str">
        <f t="array" ref="M142">IF(L142="USD",INDEX('AP Plants'!A:A,MATCH(J142,'AP Plants'!D:D,0)),INDEX('Australia Plants'!A:A,MATCH(J142,'Australia Plants'!D:D,0)))</f>
        <v>Ruyi</v>
      </c>
      <c r="N142" s="10">
        <v>1.0</v>
      </c>
      <c r="O142" s="9">
        <v>3235.0</v>
      </c>
      <c r="P142" s="9">
        <v>2028.0</v>
      </c>
      <c r="Q142" s="47">
        <v>0.1552369686268681</v>
      </c>
      <c r="R142" s="48">
        <f t="shared" si="3"/>
        <v>0.3731066461</v>
      </c>
      <c r="S142" s="49">
        <f t="shared" si="4"/>
        <v>0</v>
      </c>
      <c r="T142" s="49">
        <f t="shared" si="21"/>
        <v>0.1552369686</v>
      </c>
      <c r="U142" s="50" t="str">
        <f t="shared" si="6"/>
        <v>AOP</v>
      </c>
      <c r="V142" s="51">
        <f t="shared" si="28"/>
        <v>314.8205724</v>
      </c>
      <c r="W142" s="52">
        <f t="shared" si="8"/>
        <v>314.8205724</v>
      </c>
      <c r="X142" s="9">
        <f t="shared" si="25"/>
        <v>2028</v>
      </c>
      <c r="Y142" s="8"/>
      <c r="Z142" s="8"/>
      <c r="AA142" s="8"/>
      <c r="AB142" s="8" t="str">
        <f t="shared" si="10"/>
        <v>AKRH39452P2.0UTE</v>
      </c>
      <c r="AC142" s="8" t="str">
        <f>IF(AB142='Input - Bookings'!S135,"OK","Check")</f>
        <v>Check</v>
      </c>
      <c r="AD142" s="53"/>
      <c r="AE142" s="54"/>
      <c r="AF142" s="54"/>
      <c r="AG142" s="55"/>
      <c r="AH142" s="55"/>
      <c r="AI142" s="8" t="str">
        <f t="array" ref="AI142">XLOOKUP($J142,'AP Plants'!D:D,'AP Plants'!B:B)</f>
        <v>Class 3</v>
      </c>
      <c r="AJ142" s="56"/>
      <c r="AK142" s="56"/>
      <c r="AL142" s="49">
        <v>0.015</v>
      </c>
      <c r="AM142" s="49">
        <f t="array" ref="AM142">XLOOKUP($AI142,Warranty!B:B,Warranty!E:E)</f>
        <v>0.015</v>
      </c>
      <c r="AN142" s="8">
        <f>IF($L142="AUD",VLOOKUP(RIGHT('Wk - Margins'!$J142,3),'AU Freight'!C:G,5,0),0)</f>
        <v>0</v>
      </c>
      <c r="AO142" s="49">
        <f t="shared" si="11"/>
        <v>0</v>
      </c>
      <c r="AP142" s="57">
        <f t="shared" si="12"/>
        <v>0</v>
      </c>
      <c r="AQ142" s="58">
        <f t="shared" si="13"/>
        <v>1</v>
      </c>
      <c r="AR142" s="59">
        <f>IF(L142="AUD",O142*'Currency &amp; Conversion'!$L$7,'Wk - Margins'!O142)</f>
        <v>3235</v>
      </c>
      <c r="AS142" s="59">
        <f>IF(L142="AUD",P142*'Currency &amp; Conversion'!$L$7,'Wk - Margins'!P142)</f>
        <v>2028</v>
      </c>
    </row>
    <row r="143" ht="12.75" hidden="1" customHeight="1">
      <c r="A143" s="42" t="str">
        <f>'Input - Bookings'!A143</f>
        <v>27/06/2023</v>
      </c>
      <c r="B143" s="43" t="str">
        <f t="shared" si="1"/>
        <v>India</v>
      </c>
      <c r="C143" s="43" t="str">
        <f t="shared" si="2"/>
        <v>AIN</v>
      </c>
      <c r="D143" s="43" t="str">
        <f>'Input - Bookings'!D143</f>
        <v>A</v>
      </c>
      <c r="E143" s="43" t="str">
        <f>'Input - Bookings'!J143</f>
        <v>IN</v>
      </c>
      <c r="F143" s="44" t="str">
        <f>'Input - Bookings'!F143</f>
        <v>067</v>
      </c>
      <c r="G143" s="44" t="str">
        <f>'Input - Bookings'!I143</f>
        <v>ELECTROMECH LIFT TRUCKS</v>
      </c>
      <c r="H143" s="44" t="str">
        <f>'Input - Bookings'!K143</f>
        <v>H39480</v>
      </c>
      <c r="I143" s="45" t="str">
        <f>VLOOKUP(H143,'Input - Bookings'!$G$2:$H$611,2,0)</f>
        <v>880805</v>
      </c>
      <c r="J143" s="44" t="str">
        <f>'Input - Bookings'!N143</f>
        <v>A7R3</v>
      </c>
      <c r="K143" s="44" t="str">
        <f>'Input - Bookings'!O143</f>
        <v>MS15XUX</v>
      </c>
      <c r="L143" s="44" t="str">
        <f>'Input - Bookings'!C143</f>
        <v>USD</v>
      </c>
      <c r="M143" s="46" t="str">
        <f t="array" ref="M143">IF(L143="USD",INDEX('AP Plants'!A:A,MATCH(J143,'AP Plants'!D:D,0)),INDEX('Australia Plants'!A:A,MATCH(J143,'Australia Plants'!D:D,0)))</f>
        <v>Ruyi</v>
      </c>
      <c r="N143" s="10">
        <v>1.0</v>
      </c>
      <c r="O143" s="9">
        <v>11480.0</v>
      </c>
      <c r="P143" s="9">
        <v>6023.25</v>
      </c>
      <c r="Q143" s="47">
        <v>0.13615571106760882</v>
      </c>
      <c r="R143" s="48">
        <f t="shared" si="3"/>
        <v>0.4753266551</v>
      </c>
      <c r="S143" s="49">
        <f t="shared" si="4"/>
        <v>0</v>
      </c>
      <c r="T143" s="49">
        <f t="shared" si="21"/>
        <v>0.1361557111</v>
      </c>
      <c r="U143" s="50" t="str">
        <f t="shared" si="6"/>
        <v>AOP</v>
      </c>
      <c r="V143" s="51">
        <f t="shared" si="28"/>
        <v>820.0998867</v>
      </c>
      <c r="W143" s="52">
        <f t="shared" si="8"/>
        <v>820.0998867</v>
      </c>
      <c r="X143" s="9">
        <f t="shared" si="25"/>
        <v>6023.25</v>
      </c>
      <c r="Y143" s="8"/>
      <c r="Z143" s="8"/>
      <c r="AA143" s="8"/>
      <c r="AB143" s="8" t="str">
        <f t="shared" si="10"/>
        <v>AINH39480MS15XUX</v>
      </c>
      <c r="AC143" s="8" t="str">
        <f>IF(AB143='Input - Bookings'!S136,"OK","Check")</f>
        <v>Check</v>
      </c>
      <c r="AD143" s="53"/>
      <c r="AE143" s="54"/>
      <c r="AF143" s="54"/>
      <c r="AG143" s="55"/>
      <c r="AH143" s="55"/>
      <c r="AI143" s="8" t="str">
        <f t="array" ref="AI143">XLOOKUP($J143,'AP Plants'!D:D,'AP Plants'!B:B)</f>
        <v>Class 3</v>
      </c>
      <c r="AJ143" s="56"/>
      <c r="AK143" s="56"/>
      <c r="AL143" s="49">
        <v>0.015</v>
      </c>
      <c r="AM143" s="49">
        <f t="array" ref="AM143">XLOOKUP($AI143,Warranty!B:B,Warranty!E:E)</f>
        <v>0.015</v>
      </c>
      <c r="AN143" s="8">
        <f>IF($L143="AUD",VLOOKUP(RIGHT('Wk - Margins'!$J143,3),'AU Freight'!C:G,5,0),0)</f>
        <v>0</v>
      </c>
      <c r="AO143" s="49">
        <f t="shared" si="11"/>
        <v>0</v>
      </c>
      <c r="AP143" s="57">
        <f t="shared" si="12"/>
        <v>0</v>
      </c>
      <c r="AQ143" s="58">
        <f t="shared" si="13"/>
        <v>1</v>
      </c>
      <c r="AR143" s="59">
        <f>IF(L143="AUD",O143*'Currency &amp; Conversion'!$L$7,'Wk - Margins'!O143)</f>
        <v>11480</v>
      </c>
      <c r="AS143" s="59">
        <f>IF(L143="AUD",P143*'Currency &amp; Conversion'!$L$7,'Wk - Margins'!P143)</f>
        <v>6023.25</v>
      </c>
    </row>
    <row r="144" ht="12.75" hidden="1" customHeight="1">
      <c r="A144" s="42" t="str">
        <f>'Input - Bookings'!A144</f>
        <v>27/06/2023</v>
      </c>
      <c r="B144" s="43" t="str">
        <f t="shared" si="1"/>
        <v>India</v>
      </c>
      <c r="C144" s="43" t="str">
        <f t="shared" si="2"/>
        <v>AIN</v>
      </c>
      <c r="D144" s="43" t="str">
        <f>'Input - Bookings'!D144</f>
        <v>A</v>
      </c>
      <c r="E144" s="43" t="str">
        <f>'Input - Bookings'!J144</f>
        <v>IN</v>
      </c>
      <c r="F144" s="44" t="str">
        <f>'Input - Bookings'!F144</f>
        <v>067</v>
      </c>
      <c r="G144" s="44" t="str">
        <f>'Input - Bookings'!I144</f>
        <v>ELECTROMECH LIFT TRUCKS</v>
      </c>
      <c r="H144" s="44" t="str">
        <f>'Input - Bookings'!K144</f>
        <v>H39482</v>
      </c>
      <c r="I144" s="45" t="str">
        <f>VLOOKUP(H144,'Input - Bookings'!$G$2:$H$611,2,0)</f>
        <v>880805</v>
      </c>
      <c r="J144" s="44" t="str">
        <f>'Input - Bookings'!N144</f>
        <v>A7R3</v>
      </c>
      <c r="K144" s="44" t="str">
        <f>'Input - Bookings'!O144</f>
        <v>MS15XUX</v>
      </c>
      <c r="L144" s="44" t="str">
        <f>'Input - Bookings'!C144</f>
        <v>USD</v>
      </c>
      <c r="M144" s="46" t="str">
        <f t="array" ref="M144">IF(L144="USD",INDEX('AP Plants'!A:A,MATCH(J144,'AP Plants'!D:D,0)),INDEX('Australia Plants'!A:A,MATCH(J144,'Australia Plants'!D:D,0)))</f>
        <v>Ruyi</v>
      </c>
      <c r="N144" s="10">
        <v>1.0</v>
      </c>
      <c r="O144" s="9">
        <v>11480.0</v>
      </c>
      <c r="P144" s="9">
        <v>6023.25</v>
      </c>
      <c r="Q144" s="47">
        <v>0.13615571106760882</v>
      </c>
      <c r="R144" s="48">
        <f t="shared" si="3"/>
        <v>0.4753266551</v>
      </c>
      <c r="S144" s="49">
        <f t="shared" si="4"/>
        <v>0</v>
      </c>
      <c r="T144" s="49">
        <f t="shared" si="21"/>
        <v>0.1361557111</v>
      </c>
      <c r="U144" s="50" t="str">
        <f t="shared" si="6"/>
        <v>AOP</v>
      </c>
      <c r="V144" s="51">
        <f t="shared" si="28"/>
        <v>820.0998867</v>
      </c>
      <c r="W144" s="52">
        <f t="shared" si="8"/>
        <v>820.0998867</v>
      </c>
      <c r="X144" s="9">
        <f t="shared" si="25"/>
        <v>6023.25</v>
      </c>
      <c r="Y144" s="8"/>
      <c r="Z144" s="8"/>
      <c r="AA144" s="8"/>
      <c r="AB144" s="8" t="str">
        <f t="shared" si="10"/>
        <v>AINH39482MS15XUX</v>
      </c>
      <c r="AC144" s="8" t="str">
        <f>IF(AB144='Input - Bookings'!S137,"OK","Check")</f>
        <v>Check</v>
      </c>
      <c r="AD144" s="53"/>
      <c r="AE144" s="54"/>
      <c r="AF144" s="54"/>
      <c r="AG144" s="55"/>
      <c r="AH144" s="55"/>
      <c r="AI144" s="8" t="str">
        <f t="array" ref="AI144">XLOOKUP($J144,'AP Plants'!D:D,'AP Plants'!B:B)</f>
        <v>Class 3</v>
      </c>
      <c r="AJ144" s="56"/>
      <c r="AK144" s="56"/>
      <c r="AL144" s="49">
        <v>0.015</v>
      </c>
      <c r="AM144" s="49">
        <f t="array" ref="AM144">XLOOKUP($AI144,Warranty!B:B,Warranty!E:E)</f>
        <v>0.015</v>
      </c>
      <c r="AN144" s="8">
        <f>IF($L144="AUD",VLOOKUP(RIGHT('Wk - Margins'!$J144,3),'AU Freight'!C:G,5,0),0)</f>
        <v>0</v>
      </c>
      <c r="AO144" s="49">
        <f t="shared" si="11"/>
        <v>0</v>
      </c>
      <c r="AP144" s="57">
        <f t="shared" si="12"/>
        <v>0</v>
      </c>
      <c r="AQ144" s="58">
        <f t="shared" si="13"/>
        <v>1</v>
      </c>
      <c r="AR144" s="59">
        <f>IF(L144="AUD",O144*'Currency &amp; Conversion'!$L$7,'Wk - Margins'!O144)</f>
        <v>11480</v>
      </c>
      <c r="AS144" s="59">
        <f>IF(L144="AUD",P144*'Currency &amp; Conversion'!$L$7,'Wk - Margins'!P144)</f>
        <v>6023.25</v>
      </c>
    </row>
    <row r="145" ht="12.75" hidden="1" customHeight="1">
      <c r="A145" s="42" t="str">
        <f>'Input - Bookings'!A145</f>
        <v>27/06/2023</v>
      </c>
      <c r="B145" s="43" t="str">
        <f t="shared" si="1"/>
        <v>India</v>
      </c>
      <c r="C145" s="43" t="str">
        <f t="shared" si="2"/>
        <v>AIN</v>
      </c>
      <c r="D145" s="43" t="str">
        <f>'Input - Bookings'!D145</f>
        <v>A</v>
      </c>
      <c r="E145" s="43" t="str">
        <f>'Input - Bookings'!J145</f>
        <v>IN</v>
      </c>
      <c r="F145" s="44" t="str">
        <f>'Input - Bookings'!F145</f>
        <v>067</v>
      </c>
      <c r="G145" s="44" t="str">
        <f>'Input - Bookings'!I145</f>
        <v>ELECTROMECH LIFT TRUCKS</v>
      </c>
      <c r="H145" s="44" t="str">
        <f>'Input - Bookings'!K145</f>
        <v>H39483</v>
      </c>
      <c r="I145" s="45" t="str">
        <f>VLOOKUP(H145,'Input - Bookings'!$G$2:$H$611,2,0)</f>
        <v>880805</v>
      </c>
      <c r="J145" s="44" t="str">
        <f>'Input - Bookings'!N145</f>
        <v>A7R3</v>
      </c>
      <c r="K145" s="44" t="str">
        <f>'Input - Bookings'!O145</f>
        <v>MS15XUX</v>
      </c>
      <c r="L145" s="44" t="str">
        <f>'Input - Bookings'!C145</f>
        <v>USD</v>
      </c>
      <c r="M145" s="46" t="str">
        <f t="array" ref="M145">IF(L145="USD",INDEX('AP Plants'!A:A,MATCH(J145,'AP Plants'!D:D,0)),INDEX('Australia Plants'!A:A,MATCH(J145,'Australia Plants'!D:D,0)))</f>
        <v>Ruyi</v>
      </c>
      <c r="N145" s="10">
        <v>1.0</v>
      </c>
      <c r="O145" s="9">
        <v>11480.0</v>
      </c>
      <c r="P145" s="9">
        <v>6023.25</v>
      </c>
      <c r="Q145" s="47">
        <v>0.13615571106760882</v>
      </c>
      <c r="R145" s="48">
        <f t="shared" si="3"/>
        <v>0.4753266551</v>
      </c>
      <c r="S145" s="49">
        <f t="shared" si="4"/>
        <v>0</v>
      </c>
      <c r="T145" s="49">
        <f t="shared" si="21"/>
        <v>0.1361557111</v>
      </c>
      <c r="U145" s="50" t="str">
        <f t="shared" si="6"/>
        <v>AOP</v>
      </c>
      <c r="V145" s="51">
        <f t="shared" si="28"/>
        <v>820.0998867</v>
      </c>
      <c r="W145" s="52">
        <f t="shared" si="8"/>
        <v>820.0998867</v>
      </c>
      <c r="X145" s="9">
        <f t="shared" si="25"/>
        <v>6023.25</v>
      </c>
      <c r="Y145" s="8"/>
      <c r="Z145" s="8"/>
      <c r="AA145" s="8"/>
      <c r="AB145" s="8" t="str">
        <f t="shared" si="10"/>
        <v>AINH39483MS15XUX</v>
      </c>
      <c r="AC145" s="8" t="str">
        <f>IF(AB145='Input - Bookings'!S138,"OK","Check")</f>
        <v>Check</v>
      </c>
      <c r="AD145" s="53"/>
      <c r="AE145" s="54"/>
      <c r="AF145" s="54"/>
      <c r="AG145" s="55"/>
      <c r="AH145" s="55"/>
      <c r="AI145" s="8" t="str">
        <f t="array" ref="AI145">XLOOKUP($J145,'AP Plants'!D:D,'AP Plants'!B:B)</f>
        <v>Class 3</v>
      </c>
      <c r="AJ145" s="56"/>
      <c r="AK145" s="56"/>
      <c r="AL145" s="49">
        <v>0.015</v>
      </c>
      <c r="AM145" s="49">
        <f t="array" ref="AM145">XLOOKUP($AI145,Warranty!B:B,Warranty!E:E)</f>
        <v>0.015</v>
      </c>
      <c r="AN145" s="8">
        <f>IF($L145="AUD",VLOOKUP(RIGHT('Wk - Margins'!$J145,3),'AU Freight'!C:G,5,0),0)</f>
        <v>0</v>
      </c>
      <c r="AO145" s="49">
        <f t="shared" si="11"/>
        <v>0</v>
      </c>
      <c r="AP145" s="57">
        <f t="shared" si="12"/>
        <v>0</v>
      </c>
      <c r="AQ145" s="58">
        <f t="shared" si="13"/>
        <v>1</v>
      </c>
      <c r="AR145" s="59">
        <f>IF(L145="AUD",O145*'Currency &amp; Conversion'!$L$7,'Wk - Margins'!O145)</f>
        <v>11480</v>
      </c>
      <c r="AS145" s="59">
        <f>IF(L145="AUD",P145*'Currency &amp; Conversion'!$L$7,'Wk - Margins'!P145)</f>
        <v>6023.25</v>
      </c>
    </row>
    <row r="146" ht="12.75" hidden="1" customHeight="1">
      <c r="A146" s="42" t="str">
        <f>'Input - Bookings'!A146</f>
        <v>27/06/2023</v>
      </c>
      <c r="B146" s="43" t="str">
        <f t="shared" si="1"/>
        <v>India</v>
      </c>
      <c r="C146" s="43" t="str">
        <f t="shared" si="2"/>
        <v>AIN</v>
      </c>
      <c r="D146" s="43" t="str">
        <f>'Input - Bookings'!D146</f>
        <v>A</v>
      </c>
      <c r="E146" s="43" t="str">
        <f>'Input - Bookings'!J146</f>
        <v>IN</v>
      </c>
      <c r="F146" s="44" t="str">
        <f>'Input - Bookings'!F146</f>
        <v>067</v>
      </c>
      <c r="G146" s="44" t="str">
        <f>'Input - Bookings'!I146</f>
        <v>ELECTROMECH LIFT TRUCKS</v>
      </c>
      <c r="H146" s="44" t="str">
        <f>'Input - Bookings'!K146</f>
        <v>H39481</v>
      </c>
      <c r="I146" s="45" t="str">
        <f>VLOOKUP(H146,'Input - Bookings'!$G$2:$H$611,2,0)</f>
        <v>880805</v>
      </c>
      <c r="J146" s="44" t="str">
        <f>'Input - Bookings'!N146</f>
        <v>A7R3</v>
      </c>
      <c r="K146" s="44" t="str">
        <f>'Input - Bookings'!O146</f>
        <v>MS15XUX</v>
      </c>
      <c r="L146" s="44" t="str">
        <f>'Input - Bookings'!C146</f>
        <v>USD</v>
      </c>
      <c r="M146" s="46" t="str">
        <f t="array" ref="M146">IF(L146="USD",INDEX('AP Plants'!A:A,MATCH(J146,'AP Plants'!D:D,0)),INDEX('Australia Plants'!A:A,MATCH(J146,'Australia Plants'!D:D,0)))</f>
        <v>Ruyi</v>
      </c>
      <c r="N146" s="10">
        <v>1.0</v>
      </c>
      <c r="O146" s="9">
        <v>11605.0</v>
      </c>
      <c r="P146" s="9">
        <v>6139.25</v>
      </c>
      <c r="Q146" s="47">
        <v>0.13944891514546232</v>
      </c>
      <c r="R146" s="48">
        <f t="shared" si="3"/>
        <v>0.4709823352</v>
      </c>
      <c r="S146" s="49">
        <f t="shared" si="4"/>
        <v>0</v>
      </c>
      <c r="T146" s="49">
        <f t="shared" si="21"/>
        <v>0.1394489151</v>
      </c>
      <c r="U146" s="50" t="str">
        <f t="shared" si="6"/>
        <v>AOP</v>
      </c>
      <c r="V146" s="51">
        <f t="shared" si="28"/>
        <v>856.1117523</v>
      </c>
      <c r="W146" s="52">
        <f t="shared" si="8"/>
        <v>856.1117523</v>
      </c>
      <c r="X146" s="9">
        <f t="shared" si="25"/>
        <v>6139.25</v>
      </c>
      <c r="Y146" s="8"/>
      <c r="Z146" s="8"/>
      <c r="AA146" s="8"/>
      <c r="AB146" s="8" t="str">
        <f t="shared" si="10"/>
        <v>AINH39481MS15XUX</v>
      </c>
      <c r="AC146" s="8" t="str">
        <f>IF(AB146='Input - Bookings'!S139,"OK","Check")</f>
        <v>Check</v>
      </c>
      <c r="AD146" s="53"/>
      <c r="AE146" s="54"/>
      <c r="AF146" s="54"/>
      <c r="AG146" s="55"/>
      <c r="AH146" s="55"/>
      <c r="AI146" s="8" t="str">
        <f t="array" ref="AI146">XLOOKUP($J146,'AP Plants'!D:D,'AP Plants'!B:B)</f>
        <v>Class 3</v>
      </c>
      <c r="AJ146" s="56"/>
      <c r="AK146" s="56"/>
      <c r="AL146" s="49">
        <v>0.015</v>
      </c>
      <c r="AM146" s="49">
        <f t="array" ref="AM146">XLOOKUP($AI146,Warranty!B:B,Warranty!E:E)</f>
        <v>0.015</v>
      </c>
      <c r="AN146" s="8">
        <f>IF($L146="AUD",VLOOKUP(RIGHT('Wk - Margins'!$J146,3),'AU Freight'!C:G,5,0),0)</f>
        <v>0</v>
      </c>
      <c r="AO146" s="49">
        <f t="shared" si="11"/>
        <v>0</v>
      </c>
      <c r="AP146" s="57">
        <f t="shared" si="12"/>
        <v>0</v>
      </c>
      <c r="AQ146" s="58">
        <f t="shared" si="13"/>
        <v>1</v>
      </c>
      <c r="AR146" s="59">
        <f>IF(L146="AUD",O146*'Currency &amp; Conversion'!$L$7,'Wk - Margins'!O146)</f>
        <v>11605</v>
      </c>
      <c r="AS146" s="59">
        <f>IF(L146="AUD",P146*'Currency &amp; Conversion'!$L$7,'Wk - Margins'!P146)</f>
        <v>6139.25</v>
      </c>
    </row>
    <row r="147" ht="12.75" hidden="1" customHeight="1">
      <c r="A147" s="42" t="str">
        <f>'Input - Bookings'!A147</f>
        <v>27/06/2023</v>
      </c>
      <c r="B147" s="43" t="str">
        <f t="shared" si="1"/>
        <v>India</v>
      </c>
      <c r="C147" s="43" t="str">
        <f t="shared" si="2"/>
        <v>AIN</v>
      </c>
      <c r="D147" s="43" t="str">
        <f>'Input - Bookings'!D147</f>
        <v>A</v>
      </c>
      <c r="E147" s="43" t="str">
        <f>'Input - Bookings'!J147</f>
        <v>IN</v>
      </c>
      <c r="F147" s="44" t="str">
        <f>'Input - Bookings'!F147</f>
        <v>067</v>
      </c>
      <c r="G147" s="44" t="str">
        <f>'Input - Bookings'!I147</f>
        <v>ELECTROMECH LIFT TRUCKS</v>
      </c>
      <c r="H147" s="44" t="str">
        <f>'Input - Bookings'!K147</f>
        <v>H39484</v>
      </c>
      <c r="I147" s="45" t="str">
        <f>VLOOKUP(H147,'Input - Bookings'!$G$2:$H$611,2,0)</f>
        <v>880805</v>
      </c>
      <c r="J147" s="44" t="str">
        <f>'Input - Bookings'!N147</f>
        <v>A7R3</v>
      </c>
      <c r="K147" s="44" t="str">
        <f>'Input - Bookings'!O147</f>
        <v>MS15XUX</v>
      </c>
      <c r="L147" s="44" t="str">
        <f>'Input - Bookings'!C147</f>
        <v>USD</v>
      </c>
      <c r="M147" s="46" t="str">
        <f t="array" ref="M147">IF(L147="USD",INDEX('AP Plants'!A:A,MATCH(J147,'AP Plants'!D:D,0)),INDEX('Australia Plants'!A:A,MATCH(J147,'Australia Plants'!D:D,0)))</f>
        <v>Ruyi</v>
      </c>
      <c r="N147" s="10">
        <v>1.0</v>
      </c>
      <c r="O147" s="9">
        <v>11605.0</v>
      </c>
      <c r="P147" s="9">
        <v>6139.25</v>
      </c>
      <c r="Q147" s="47">
        <v>0.13944891514546232</v>
      </c>
      <c r="R147" s="48">
        <f t="shared" si="3"/>
        <v>0.4709823352</v>
      </c>
      <c r="S147" s="49">
        <f t="shared" si="4"/>
        <v>0</v>
      </c>
      <c r="T147" s="49">
        <f t="shared" si="21"/>
        <v>0.1394489151</v>
      </c>
      <c r="U147" s="50" t="str">
        <f t="shared" si="6"/>
        <v>AOP</v>
      </c>
      <c r="V147" s="51">
        <f t="shared" si="28"/>
        <v>856.1117523</v>
      </c>
      <c r="W147" s="52">
        <f t="shared" si="8"/>
        <v>856.1117523</v>
      </c>
      <c r="X147" s="9">
        <f t="shared" si="25"/>
        <v>6139.25</v>
      </c>
      <c r="Y147" s="8"/>
      <c r="Z147" s="8"/>
      <c r="AA147" s="8"/>
      <c r="AB147" s="8" t="str">
        <f t="shared" si="10"/>
        <v>AINH39484MS15XUX</v>
      </c>
      <c r="AC147" s="8" t="str">
        <f>IF(AB147='Input - Bookings'!S140,"OK","Check")</f>
        <v>Check</v>
      </c>
      <c r="AD147" s="53"/>
      <c r="AE147" s="54"/>
      <c r="AF147" s="54"/>
      <c r="AG147" s="55"/>
      <c r="AH147" s="55"/>
      <c r="AI147" s="8" t="str">
        <f t="array" ref="AI147">XLOOKUP($J147,'AP Plants'!D:D,'AP Plants'!B:B)</f>
        <v>Class 3</v>
      </c>
      <c r="AJ147" s="56"/>
      <c r="AK147" s="56"/>
      <c r="AL147" s="49">
        <v>0.015</v>
      </c>
      <c r="AM147" s="49">
        <f t="array" ref="AM147">XLOOKUP($AI147,Warranty!B:B,Warranty!E:E)</f>
        <v>0.015</v>
      </c>
      <c r="AN147" s="8">
        <f>IF($L147="AUD",VLOOKUP(RIGHT('Wk - Margins'!$J147,3),'AU Freight'!C:G,5,0),0)</f>
        <v>0</v>
      </c>
      <c r="AO147" s="49">
        <f t="shared" si="11"/>
        <v>0</v>
      </c>
      <c r="AP147" s="57">
        <f t="shared" si="12"/>
        <v>0</v>
      </c>
      <c r="AQ147" s="58">
        <f t="shared" si="13"/>
        <v>1</v>
      </c>
      <c r="AR147" s="59">
        <f>IF(L147="AUD",O147*'Currency &amp; Conversion'!$L$7,'Wk - Margins'!O147)</f>
        <v>11605</v>
      </c>
      <c r="AS147" s="59">
        <f>IF(L147="AUD",P147*'Currency &amp; Conversion'!$L$7,'Wk - Margins'!P147)</f>
        <v>6139.25</v>
      </c>
    </row>
    <row r="148" ht="12.75" hidden="1" customHeight="1">
      <c r="A148" s="42" t="str">
        <f>'Input - Bookings'!A148</f>
        <v>27/06/2023</v>
      </c>
      <c r="B148" s="43" t="str">
        <f t="shared" si="1"/>
        <v>India</v>
      </c>
      <c r="C148" s="43" t="str">
        <f t="shared" si="2"/>
        <v>AIN</v>
      </c>
      <c r="D148" s="43" t="str">
        <f>'Input - Bookings'!D148</f>
        <v>A</v>
      </c>
      <c r="E148" s="43" t="str">
        <f>'Input - Bookings'!J148</f>
        <v>IN</v>
      </c>
      <c r="F148" s="44" t="str">
        <f>'Input - Bookings'!F148</f>
        <v>067</v>
      </c>
      <c r="G148" s="44" t="str">
        <f>'Input - Bookings'!I148</f>
        <v>ELECTROMECH LIFT TRUCKS</v>
      </c>
      <c r="H148" s="44" t="str">
        <f>'Input - Bookings'!K148</f>
        <v>H39489</v>
      </c>
      <c r="I148" s="45" t="str">
        <f>VLOOKUP(H148,'Input - Bookings'!$G$2:$H$611,2,0)</f>
        <v>880805</v>
      </c>
      <c r="J148" s="44" t="str">
        <f>'Input - Bookings'!N148</f>
        <v>A7R1</v>
      </c>
      <c r="K148" s="44" t="str">
        <f>'Input - Bookings'!O148</f>
        <v>MP20XUX</v>
      </c>
      <c r="L148" s="44" t="str">
        <f>'Input - Bookings'!C148</f>
        <v>USD</v>
      </c>
      <c r="M148" s="46" t="str">
        <f t="array" ref="M148">IF(L148="USD",INDEX('AP Plants'!A:A,MATCH(J148,'AP Plants'!D:D,0)),INDEX('Australia Plants'!A:A,MATCH(J148,'Australia Plants'!D:D,0)))</f>
        <v>Ruyi</v>
      </c>
      <c r="N148" s="10">
        <v>1.0</v>
      </c>
      <c r="O148" s="9">
        <v>5810.0</v>
      </c>
      <c r="P148" s="9">
        <v>2963.2</v>
      </c>
      <c r="Q148" s="47">
        <v>0.07183795793381109</v>
      </c>
      <c r="R148" s="48">
        <f t="shared" si="3"/>
        <v>0.4899827883</v>
      </c>
      <c r="S148" s="49">
        <f t="shared" si="4"/>
        <v>0</v>
      </c>
      <c r="T148" s="49">
        <f t="shared" si="21"/>
        <v>0.07183795793</v>
      </c>
      <c r="U148" s="50" t="str">
        <f t="shared" si="6"/>
        <v>AOP</v>
      </c>
      <c r="V148" s="51">
        <f t="shared" si="28"/>
        <v>212.8702369</v>
      </c>
      <c r="W148" s="52">
        <f t="shared" si="8"/>
        <v>212.8702369</v>
      </c>
      <c r="X148" s="9">
        <f t="shared" si="25"/>
        <v>2963.2</v>
      </c>
      <c r="Y148" s="8"/>
      <c r="Z148" s="8"/>
      <c r="AA148" s="8"/>
      <c r="AB148" s="8" t="str">
        <f t="shared" si="10"/>
        <v>AINH39489MP20XUX</v>
      </c>
      <c r="AC148" s="8" t="str">
        <f>IF(AB148='Input - Bookings'!S141,"OK","Check")</f>
        <v>Check</v>
      </c>
      <c r="AD148" s="53"/>
      <c r="AE148" s="54"/>
      <c r="AF148" s="54"/>
      <c r="AG148" s="55"/>
      <c r="AH148" s="55"/>
      <c r="AI148" s="8" t="str">
        <f t="array" ref="AI148">XLOOKUP($J148,'AP Plants'!D:D,'AP Plants'!B:B)</f>
        <v>Class 3</v>
      </c>
      <c r="AJ148" s="56"/>
      <c r="AK148" s="56"/>
      <c r="AL148" s="49">
        <v>0.015</v>
      </c>
      <c r="AM148" s="49">
        <f t="array" ref="AM148">XLOOKUP($AI148,Warranty!B:B,Warranty!E:E)</f>
        <v>0.015</v>
      </c>
      <c r="AN148" s="8">
        <f>IF($L148="AUD",VLOOKUP(RIGHT('Wk - Margins'!$J148,3),'AU Freight'!C:G,5,0),0)</f>
        <v>0</v>
      </c>
      <c r="AO148" s="49">
        <f t="shared" si="11"/>
        <v>0</v>
      </c>
      <c r="AP148" s="57">
        <f t="shared" si="12"/>
        <v>0</v>
      </c>
      <c r="AQ148" s="58">
        <f t="shared" si="13"/>
        <v>1</v>
      </c>
      <c r="AR148" s="59">
        <f>IF(L148="AUD",O148*'Currency &amp; Conversion'!$L$7,'Wk - Margins'!O148)</f>
        <v>5810</v>
      </c>
      <c r="AS148" s="59">
        <f>IF(L148="AUD",P148*'Currency &amp; Conversion'!$L$7,'Wk - Margins'!P148)</f>
        <v>2963.2</v>
      </c>
    </row>
    <row r="149" ht="12.75" hidden="1" customHeight="1">
      <c r="A149" s="42" t="str">
        <f>'Input - Bookings'!A149</f>
        <v>27/06/2023</v>
      </c>
      <c r="B149" s="43" t="str">
        <f t="shared" si="1"/>
        <v>India</v>
      </c>
      <c r="C149" s="43" t="str">
        <f t="shared" si="2"/>
        <v>AIN</v>
      </c>
      <c r="D149" s="43" t="str">
        <f>'Input - Bookings'!D149</f>
        <v>A</v>
      </c>
      <c r="E149" s="43" t="str">
        <f>'Input - Bookings'!J149</f>
        <v>IN</v>
      </c>
      <c r="F149" s="44" t="str">
        <f>'Input - Bookings'!F149</f>
        <v>067</v>
      </c>
      <c r="G149" s="44" t="str">
        <f>'Input - Bookings'!I149</f>
        <v>ELECTROMECH LIFT TRUCKS</v>
      </c>
      <c r="H149" s="44" t="str">
        <f>'Input - Bookings'!K149</f>
        <v>H39490</v>
      </c>
      <c r="I149" s="45" t="str">
        <f>VLOOKUP(H149,'Input - Bookings'!$G$2:$H$611,2,0)</f>
        <v>880805</v>
      </c>
      <c r="J149" s="44" t="str">
        <f>'Input - Bookings'!N149</f>
        <v>A7R1</v>
      </c>
      <c r="K149" s="44" t="str">
        <f>'Input - Bookings'!O149</f>
        <v>MP20XUX</v>
      </c>
      <c r="L149" s="44" t="str">
        <f>'Input - Bookings'!C149</f>
        <v>USD</v>
      </c>
      <c r="M149" s="46" t="str">
        <f t="array" ref="M149">IF(L149="USD",INDEX('AP Plants'!A:A,MATCH(J149,'AP Plants'!D:D,0)),INDEX('Australia Plants'!A:A,MATCH(J149,'Australia Plants'!D:D,0)))</f>
        <v>Ruyi</v>
      </c>
      <c r="N149" s="10">
        <v>1.0</v>
      </c>
      <c r="O149" s="9">
        <v>5810.0</v>
      </c>
      <c r="P149" s="9">
        <v>2963.2</v>
      </c>
      <c r="Q149" s="47">
        <v>0.07183795793381109</v>
      </c>
      <c r="R149" s="48">
        <f t="shared" si="3"/>
        <v>0.4899827883</v>
      </c>
      <c r="S149" s="49">
        <f t="shared" si="4"/>
        <v>0</v>
      </c>
      <c r="T149" s="49">
        <f t="shared" si="21"/>
        <v>0.07183795793</v>
      </c>
      <c r="U149" s="50" t="str">
        <f t="shared" si="6"/>
        <v>AOP</v>
      </c>
      <c r="V149" s="51">
        <f t="shared" si="28"/>
        <v>212.8702369</v>
      </c>
      <c r="W149" s="52">
        <f t="shared" si="8"/>
        <v>212.8702369</v>
      </c>
      <c r="X149" s="9">
        <f t="shared" si="25"/>
        <v>2963.2</v>
      </c>
      <c r="Y149" s="8"/>
      <c r="Z149" s="8"/>
      <c r="AA149" s="8"/>
      <c r="AB149" s="8" t="str">
        <f t="shared" si="10"/>
        <v>AINH39490MP20XUX</v>
      </c>
      <c r="AC149" s="8" t="str">
        <f>IF(AB149='Input - Bookings'!S142,"OK","Check")</f>
        <v>Check</v>
      </c>
      <c r="AD149" s="53"/>
      <c r="AE149" s="54"/>
      <c r="AF149" s="54"/>
      <c r="AG149" s="55"/>
      <c r="AH149" s="55"/>
      <c r="AI149" s="8" t="str">
        <f t="array" ref="AI149">XLOOKUP($J149,'AP Plants'!D:D,'AP Plants'!B:B)</f>
        <v>Class 3</v>
      </c>
      <c r="AJ149" s="56"/>
      <c r="AK149" s="56"/>
      <c r="AL149" s="49">
        <v>0.015</v>
      </c>
      <c r="AM149" s="49">
        <f t="array" ref="AM149">XLOOKUP($AI149,Warranty!B:B,Warranty!E:E)</f>
        <v>0.015</v>
      </c>
      <c r="AN149" s="8">
        <f>IF($L149="AUD",VLOOKUP(RIGHT('Wk - Margins'!$J149,3),'AU Freight'!C:G,5,0),0)</f>
        <v>0</v>
      </c>
      <c r="AO149" s="49">
        <f t="shared" si="11"/>
        <v>0</v>
      </c>
      <c r="AP149" s="57">
        <f t="shared" si="12"/>
        <v>0</v>
      </c>
      <c r="AQ149" s="58">
        <f t="shared" si="13"/>
        <v>1</v>
      </c>
      <c r="AR149" s="59">
        <f>IF(L149="AUD",O149*'Currency &amp; Conversion'!$L$7,'Wk - Margins'!O149)</f>
        <v>5810</v>
      </c>
      <c r="AS149" s="59">
        <f>IF(L149="AUD",P149*'Currency &amp; Conversion'!$L$7,'Wk - Margins'!P149)</f>
        <v>2963.2</v>
      </c>
    </row>
    <row r="150" ht="12.75" hidden="1" customHeight="1">
      <c r="A150" s="42" t="str">
        <f>'Input - Bookings'!A150</f>
        <v>27/06/2023</v>
      </c>
      <c r="B150" s="43" t="str">
        <f t="shared" si="1"/>
        <v>India</v>
      </c>
      <c r="C150" s="43" t="str">
        <f t="shared" si="2"/>
        <v>AIN</v>
      </c>
      <c r="D150" s="43" t="str">
        <f>'Input - Bookings'!D150</f>
        <v>A</v>
      </c>
      <c r="E150" s="43" t="str">
        <f>'Input - Bookings'!J150</f>
        <v>IN</v>
      </c>
      <c r="F150" s="44" t="str">
        <f>'Input - Bookings'!F150</f>
        <v>067</v>
      </c>
      <c r="G150" s="44" t="str">
        <f>'Input - Bookings'!I150</f>
        <v>ELECTROMECH LIFT TRUCKS</v>
      </c>
      <c r="H150" s="44" t="str">
        <f>'Input - Bookings'!K150</f>
        <v>H39491</v>
      </c>
      <c r="I150" s="45" t="str">
        <f>VLOOKUP(H150,'Input - Bookings'!$G$2:$H$611,2,0)</f>
        <v>880805</v>
      </c>
      <c r="J150" s="44" t="str">
        <f>'Input - Bookings'!N150</f>
        <v>A7R1</v>
      </c>
      <c r="K150" s="44" t="str">
        <f>'Input - Bookings'!O150</f>
        <v>MP20XUX</v>
      </c>
      <c r="L150" s="44" t="str">
        <f>'Input - Bookings'!C150</f>
        <v>USD</v>
      </c>
      <c r="M150" s="46" t="str">
        <f t="array" ref="M150">IF(L150="USD",INDEX('AP Plants'!A:A,MATCH(J150,'AP Plants'!D:D,0)),INDEX('Australia Plants'!A:A,MATCH(J150,'Australia Plants'!D:D,0)))</f>
        <v>Ruyi</v>
      </c>
      <c r="N150" s="10">
        <v>1.0</v>
      </c>
      <c r="O150" s="9">
        <v>5810.0</v>
      </c>
      <c r="P150" s="9">
        <v>2963.2</v>
      </c>
      <c r="Q150" s="47">
        <v>0.07183795793381109</v>
      </c>
      <c r="R150" s="48">
        <f t="shared" si="3"/>
        <v>0.4899827883</v>
      </c>
      <c r="S150" s="49">
        <f t="shared" si="4"/>
        <v>0</v>
      </c>
      <c r="T150" s="49">
        <f t="shared" si="21"/>
        <v>0.07183795793</v>
      </c>
      <c r="U150" s="50" t="str">
        <f t="shared" si="6"/>
        <v>AOP</v>
      </c>
      <c r="V150" s="51">
        <f t="shared" si="28"/>
        <v>212.8702369</v>
      </c>
      <c r="W150" s="52">
        <f t="shared" si="8"/>
        <v>212.8702369</v>
      </c>
      <c r="X150" s="9">
        <f t="shared" si="25"/>
        <v>2963.2</v>
      </c>
      <c r="Y150" s="8"/>
      <c r="Z150" s="8"/>
      <c r="AA150" s="8"/>
      <c r="AB150" s="8" t="str">
        <f t="shared" si="10"/>
        <v>AINH39491MP20XUX</v>
      </c>
      <c r="AC150" s="8" t="str">
        <f>IF(AB150='Input - Bookings'!S143,"OK","Check")</f>
        <v>Check</v>
      </c>
      <c r="AD150" s="53"/>
      <c r="AE150" s="54"/>
      <c r="AF150" s="54"/>
      <c r="AG150" s="55"/>
      <c r="AH150" s="55"/>
      <c r="AI150" s="8" t="str">
        <f t="array" ref="AI150">XLOOKUP($J150,'AP Plants'!D:D,'AP Plants'!B:B)</f>
        <v>Class 3</v>
      </c>
      <c r="AJ150" s="56"/>
      <c r="AK150" s="56"/>
      <c r="AL150" s="49">
        <v>0.015</v>
      </c>
      <c r="AM150" s="49">
        <f t="array" ref="AM150">XLOOKUP($AI150,Warranty!B:B,Warranty!E:E)</f>
        <v>0.015</v>
      </c>
      <c r="AN150" s="8">
        <f>IF($L150="AUD",VLOOKUP(RIGHT('Wk - Margins'!$J150,3),'AU Freight'!C:G,5,0),0)</f>
        <v>0</v>
      </c>
      <c r="AO150" s="49">
        <f t="shared" si="11"/>
        <v>0</v>
      </c>
      <c r="AP150" s="57">
        <f t="shared" si="12"/>
        <v>0</v>
      </c>
      <c r="AQ150" s="58">
        <f t="shared" si="13"/>
        <v>1</v>
      </c>
      <c r="AR150" s="59">
        <f>IF(L150="AUD",O150*'Currency &amp; Conversion'!$L$7,'Wk - Margins'!O150)</f>
        <v>5810</v>
      </c>
      <c r="AS150" s="59">
        <f>IF(L150="AUD",P150*'Currency &amp; Conversion'!$L$7,'Wk - Margins'!P150)</f>
        <v>2963.2</v>
      </c>
    </row>
    <row r="151" ht="12.75" hidden="1" customHeight="1">
      <c r="A151" s="42" t="str">
        <f>'Input - Bookings'!A151</f>
        <v>27/06/2023</v>
      </c>
      <c r="B151" s="43" t="str">
        <f t="shared" si="1"/>
        <v>India</v>
      </c>
      <c r="C151" s="43" t="str">
        <f t="shared" si="2"/>
        <v>AIN</v>
      </c>
      <c r="D151" s="43" t="str">
        <f>'Input - Bookings'!D151</f>
        <v>A</v>
      </c>
      <c r="E151" s="43" t="str">
        <f>'Input - Bookings'!J151</f>
        <v>IN</v>
      </c>
      <c r="F151" s="44" t="str">
        <f>'Input - Bookings'!F151</f>
        <v>067</v>
      </c>
      <c r="G151" s="44" t="str">
        <f>'Input - Bookings'!I151</f>
        <v>ELECTROMECH LIFT TRUCKS</v>
      </c>
      <c r="H151" s="44" t="str">
        <f>'Input - Bookings'!K151</f>
        <v>H39492</v>
      </c>
      <c r="I151" s="45" t="str">
        <f>VLOOKUP(H151,'Input - Bookings'!$G$2:$H$611,2,0)</f>
        <v>880805</v>
      </c>
      <c r="J151" s="44" t="str">
        <f>'Input - Bookings'!N151</f>
        <v>A7R1</v>
      </c>
      <c r="K151" s="44" t="str">
        <f>'Input - Bookings'!O151</f>
        <v>MP20XUX</v>
      </c>
      <c r="L151" s="44" t="str">
        <f>'Input - Bookings'!C151</f>
        <v>USD</v>
      </c>
      <c r="M151" s="46" t="str">
        <f t="array" ref="M151">IF(L151="USD",INDEX('AP Plants'!A:A,MATCH(J151,'AP Plants'!D:D,0)),INDEX('Australia Plants'!A:A,MATCH(J151,'Australia Plants'!D:D,0)))</f>
        <v>Ruyi</v>
      </c>
      <c r="N151" s="10">
        <v>1.0</v>
      </c>
      <c r="O151" s="9">
        <v>5810.0</v>
      </c>
      <c r="P151" s="9">
        <v>2963.2</v>
      </c>
      <c r="Q151" s="47">
        <v>0.07183795793381109</v>
      </c>
      <c r="R151" s="48">
        <f t="shared" si="3"/>
        <v>0.4899827883</v>
      </c>
      <c r="S151" s="49">
        <f t="shared" si="4"/>
        <v>0</v>
      </c>
      <c r="T151" s="49">
        <f t="shared" si="21"/>
        <v>0.07183795793</v>
      </c>
      <c r="U151" s="50" t="str">
        <f t="shared" si="6"/>
        <v>AOP</v>
      </c>
      <c r="V151" s="51">
        <f t="shared" si="28"/>
        <v>212.8702369</v>
      </c>
      <c r="W151" s="52">
        <f t="shared" si="8"/>
        <v>212.8702369</v>
      </c>
      <c r="X151" s="9">
        <f t="shared" si="25"/>
        <v>2963.2</v>
      </c>
      <c r="Y151" s="8"/>
      <c r="Z151" s="8"/>
      <c r="AA151" s="8"/>
      <c r="AB151" s="8" t="str">
        <f t="shared" si="10"/>
        <v>AINH39492MP20XUX</v>
      </c>
      <c r="AC151" s="8" t="str">
        <f>IF(AB151='Input - Bookings'!S144,"OK","Check")</f>
        <v>Check</v>
      </c>
      <c r="AD151" s="53"/>
      <c r="AE151" s="54"/>
      <c r="AF151" s="54"/>
      <c r="AG151" s="55"/>
      <c r="AH151" s="55"/>
      <c r="AI151" s="8" t="str">
        <f t="array" ref="AI151">XLOOKUP($J151,'AP Plants'!D:D,'AP Plants'!B:B)</f>
        <v>Class 3</v>
      </c>
      <c r="AJ151" s="56"/>
      <c r="AK151" s="56"/>
      <c r="AL151" s="49">
        <v>0.015</v>
      </c>
      <c r="AM151" s="49">
        <f t="array" ref="AM151">XLOOKUP($AI151,Warranty!B:B,Warranty!E:E)</f>
        <v>0.015</v>
      </c>
      <c r="AN151" s="8">
        <f>IF($L151="AUD",VLOOKUP(RIGHT('Wk - Margins'!$J151,3),'AU Freight'!C:G,5,0),0)</f>
        <v>0</v>
      </c>
      <c r="AO151" s="49">
        <f t="shared" si="11"/>
        <v>0</v>
      </c>
      <c r="AP151" s="57">
        <f t="shared" si="12"/>
        <v>0</v>
      </c>
      <c r="AQ151" s="58">
        <f t="shared" si="13"/>
        <v>1</v>
      </c>
      <c r="AR151" s="59">
        <f>IF(L151="AUD",O151*'Currency &amp; Conversion'!$L$7,'Wk - Margins'!O151)</f>
        <v>5810</v>
      </c>
      <c r="AS151" s="59">
        <f>IF(L151="AUD",P151*'Currency &amp; Conversion'!$L$7,'Wk - Margins'!P151)</f>
        <v>2963.2</v>
      </c>
    </row>
    <row r="152" ht="12.75" hidden="1" customHeight="1">
      <c r="A152" s="42" t="str">
        <f>'Input - Bookings'!A152</f>
        <v>27/06/2023</v>
      </c>
      <c r="B152" s="43" t="str">
        <f t="shared" si="1"/>
        <v>India</v>
      </c>
      <c r="C152" s="43" t="str">
        <f t="shared" si="2"/>
        <v>AIN</v>
      </c>
      <c r="D152" s="43" t="str">
        <f>'Input - Bookings'!D152</f>
        <v>A</v>
      </c>
      <c r="E152" s="43" t="str">
        <f>'Input - Bookings'!J152</f>
        <v>IN</v>
      </c>
      <c r="F152" s="44" t="str">
        <f>'Input - Bookings'!F152</f>
        <v>067</v>
      </c>
      <c r="G152" s="44" t="str">
        <f>'Input - Bookings'!I152</f>
        <v>ELECTROMECH LIFT TRUCKS</v>
      </c>
      <c r="H152" s="44" t="str">
        <f>'Input - Bookings'!K152</f>
        <v>H39493</v>
      </c>
      <c r="I152" s="45" t="str">
        <f>VLOOKUP(H152,'Input - Bookings'!$G$2:$H$611,2,0)</f>
        <v>880805</v>
      </c>
      <c r="J152" s="44" t="str">
        <f>'Input - Bookings'!N152</f>
        <v>A7R1</v>
      </c>
      <c r="K152" s="44" t="str">
        <f>'Input - Bookings'!O152</f>
        <v>MP20XUX</v>
      </c>
      <c r="L152" s="44" t="str">
        <f>'Input - Bookings'!C152</f>
        <v>USD</v>
      </c>
      <c r="M152" s="46" t="str">
        <f t="array" ref="M152">IF(L152="USD",INDEX('AP Plants'!A:A,MATCH(J152,'AP Plants'!D:D,0)),INDEX('Australia Plants'!A:A,MATCH(J152,'Australia Plants'!D:D,0)))</f>
        <v>Ruyi</v>
      </c>
      <c r="N152" s="10">
        <v>1.0</v>
      </c>
      <c r="O152" s="9">
        <v>5810.0</v>
      </c>
      <c r="P152" s="9">
        <v>2963.2</v>
      </c>
      <c r="Q152" s="47">
        <v>0.07183795793381109</v>
      </c>
      <c r="R152" s="48">
        <f t="shared" si="3"/>
        <v>0.4899827883</v>
      </c>
      <c r="S152" s="49">
        <f t="shared" si="4"/>
        <v>0</v>
      </c>
      <c r="T152" s="49">
        <f t="shared" si="21"/>
        <v>0.07183795793</v>
      </c>
      <c r="U152" s="50" t="str">
        <f t="shared" si="6"/>
        <v>AOP</v>
      </c>
      <c r="V152" s="51">
        <f t="shared" si="28"/>
        <v>212.8702369</v>
      </c>
      <c r="W152" s="52">
        <f t="shared" si="8"/>
        <v>212.8702369</v>
      </c>
      <c r="X152" s="9">
        <f t="shared" si="25"/>
        <v>2963.2</v>
      </c>
      <c r="Y152" s="8"/>
      <c r="Z152" s="8"/>
      <c r="AA152" s="8"/>
      <c r="AB152" s="8" t="str">
        <f t="shared" si="10"/>
        <v>AINH39493MP20XUX</v>
      </c>
      <c r="AC152" s="8" t="str">
        <f>IF(AB152='Input - Bookings'!S145,"OK","Check")</f>
        <v>Check</v>
      </c>
      <c r="AD152" s="53"/>
      <c r="AE152" s="54"/>
      <c r="AF152" s="54"/>
      <c r="AG152" s="55"/>
      <c r="AH152" s="55"/>
      <c r="AI152" s="8" t="str">
        <f t="array" ref="AI152">XLOOKUP($J152,'AP Plants'!D:D,'AP Plants'!B:B)</f>
        <v>Class 3</v>
      </c>
      <c r="AJ152" s="56"/>
      <c r="AK152" s="56"/>
      <c r="AL152" s="49">
        <v>0.015</v>
      </c>
      <c r="AM152" s="49">
        <f t="array" ref="AM152">XLOOKUP($AI152,Warranty!B:B,Warranty!E:E)</f>
        <v>0.015</v>
      </c>
      <c r="AN152" s="8">
        <f>IF($L152="AUD",VLOOKUP(RIGHT('Wk - Margins'!$J152,3),'AU Freight'!C:G,5,0),0)</f>
        <v>0</v>
      </c>
      <c r="AO152" s="49">
        <f t="shared" si="11"/>
        <v>0</v>
      </c>
      <c r="AP152" s="57">
        <f t="shared" si="12"/>
        <v>0</v>
      </c>
      <c r="AQ152" s="58">
        <f t="shared" si="13"/>
        <v>1</v>
      </c>
      <c r="AR152" s="59">
        <f>IF(L152="AUD",O152*'Currency &amp; Conversion'!$L$7,'Wk - Margins'!O152)</f>
        <v>5810</v>
      </c>
      <c r="AS152" s="59">
        <f>IF(L152="AUD",P152*'Currency &amp; Conversion'!$L$7,'Wk - Margins'!P152)</f>
        <v>2963.2</v>
      </c>
    </row>
    <row r="153" ht="12.75" customHeight="1">
      <c r="A153" s="42" t="str">
        <f>'Input - Bookings'!A153</f>
        <v>27/06/2023</v>
      </c>
      <c r="B153" s="43" t="str">
        <f t="shared" si="1"/>
        <v>India</v>
      </c>
      <c r="C153" s="43" t="str">
        <f t="shared" si="2"/>
        <v>AIN</v>
      </c>
      <c r="D153" s="43" t="str">
        <f>'Input - Bookings'!D153</f>
        <v>A</v>
      </c>
      <c r="E153" s="43" t="str">
        <f>'Input - Bookings'!J153</f>
        <v>IN</v>
      </c>
      <c r="F153" s="44" t="str">
        <f>'Input - Bookings'!F153</f>
        <v>067</v>
      </c>
      <c r="G153" s="44" t="str">
        <f>'Input - Bookings'!I153</f>
        <v>ELECTROMECH LIFT TRUCKS</v>
      </c>
      <c r="H153" s="44" t="str">
        <f>'Input - Bookings'!K153</f>
        <v>H39494</v>
      </c>
      <c r="I153" s="45" t="str">
        <f>VLOOKUP(H153,'Input - Bookings'!$G$2:$H$611,2,0)</f>
        <v>880805</v>
      </c>
      <c r="J153" s="44" t="str">
        <f>'Input - Bookings'!N153</f>
        <v>E861</v>
      </c>
      <c r="K153" s="44" t="str">
        <f>'Input - Bookings'!O153</f>
        <v>NDR035EC</v>
      </c>
      <c r="L153" s="44" t="str">
        <f>'Input - Bookings'!C153</f>
        <v>USD</v>
      </c>
      <c r="M153" s="46" t="str">
        <f t="array" ref="M153">IF(L153="USD",INDEX('AP Plants'!A:A,MATCH(J153,'AP Plants'!D:D,0)),INDEX('Australia Plants'!A:A,MATCH(J153,'Australia Plants'!D:D,0)))</f>
        <v>Greenville</v>
      </c>
      <c r="N153" s="10">
        <v>1.0</v>
      </c>
      <c r="O153" s="9">
        <v>67468.0</v>
      </c>
      <c r="P153" s="9">
        <v>52771.0</v>
      </c>
      <c r="Q153" s="47">
        <f t="shared" ref="Q153:Q154" si="30">AQ153</f>
        <v>0.1998655682</v>
      </c>
      <c r="R153" s="48">
        <f t="shared" si="3"/>
        <v>0.217836604</v>
      </c>
      <c r="S153" s="49">
        <f t="shared" si="4"/>
        <v>0</v>
      </c>
      <c r="T153" s="49">
        <f t="shared" si="21"/>
        <v>0.1998655682</v>
      </c>
      <c r="U153" s="50" t="str">
        <f t="shared" si="6"/>
        <v>AOP</v>
      </c>
      <c r="V153" s="51">
        <f t="shared" si="28"/>
        <v>10547.1059</v>
      </c>
      <c r="W153" s="52">
        <f t="shared" si="8"/>
        <v>10547.1059</v>
      </c>
      <c r="X153" s="9">
        <f t="shared" si="25"/>
        <v>52771</v>
      </c>
      <c r="Y153" s="8"/>
      <c r="Z153" s="8"/>
      <c r="AA153" s="8"/>
      <c r="AB153" s="8" t="str">
        <f t="shared" si="10"/>
        <v>AINH39494NDR035EC</v>
      </c>
      <c r="AC153" s="8" t="str">
        <f>IF(AB153='Input - Bookings'!S146,"OK","Check")</f>
        <v>Check</v>
      </c>
      <c r="AD153" s="53"/>
      <c r="AE153" s="54">
        <v>0.0</v>
      </c>
      <c r="AF153" s="54">
        <v>0.0</v>
      </c>
      <c r="AG153" s="55">
        <v>40957.210453</v>
      </c>
      <c r="AH153" s="55"/>
      <c r="AI153" s="8" t="str">
        <f t="array" ref="AI153">XLOOKUP($J153,'AP Plants'!D:D,'AP Plants'!B:B)</f>
        <v>Class 2</v>
      </c>
      <c r="AJ153" s="56"/>
      <c r="AK153" s="56">
        <f>(AG153*(1+VLOOKUP(M153,'Currency &amp; Conversion'!$F$13:$G$19,2,0))+((AE153+AF153)*90%))</f>
        <v>40994.07194</v>
      </c>
      <c r="AL153" s="49">
        <v>0.015</v>
      </c>
      <c r="AM153" s="49">
        <f t="array" ref="AM153">XLOOKUP($AI153,Warranty!B:B,Warranty!E:E)</f>
        <v>0.015</v>
      </c>
      <c r="AN153" s="8">
        <f>IF($L153="AUD",VLOOKUP(RIGHT('Wk - Margins'!$J153,3),'AU Freight'!C:G,5,0),0)</f>
        <v>0</v>
      </c>
      <c r="AO153" s="49">
        <f t="shared" si="11"/>
        <v>0</v>
      </c>
      <c r="AP153" s="63">
        <f t="shared" si="12"/>
        <v>42223.8941</v>
      </c>
      <c r="AQ153" s="64">
        <f t="shared" si="13"/>
        <v>0.1998655682</v>
      </c>
      <c r="AR153" s="59">
        <f>IF(L153="AUD",O153*'Currency &amp; Conversion'!$L$7,'Wk - Margins'!O153)</f>
        <v>67468</v>
      </c>
      <c r="AS153" s="59">
        <f>IF(L153="AUD",P153*'Currency &amp; Conversion'!$L$7,'Wk - Margins'!P153)</f>
        <v>52771</v>
      </c>
    </row>
    <row r="154" ht="12.75" customHeight="1">
      <c r="A154" s="42" t="str">
        <f>'Input - Bookings'!A154</f>
        <v>27/06/2023</v>
      </c>
      <c r="B154" s="43" t="str">
        <f t="shared" si="1"/>
        <v>India</v>
      </c>
      <c r="C154" s="43" t="str">
        <f t="shared" si="2"/>
        <v>AIN</v>
      </c>
      <c r="D154" s="43" t="str">
        <f>'Input - Bookings'!D154</f>
        <v>A</v>
      </c>
      <c r="E154" s="43" t="str">
        <f>'Input - Bookings'!J154</f>
        <v>IN</v>
      </c>
      <c r="F154" s="44" t="str">
        <f>'Input - Bookings'!F154</f>
        <v>067</v>
      </c>
      <c r="G154" s="44" t="str">
        <f>'Input - Bookings'!I154</f>
        <v>ELECTROMECH LIFT TRUCKS</v>
      </c>
      <c r="H154" s="44" t="str">
        <f>'Input - Bookings'!K154</f>
        <v>H39495</v>
      </c>
      <c r="I154" s="45" t="str">
        <f>VLOOKUP(H154,'Input - Bookings'!$G$2:$H$611,2,0)</f>
        <v>880805</v>
      </c>
      <c r="J154" s="44" t="str">
        <f>'Input - Bookings'!N154</f>
        <v>E861</v>
      </c>
      <c r="K154" s="44" t="str">
        <f>'Input - Bookings'!O154</f>
        <v>NDR035EC</v>
      </c>
      <c r="L154" s="44" t="str">
        <f>'Input - Bookings'!C154</f>
        <v>USD</v>
      </c>
      <c r="M154" s="46" t="str">
        <f t="array" ref="M154">IF(L154="USD",INDEX('AP Plants'!A:A,MATCH(J154,'AP Plants'!D:D,0)),INDEX('Australia Plants'!A:A,MATCH(J154,'Australia Plants'!D:D,0)))</f>
        <v>Greenville</v>
      </c>
      <c r="N154" s="10">
        <v>1.0</v>
      </c>
      <c r="O154" s="9">
        <v>67468.0</v>
      </c>
      <c r="P154" s="9">
        <v>52771.0</v>
      </c>
      <c r="Q154" s="47">
        <f t="shared" si="30"/>
        <v>0.1998655682</v>
      </c>
      <c r="R154" s="48">
        <f t="shared" si="3"/>
        <v>0.217836604</v>
      </c>
      <c r="S154" s="49">
        <f t="shared" si="4"/>
        <v>0</v>
      </c>
      <c r="T154" s="49">
        <f t="shared" si="21"/>
        <v>0.1998655682</v>
      </c>
      <c r="U154" s="50" t="str">
        <f t="shared" si="6"/>
        <v>AOP</v>
      </c>
      <c r="V154" s="51">
        <f t="shared" si="28"/>
        <v>10547.1059</v>
      </c>
      <c r="W154" s="52">
        <f t="shared" si="8"/>
        <v>10547.1059</v>
      </c>
      <c r="X154" s="9">
        <f t="shared" si="25"/>
        <v>52771</v>
      </c>
      <c r="Y154" s="8"/>
      <c r="Z154" s="8"/>
      <c r="AA154" s="8"/>
      <c r="AB154" s="8" t="str">
        <f t="shared" si="10"/>
        <v>AINH39495NDR035EC</v>
      </c>
      <c r="AC154" s="8" t="str">
        <f>IF(AB154='Input - Bookings'!S147,"OK","Check")</f>
        <v>Check</v>
      </c>
      <c r="AD154" s="53"/>
      <c r="AE154" s="54">
        <v>0.0</v>
      </c>
      <c r="AF154" s="54">
        <v>0.0</v>
      </c>
      <c r="AG154" s="55">
        <v>40957.210453</v>
      </c>
      <c r="AH154" s="55"/>
      <c r="AI154" s="8" t="str">
        <f t="array" ref="AI154">XLOOKUP($J154,'AP Plants'!D:D,'AP Plants'!B:B)</f>
        <v>Class 2</v>
      </c>
      <c r="AJ154" s="56"/>
      <c r="AK154" s="56">
        <f>(AG154*(1+VLOOKUP(M154,'Currency &amp; Conversion'!$F$13:$G$19,2,0))+((AE154+AF154)*90%))</f>
        <v>40994.07194</v>
      </c>
      <c r="AL154" s="49">
        <v>0.015</v>
      </c>
      <c r="AM154" s="49">
        <f t="array" ref="AM154">XLOOKUP($AI154,Warranty!B:B,Warranty!E:E)</f>
        <v>0.015</v>
      </c>
      <c r="AN154" s="8">
        <f>IF($L154="AUD",VLOOKUP(RIGHT('Wk - Margins'!$J154,3),'AU Freight'!C:G,5,0),0)</f>
        <v>0</v>
      </c>
      <c r="AO154" s="49">
        <f t="shared" si="11"/>
        <v>0</v>
      </c>
      <c r="AP154" s="63">
        <f t="shared" si="12"/>
        <v>42223.8941</v>
      </c>
      <c r="AQ154" s="64">
        <f t="shared" si="13"/>
        <v>0.1998655682</v>
      </c>
      <c r="AR154" s="59">
        <f>IF(L154="AUD",O154*'Currency &amp; Conversion'!$L$7,'Wk - Margins'!O154)</f>
        <v>67468</v>
      </c>
      <c r="AS154" s="59">
        <f>IF(L154="AUD",P154*'Currency &amp; Conversion'!$L$7,'Wk - Margins'!P154)</f>
        <v>52771</v>
      </c>
    </row>
    <row r="155" ht="12.75" hidden="1" customHeight="1">
      <c r="A155" s="42" t="str">
        <f>'Input - Bookings'!A155</f>
        <v>27/06/2023</v>
      </c>
      <c r="B155" s="43" t="str">
        <f t="shared" si="1"/>
        <v>Asia</v>
      </c>
      <c r="C155" s="43" t="str">
        <f t="shared" si="2"/>
        <v>ATH</v>
      </c>
      <c r="D155" s="43" t="str">
        <f>'Input - Bookings'!D155</f>
        <v>A</v>
      </c>
      <c r="E155" s="43" t="str">
        <f>'Input - Bookings'!J155</f>
        <v>TH</v>
      </c>
      <c r="F155" s="44" t="str">
        <f>'Input - Bookings'!F155</f>
        <v>065</v>
      </c>
      <c r="G155" s="44" t="str">
        <f>'Input - Bookings'!I155</f>
        <v>DILOK AND SONS CO.,LTD.</v>
      </c>
      <c r="H155" s="44" t="str">
        <f>'Input - Bookings'!K155</f>
        <v>H39688</v>
      </c>
      <c r="I155" s="45" t="str">
        <f>VLOOKUP(H155,'Input - Bookings'!$G$2:$H$611,2,0)</f>
        <v>001255</v>
      </c>
      <c r="J155" s="44" t="str">
        <f>'Input - Bookings'!N155</f>
        <v>A3C4</v>
      </c>
      <c r="K155" s="44" t="str">
        <f>'Input - Bookings'!O155</f>
        <v>J2.5UT</v>
      </c>
      <c r="L155" s="44" t="str">
        <f>'Input - Bookings'!C155</f>
        <v>USD</v>
      </c>
      <c r="M155" s="46" t="str">
        <f t="array" ref="M155">IF(L155="USD",INDEX('AP Plants'!A:A,MATCH(J155,'AP Plants'!D:D,0)),INDEX('Australia Plants'!A:A,MATCH(J155,'Australia Plants'!D:D,0)))</f>
        <v>Maximal</v>
      </c>
      <c r="N155" s="10">
        <v>1.0</v>
      </c>
      <c r="O155" s="9">
        <v>26506.0</v>
      </c>
      <c r="P155" s="9">
        <v>19072.190000000002</v>
      </c>
      <c r="Q155" s="47">
        <v>0.1727144001393106</v>
      </c>
      <c r="R155" s="48">
        <f t="shared" si="3"/>
        <v>0.2804576322</v>
      </c>
      <c r="S155" s="49">
        <f t="shared" si="4"/>
        <v>0</v>
      </c>
      <c r="T155" s="49">
        <f t="shared" si="21"/>
        <v>0.1727144001</v>
      </c>
      <c r="U155" s="50" t="str">
        <f t="shared" si="6"/>
        <v>AOP</v>
      </c>
      <c r="V155" s="51">
        <f t="shared" si="28"/>
        <v>3294.041855</v>
      </c>
      <c r="W155" s="52">
        <f t="shared" si="8"/>
        <v>3294.041855</v>
      </c>
      <c r="X155" s="9">
        <f t="shared" si="25"/>
        <v>19072.19</v>
      </c>
      <c r="Y155" s="8"/>
      <c r="Z155" s="8"/>
      <c r="AA155" s="8"/>
      <c r="AB155" s="8" t="str">
        <f t="shared" si="10"/>
        <v>ATHH39688J2.5UT</v>
      </c>
      <c r="AC155" s="8" t="str">
        <f>IF(AB155='Input - Bookings'!S149,"OK","Check")</f>
        <v>Check</v>
      </c>
      <c r="AD155" s="53"/>
      <c r="AE155" s="54"/>
      <c r="AF155" s="54"/>
      <c r="AG155" s="55"/>
      <c r="AH155" s="62"/>
      <c r="AI155" s="8" t="str">
        <f t="array" ref="AI155">XLOOKUP($J155,'AP Plants'!D:D,'AP Plants'!B:B)</f>
        <v>Class 1</v>
      </c>
      <c r="AJ155" s="56"/>
      <c r="AK155" s="56"/>
      <c r="AL155" s="49">
        <v>0.015</v>
      </c>
      <c r="AM155" s="49">
        <f t="array" ref="AM155">XLOOKUP($AI155,Warranty!B:B,Warranty!E:E)</f>
        <v>0.005</v>
      </c>
      <c r="AN155" s="8">
        <f>IF($L155="AUD",VLOOKUP(RIGHT('Wk - Margins'!$J155,3),'AU Freight'!C:G,5,0),0)</f>
        <v>0</v>
      </c>
      <c r="AO155" s="49">
        <f t="shared" si="11"/>
        <v>0</v>
      </c>
      <c r="AP155" s="57">
        <f t="shared" si="12"/>
        <v>0</v>
      </c>
      <c r="AQ155" s="58">
        <f t="shared" si="13"/>
        <v>1</v>
      </c>
      <c r="AR155" s="59">
        <f>IF(L155="AUD",O155*'Currency &amp; Conversion'!$L$7,'Wk - Margins'!O155)</f>
        <v>26506</v>
      </c>
      <c r="AS155" s="59">
        <f>IF(L155="AUD",P155*'Currency &amp; Conversion'!$L$7,'Wk - Margins'!P155)</f>
        <v>19072.19</v>
      </c>
    </row>
    <row r="156" ht="12.75" hidden="1" customHeight="1">
      <c r="A156" s="42" t="str">
        <f>'Input - Bookings'!A156</f>
        <v>27/06/2023</v>
      </c>
      <c r="B156" s="43" t="str">
        <f t="shared" si="1"/>
        <v>Asia</v>
      </c>
      <c r="C156" s="43" t="str">
        <f t="shared" si="2"/>
        <v>ATH</v>
      </c>
      <c r="D156" s="43" t="str">
        <f>'Input - Bookings'!D156</f>
        <v>A</v>
      </c>
      <c r="E156" s="43" t="str">
        <f>'Input - Bookings'!J156</f>
        <v>TH</v>
      </c>
      <c r="F156" s="44" t="str">
        <f>'Input - Bookings'!F156</f>
        <v>065</v>
      </c>
      <c r="G156" s="44" t="str">
        <f>'Input - Bookings'!I156</f>
        <v>DILOK AND SONS CO.,LTD.</v>
      </c>
      <c r="H156" s="45" t="str">
        <f>'Input - Bookings'!K156</f>
        <v>H39689</v>
      </c>
      <c r="I156" s="45" t="str">
        <f>VLOOKUP(H156,'Input - Bookings'!$G$2:$H$611,2,0)</f>
        <v>001255</v>
      </c>
      <c r="J156" s="44" t="str">
        <f>'Input - Bookings'!N156</f>
        <v>A3C4</v>
      </c>
      <c r="K156" s="44" t="str">
        <f>'Input - Bookings'!O156</f>
        <v>J2.5UT</v>
      </c>
      <c r="L156" s="44" t="str">
        <f>'Input - Bookings'!C156</f>
        <v>USD</v>
      </c>
      <c r="M156" s="46" t="str">
        <f t="array" ref="M156">IF(L156="USD",INDEX('AP Plants'!A:A,MATCH(J156,'AP Plants'!D:D,0)),INDEX('Australia Plants'!A:A,MATCH(J156,'Australia Plants'!D:D,0)))</f>
        <v>Maximal</v>
      </c>
      <c r="N156" s="10">
        <v>1.0</v>
      </c>
      <c r="O156" s="9">
        <v>26371.0</v>
      </c>
      <c r="P156" s="9">
        <v>18969.59</v>
      </c>
      <c r="Q156" s="47">
        <v>0.17243565038966924</v>
      </c>
      <c r="R156" s="48">
        <f t="shared" si="3"/>
        <v>0.2806647454</v>
      </c>
      <c r="S156" s="49">
        <f t="shared" si="4"/>
        <v>0</v>
      </c>
      <c r="T156" s="49">
        <f t="shared" si="21"/>
        <v>0.1724356504</v>
      </c>
      <c r="U156" s="50" t="str">
        <f t="shared" si="6"/>
        <v>AOP</v>
      </c>
      <c r="V156" s="51">
        <f t="shared" si="28"/>
        <v>3271.033589</v>
      </c>
      <c r="W156" s="52">
        <f t="shared" si="8"/>
        <v>3271.033589</v>
      </c>
      <c r="X156" s="9">
        <f t="shared" si="25"/>
        <v>18969.59</v>
      </c>
      <c r="Y156" s="8"/>
      <c r="Z156" s="8"/>
      <c r="AA156" s="8"/>
      <c r="AB156" s="8" t="str">
        <f t="shared" si="10"/>
        <v>ATHH39689J2.5UT</v>
      </c>
      <c r="AC156" s="8" t="str">
        <f>IF(AB156='Input - Bookings'!S728,"OK","Check")</f>
        <v>Check</v>
      </c>
      <c r="AD156" s="53"/>
      <c r="AE156" s="54"/>
      <c r="AF156" s="54"/>
      <c r="AG156" s="55"/>
      <c r="AH156" s="62"/>
      <c r="AI156" s="8" t="str">
        <f t="array" ref="AI156">XLOOKUP($J156,'AP Plants'!D:D,'AP Plants'!B:B)</f>
        <v>Class 1</v>
      </c>
      <c r="AJ156" s="56"/>
      <c r="AK156" s="56"/>
      <c r="AL156" s="49">
        <v>0.015</v>
      </c>
      <c r="AM156" s="49">
        <f t="array" ref="AM156">XLOOKUP($AI156,Warranty!B:B,Warranty!E:E)</f>
        <v>0.005</v>
      </c>
      <c r="AN156" s="8">
        <f>IF($L156="AUD",VLOOKUP(RIGHT('Wk - Margins'!$J156,3),'AU Freight'!C:G,5,0),0)</f>
        <v>0</v>
      </c>
      <c r="AO156" s="49">
        <f t="shared" si="11"/>
        <v>0</v>
      </c>
      <c r="AP156" s="57">
        <f t="shared" si="12"/>
        <v>0</v>
      </c>
      <c r="AQ156" s="58">
        <f t="shared" si="13"/>
        <v>1</v>
      </c>
      <c r="AR156" s="59">
        <f>IF(L156="AUD",O156*'Currency &amp; Conversion'!$L$7,'Wk - Margins'!O156)</f>
        <v>26371</v>
      </c>
      <c r="AS156" s="59">
        <f>IF(L156="AUD",P156*'Currency &amp; Conversion'!$L$7,'Wk - Margins'!P156)</f>
        <v>18969.59</v>
      </c>
    </row>
    <row r="157" ht="12.75" hidden="1" customHeight="1">
      <c r="A157" s="42" t="str">
        <f>'Input - Bookings'!A157</f>
        <v>27/06/2023</v>
      </c>
      <c r="B157" s="43" t="str">
        <f t="shared" si="1"/>
        <v>Asia</v>
      </c>
      <c r="C157" s="43" t="str">
        <f t="shared" si="2"/>
        <v>ATH</v>
      </c>
      <c r="D157" s="43" t="str">
        <f>'Input - Bookings'!D157</f>
        <v>A</v>
      </c>
      <c r="E157" s="43" t="str">
        <f>'Input - Bookings'!J157</f>
        <v>TH</v>
      </c>
      <c r="F157" s="44" t="str">
        <f>'Input - Bookings'!F157</f>
        <v>065</v>
      </c>
      <c r="G157" s="44" t="str">
        <f>'Input - Bookings'!I157</f>
        <v>DILOK AND SONS CO.,LTD.</v>
      </c>
      <c r="H157" s="45" t="str">
        <f>'Input - Bookings'!K157</f>
        <v>H39690</v>
      </c>
      <c r="I157" s="45" t="str">
        <f>VLOOKUP(H157,'Input - Bookings'!$G$2:$H$611,2,0)</f>
        <v>001255</v>
      </c>
      <c r="J157" s="44" t="str">
        <f>'Input - Bookings'!N157</f>
        <v>A3C4</v>
      </c>
      <c r="K157" s="44" t="str">
        <f>'Input - Bookings'!O157</f>
        <v>J2.5UT</v>
      </c>
      <c r="L157" s="44" t="str">
        <f>'Input - Bookings'!C157</f>
        <v>USD</v>
      </c>
      <c r="M157" s="46" t="str">
        <f t="array" ref="M157">IF(L157="USD",INDEX('AP Plants'!A:A,MATCH(J157,'AP Plants'!D:D,0)),INDEX('Australia Plants'!A:A,MATCH(J157,'Australia Plants'!D:D,0)))</f>
        <v>Maximal</v>
      </c>
      <c r="N157" s="10">
        <v>1.0</v>
      </c>
      <c r="O157" s="9">
        <v>26371.0</v>
      </c>
      <c r="P157" s="9">
        <v>18969.59</v>
      </c>
      <c r="Q157" s="47">
        <v>0.17243565038966924</v>
      </c>
      <c r="R157" s="48">
        <f t="shared" si="3"/>
        <v>0.2806647454</v>
      </c>
      <c r="S157" s="49">
        <f t="shared" si="4"/>
        <v>0</v>
      </c>
      <c r="T157" s="49">
        <f t="shared" si="21"/>
        <v>0.1724356504</v>
      </c>
      <c r="U157" s="50" t="str">
        <f t="shared" si="6"/>
        <v>AOP</v>
      </c>
      <c r="V157" s="51">
        <f t="shared" si="28"/>
        <v>3271.033589</v>
      </c>
      <c r="W157" s="52">
        <f t="shared" si="8"/>
        <v>3271.033589</v>
      </c>
      <c r="X157" s="9">
        <f t="shared" si="25"/>
        <v>18969.59</v>
      </c>
      <c r="Y157" s="8"/>
      <c r="Z157" s="8"/>
      <c r="AA157" s="8"/>
      <c r="AB157" s="8" t="str">
        <f t="shared" si="10"/>
        <v>ATHH39690J2.5UT</v>
      </c>
      <c r="AC157" s="8" t="str">
        <f>IF(AB157='Input - Bookings'!S727,"OK","Check")</f>
        <v>Check</v>
      </c>
      <c r="AD157" s="60"/>
      <c r="AE157" s="54"/>
      <c r="AF157" s="54"/>
      <c r="AG157" s="55"/>
      <c r="AH157" s="62"/>
      <c r="AI157" s="8" t="str">
        <f t="array" ref="AI157">XLOOKUP($J157,'AP Plants'!D:D,'AP Plants'!B:B)</f>
        <v>Class 1</v>
      </c>
      <c r="AJ157" s="56"/>
      <c r="AK157" s="56"/>
      <c r="AL157" s="49">
        <v>0.015</v>
      </c>
      <c r="AM157" s="49">
        <f t="array" ref="AM157">XLOOKUP($AI157,Warranty!B:B,Warranty!E:E)</f>
        <v>0.005</v>
      </c>
      <c r="AN157" s="8">
        <f>IF($L157="AUD",VLOOKUP(RIGHT('Wk - Margins'!$J157,3),'AU Freight'!C:G,5,0),0)</f>
        <v>0</v>
      </c>
      <c r="AO157" s="49">
        <f t="shared" si="11"/>
        <v>0</v>
      </c>
      <c r="AP157" s="57">
        <f t="shared" si="12"/>
        <v>0</v>
      </c>
      <c r="AQ157" s="58">
        <f t="shared" si="13"/>
        <v>1</v>
      </c>
      <c r="AR157" s="59">
        <f>IF(L157="AUD",O157*'Currency &amp; Conversion'!$L$7,'Wk - Margins'!O157)</f>
        <v>26371</v>
      </c>
      <c r="AS157" s="59">
        <f>IF(L157="AUD",P157*'Currency &amp; Conversion'!$L$7,'Wk - Margins'!P157)</f>
        <v>18969.59</v>
      </c>
    </row>
    <row r="158" ht="12.75" hidden="1" customHeight="1">
      <c r="A158" s="42" t="str">
        <f>'Input - Bookings'!A158</f>
        <v>27/06/2023</v>
      </c>
      <c r="B158" s="43" t="str">
        <f t="shared" si="1"/>
        <v>Asia</v>
      </c>
      <c r="C158" s="43" t="str">
        <f t="shared" si="2"/>
        <v>AVN</v>
      </c>
      <c r="D158" s="43" t="str">
        <f>'Input - Bookings'!D158</f>
        <v>A</v>
      </c>
      <c r="E158" s="43" t="str">
        <f>'Input - Bookings'!J158</f>
        <v>VN</v>
      </c>
      <c r="F158" s="44" t="str">
        <f>'Input - Bookings'!F158</f>
        <v>067</v>
      </c>
      <c r="G158" s="44" t="str">
        <f>'Input - Bookings'!I158</f>
        <v>KY LUC CO., LTD</v>
      </c>
      <c r="H158" s="44" t="str">
        <f>'Input - Bookings'!K158</f>
        <v>H39477</v>
      </c>
      <c r="I158" s="45" t="str">
        <f>VLOOKUP(H158,'Input - Bookings'!$G$2:$H$611,2,0)</f>
        <v>017005</v>
      </c>
      <c r="J158" s="44" t="str">
        <f>'Input - Bookings'!N158</f>
        <v>C224</v>
      </c>
      <c r="K158" s="44" t="str">
        <f>'Input - Bookings'!O158</f>
        <v>FBR20SZ</v>
      </c>
      <c r="L158" s="44" t="str">
        <f>'Input - Bookings'!C158</f>
        <v>USD</v>
      </c>
      <c r="M158" s="46" t="str">
        <f t="array" ref="M158">IF(L158="USD",INDEX('AP Plants'!A:A,MATCH(J158,'AP Plants'!D:D,0)),INDEX('Australia Plants'!A:A,MATCH(J158,'Australia Plants'!D:D,0)))</f>
        <v>SN</v>
      </c>
      <c r="N158" s="10">
        <v>1.0</v>
      </c>
      <c r="O158" s="9">
        <v>42355.0</v>
      </c>
      <c r="P158" s="9">
        <v>27021.275</v>
      </c>
      <c r="Q158" s="47">
        <v>0.20258494235679414</v>
      </c>
      <c r="R158" s="48">
        <f t="shared" si="3"/>
        <v>0.3620286861</v>
      </c>
      <c r="S158" s="49">
        <f t="shared" si="4"/>
        <v>0</v>
      </c>
      <c r="T158" s="49">
        <f t="shared" si="21"/>
        <v>0.2025849424</v>
      </c>
      <c r="U158" s="50" t="str">
        <f t="shared" si="6"/>
        <v>AOP</v>
      </c>
      <c r="V158" s="51">
        <f t="shared" si="28"/>
        <v>5474.103438</v>
      </c>
      <c r="W158" s="52">
        <f t="shared" si="8"/>
        <v>5474.103438</v>
      </c>
      <c r="X158" s="9">
        <f t="shared" si="25"/>
        <v>27021.275</v>
      </c>
      <c r="Y158" s="8"/>
      <c r="Z158" s="8"/>
      <c r="AA158" s="8"/>
      <c r="AB158" s="8" t="str">
        <f t="shared" si="10"/>
        <v>AVNH39477FBR20SZ</v>
      </c>
      <c r="AC158" s="8" t="str">
        <f>IF(AB158='Input - Bookings'!S152,"OK","Check")</f>
        <v>Check</v>
      </c>
      <c r="AD158" s="53"/>
      <c r="AE158" s="54"/>
      <c r="AF158" s="54"/>
      <c r="AG158" s="55"/>
      <c r="AH158" s="55"/>
      <c r="AI158" s="8" t="str">
        <f t="array" ref="AI158">XLOOKUP($J158,'AP Plants'!D:D,'AP Plants'!B:B)</f>
        <v>Class 2</v>
      </c>
      <c r="AJ158" s="56"/>
      <c r="AK158" s="56"/>
      <c r="AL158" s="49">
        <v>0.015</v>
      </c>
      <c r="AM158" s="49">
        <f t="array" ref="AM158">XLOOKUP($AI158,Warranty!B:B,Warranty!E:E)</f>
        <v>0.015</v>
      </c>
      <c r="AN158" s="8">
        <f>IF($L158="AUD",VLOOKUP(RIGHT('Wk - Margins'!$J158,3),'AU Freight'!C:G,5,0),0)</f>
        <v>0</v>
      </c>
      <c r="AO158" s="49">
        <f t="shared" si="11"/>
        <v>0</v>
      </c>
      <c r="AP158" s="57">
        <f t="shared" si="12"/>
        <v>0</v>
      </c>
      <c r="AQ158" s="58">
        <f t="shared" si="13"/>
        <v>1</v>
      </c>
      <c r="AR158" s="59">
        <f>IF(L158="AUD",O158*'Currency &amp; Conversion'!$L$7,'Wk - Margins'!O158)</f>
        <v>42355</v>
      </c>
      <c r="AS158" s="59">
        <f>IF(L158="AUD",P158*'Currency &amp; Conversion'!$L$7,'Wk - Margins'!P158)</f>
        <v>27021.275</v>
      </c>
    </row>
    <row r="159" ht="12.75" hidden="1" customHeight="1">
      <c r="A159" s="42" t="str">
        <f>'Input - Bookings'!A159</f>
        <v>28/06/2023</v>
      </c>
      <c r="B159" s="43" t="str">
        <f t="shared" si="1"/>
        <v>Asia</v>
      </c>
      <c r="C159" s="43" t="str">
        <f t="shared" si="2"/>
        <v>ATH</v>
      </c>
      <c r="D159" s="43" t="str">
        <f>'Input - Bookings'!D159</f>
        <v>A</v>
      </c>
      <c r="E159" s="43" t="str">
        <f>'Input - Bookings'!J159</f>
        <v>TH</v>
      </c>
      <c r="F159" s="44" t="str">
        <f>'Input - Bookings'!F159</f>
        <v>065</v>
      </c>
      <c r="G159" s="44" t="str">
        <f>'Input - Bookings'!I159</f>
        <v>DILOK AND SONS CO.,LTD.</v>
      </c>
      <c r="H159" s="44" t="str">
        <f>'Input - Bookings'!K159</f>
        <v>H40817</v>
      </c>
      <c r="I159" s="45" t="str">
        <f>VLOOKUP(H159,'Input - Bookings'!$G$2:$H$611,2,0)</f>
        <v>001255</v>
      </c>
      <c r="J159" s="44" t="str">
        <f>'Input - Bookings'!N159</f>
        <v>A3B0</v>
      </c>
      <c r="K159" s="44" t="str">
        <f>'Input - Bookings'!O159</f>
        <v>P2.0UT</v>
      </c>
      <c r="L159" s="44" t="str">
        <f>'Input - Bookings'!C159</f>
        <v>USD</v>
      </c>
      <c r="M159" s="46" t="str">
        <f t="array" ref="M159">IF(L159="USD",INDEX('AP Plants'!A:A,MATCH(J159,'AP Plants'!D:D,0)),INDEX('Australia Plants'!A:A,MATCH(J159,'Australia Plants'!D:D,0)))</f>
        <v>Ruyi</v>
      </c>
      <c r="N159" s="10">
        <v>1.0</v>
      </c>
      <c r="O159" s="9">
        <v>8745.0</v>
      </c>
      <c r="P159" s="9">
        <v>6229.2</v>
      </c>
      <c r="Q159" s="47">
        <v>0.32784247996960025</v>
      </c>
      <c r="R159" s="48">
        <f t="shared" si="3"/>
        <v>0.2876843911</v>
      </c>
      <c r="S159" s="49">
        <f t="shared" si="4"/>
        <v>0</v>
      </c>
      <c r="T159" s="49">
        <f t="shared" si="21"/>
        <v>0.32784248</v>
      </c>
      <c r="U159" s="50" t="str">
        <f t="shared" si="6"/>
        <v>AOP</v>
      </c>
      <c r="V159" s="51">
        <f t="shared" si="28"/>
        <v>2042.196376</v>
      </c>
      <c r="W159" s="52">
        <f t="shared" si="8"/>
        <v>2042.196376</v>
      </c>
      <c r="X159" s="9">
        <f t="shared" si="25"/>
        <v>6229.2</v>
      </c>
      <c r="Y159" s="8"/>
      <c r="Z159" s="8"/>
      <c r="AA159" s="8"/>
      <c r="AB159" s="8" t="str">
        <f t="shared" si="10"/>
        <v>ATHH40817P2.0UT</v>
      </c>
      <c r="AC159" s="8" t="str">
        <f>IF(AB159='Input - Bookings'!S153,"OK","Check")</f>
        <v>Check</v>
      </c>
      <c r="AD159" s="53"/>
      <c r="AE159" s="54"/>
      <c r="AF159" s="54"/>
      <c r="AG159" s="55"/>
      <c r="AH159" s="55"/>
      <c r="AI159" s="8" t="str">
        <f t="array" ref="AI159">XLOOKUP($J159,'AP Plants'!D:D,'AP Plants'!B:B)</f>
        <v>Class 3</v>
      </c>
      <c r="AJ159" s="56"/>
      <c r="AK159" s="56"/>
      <c r="AL159" s="49">
        <v>0.015</v>
      </c>
      <c r="AM159" s="49">
        <f t="array" ref="AM159">XLOOKUP($AI159,Warranty!B:B,Warranty!E:E)</f>
        <v>0.015</v>
      </c>
      <c r="AN159" s="8">
        <f>IF($L159="AUD",VLOOKUP(RIGHT('Wk - Margins'!$J159,3),'AU Freight'!C:G,5,0),0)</f>
        <v>0</v>
      </c>
      <c r="AO159" s="49">
        <f t="shared" si="11"/>
        <v>0</v>
      </c>
      <c r="AP159" s="57">
        <f t="shared" si="12"/>
        <v>0</v>
      </c>
      <c r="AQ159" s="58">
        <f t="shared" si="13"/>
        <v>1</v>
      </c>
      <c r="AR159" s="59">
        <f>IF(L159="AUD",O159*'Currency &amp; Conversion'!$L$7,'Wk - Margins'!O159)</f>
        <v>8745</v>
      </c>
      <c r="AS159" s="59">
        <f>IF(L159="AUD",P159*'Currency &amp; Conversion'!$L$7,'Wk - Margins'!P159)</f>
        <v>6229.2</v>
      </c>
    </row>
    <row r="160" ht="12.75" hidden="1" customHeight="1">
      <c r="A160" s="42" t="str">
        <f>'Input - Bookings'!A160</f>
        <v>28/06/2023</v>
      </c>
      <c r="B160" s="43" t="str">
        <f t="shared" si="1"/>
        <v>Asia</v>
      </c>
      <c r="C160" s="43" t="str">
        <f t="shared" si="2"/>
        <v>ATH</v>
      </c>
      <c r="D160" s="43" t="str">
        <f>'Input - Bookings'!D160</f>
        <v>A</v>
      </c>
      <c r="E160" s="43" t="str">
        <f>'Input - Bookings'!J160</f>
        <v>TH</v>
      </c>
      <c r="F160" s="44" t="str">
        <f>'Input - Bookings'!F160</f>
        <v>065</v>
      </c>
      <c r="G160" s="44" t="str">
        <f>'Input - Bookings'!I160</f>
        <v>DILOK AND SONS CO.,LTD.</v>
      </c>
      <c r="H160" s="44" t="str">
        <f>'Input - Bookings'!K160</f>
        <v>H40818</v>
      </c>
      <c r="I160" s="45" t="str">
        <f>VLOOKUP(H160,'Input - Bookings'!$G$2:$H$611,2,0)</f>
        <v>001255</v>
      </c>
      <c r="J160" s="44" t="str">
        <f>'Input - Bookings'!N160</f>
        <v>A3B0</v>
      </c>
      <c r="K160" s="44" t="str">
        <f>'Input - Bookings'!O160</f>
        <v>P2.0UT</v>
      </c>
      <c r="L160" s="44" t="str">
        <f>'Input - Bookings'!C160</f>
        <v>USD</v>
      </c>
      <c r="M160" s="46" t="str">
        <f t="array" ref="M160">IF(L160="USD",INDEX('AP Plants'!A:A,MATCH(J160,'AP Plants'!D:D,0)),INDEX('Australia Plants'!A:A,MATCH(J160,'Australia Plants'!D:D,0)))</f>
        <v>Ruyi</v>
      </c>
      <c r="N160" s="10">
        <v>1.0</v>
      </c>
      <c r="O160" s="9">
        <v>8745.0</v>
      </c>
      <c r="P160" s="9">
        <v>6229.2</v>
      </c>
      <c r="Q160" s="47">
        <v>0.32784247996960025</v>
      </c>
      <c r="R160" s="48">
        <f t="shared" si="3"/>
        <v>0.2876843911</v>
      </c>
      <c r="S160" s="49">
        <f t="shared" si="4"/>
        <v>0</v>
      </c>
      <c r="T160" s="49">
        <f t="shared" si="21"/>
        <v>0.32784248</v>
      </c>
      <c r="U160" s="50" t="str">
        <f t="shared" si="6"/>
        <v>AOP</v>
      </c>
      <c r="V160" s="51">
        <f t="shared" si="28"/>
        <v>2042.196376</v>
      </c>
      <c r="W160" s="52">
        <f t="shared" si="8"/>
        <v>2042.196376</v>
      </c>
      <c r="X160" s="9">
        <f t="shared" si="25"/>
        <v>6229.2</v>
      </c>
      <c r="Y160" s="8"/>
      <c r="Z160" s="8"/>
      <c r="AA160" s="8"/>
      <c r="AB160" s="8" t="str">
        <f t="shared" si="10"/>
        <v>ATHH40818P2.0UT</v>
      </c>
      <c r="AC160" s="8" t="str">
        <f>IF(AB160='Input - Bookings'!S154,"OK","Check")</f>
        <v>Check</v>
      </c>
      <c r="AD160" s="53"/>
      <c r="AE160" s="54"/>
      <c r="AF160" s="54"/>
      <c r="AG160" s="55"/>
      <c r="AH160" s="55"/>
      <c r="AI160" s="8" t="str">
        <f t="array" ref="AI160">XLOOKUP($J160,'AP Plants'!D:D,'AP Plants'!B:B)</f>
        <v>Class 3</v>
      </c>
      <c r="AJ160" s="56"/>
      <c r="AK160" s="56"/>
      <c r="AL160" s="49">
        <v>0.015</v>
      </c>
      <c r="AM160" s="49">
        <f t="array" ref="AM160">XLOOKUP($AI160,Warranty!B:B,Warranty!E:E)</f>
        <v>0.015</v>
      </c>
      <c r="AN160" s="8">
        <f>IF($L160="AUD",VLOOKUP(RIGHT('Wk - Margins'!$J160,3),'AU Freight'!C:G,5,0),0)</f>
        <v>0</v>
      </c>
      <c r="AO160" s="49">
        <f t="shared" si="11"/>
        <v>0</v>
      </c>
      <c r="AP160" s="57">
        <f t="shared" si="12"/>
        <v>0</v>
      </c>
      <c r="AQ160" s="58">
        <f t="shared" si="13"/>
        <v>1</v>
      </c>
      <c r="AR160" s="59">
        <f>IF(L160="AUD",O160*'Currency &amp; Conversion'!$L$7,'Wk - Margins'!O160)</f>
        <v>8745</v>
      </c>
      <c r="AS160" s="59">
        <f>IF(L160="AUD",P160*'Currency &amp; Conversion'!$L$7,'Wk - Margins'!P160)</f>
        <v>6229.2</v>
      </c>
    </row>
    <row r="161" ht="12.75" hidden="1" customHeight="1">
      <c r="A161" s="42" t="str">
        <f>'Input - Bookings'!A161</f>
        <v>28/06/2023</v>
      </c>
      <c r="B161" s="43" t="str">
        <f t="shared" si="1"/>
        <v>Asia</v>
      </c>
      <c r="C161" s="43" t="str">
        <f t="shared" si="2"/>
        <v>AVN</v>
      </c>
      <c r="D161" s="43" t="str">
        <f>'Input - Bookings'!D161</f>
        <v>A</v>
      </c>
      <c r="E161" s="43" t="str">
        <f>'Input - Bookings'!J161</f>
        <v>VN</v>
      </c>
      <c r="F161" s="44" t="str">
        <f>'Input - Bookings'!F161</f>
        <v>067</v>
      </c>
      <c r="G161" s="44" t="str">
        <f>'Input - Bookings'!I161</f>
        <v>KY LUC CO., LTD</v>
      </c>
      <c r="H161" s="44" t="str">
        <f>'Input - Bookings'!K161</f>
        <v>H40780</v>
      </c>
      <c r="I161" s="45" t="str">
        <f>VLOOKUP(H161,'Input - Bookings'!$G$2:$H$611,2,0)</f>
        <v>017005</v>
      </c>
      <c r="J161" s="44" t="str">
        <f>'Input - Bookings'!N161</f>
        <v>A7R1</v>
      </c>
      <c r="K161" s="44" t="str">
        <f>'Input - Bookings'!O161</f>
        <v>MP20XUX</v>
      </c>
      <c r="L161" s="44" t="str">
        <f>'Input - Bookings'!C161</f>
        <v>USD</v>
      </c>
      <c r="M161" s="46" t="str">
        <f t="array" ref="M161">IF(L161="USD",INDEX('AP Plants'!A:A,MATCH(J161,'AP Plants'!D:D,0)),INDEX('Australia Plants'!A:A,MATCH(J161,'Australia Plants'!D:D,0)))</f>
        <v>Ruyi</v>
      </c>
      <c r="N161" s="10">
        <v>1.0</v>
      </c>
      <c r="O161" s="9">
        <v>7015.0</v>
      </c>
      <c r="P161" s="9">
        <v>4980.2</v>
      </c>
      <c r="Q161" s="47">
        <v>0.3959139821280302</v>
      </c>
      <c r="R161" s="48">
        <f t="shared" si="3"/>
        <v>0.2900641483</v>
      </c>
      <c r="S161" s="49">
        <f t="shared" si="4"/>
        <v>0</v>
      </c>
      <c r="T161" s="49">
        <f t="shared" si="21"/>
        <v>0.3959139821</v>
      </c>
      <c r="U161" s="50" t="str">
        <f t="shared" si="6"/>
        <v>AOP</v>
      </c>
      <c r="V161" s="51">
        <f t="shared" si="28"/>
        <v>1971.730814</v>
      </c>
      <c r="W161" s="52">
        <f t="shared" si="8"/>
        <v>1971.730814</v>
      </c>
      <c r="X161" s="9">
        <f t="shared" si="25"/>
        <v>4980.2</v>
      </c>
      <c r="Y161" s="8"/>
      <c r="Z161" s="8"/>
      <c r="AA161" s="8"/>
      <c r="AB161" s="8" t="str">
        <f t="shared" si="10"/>
        <v>AVNH40780MP20XUX</v>
      </c>
      <c r="AC161" s="8" t="str">
        <f>IF(AB161='Input - Bookings'!S155,"OK","Check")</f>
        <v>Check</v>
      </c>
      <c r="AD161" s="53"/>
      <c r="AE161" s="54"/>
      <c r="AF161" s="54"/>
      <c r="AG161" s="55"/>
      <c r="AH161" s="55"/>
      <c r="AI161" s="8" t="str">
        <f t="array" ref="AI161">XLOOKUP($J161,'AP Plants'!D:D,'AP Plants'!B:B)</f>
        <v>Class 3</v>
      </c>
      <c r="AJ161" s="56"/>
      <c r="AK161" s="56"/>
      <c r="AL161" s="49">
        <v>0.015</v>
      </c>
      <c r="AM161" s="49">
        <f t="array" ref="AM161">XLOOKUP($AI161,Warranty!B:B,Warranty!E:E)</f>
        <v>0.015</v>
      </c>
      <c r="AN161" s="8">
        <f>IF($L161="AUD",VLOOKUP(RIGHT('Wk - Margins'!$J161,3),'AU Freight'!C:G,5,0),0)</f>
        <v>0</v>
      </c>
      <c r="AO161" s="49">
        <f t="shared" si="11"/>
        <v>0</v>
      </c>
      <c r="AP161" s="57">
        <f t="shared" si="12"/>
        <v>0</v>
      </c>
      <c r="AQ161" s="58">
        <f t="shared" si="13"/>
        <v>1</v>
      </c>
      <c r="AR161" s="59">
        <f>IF(L161="AUD",O161*'Currency &amp; Conversion'!$L$7,'Wk - Margins'!O161)</f>
        <v>7015</v>
      </c>
      <c r="AS161" s="59">
        <f>IF(L161="AUD",P161*'Currency &amp; Conversion'!$L$7,'Wk - Margins'!P161)</f>
        <v>4980.2</v>
      </c>
    </row>
    <row r="162" ht="12.75" hidden="1" customHeight="1">
      <c r="A162" s="42" t="str">
        <f>'Input - Bookings'!A162</f>
        <v>28/06/2023</v>
      </c>
      <c r="B162" s="43" t="str">
        <f t="shared" si="1"/>
        <v>Asia</v>
      </c>
      <c r="C162" s="43" t="str">
        <f t="shared" si="2"/>
        <v>AVN</v>
      </c>
      <c r="D162" s="43" t="str">
        <f>'Input - Bookings'!D162</f>
        <v>A</v>
      </c>
      <c r="E162" s="43" t="str">
        <f>'Input - Bookings'!J162</f>
        <v>VN</v>
      </c>
      <c r="F162" s="44" t="str">
        <f>'Input - Bookings'!F162</f>
        <v>067</v>
      </c>
      <c r="G162" s="44" t="str">
        <f>'Input - Bookings'!I162</f>
        <v>KY LUC CO., LTD</v>
      </c>
      <c r="H162" s="44" t="str">
        <f>'Input - Bookings'!K162</f>
        <v>H40781</v>
      </c>
      <c r="I162" s="45" t="str">
        <f>VLOOKUP(H162,'Input - Bookings'!$G$2:$H$611,2,0)</f>
        <v>017005</v>
      </c>
      <c r="J162" s="44" t="str">
        <f>'Input - Bookings'!N162</f>
        <v>A7R1</v>
      </c>
      <c r="K162" s="44" t="str">
        <f>'Input - Bookings'!O162</f>
        <v>MP20XUX</v>
      </c>
      <c r="L162" s="44" t="str">
        <f>'Input - Bookings'!C162</f>
        <v>USD</v>
      </c>
      <c r="M162" s="46" t="str">
        <f t="array" ref="M162">IF(L162="USD",INDEX('AP Plants'!A:A,MATCH(J162,'AP Plants'!D:D,0)),INDEX('Australia Plants'!A:A,MATCH(J162,'Australia Plants'!D:D,0)))</f>
        <v>Ruyi</v>
      </c>
      <c r="N162" s="10">
        <v>1.0</v>
      </c>
      <c r="O162" s="9">
        <v>7015.0</v>
      </c>
      <c r="P162" s="9">
        <v>4559.0</v>
      </c>
      <c r="Q162" s="47">
        <v>0.3401032712862505</v>
      </c>
      <c r="R162" s="48">
        <f t="shared" si="3"/>
        <v>0.3501069138</v>
      </c>
      <c r="S162" s="49">
        <f t="shared" si="4"/>
        <v>0</v>
      </c>
      <c r="T162" s="49">
        <f t="shared" si="21"/>
        <v>0.3401032713</v>
      </c>
      <c r="U162" s="50" t="str">
        <f t="shared" si="6"/>
        <v>AOP</v>
      </c>
      <c r="V162" s="51">
        <f t="shared" si="28"/>
        <v>1550.530814</v>
      </c>
      <c r="W162" s="52">
        <f t="shared" si="8"/>
        <v>1550.530814</v>
      </c>
      <c r="X162" s="9">
        <f t="shared" si="25"/>
        <v>4559</v>
      </c>
      <c r="Y162" s="8"/>
      <c r="Z162" s="8"/>
      <c r="AA162" s="8"/>
      <c r="AB162" s="8" t="str">
        <f t="shared" si="10"/>
        <v>AVNH40781MP20XUX</v>
      </c>
      <c r="AC162" s="8" t="str">
        <f>IF(AB162='Input - Bookings'!S156,"OK","Check")</f>
        <v>Check</v>
      </c>
      <c r="AD162" s="53"/>
      <c r="AE162" s="54"/>
      <c r="AF162" s="54"/>
      <c r="AG162" s="55"/>
      <c r="AH162" s="55"/>
      <c r="AI162" s="8" t="str">
        <f t="array" ref="AI162">XLOOKUP($J162,'AP Plants'!D:D,'AP Plants'!B:B)</f>
        <v>Class 3</v>
      </c>
      <c r="AJ162" s="56"/>
      <c r="AK162" s="56"/>
      <c r="AL162" s="49">
        <v>0.015</v>
      </c>
      <c r="AM162" s="49">
        <f t="array" ref="AM162">XLOOKUP($AI162,Warranty!B:B,Warranty!E:E)</f>
        <v>0.015</v>
      </c>
      <c r="AN162" s="8">
        <f>IF($L162="AUD",VLOOKUP(RIGHT('Wk - Margins'!$J162,3),'AU Freight'!C:G,5,0),0)</f>
        <v>0</v>
      </c>
      <c r="AO162" s="49">
        <f t="shared" si="11"/>
        <v>0</v>
      </c>
      <c r="AP162" s="57">
        <f t="shared" si="12"/>
        <v>0</v>
      </c>
      <c r="AQ162" s="58">
        <f t="shared" si="13"/>
        <v>1</v>
      </c>
      <c r="AR162" s="59">
        <f>IF(L162="AUD",O162*'Currency &amp; Conversion'!$L$7,'Wk - Margins'!O162)</f>
        <v>7015</v>
      </c>
      <c r="AS162" s="59">
        <f>IF(L162="AUD",P162*'Currency &amp; Conversion'!$L$7,'Wk - Margins'!P162)</f>
        <v>4559</v>
      </c>
    </row>
    <row r="163" ht="12.75" hidden="1" customHeight="1">
      <c r="A163" s="42" t="str">
        <f>'Input - Bookings'!A163</f>
        <v>28/06/2023</v>
      </c>
      <c r="B163" s="43" t="str">
        <f t="shared" si="1"/>
        <v>Asia</v>
      </c>
      <c r="C163" s="43" t="str">
        <f t="shared" si="2"/>
        <v>AVN</v>
      </c>
      <c r="D163" s="43" t="str">
        <f>'Input - Bookings'!D163</f>
        <v>A</v>
      </c>
      <c r="E163" s="43" t="str">
        <f>'Input - Bookings'!J163</f>
        <v>VN</v>
      </c>
      <c r="F163" s="44" t="str">
        <f>'Input - Bookings'!F163</f>
        <v>067</v>
      </c>
      <c r="G163" s="44" t="str">
        <f>'Input - Bookings'!I163</f>
        <v>KY LUC CO., LTD</v>
      </c>
      <c r="H163" s="44" t="str">
        <f>'Input - Bookings'!K163</f>
        <v>H40815</v>
      </c>
      <c r="I163" s="45" t="str">
        <f>VLOOKUP(H163,'Input - Bookings'!$G$2:$H$611,2,0)</f>
        <v>017005</v>
      </c>
      <c r="J163" s="44" t="str">
        <f>'Input - Bookings'!N163</f>
        <v>A7S4</v>
      </c>
      <c r="K163" s="44" t="str">
        <f>'Input - Bookings'!O163</f>
        <v>ERP25UX</v>
      </c>
      <c r="L163" s="44" t="str">
        <f>'Input - Bookings'!C163</f>
        <v>USD</v>
      </c>
      <c r="M163" s="46" t="str">
        <f t="array" ref="M163">IF(L163="USD",INDEX('AP Plants'!A:A,MATCH(J163,'AP Plants'!D:D,0)),INDEX('Australia Plants'!A:A,MATCH(J163,'Australia Plants'!D:D,0)))</f>
        <v>Maximal</v>
      </c>
      <c r="N163" s="10">
        <v>1.0</v>
      </c>
      <c r="O163" s="9">
        <v>22245.0</v>
      </c>
      <c r="P163" s="9">
        <v>14758.4</v>
      </c>
      <c r="Q163" s="47">
        <v>0.08345658272804757</v>
      </c>
      <c r="R163" s="48">
        <f t="shared" si="3"/>
        <v>0.3365520342</v>
      </c>
      <c r="S163" s="49">
        <f t="shared" si="4"/>
        <v>0</v>
      </c>
      <c r="T163" s="49">
        <f t="shared" si="21"/>
        <v>0.08345658273</v>
      </c>
      <c r="U163" s="50" t="str">
        <f t="shared" si="6"/>
        <v>AOP</v>
      </c>
      <c r="V163" s="51">
        <f t="shared" si="28"/>
        <v>1231.685631</v>
      </c>
      <c r="W163" s="52">
        <f t="shared" si="8"/>
        <v>1231.685631</v>
      </c>
      <c r="X163" s="9">
        <f t="shared" si="25"/>
        <v>14758.4</v>
      </c>
      <c r="Y163" s="8"/>
      <c r="Z163" s="8"/>
      <c r="AA163" s="8"/>
      <c r="AB163" s="8" t="str">
        <f t="shared" si="10"/>
        <v>AVNH40815ERP25UX</v>
      </c>
      <c r="AC163" s="8" t="str">
        <f>IF(AB163='Input - Bookings'!S157,"OK","Check")</f>
        <v>Check</v>
      </c>
      <c r="AD163" s="53"/>
      <c r="AE163" s="54"/>
      <c r="AF163" s="54"/>
      <c r="AG163" s="55"/>
      <c r="AH163" s="55"/>
      <c r="AI163" s="8" t="str">
        <f t="array" ref="AI163">XLOOKUP($J163,'AP Plants'!D:D,'AP Plants'!B:B)</f>
        <v>Class 1</v>
      </c>
      <c r="AJ163" s="56"/>
      <c r="AK163" s="56"/>
      <c r="AL163" s="49">
        <v>0.015</v>
      </c>
      <c r="AM163" s="49">
        <f t="array" ref="AM163">XLOOKUP($AI163,Warranty!B:B,Warranty!E:E)</f>
        <v>0.005</v>
      </c>
      <c r="AN163" s="8">
        <f>IF($L163="AUD",VLOOKUP(RIGHT('Wk - Margins'!$J163,3),'AU Freight'!C:G,5,0),0)</f>
        <v>0</v>
      </c>
      <c r="AO163" s="49">
        <f t="shared" si="11"/>
        <v>0</v>
      </c>
      <c r="AP163" s="57">
        <f t="shared" si="12"/>
        <v>0</v>
      </c>
      <c r="AQ163" s="58">
        <f t="shared" si="13"/>
        <v>1</v>
      </c>
      <c r="AR163" s="59">
        <f>IF(L163="AUD",O163*'Currency &amp; Conversion'!$L$7,'Wk - Margins'!O163)</f>
        <v>22245</v>
      </c>
      <c r="AS163" s="59">
        <f>IF(L163="AUD",P163*'Currency &amp; Conversion'!$L$7,'Wk - Margins'!P163)</f>
        <v>14758.4</v>
      </c>
    </row>
    <row r="164" ht="12.75" hidden="1" customHeight="1">
      <c r="A164" s="42" t="str">
        <f>'Input - Bookings'!A164</f>
        <v>28/06/2023</v>
      </c>
      <c r="B164" s="43" t="str">
        <f t="shared" si="1"/>
        <v>Asia</v>
      </c>
      <c r="C164" s="43" t="str">
        <f t="shared" si="2"/>
        <v>AVN</v>
      </c>
      <c r="D164" s="43" t="str">
        <f>'Input - Bookings'!D164</f>
        <v>A</v>
      </c>
      <c r="E164" s="43" t="str">
        <f>'Input - Bookings'!J164</f>
        <v>VN</v>
      </c>
      <c r="F164" s="44" t="str">
        <f>'Input - Bookings'!F164</f>
        <v>067</v>
      </c>
      <c r="G164" s="44" t="str">
        <f>'Input - Bookings'!I164</f>
        <v>KY LUC CO., LTD</v>
      </c>
      <c r="H164" s="44" t="str">
        <f>'Input - Bookings'!K164</f>
        <v>H40816</v>
      </c>
      <c r="I164" s="45" t="str">
        <f>VLOOKUP(H164,'Input - Bookings'!$G$2:$H$611,2,0)</f>
        <v>017005</v>
      </c>
      <c r="J164" s="44" t="str">
        <f>'Input - Bookings'!N164</f>
        <v>A7S4</v>
      </c>
      <c r="K164" s="44" t="str">
        <f>'Input - Bookings'!O164</f>
        <v>ERP30UX</v>
      </c>
      <c r="L164" s="44" t="str">
        <f>'Input - Bookings'!C164</f>
        <v>USD</v>
      </c>
      <c r="M164" s="46" t="str">
        <f t="array" ref="M164">IF(L164="USD",INDEX('AP Plants'!A:A,MATCH(J164,'AP Plants'!D:D,0)),INDEX('Australia Plants'!A:A,MATCH(J164,'Australia Plants'!D:D,0)))</f>
        <v>Maximal</v>
      </c>
      <c r="N164" s="10">
        <v>1.0</v>
      </c>
      <c r="O164" s="9">
        <v>24520.0</v>
      </c>
      <c r="P164" s="9">
        <v>16348.2</v>
      </c>
      <c r="Q164" s="47">
        <v>0.08839977732000215</v>
      </c>
      <c r="R164" s="48">
        <f t="shared" si="3"/>
        <v>0.3332707993</v>
      </c>
      <c r="S164" s="49">
        <f t="shared" si="4"/>
        <v>0</v>
      </c>
      <c r="T164" s="49">
        <f t="shared" si="21"/>
        <v>0.08839977732</v>
      </c>
      <c r="U164" s="50" t="str">
        <f t="shared" si="6"/>
        <v>AOP</v>
      </c>
      <c r="V164" s="51">
        <f t="shared" si="28"/>
        <v>1445.17724</v>
      </c>
      <c r="W164" s="52">
        <f t="shared" si="8"/>
        <v>1445.17724</v>
      </c>
      <c r="X164" s="9">
        <f t="shared" si="25"/>
        <v>16348.2</v>
      </c>
      <c r="Y164" s="8"/>
      <c r="Z164" s="8"/>
      <c r="AA164" s="8"/>
      <c r="AB164" s="8" t="str">
        <f t="shared" si="10"/>
        <v>AVNH40816ERP30UX</v>
      </c>
      <c r="AC164" s="8" t="str">
        <f>IF(AB164='Input - Bookings'!S158,"OK","Check")</f>
        <v>Check</v>
      </c>
      <c r="AD164" s="53"/>
      <c r="AE164" s="54"/>
      <c r="AF164" s="54"/>
      <c r="AG164" s="55"/>
      <c r="AH164" s="55"/>
      <c r="AI164" s="8" t="str">
        <f t="array" ref="AI164">XLOOKUP($J164,'AP Plants'!D:D,'AP Plants'!B:B)</f>
        <v>Class 1</v>
      </c>
      <c r="AJ164" s="56"/>
      <c r="AK164" s="56"/>
      <c r="AL164" s="49">
        <v>0.015</v>
      </c>
      <c r="AM164" s="49">
        <f t="array" ref="AM164">XLOOKUP($AI164,Warranty!B:B,Warranty!E:E)</f>
        <v>0.005</v>
      </c>
      <c r="AN164" s="8">
        <f>IF($L164="AUD",VLOOKUP(RIGHT('Wk - Margins'!$J164,3),'AU Freight'!C:G,5,0),0)</f>
        <v>0</v>
      </c>
      <c r="AO164" s="49">
        <f t="shared" si="11"/>
        <v>0</v>
      </c>
      <c r="AP164" s="57">
        <f t="shared" si="12"/>
        <v>0</v>
      </c>
      <c r="AQ164" s="58">
        <f t="shared" si="13"/>
        <v>1</v>
      </c>
      <c r="AR164" s="59">
        <f>IF(L164="AUD",O164*'Currency &amp; Conversion'!$L$7,'Wk - Margins'!O164)</f>
        <v>24520</v>
      </c>
      <c r="AS164" s="59">
        <f>IF(L164="AUD",P164*'Currency &amp; Conversion'!$L$7,'Wk - Margins'!P164)</f>
        <v>16348.2</v>
      </c>
    </row>
    <row r="165" ht="14.25" hidden="1" customHeight="1">
      <c r="A165" s="42" t="str">
        <f>'Input - Bookings'!A165</f>
        <v>29/06/2023</v>
      </c>
      <c r="B165" s="43" t="str">
        <f t="shared" si="1"/>
        <v>Asia</v>
      </c>
      <c r="C165" s="43" t="str">
        <f t="shared" si="2"/>
        <v>AID</v>
      </c>
      <c r="D165" s="43" t="str">
        <f>'Input - Bookings'!D165</f>
        <v>A</v>
      </c>
      <c r="E165" s="43" t="str">
        <f>'Input - Bookings'!J165</f>
        <v>ID</v>
      </c>
      <c r="F165" s="44" t="str">
        <f>'Input - Bookings'!F165</f>
        <v>067</v>
      </c>
      <c r="G165" s="44" t="str">
        <f>'Input - Bookings'!I165</f>
        <v>PT UNIVERSAL TRAKTOR</v>
      </c>
      <c r="H165" s="44" t="str">
        <f>'Input - Bookings'!K165</f>
        <v>H40944</v>
      </c>
      <c r="I165" s="45" t="str">
        <f>VLOOKUP(H165,'Input - Bookings'!$G$2:$H$611,2,0)</f>
        <v>804105</v>
      </c>
      <c r="J165" s="44" t="str">
        <f>'Input - Bookings'!N165</f>
        <v>A7S6</v>
      </c>
      <c r="K165" s="44" t="str">
        <f>'Input - Bookings'!O165</f>
        <v>GP50UXS6</v>
      </c>
      <c r="L165" s="44" t="str">
        <f>'Input - Bookings'!C165</f>
        <v>USD</v>
      </c>
      <c r="M165" s="46" t="str">
        <f t="array" ref="M165">IF(L165="USD",INDEX('AP Plants'!A:A,MATCH(J165,'AP Plants'!D:D,0)),INDEX('Australia Plants'!A:A,MATCH(J165,'Australia Plants'!D:D,0)))</f>
        <v>Maximal</v>
      </c>
      <c r="N165" s="10">
        <v>1.0</v>
      </c>
      <c r="O165" s="9">
        <v>34457.0</v>
      </c>
      <c r="P165" s="9">
        <v>23908.05</v>
      </c>
      <c r="Q165" s="47">
        <v>0.23297925569793487</v>
      </c>
      <c r="R165" s="48">
        <f t="shared" si="3"/>
        <v>0.3061482427</v>
      </c>
      <c r="S165" s="49">
        <f t="shared" si="4"/>
        <v>0</v>
      </c>
      <c r="T165" s="49">
        <f t="shared" si="21"/>
        <v>0.2329792557</v>
      </c>
      <c r="U165" s="50" t="str">
        <f t="shared" si="6"/>
        <v>AOP</v>
      </c>
      <c r="V165" s="51">
        <f t="shared" si="28"/>
        <v>5570.079694</v>
      </c>
      <c r="W165" s="52">
        <f t="shared" si="8"/>
        <v>5570.079694</v>
      </c>
      <c r="X165" s="9">
        <f t="shared" si="25"/>
        <v>23908.05</v>
      </c>
      <c r="Y165" s="8"/>
      <c r="Z165" s="8"/>
      <c r="AA165" s="8"/>
      <c r="AB165" s="8" t="str">
        <f t="shared" si="10"/>
        <v>AIDH40944GP50UXS6</v>
      </c>
      <c r="AC165" s="8" t="str">
        <f>IF(AB165='Input - Bookings'!S159,"OK","Check")</f>
        <v>Check</v>
      </c>
      <c r="AD165" s="53"/>
      <c r="AE165" s="54"/>
      <c r="AF165" s="54"/>
      <c r="AG165" s="55"/>
      <c r="AH165" s="62"/>
      <c r="AI165" s="8" t="str">
        <f t="array" ref="AI165">XLOOKUP($J165,'AP Plants'!D:D,'AP Plants'!B:B)</f>
        <v>Class 5 NOT BT</v>
      </c>
      <c r="AJ165" s="56"/>
      <c r="AK165" s="56"/>
      <c r="AL165" s="49">
        <v>0.015</v>
      </c>
      <c r="AM165" s="49">
        <f t="array" ref="AM165">XLOOKUP($AI165,Warranty!B:B,Warranty!E:E)</f>
        <v>0.005</v>
      </c>
      <c r="AN165" s="8">
        <f>IF($L165="AUD",VLOOKUP(RIGHT('Wk - Margins'!$J165,3),'AU Freight'!C:G,5,0),0)</f>
        <v>0</v>
      </c>
      <c r="AO165" s="49">
        <f t="shared" si="11"/>
        <v>0</v>
      </c>
      <c r="AP165" s="57">
        <f t="shared" si="12"/>
        <v>0</v>
      </c>
      <c r="AQ165" s="58">
        <f t="shared" si="13"/>
        <v>1</v>
      </c>
      <c r="AR165" s="59">
        <f>IF(L165="AUD",O165*'Currency &amp; Conversion'!$L$7,'Wk - Margins'!O165)</f>
        <v>34457</v>
      </c>
      <c r="AS165" s="59">
        <f>IF(L165="AUD",P165*'Currency &amp; Conversion'!$L$7,'Wk - Margins'!P165)</f>
        <v>23908.05</v>
      </c>
    </row>
    <row r="166" ht="12.75" hidden="1" customHeight="1">
      <c r="A166" s="42" t="str">
        <f>'Input - Bookings'!A166</f>
        <v>29/06/2023</v>
      </c>
      <c r="B166" s="43" t="str">
        <f t="shared" si="1"/>
        <v>Asia</v>
      </c>
      <c r="C166" s="43" t="str">
        <f t="shared" si="2"/>
        <v>AID</v>
      </c>
      <c r="D166" s="43" t="str">
        <f>'Input - Bookings'!D166</f>
        <v>A</v>
      </c>
      <c r="E166" s="43" t="str">
        <f>'Input - Bookings'!J166</f>
        <v>ID</v>
      </c>
      <c r="F166" s="44" t="str">
        <f>'Input - Bookings'!F166</f>
        <v>067</v>
      </c>
      <c r="G166" s="44" t="str">
        <f>'Input - Bookings'!I166</f>
        <v>PT UNIVERSAL TRAKTOR</v>
      </c>
      <c r="H166" s="44" t="str">
        <f>'Input - Bookings'!K166</f>
        <v>H40946</v>
      </c>
      <c r="I166" s="45" t="str">
        <f>VLOOKUP(H166,'Input - Bookings'!$G$2:$H$611,2,0)</f>
        <v>804105</v>
      </c>
      <c r="J166" s="44" t="str">
        <f>'Input - Bookings'!N166</f>
        <v>A7S6</v>
      </c>
      <c r="K166" s="44" t="str">
        <f>'Input - Bookings'!O166</f>
        <v>GP50UXS6</v>
      </c>
      <c r="L166" s="44" t="str">
        <f>'Input - Bookings'!C166</f>
        <v>USD</v>
      </c>
      <c r="M166" s="46" t="str">
        <f t="array" ref="M166">IF(L166="USD",INDEX('AP Plants'!A:A,MATCH(J166,'AP Plants'!D:D,0)),INDEX('Australia Plants'!A:A,MATCH(J166,'Australia Plants'!D:D,0)))</f>
        <v>Maximal</v>
      </c>
      <c r="N166" s="10">
        <v>1.0</v>
      </c>
      <c r="O166" s="9">
        <v>34457.0</v>
      </c>
      <c r="P166" s="9">
        <v>23908.05</v>
      </c>
      <c r="Q166" s="47">
        <v>0.23297925569793487</v>
      </c>
      <c r="R166" s="48">
        <f t="shared" si="3"/>
        <v>0.3061482427</v>
      </c>
      <c r="S166" s="49">
        <f t="shared" si="4"/>
        <v>0</v>
      </c>
      <c r="T166" s="49">
        <f t="shared" si="21"/>
        <v>0.2329792557</v>
      </c>
      <c r="U166" s="50" t="str">
        <f t="shared" si="6"/>
        <v>AOP</v>
      </c>
      <c r="V166" s="51">
        <f t="shared" si="28"/>
        <v>5570.079694</v>
      </c>
      <c r="W166" s="52">
        <f t="shared" si="8"/>
        <v>5570.079694</v>
      </c>
      <c r="X166" s="9">
        <f t="shared" si="25"/>
        <v>23908.05</v>
      </c>
      <c r="Y166" s="8"/>
      <c r="Z166" s="8"/>
      <c r="AA166" s="8"/>
      <c r="AB166" s="8" t="str">
        <f t="shared" si="10"/>
        <v>AIDH40946GP50UXS6</v>
      </c>
      <c r="AC166" s="8" t="str">
        <f>IF(AB166='Input - Bookings'!S160,"OK","Check")</f>
        <v>Check</v>
      </c>
      <c r="AD166" s="53"/>
      <c r="AE166" s="54"/>
      <c r="AF166" s="54"/>
      <c r="AG166" s="55"/>
      <c r="AH166" s="62"/>
      <c r="AI166" s="8" t="str">
        <f t="array" ref="AI166">XLOOKUP($J166,'AP Plants'!D:D,'AP Plants'!B:B)</f>
        <v>Class 5 NOT BT</v>
      </c>
      <c r="AJ166" s="56"/>
      <c r="AK166" s="56"/>
      <c r="AL166" s="49">
        <v>0.015</v>
      </c>
      <c r="AM166" s="49">
        <f t="array" ref="AM166">XLOOKUP($AI166,Warranty!B:B,Warranty!E:E)</f>
        <v>0.005</v>
      </c>
      <c r="AN166" s="8">
        <f>IF($L166="AUD",VLOOKUP(RIGHT('Wk - Margins'!$J166,3),'AU Freight'!C:G,5,0),0)</f>
        <v>0</v>
      </c>
      <c r="AO166" s="49">
        <f t="shared" si="11"/>
        <v>0</v>
      </c>
      <c r="AP166" s="57">
        <f t="shared" si="12"/>
        <v>0</v>
      </c>
      <c r="AQ166" s="58">
        <f t="shared" si="13"/>
        <v>1</v>
      </c>
      <c r="AR166" s="59">
        <f>IF(L166="AUD",O166*'Currency &amp; Conversion'!$L$7,'Wk - Margins'!O166)</f>
        <v>34457</v>
      </c>
      <c r="AS166" s="59">
        <f>IF(L166="AUD",P166*'Currency &amp; Conversion'!$L$7,'Wk - Margins'!P166)</f>
        <v>23908.05</v>
      </c>
    </row>
    <row r="167" ht="14.25" hidden="1" customHeight="1">
      <c r="A167" s="42" t="str">
        <f>'Input - Bookings'!A167</f>
        <v>29/06/2023</v>
      </c>
      <c r="B167" s="43" t="str">
        <f t="shared" si="1"/>
        <v>Asia</v>
      </c>
      <c r="C167" s="43" t="str">
        <f t="shared" si="2"/>
        <v>AID</v>
      </c>
      <c r="D167" s="43" t="str">
        <f>'Input - Bookings'!D167</f>
        <v>A</v>
      </c>
      <c r="E167" s="43" t="str">
        <f>'Input - Bookings'!J167</f>
        <v>ID</v>
      </c>
      <c r="F167" s="44" t="str">
        <f>'Input - Bookings'!F167</f>
        <v>067</v>
      </c>
      <c r="G167" s="44" t="str">
        <f>'Input - Bookings'!I167</f>
        <v>PT UNIVERSAL TRAKTOR</v>
      </c>
      <c r="H167" s="44" t="str">
        <f>'Input - Bookings'!K167</f>
        <v>H40947</v>
      </c>
      <c r="I167" s="45" t="str">
        <f>VLOOKUP(H167,'Input - Bookings'!$G$2:$H$611,2,0)</f>
        <v>804105</v>
      </c>
      <c r="J167" s="44" t="str">
        <f>'Input - Bookings'!N167</f>
        <v>A7S6</v>
      </c>
      <c r="K167" s="44" t="str">
        <f>'Input - Bookings'!O167</f>
        <v>GP50UXS6</v>
      </c>
      <c r="L167" s="44" t="str">
        <f>'Input - Bookings'!C167</f>
        <v>USD</v>
      </c>
      <c r="M167" s="46" t="str">
        <f t="array" ref="M167">IF(L167="USD",INDEX('AP Plants'!A:A,MATCH(J167,'AP Plants'!D:D,0)),INDEX('Australia Plants'!A:A,MATCH(J167,'Australia Plants'!D:D,0)))</f>
        <v>Maximal</v>
      </c>
      <c r="N167" s="10">
        <v>1.0</v>
      </c>
      <c r="O167" s="9">
        <v>34457.0</v>
      </c>
      <c r="P167" s="9">
        <v>23908.05</v>
      </c>
      <c r="Q167" s="47">
        <v>0.23297925569793487</v>
      </c>
      <c r="R167" s="48">
        <f t="shared" si="3"/>
        <v>0.3061482427</v>
      </c>
      <c r="S167" s="49">
        <f t="shared" si="4"/>
        <v>0</v>
      </c>
      <c r="T167" s="49">
        <f t="shared" si="21"/>
        <v>0.2329792557</v>
      </c>
      <c r="U167" s="50" t="str">
        <f t="shared" si="6"/>
        <v>AOP</v>
      </c>
      <c r="V167" s="51">
        <f t="shared" si="28"/>
        <v>5570.079694</v>
      </c>
      <c r="W167" s="52">
        <f t="shared" si="8"/>
        <v>5570.079694</v>
      </c>
      <c r="X167" s="9">
        <f t="shared" si="25"/>
        <v>23908.05</v>
      </c>
      <c r="Y167" s="8"/>
      <c r="Z167" s="8"/>
      <c r="AA167" s="8"/>
      <c r="AB167" s="8" t="str">
        <f t="shared" si="10"/>
        <v>AIDH40947GP50UXS6</v>
      </c>
      <c r="AC167" s="8" t="str">
        <f>IF(AB167='Input - Bookings'!S164,"OK","Check")</f>
        <v>Check</v>
      </c>
      <c r="AD167" s="60"/>
      <c r="AE167" s="54"/>
      <c r="AF167" s="54"/>
      <c r="AG167" s="55"/>
      <c r="AH167" s="62"/>
      <c r="AI167" s="8" t="str">
        <f t="array" ref="AI167">XLOOKUP($J167,'AP Plants'!D:D,'AP Plants'!B:B)</f>
        <v>Class 5 NOT BT</v>
      </c>
      <c r="AJ167" s="56"/>
      <c r="AK167" s="56"/>
      <c r="AL167" s="49">
        <v>0.015</v>
      </c>
      <c r="AM167" s="49">
        <f t="array" ref="AM167">XLOOKUP($AI167,Warranty!B:B,Warranty!E:E)</f>
        <v>0.005</v>
      </c>
      <c r="AN167" s="8">
        <f>IF($L167="AUD",VLOOKUP(RIGHT('Wk - Margins'!$J167,3),'AU Freight'!C:G,5,0),0)</f>
        <v>0</v>
      </c>
      <c r="AO167" s="49">
        <f t="shared" si="11"/>
        <v>0</v>
      </c>
      <c r="AP167" s="57">
        <f t="shared" si="12"/>
        <v>0</v>
      </c>
      <c r="AQ167" s="58">
        <f t="shared" si="13"/>
        <v>1</v>
      </c>
      <c r="AR167" s="59">
        <f>IF(L167="AUD",O167*'Currency &amp; Conversion'!$L$7,'Wk - Margins'!O167)</f>
        <v>34457</v>
      </c>
      <c r="AS167" s="59">
        <f>IF(L167="AUD",P167*'Currency &amp; Conversion'!$L$7,'Wk - Margins'!P167)</f>
        <v>23908.05</v>
      </c>
    </row>
    <row r="168" ht="14.25" hidden="1" customHeight="1">
      <c r="A168" s="42" t="str">
        <f>'Input - Bookings'!A168</f>
        <v>29/06/2023</v>
      </c>
      <c r="B168" s="43" t="str">
        <f t="shared" si="1"/>
        <v>Asia</v>
      </c>
      <c r="C168" s="43" t="str">
        <f t="shared" si="2"/>
        <v>AID</v>
      </c>
      <c r="D168" s="43" t="str">
        <f>'Input - Bookings'!D168</f>
        <v>A</v>
      </c>
      <c r="E168" s="43" t="str">
        <f>'Input - Bookings'!J168</f>
        <v>ID</v>
      </c>
      <c r="F168" s="44" t="str">
        <f>'Input - Bookings'!F168</f>
        <v>067</v>
      </c>
      <c r="G168" s="44" t="str">
        <f>'Input - Bookings'!I168</f>
        <v>PT UNIVERSAL TRAKTOR</v>
      </c>
      <c r="H168" s="44" t="str">
        <f>'Input - Bookings'!K168</f>
        <v>H40948</v>
      </c>
      <c r="I168" s="45" t="str">
        <f>VLOOKUP(H168,'Input - Bookings'!$G$2:$H$611,2,0)</f>
        <v>804105</v>
      </c>
      <c r="J168" s="44" t="str">
        <f>'Input - Bookings'!N168</f>
        <v>A7S6</v>
      </c>
      <c r="K168" s="44" t="str">
        <f>'Input - Bookings'!O168</f>
        <v>GP50UXS6</v>
      </c>
      <c r="L168" s="44" t="str">
        <f>'Input - Bookings'!C168</f>
        <v>USD</v>
      </c>
      <c r="M168" s="46" t="str">
        <f t="array" ref="M168">IF(L168="USD",INDEX('AP Plants'!A:A,MATCH(J168,'AP Plants'!D:D,0)),INDEX('Australia Plants'!A:A,MATCH(J168,'Australia Plants'!D:D,0)))</f>
        <v>Maximal</v>
      </c>
      <c r="N168" s="10">
        <v>1.0</v>
      </c>
      <c r="O168" s="9">
        <v>34457.0</v>
      </c>
      <c r="P168" s="9">
        <v>23908.05</v>
      </c>
      <c r="Q168" s="47">
        <v>0.23297925569793487</v>
      </c>
      <c r="R168" s="48">
        <f t="shared" si="3"/>
        <v>0.3061482427</v>
      </c>
      <c r="S168" s="49">
        <f t="shared" si="4"/>
        <v>0</v>
      </c>
      <c r="T168" s="49">
        <f t="shared" si="21"/>
        <v>0.2329792557</v>
      </c>
      <c r="U168" s="50" t="str">
        <f t="shared" si="6"/>
        <v>AOP</v>
      </c>
      <c r="V168" s="51">
        <f t="shared" si="28"/>
        <v>5570.079694</v>
      </c>
      <c r="W168" s="52">
        <f t="shared" si="8"/>
        <v>5570.079694</v>
      </c>
      <c r="X168" s="9">
        <f t="shared" si="25"/>
        <v>23908.05</v>
      </c>
      <c r="Y168" s="8"/>
      <c r="Z168" s="8"/>
      <c r="AA168" s="8"/>
      <c r="AB168" s="8" t="str">
        <f t="shared" si="10"/>
        <v>AIDH40948GP50UXS6</v>
      </c>
      <c r="AC168" s="8" t="str">
        <f>IF(AB168='Input - Bookings'!S165,"OK","Check")</f>
        <v>Check</v>
      </c>
      <c r="AD168" s="60"/>
      <c r="AE168" s="54"/>
      <c r="AF168" s="54"/>
      <c r="AG168" s="55"/>
      <c r="AH168" s="62"/>
      <c r="AI168" s="8" t="str">
        <f t="array" ref="AI168">XLOOKUP($J168,'AP Plants'!D:D,'AP Plants'!B:B)</f>
        <v>Class 5 NOT BT</v>
      </c>
      <c r="AJ168" s="56"/>
      <c r="AK168" s="56"/>
      <c r="AL168" s="49">
        <v>0.015</v>
      </c>
      <c r="AM168" s="49">
        <f t="array" ref="AM168">XLOOKUP($AI168,Warranty!B:B,Warranty!E:E)</f>
        <v>0.005</v>
      </c>
      <c r="AN168" s="8">
        <f>IF($L168="AUD",VLOOKUP(RIGHT('Wk - Margins'!$J168,3),'AU Freight'!C:G,5,0),0)</f>
        <v>0</v>
      </c>
      <c r="AO168" s="49">
        <f t="shared" si="11"/>
        <v>0</v>
      </c>
      <c r="AP168" s="57">
        <f t="shared" si="12"/>
        <v>0</v>
      </c>
      <c r="AQ168" s="58">
        <f t="shared" si="13"/>
        <v>1</v>
      </c>
      <c r="AR168" s="59">
        <f>IF(L168="AUD",O168*'Currency &amp; Conversion'!$L$7,'Wk - Margins'!O168)</f>
        <v>34457</v>
      </c>
      <c r="AS168" s="59">
        <f>IF(L168="AUD",P168*'Currency &amp; Conversion'!$L$7,'Wk - Margins'!P168)</f>
        <v>23908.05</v>
      </c>
    </row>
    <row r="169" ht="14.25" hidden="1" customHeight="1">
      <c r="A169" s="42" t="str">
        <f>'Input - Bookings'!A169</f>
        <v>29/06/2023</v>
      </c>
      <c r="B169" s="43" t="str">
        <f t="shared" si="1"/>
        <v>Asia</v>
      </c>
      <c r="C169" s="43" t="str">
        <f t="shared" si="2"/>
        <v>AID</v>
      </c>
      <c r="D169" s="43" t="str">
        <f>'Input - Bookings'!D169</f>
        <v>A</v>
      </c>
      <c r="E169" s="43" t="str">
        <f>'Input - Bookings'!J169</f>
        <v>ID</v>
      </c>
      <c r="F169" s="44" t="str">
        <f>'Input - Bookings'!F169</f>
        <v>067</v>
      </c>
      <c r="G169" s="44" t="str">
        <f>'Input - Bookings'!I169</f>
        <v>PT UNIVERSAL TRAKTOR</v>
      </c>
      <c r="H169" s="45" t="str">
        <f>'Input - Bookings'!K169</f>
        <v>H41612</v>
      </c>
      <c r="I169" s="45" t="str">
        <f>VLOOKUP(H169,'Input - Bookings'!$G$2:$H$611,2,0)</f>
        <v>804105</v>
      </c>
      <c r="J169" s="44" t="str">
        <f>'Input - Bookings'!N169</f>
        <v>A7S4</v>
      </c>
      <c r="K169" s="44" t="str">
        <f>'Input - Bookings'!O169</f>
        <v>ERP25UX</v>
      </c>
      <c r="L169" s="44" t="str">
        <f>'Input - Bookings'!C169</f>
        <v>USD</v>
      </c>
      <c r="M169" s="46" t="str">
        <f t="array" ref="M169">IF(L169="USD",INDEX('AP Plants'!A:A,MATCH(J169,'AP Plants'!D:D,0)),INDEX('Australia Plants'!A:A,MATCH(J169,'Australia Plants'!D:D,0)))</f>
        <v>Maximal</v>
      </c>
      <c r="N169" s="10">
        <v>1.0</v>
      </c>
      <c r="O169" s="9">
        <v>24247.0</v>
      </c>
      <c r="P169" s="9">
        <v>17355.35</v>
      </c>
      <c r="Q169" s="47">
        <v>0.1739344712653701</v>
      </c>
      <c r="R169" s="48">
        <f t="shared" si="3"/>
        <v>0.2842269147</v>
      </c>
      <c r="S169" s="49">
        <f t="shared" si="4"/>
        <v>0</v>
      </c>
      <c r="T169" s="49">
        <f t="shared" si="21"/>
        <v>0.1739344713</v>
      </c>
      <c r="U169" s="50" t="str">
        <f t="shared" si="6"/>
        <v>AOP</v>
      </c>
      <c r="V169" s="51">
        <f t="shared" si="28"/>
        <v>3018.693626</v>
      </c>
      <c r="W169" s="52">
        <f t="shared" si="8"/>
        <v>3018.693626</v>
      </c>
      <c r="X169" s="9">
        <f t="shared" si="25"/>
        <v>17355.35</v>
      </c>
      <c r="Y169" s="8"/>
      <c r="Z169" s="8"/>
      <c r="AA169" s="8"/>
      <c r="AB169" s="8" t="str">
        <f t="shared" si="10"/>
        <v>AIDH41612ERP25UX</v>
      </c>
      <c r="AC169" s="8" t="str">
        <f>IF(AB169='Input - Bookings'!S166,"OK","Check")</f>
        <v>Check</v>
      </c>
      <c r="AD169" s="60"/>
      <c r="AE169" s="54"/>
      <c r="AF169" s="54"/>
      <c r="AG169" s="55"/>
      <c r="AH169" s="62"/>
      <c r="AI169" s="8" t="str">
        <f t="array" ref="AI169">XLOOKUP($J169,'AP Plants'!D:D,'AP Plants'!B:B)</f>
        <v>Class 1</v>
      </c>
      <c r="AJ169" s="56"/>
      <c r="AK169" s="56"/>
      <c r="AL169" s="49">
        <v>0.015</v>
      </c>
      <c r="AM169" s="49">
        <f t="array" ref="AM169">XLOOKUP($AI169,Warranty!B:B,Warranty!E:E)</f>
        <v>0.005</v>
      </c>
      <c r="AN169" s="8">
        <f>IF($L169="AUD",VLOOKUP(RIGHT('Wk - Margins'!$J169,3),'AU Freight'!C:G,5,0),0)</f>
        <v>0</v>
      </c>
      <c r="AO169" s="49">
        <f t="shared" si="11"/>
        <v>0</v>
      </c>
      <c r="AP169" s="57">
        <f t="shared" si="12"/>
        <v>0</v>
      </c>
      <c r="AQ169" s="58">
        <f t="shared" si="13"/>
        <v>1</v>
      </c>
      <c r="AR169" s="59">
        <f>IF(L169="AUD",O169*'Currency &amp; Conversion'!$L$7,'Wk - Margins'!O169)</f>
        <v>24247</v>
      </c>
      <c r="AS169" s="59">
        <f>IF(L169="AUD",P169*'Currency &amp; Conversion'!$L$7,'Wk - Margins'!P169)</f>
        <v>17355.35</v>
      </c>
    </row>
    <row r="170" ht="14.25" hidden="1" customHeight="1">
      <c r="A170" s="42" t="str">
        <f>'Input - Bookings'!A170</f>
        <v>29/06/2023</v>
      </c>
      <c r="B170" s="43" t="str">
        <f t="shared" si="1"/>
        <v>Asia</v>
      </c>
      <c r="C170" s="43" t="str">
        <f t="shared" si="2"/>
        <v>AID</v>
      </c>
      <c r="D170" s="43" t="str">
        <f>'Input - Bookings'!D170</f>
        <v>A</v>
      </c>
      <c r="E170" s="43" t="str">
        <f>'Input - Bookings'!J170</f>
        <v>ID</v>
      </c>
      <c r="F170" s="44" t="str">
        <f>'Input - Bookings'!F170</f>
        <v>067</v>
      </c>
      <c r="G170" s="44" t="str">
        <f>'Input - Bookings'!I170</f>
        <v>PT UNIVERSAL TRAKTOR</v>
      </c>
      <c r="H170" s="44" t="str">
        <f>'Input - Bookings'!K170</f>
        <v>H41614</v>
      </c>
      <c r="I170" s="45" t="str">
        <f>VLOOKUP(H170,'Input - Bookings'!$G$2:$H$611,2,0)</f>
        <v>804105</v>
      </c>
      <c r="J170" s="44" t="str">
        <f>'Input - Bookings'!N170</f>
        <v>A961</v>
      </c>
      <c r="K170" s="44" t="str">
        <f>'Input - Bookings'!O170</f>
        <v>MR16 961</v>
      </c>
      <c r="L170" s="44" t="str">
        <f>'Input - Bookings'!C170</f>
        <v>USD</v>
      </c>
      <c r="M170" s="46" t="str">
        <f t="array" ref="M170">IF(L170="USD",INDEX('AP Plants'!A:A,MATCH(J170,'AP Plants'!D:D,0)),INDEX('Australia Plants'!A:A,MATCH(J170,'Australia Plants'!D:D,0)))</f>
        <v>Maximal</v>
      </c>
      <c r="N170" s="10">
        <v>1.0</v>
      </c>
      <c r="O170" s="9">
        <v>44480.0</v>
      </c>
      <c r="P170" s="9">
        <v>31751.2</v>
      </c>
      <c r="Q170" s="47">
        <v>0.14617406111880915</v>
      </c>
      <c r="R170" s="48">
        <f t="shared" si="3"/>
        <v>0.2861690647</v>
      </c>
      <c r="S170" s="49">
        <f t="shared" si="4"/>
        <v>0</v>
      </c>
      <c r="T170" s="49">
        <f t="shared" si="21"/>
        <v>0.1461740611</v>
      </c>
      <c r="U170" s="50" t="str">
        <f t="shared" si="6"/>
        <v>AOP</v>
      </c>
      <c r="V170" s="51">
        <f t="shared" si="28"/>
        <v>4641.201849</v>
      </c>
      <c r="W170" s="52">
        <f t="shared" si="8"/>
        <v>4641.201849</v>
      </c>
      <c r="X170" s="9">
        <f t="shared" si="25"/>
        <v>31751.2</v>
      </c>
      <c r="Y170" s="8"/>
      <c r="Z170" s="8"/>
      <c r="AA170" s="8"/>
      <c r="AB170" s="8" t="str">
        <f t="shared" si="10"/>
        <v>AIDH41614MR16 961</v>
      </c>
      <c r="AC170" s="8" t="str">
        <f>IF(AB170='Input - Bookings'!S167,"OK","Check")</f>
        <v>Check</v>
      </c>
      <c r="AD170" s="60"/>
      <c r="AE170" s="54"/>
      <c r="AF170" s="54"/>
      <c r="AG170" s="55"/>
      <c r="AH170" s="62"/>
      <c r="AI170" s="8" t="str">
        <f t="array" ref="AI170">XLOOKUP($J170,'AP Plants'!D:D,'AP Plants'!B:B)</f>
        <v>Class 2</v>
      </c>
      <c r="AJ170" s="56"/>
      <c r="AK170" s="56"/>
      <c r="AL170" s="49">
        <v>0.015</v>
      </c>
      <c r="AM170" s="49">
        <f t="array" ref="AM170">XLOOKUP($AI170,Warranty!B:B,Warranty!E:E)</f>
        <v>0.015</v>
      </c>
      <c r="AN170" s="8">
        <f>IF($L170="AUD",VLOOKUP(RIGHT('Wk - Margins'!$J170,3),'AU Freight'!C:G,5,0),0)</f>
        <v>0</v>
      </c>
      <c r="AO170" s="49">
        <f t="shared" si="11"/>
        <v>0</v>
      </c>
      <c r="AP170" s="57">
        <f t="shared" si="12"/>
        <v>0</v>
      </c>
      <c r="AQ170" s="58">
        <f t="shared" si="13"/>
        <v>1</v>
      </c>
      <c r="AR170" s="59">
        <f>IF(L170="AUD",O170*'Currency &amp; Conversion'!$L$7,'Wk - Margins'!O170)</f>
        <v>44480</v>
      </c>
      <c r="AS170" s="59">
        <f>IF(L170="AUD",P170*'Currency &amp; Conversion'!$L$7,'Wk - Margins'!P170)</f>
        <v>31751.2</v>
      </c>
    </row>
    <row r="171" ht="14.25" hidden="1" customHeight="1">
      <c r="A171" s="42" t="str">
        <f>'Input - Bookings'!A171</f>
        <v>29/06/2023</v>
      </c>
      <c r="B171" s="43" t="str">
        <f t="shared" si="1"/>
        <v>Asia</v>
      </c>
      <c r="C171" s="43" t="str">
        <f t="shared" si="2"/>
        <v>AID</v>
      </c>
      <c r="D171" s="43" t="str">
        <f>'Input - Bookings'!D171</f>
        <v>A</v>
      </c>
      <c r="E171" s="43" t="str">
        <f>'Input - Bookings'!J171</f>
        <v>ID</v>
      </c>
      <c r="F171" s="44" t="str">
        <f>'Input - Bookings'!F171</f>
        <v>067</v>
      </c>
      <c r="G171" s="44" t="str">
        <f>'Input - Bookings'!I171</f>
        <v>PT UNIVERSAL TRAKTOR</v>
      </c>
      <c r="H171" s="45" t="str">
        <f>'Input - Bookings'!K171</f>
        <v>H41615</v>
      </c>
      <c r="I171" s="45" t="str">
        <f>VLOOKUP(H171,'Input - Bookings'!$G$2:$H$611,2,0)</f>
        <v>804105</v>
      </c>
      <c r="J171" s="44" t="str">
        <f>'Input - Bookings'!N171</f>
        <v>A7S4</v>
      </c>
      <c r="K171" s="44" t="str">
        <f>'Input - Bookings'!O171</f>
        <v>ERP25UX</v>
      </c>
      <c r="L171" s="44" t="str">
        <f>'Input - Bookings'!C171</f>
        <v>USD</v>
      </c>
      <c r="M171" s="46" t="str">
        <f t="array" ref="M171">IF(L171="USD",INDEX('AP Plants'!A:A,MATCH(J171,'AP Plants'!D:D,0)),INDEX('Australia Plants'!A:A,MATCH(J171,'Australia Plants'!D:D,0)))</f>
        <v>Maximal</v>
      </c>
      <c r="N171" s="10">
        <v>1.0</v>
      </c>
      <c r="O171" s="9">
        <v>25731.0</v>
      </c>
      <c r="P171" s="9">
        <v>18483.19</v>
      </c>
      <c r="Q171" s="47">
        <v>0.17317969100037</v>
      </c>
      <c r="R171" s="48">
        <f t="shared" si="3"/>
        <v>0.2816761883</v>
      </c>
      <c r="S171" s="49">
        <f t="shared" si="4"/>
        <v>0</v>
      </c>
      <c r="T171" s="49">
        <f t="shared" si="21"/>
        <v>0.173179691</v>
      </c>
      <c r="U171" s="50" t="str">
        <f t="shared" si="6"/>
        <v>AOP</v>
      </c>
      <c r="V171" s="51">
        <f t="shared" si="28"/>
        <v>3200.913133</v>
      </c>
      <c r="W171" s="52">
        <f t="shared" si="8"/>
        <v>3200.913133</v>
      </c>
      <c r="X171" s="9">
        <f t="shared" si="25"/>
        <v>18483.19</v>
      </c>
      <c r="Y171" s="8"/>
      <c r="Z171" s="8"/>
      <c r="AA171" s="8"/>
      <c r="AB171" s="8" t="str">
        <f t="shared" si="10"/>
        <v>AIDH41615ERP25UX</v>
      </c>
      <c r="AC171" s="8" t="str">
        <f>IF(AB171='Input - Bookings'!S168,"OK","Check")</f>
        <v>Check</v>
      </c>
      <c r="AD171" s="60"/>
      <c r="AE171" s="54"/>
      <c r="AF171" s="54"/>
      <c r="AG171" s="55"/>
      <c r="AH171" s="62"/>
      <c r="AI171" s="8" t="str">
        <f t="array" ref="AI171">XLOOKUP($J171,'AP Plants'!D:D,'AP Plants'!B:B)</f>
        <v>Class 1</v>
      </c>
      <c r="AJ171" s="56"/>
      <c r="AK171" s="56"/>
      <c r="AL171" s="49">
        <v>0.015</v>
      </c>
      <c r="AM171" s="49">
        <f t="array" ref="AM171">XLOOKUP($AI171,Warranty!B:B,Warranty!E:E)</f>
        <v>0.005</v>
      </c>
      <c r="AN171" s="8">
        <f>IF($L171="AUD",VLOOKUP(RIGHT('Wk - Margins'!$J171,3),'AU Freight'!C:G,5,0),0)</f>
        <v>0</v>
      </c>
      <c r="AO171" s="49">
        <f t="shared" si="11"/>
        <v>0</v>
      </c>
      <c r="AP171" s="57">
        <f t="shared" si="12"/>
        <v>0</v>
      </c>
      <c r="AQ171" s="58">
        <f t="shared" si="13"/>
        <v>1</v>
      </c>
      <c r="AR171" s="59">
        <f>IF(L171="AUD",O171*'Currency &amp; Conversion'!$L$7,'Wk - Margins'!O171)</f>
        <v>25731</v>
      </c>
      <c r="AS171" s="59">
        <f>IF(L171="AUD",P171*'Currency &amp; Conversion'!$L$7,'Wk - Margins'!P171)</f>
        <v>18483.19</v>
      </c>
    </row>
    <row r="172" ht="14.25" hidden="1" customHeight="1">
      <c r="A172" s="42" t="str">
        <f>'Input - Bookings'!A172</f>
        <v>29/06/2023</v>
      </c>
      <c r="B172" s="43" t="str">
        <f t="shared" si="1"/>
        <v>Asia</v>
      </c>
      <c r="C172" s="43" t="str">
        <f t="shared" si="2"/>
        <v>AID</v>
      </c>
      <c r="D172" s="43" t="str">
        <f>'Input - Bookings'!D172</f>
        <v>A</v>
      </c>
      <c r="E172" s="43" t="str">
        <f>'Input - Bookings'!J172</f>
        <v>ID</v>
      </c>
      <c r="F172" s="44" t="str">
        <f>'Input - Bookings'!F172</f>
        <v>067</v>
      </c>
      <c r="G172" s="44" t="str">
        <f>'Input - Bookings'!I172</f>
        <v>PT UNIVERSAL TRAKTOR</v>
      </c>
      <c r="H172" s="45" t="str">
        <f>'Input - Bookings'!K172</f>
        <v>H41616</v>
      </c>
      <c r="I172" s="45" t="str">
        <f>VLOOKUP(H172,'Input - Bookings'!$G$2:$H$611,2,0)</f>
        <v>804105</v>
      </c>
      <c r="J172" s="44" t="str">
        <f>'Input - Bookings'!N172</f>
        <v>A7S4</v>
      </c>
      <c r="K172" s="44" t="str">
        <f>'Input - Bookings'!O172</f>
        <v>ERP35UX</v>
      </c>
      <c r="L172" s="44" t="str">
        <f>'Input - Bookings'!C172</f>
        <v>USD</v>
      </c>
      <c r="M172" s="46" t="str">
        <f t="array" ref="M172">IF(L172="USD",INDEX('AP Plants'!A:A,MATCH(J172,'AP Plants'!D:D,0)),INDEX('Australia Plants'!A:A,MATCH(J172,'Australia Plants'!D:D,0)))</f>
        <v>Maximal</v>
      </c>
      <c r="N172" s="10">
        <v>1.0</v>
      </c>
      <c r="O172" s="9">
        <v>33271.0</v>
      </c>
      <c r="P172" s="9">
        <v>24230.24</v>
      </c>
      <c r="Q172" s="47">
        <v>0.15445711158937303</v>
      </c>
      <c r="R172" s="48">
        <f t="shared" si="3"/>
        <v>0.2717309369</v>
      </c>
      <c r="S172" s="49">
        <f t="shared" si="4"/>
        <v>0</v>
      </c>
      <c r="T172" s="49">
        <f t="shared" si="21"/>
        <v>0.1544571116</v>
      </c>
      <c r="U172" s="50" t="str">
        <f t="shared" si="6"/>
        <v>AOP</v>
      </c>
      <c r="V172" s="51">
        <f t="shared" si="28"/>
        <v>3742.532884</v>
      </c>
      <c r="W172" s="52">
        <f t="shared" si="8"/>
        <v>3742.532884</v>
      </c>
      <c r="X172" s="9">
        <f t="shared" si="25"/>
        <v>24230.24</v>
      </c>
      <c r="Y172" s="8"/>
      <c r="Z172" s="8"/>
      <c r="AA172" s="8"/>
      <c r="AB172" s="8" t="str">
        <f t="shared" si="10"/>
        <v>AIDH41616ERP35UX</v>
      </c>
      <c r="AC172" s="8" t="str">
        <f>IF(AB172='Input - Bookings'!S169,"OK","Check")</f>
        <v>Check</v>
      </c>
      <c r="AD172" s="60"/>
      <c r="AE172" s="54"/>
      <c r="AF172" s="54"/>
      <c r="AG172" s="55"/>
      <c r="AH172" s="62"/>
      <c r="AI172" s="8" t="str">
        <f t="array" ref="AI172">XLOOKUP($J172,'AP Plants'!D:D,'AP Plants'!B:B)</f>
        <v>Class 1</v>
      </c>
      <c r="AJ172" s="56"/>
      <c r="AK172" s="56"/>
      <c r="AL172" s="49">
        <v>0.015</v>
      </c>
      <c r="AM172" s="49">
        <f t="array" ref="AM172">XLOOKUP($AI172,Warranty!B:B,Warranty!E:E)</f>
        <v>0.005</v>
      </c>
      <c r="AN172" s="8">
        <f>IF($L172="AUD",VLOOKUP(RIGHT('Wk - Margins'!$J172,3),'AU Freight'!C:G,5,0),0)</f>
        <v>0</v>
      </c>
      <c r="AO172" s="49">
        <f t="shared" si="11"/>
        <v>0</v>
      </c>
      <c r="AP172" s="57">
        <f t="shared" si="12"/>
        <v>0</v>
      </c>
      <c r="AQ172" s="58">
        <f t="shared" si="13"/>
        <v>1</v>
      </c>
      <c r="AR172" s="59">
        <f>IF(L172="AUD",O172*'Currency &amp; Conversion'!$L$7,'Wk - Margins'!O172)</f>
        <v>33271</v>
      </c>
      <c r="AS172" s="59">
        <f>IF(L172="AUD",P172*'Currency &amp; Conversion'!$L$7,'Wk - Margins'!P172)</f>
        <v>24230.24</v>
      </c>
    </row>
    <row r="173" ht="14.25" hidden="1" customHeight="1">
      <c r="A173" s="42" t="str">
        <f>'Input - Bookings'!A173</f>
        <v>29/06/2023</v>
      </c>
      <c r="B173" s="43" t="str">
        <f t="shared" si="1"/>
        <v>Asia</v>
      </c>
      <c r="C173" s="43" t="str">
        <f t="shared" si="2"/>
        <v>ATH</v>
      </c>
      <c r="D173" s="43" t="str">
        <f>'Input - Bookings'!D173</f>
        <v>A</v>
      </c>
      <c r="E173" s="43" t="str">
        <f>'Input - Bookings'!J173</f>
        <v>TH</v>
      </c>
      <c r="F173" s="44" t="str">
        <f>'Input - Bookings'!F173</f>
        <v>065</v>
      </c>
      <c r="G173" s="44" t="str">
        <f>'Input - Bookings'!I173</f>
        <v>DILOK AND SONS CO.,LTD.</v>
      </c>
      <c r="H173" s="45" t="str">
        <f>'Input - Bookings'!K173</f>
        <v>H41660</v>
      </c>
      <c r="I173" s="45" t="str">
        <f>VLOOKUP(H173,'Input - Bookings'!$G$2:$H$611,2,0)</f>
        <v>006065</v>
      </c>
      <c r="J173" s="44" t="str">
        <f>'Input - Bookings'!N173</f>
        <v>A3C4</v>
      </c>
      <c r="K173" s="44" t="str">
        <f>'Input - Bookings'!O173</f>
        <v>J2.5UT</v>
      </c>
      <c r="L173" s="44" t="str">
        <f>'Input - Bookings'!C173</f>
        <v>USD</v>
      </c>
      <c r="M173" s="46" t="str">
        <f t="array" ref="M173">IF(L173="USD",INDEX('AP Plants'!A:A,MATCH(J173,'AP Plants'!D:D,0)),INDEX('Australia Plants'!A:A,MATCH(J173,'Australia Plants'!D:D,0)))</f>
        <v>Maximal</v>
      </c>
      <c r="N173" s="10">
        <v>1.0</v>
      </c>
      <c r="O173" s="9">
        <v>26137.0</v>
      </c>
      <c r="P173" s="9">
        <v>18815.75</v>
      </c>
      <c r="Q173" s="47">
        <v>0.17578737839366498</v>
      </c>
      <c r="R173" s="48">
        <f t="shared" si="3"/>
        <v>0.2801105712</v>
      </c>
      <c r="S173" s="49">
        <f t="shared" si="4"/>
        <v>0</v>
      </c>
      <c r="T173" s="49">
        <f t="shared" si="21"/>
        <v>0.1757873784</v>
      </c>
      <c r="U173" s="50" t="str">
        <f t="shared" si="6"/>
        <v>AOP</v>
      </c>
      <c r="V173" s="51">
        <f t="shared" si="28"/>
        <v>3307.571365</v>
      </c>
      <c r="W173" s="52">
        <f t="shared" si="8"/>
        <v>3307.571365</v>
      </c>
      <c r="X173" s="9">
        <f t="shared" si="25"/>
        <v>18815.75</v>
      </c>
      <c r="Y173" s="8"/>
      <c r="Z173" s="8"/>
      <c r="AA173" s="8"/>
      <c r="AB173" s="8" t="str">
        <f t="shared" si="10"/>
        <v>ATHH41660J2.5UT</v>
      </c>
      <c r="AC173" s="8" t="str">
        <f>IF(AB173='Input - Bookings'!S170,"OK","Check")</f>
        <v>Check</v>
      </c>
      <c r="AD173" s="60"/>
      <c r="AE173" s="54"/>
      <c r="AF173" s="54"/>
      <c r="AG173" s="55"/>
      <c r="AH173" s="55"/>
      <c r="AI173" s="8" t="str">
        <f t="array" ref="AI173">XLOOKUP($J173,'AP Plants'!D:D,'AP Plants'!B:B)</f>
        <v>Class 1</v>
      </c>
      <c r="AJ173" s="56"/>
      <c r="AK173" s="56"/>
      <c r="AL173" s="49">
        <v>0.015</v>
      </c>
      <c r="AM173" s="49">
        <f t="array" ref="AM173">XLOOKUP($AI173,Warranty!B:B,Warranty!E:E)</f>
        <v>0.005</v>
      </c>
      <c r="AN173" s="8">
        <f>IF($L173="AUD",VLOOKUP(RIGHT('Wk - Margins'!$J173,3),'AU Freight'!C:G,5,0),0)</f>
        <v>0</v>
      </c>
      <c r="AO173" s="49">
        <f t="shared" si="11"/>
        <v>0</v>
      </c>
      <c r="AP173" s="57">
        <f t="shared" si="12"/>
        <v>0</v>
      </c>
      <c r="AQ173" s="58">
        <f t="shared" si="13"/>
        <v>1</v>
      </c>
      <c r="AR173" s="59">
        <f>IF(L173="AUD",O173*'Currency &amp; Conversion'!$L$7,'Wk - Margins'!O173)</f>
        <v>26137</v>
      </c>
      <c r="AS173" s="59">
        <f>IF(L173="AUD",P173*'Currency &amp; Conversion'!$L$7,'Wk - Margins'!P173)</f>
        <v>18815.75</v>
      </c>
    </row>
    <row r="174" ht="14.25" hidden="1" customHeight="1">
      <c r="A174" s="42" t="str">
        <f>'Input - Bookings'!A174</f>
        <v>29/06/2023</v>
      </c>
      <c r="B174" s="43" t="str">
        <f t="shared" si="1"/>
        <v>Asia</v>
      </c>
      <c r="C174" s="43" t="str">
        <f t="shared" si="2"/>
        <v>ATH</v>
      </c>
      <c r="D174" s="43" t="str">
        <f>'Input - Bookings'!D174</f>
        <v>A</v>
      </c>
      <c r="E174" s="43" t="str">
        <f>'Input - Bookings'!J174</f>
        <v>TH</v>
      </c>
      <c r="F174" s="44" t="str">
        <f>'Input - Bookings'!F174</f>
        <v>065</v>
      </c>
      <c r="G174" s="44" t="str">
        <f>'Input - Bookings'!I174</f>
        <v>DILOK AND SONS CO.,LTD.</v>
      </c>
      <c r="H174" s="45" t="str">
        <f>'Input - Bookings'!K174</f>
        <v>H41661</v>
      </c>
      <c r="I174" s="45" t="str">
        <f>VLOOKUP(H174,'Input - Bookings'!$G$2:$H$611,2,0)</f>
        <v>006065</v>
      </c>
      <c r="J174" s="44" t="str">
        <f>'Input - Bookings'!N174</f>
        <v>A3C4</v>
      </c>
      <c r="K174" s="44" t="str">
        <f>'Input - Bookings'!O174</f>
        <v>J2.5UT</v>
      </c>
      <c r="L174" s="44" t="str">
        <f>'Input - Bookings'!C174</f>
        <v>USD</v>
      </c>
      <c r="M174" s="46" t="str">
        <f t="array" ref="M174">IF(L174="USD",INDEX('AP Plants'!A:A,MATCH(J174,'AP Plants'!D:D,0)),INDEX('Australia Plants'!A:A,MATCH(J174,'Australia Plants'!D:D,0)))</f>
        <v>Maximal</v>
      </c>
      <c r="N174" s="10">
        <v>1.0</v>
      </c>
      <c r="O174" s="9">
        <v>26137.0</v>
      </c>
      <c r="P174" s="9">
        <v>18815.75</v>
      </c>
      <c r="Q174" s="47">
        <v>0.17578737839366498</v>
      </c>
      <c r="R174" s="48">
        <f t="shared" si="3"/>
        <v>0.2801105712</v>
      </c>
      <c r="S174" s="49">
        <f t="shared" si="4"/>
        <v>0</v>
      </c>
      <c r="T174" s="49">
        <f t="shared" si="21"/>
        <v>0.1757873784</v>
      </c>
      <c r="U174" s="50" t="str">
        <f t="shared" si="6"/>
        <v>AOP</v>
      </c>
      <c r="V174" s="51">
        <f t="shared" si="28"/>
        <v>3307.571365</v>
      </c>
      <c r="W174" s="52">
        <f t="shared" si="8"/>
        <v>3307.571365</v>
      </c>
      <c r="X174" s="9">
        <f t="shared" si="25"/>
        <v>18815.75</v>
      </c>
      <c r="Y174" s="8"/>
      <c r="Z174" s="8"/>
      <c r="AA174" s="8"/>
      <c r="AB174" s="8" t="str">
        <f t="shared" si="10"/>
        <v>ATHH41661J2.5UT</v>
      </c>
      <c r="AC174" s="8" t="str">
        <f>IF(AB174='Input - Bookings'!S171,"OK","Check")</f>
        <v>Check</v>
      </c>
      <c r="AD174" s="60"/>
      <c r="AE174" s="54"/>
      <c r="AF174" s="54"/>
      <c r="AG174" s="55"/>
      <c r="AH174" s="55"/>
      <c r="AI174" s="8" t="str">
        <f t="array" ref="AI174">XLOOKUP($J174,'AP Plants'!D:D,'AP Plants'!B:B)</f>
        <v>Class 1</v>
      </c>
      <c r="AJ174" s="56"/>
      <c r="AK174" s="56"/>
      <c r="AL174" s="49">
        <v>0.015</v>
      </c>
      <c r="AM174" s="49">
        <f t="array" ref="AM174">XLOOKUP($AI174,Warranty!B:B,Warranty!E:E)</f>
        <v>0.005</v>
      </c>
      <c r="AN174" s="8">
        <f>IF($L174="AUD",VLOOKUP(RIGHT('Wk - Margins'!$J174,3),'AU Freight'!C:G,5,0),0)</f>
        <v>0</v>
      </c>
      <c r="AO174" s="49">
        <f t="shared" si="11"/>
        <v>0</v>
      </c>
      <c r="AP174" s="57">
        <f t="shared" si="12"/>
        <v>0</v>
      </c>
      <c r="AQ174" s="58">
        <f t="shared" si="13"/>
        <v>1</v>
      </c>
      <c r="AR174" s="59">
        <f>IF(L174="AUD",O174*'Currency &amp; Conversion'!$L$7,'Wk - Margins'!O174)</f>
        <v>26137</v>
      </c>
      <c r="AS174" s="59">
        <f>IF(L174="AUD",P174*'Currency &amp; Conversion'!$L$7,'Wk - Margins'!P174)</f>
        <v>18815.75</v>
      </c>
    </row>
    <row r="175" ht="14.25" hidden="1" customHeight="1">
      <c r="A175" s="42" t="str">
        <f>'Input - Bookings'!A175</f>
        <v>29/06/2023</v>
      </c>
      <c r="B175" s="43" t="str">
        <f t="shared" si="1"/>
        <v>Asia</v>
      </c>
      <c r="C175" s="43" t="str">
        <f t="shared" si="2"/>
        <v>ATH</v>
      </c>
      <c r="D175" s="43" t="str">
        <f>'Input - Bookings'!D175</f>
        <v>A</v>
      </c>
      <c r="E175" s="43" t="str">
        <f>'Input - Bookings'!J175</f>
        <v>TH</v>
      </c>
      <c r="F175" s="44" t="str">
        <f>'Input - Bookings'!F175</f>
        <v>065</v>
      </c>
      <c r="G175" s="44" t="str">
        <f>'Input - Bookings'!I175</f>
        <v>DILOK AND SONS CO.,LTD.</v>
      </c>
      <c r="H175" s="45" t="str">
        <f>'Input - Bookings'!K175</f>
        <v>H41662</v>
      </c>
      <c r="I175" s="45" t="str">
        <f>VLOOKUP(H175,'Input - Bookings'!$G$2:$H$611,2,0)</f>
        <v>006065</v>
      </c>
      <c r="J175" s="44" t="str">
        <f>'Input - Bookings'!N175</f>
        <v>A3C4</v>
      </c>
      <c r="K175" s="44" t="str">
        <f>'Input - Bookings'!O175</f>
        <v>J2.5UT</v>
      </c>
      <c r="L175" s="44" t="str">
        <f>'Input - Bookings'!C175</f>
        <v>USD</v>
      </c>
      <c r="M175" s="46" t="str">
        <f t="array" ref="M175">IF(L175="USD",INDEX('AP Plants'!A:A,MATCH(J175,'AP Plants'!D:D,0)),INDEX('Australia Plants'!A:A,MATCH(J175,'Australia Plants'!D:D,0)))</f>
        <v>Maximal</v>
      </c>
      <c r="N175" s="10">
        <v>1.0</v>
      </c>
      <c r="O175" s="9">
        <v>26137.0</v>
      </c>
      <c r="P175" s="9">
        <v>18815.75</v>
      </c>
      <c r="Q175" s="47">
        <v>0.17578737839366498</v>
      </c>
      <c r="R175" s="48">
        <f t="shared" si="3"/>
        <v>0.2801105712</v>
      </c>
      <c r="S175" s="49">
        <f t="shared" si="4"/>
        <v>0</v>
      </c>
      <c r="T175" s="49">
        <f t="shared" si="21"/>
        <v>0.1757873784</v>
      </c>
      <c r="U175" s="50" t="str">
        <f t="shared" si="6"/>
        <v>AOP</v>
      </c>
      <c r="V175" s="51">
        <f t="shared" si="28"/>
        <v>3307.571365</v>
      </c>
      <c r="W175" s="52">
        <f t="shared" si="8"/>
        <v>3307.571365</v>
      </c>
      <c r="X175" s="9">
        <f t="shared" si="25"/>
        <v>18815.75</v>
      </c>
      <c r="Y175" s="8"/>
      <c r="Z175" s="8"/>
      <c r="AA175" s="8"/>
      <c r="AB175" s="8" t="str">
        <f t="shared" si="10"/>
        <v>ATHH41662J2.5UT</v>
      </c>
      <c r="AC175" s="8" t="str">
        <f>IF(AB175='Input - Bookings'!S172,"OK","Check")</f>
        <v>Check</v>
      </c>
      <c r="AD175" s="60"/>
      <c r="AE175" s="54"/>
      <c r="AF175" s="54"/>
      <c r="AG175" s="55"/>
      <c r="AH175" s="55"/>
      <c r="AI175" s="8" t="str">
        <f t="array" ref="AI175">XLOOKUP($J175,'AP Plants'!D:D,'AP Plants'!B:B)</f>
        <v>Class 1</v>
      </c>
      <c r="AJ175" s="56"/>
      <c r="AK175" s="56"/>
      <c r="AL175" s="49">
        <v>0.015</v>
      </c>
      <c r="AM175" s="49">
        <f t="array" ref="AM175">XLOOKUP($AI175,Warranty!B:B,Warranty!E:E)</f>
        <v>0.005</v>
      </c>
      <c r="AN175" s="8">
        <f>IF($L175="AUD",VLOOKUP(RIGHT('Wk - Margins'!$J175,3),'AU Freight'!C:G,5,0),0)</f>
        <v>0</v>
      </c>
      <c r="AO175" s="49">
        <f t="shared" si="11"/>
        <v>0</v>
      </c>
      <c r="AP175" s="57">
        <f t="shared" si="12"/>
        <v>0</v>
      </c>
      <c r="AQ175" s="58">
        <f t="shared" si="13"/>
        <v>1</v>
      </c>
      <c r="AR175" s="59">
        <f>IF(L175="AUD",O175*'Currency &amp; Conversion'!$L$7,'Wk - Margins'!O175)</f>
        <v>26137</v>
      </c>
      <c r="AS175" s="59">
        <f>IF(L175="AUD",P175*'Currency &amp; Conversion'!$L$7,'Wk - Margins'!P175)</f>
        <v>18815.75</v>
      </c>
    </row>
    <row r="176" ht="14.25" hidden="1" customHeight="1">
      <c r="A176" s="42" t="str">
        <f>'Input - Bookings'!A176</f>
        <v>29/06/2023</v>
      </c>
      <c r="B176" s="43" t="str">
        <f t="shared" si="1"/>
        <v>Asia</v>
      </c>
      <c r="C176" s="43" t="str">
        <f t="shared" si="2"/>
        <v>ATH</v>
      </c>
      <c r="D176" s="43" t="str">
        <f>'Input - Bookings'!D176</f>
        <v>A</v>
      </c>
      <c r="E176" s="43" t="str">
        <f>'Input - Bookings'!J176</f>
        <v>TH</v>
      </c>
      <c r="F176" s="44" t="str">
        <f>'Input - Bookings'!F176</f>
        <v>065</v>
      </c>
      <c r="G176" s="44" t="str">
        <f>'Input - Bookings'!I176</f>
        <v>DILOK AND SONS CO.,LTD.</v>
      </c>
      <c r="H176" s="45" t="str">
        <f>'Input - Bookings'!K176</f>
        <v>H41663</v>
      </c>
      <c r="I176" s="45" t="str">
        <f>VLOOKUP(H176,'Input - Bookings'!$G$2:$H$611,2,0)</f>
        <v>006065</v>
      </c>
      <c r="J176" s="44" t="str">
        <f>'Input - Bookings'!N176</f>
        <v>A3C4</v>
      </c>
      <c r="K176" s="44" t="str">
        <f>'Input - Bookings'!O176</f>
        <v>J2.5UT</v>
      </c>
      <c r="L176" s="44" t="str">
        <f>'Input - Bookings'!C176</f>
        <v>USD</v>
      </c>
      <c r="M176" s="46" t="str">
        <f t="array" ref="M176">IF(L176="USD",INDEX('AP Plants'!A:A,MATCH(J176,'AP Plants'!D:D,0)),INDEX('Australia Plants'!A:A,MATCH(J176,'Australia Plants'!D:D,0)))</f>
        <v>Maximal</v>
      </c>
      <c r="N176" s="10">
        <v>1.0</v>
      </c>
      <c r="O176" s="9">
        <v>26137.0</v>
      </c>
      <c r="P176" s="9">
        <v>18815.75</v>
      </c>
      <c r="Q176" s="47">
        <v>0.17578737839366498</v>
      </c>
      <c r="R176" s="48">
        <f t="shared" si="3"/>
        <v>0.2801105712</v>
      </c>
      <c r="S176" s="49">
        <f t="shared" si="4"/>
        <v>0</v>
      </c>
      <c r="T176" s="49">
        <f t="shared" si="21"/>
        <v>0.1757873784</v>
      </c>
      <c r="U176" s="50" t="str">
        <f t="shared" si="6"/>
        <v>AOP</v>
      </c>
      <c r="V176" s="51">
        <f t="shared" si="28"/>
        <v>3307.571365</v>
      </c>
      <c r="W176" s="52">
        <f t="shared" si="8"/>
        <v>3307.571365</v>
      </c>
      <c r="X176" s="9">
        <f t="shared" si="25"/>
        <v>18815.75</v>
      </c>
      <c r="Y176" s="8"/>
      <c r="Z176" s="8"/>
      <c r="AA176" s="8"/>
      <c r="AB176" s="8" t="str">
        <f t="shared" si="10"/>
        <v>ATHH41663J2.5UT</v>
      </c>
      <c r="AC176" s="8" t="str">
        <f>IF(AB176='Input - Bookings'!S173,"OK","Check")</f>
        <v>Check</v>
      </c>
      <c r="AD176" s="60"/>
      <c r="AE176" s="54"/>
      <c r="AF176" s="54"/>
      <c r="AG176" s="55"/>
      <c r="AH176" s="55"/>
      <c r="AI176" s="8" t="str">
        <f t="array" ref="AI176">XLOOKUP($J176,'AP Plants'!D:D,'AP Plants'!B:B)</f>
        <v>Class 1</v>
      </c>
      <c r="AJ176" s="56"/>
      <c r="AK176" s="56"/>
      <c r="AL176" s="49">
        <v>0.015</v>
      </c>
      <c r="AM176" s="49">
        <f t="array" ref="AM176">XLOOKUP($AI176,Warranty!B:B,Warranty!E:E)</f>
        <v>0.005</v>
      </c>
      <c r="AN176" s="8">
        <f>IF($L176="AUD",VLOOKUP(RIGHT('Wk - Margins'!$J176,3),'AU Freight'!C:G,5,0),0)</f>
        <v>0</v>
      </c>
      <c r="AO176" s="49">
        <f t="shared" si="11"/>
        <v>0</v>
      </c>
      <c r="AP176" s="57">
        <f t="shared" si="12"/>
        <v>0</v>
      </c>
      <c r="AQ176" s="58">
        <f t="shared" si="13"/>
        <v>1</v>
      </c>
      <c r="AR176" s="59">
        <f>IF(L176="AUD",O176*'Currency &amp; Conversion'!$L$7,'Wk - Margins'!O176)</f>
        <v>26137</v>
      </c>
      <c r="AS176" s="59">
        <f>IF(L176="AUD",P176*'Currency &amp; Conversion'!$L$7,'Wk - Margins'!P176)</f>
        <v>18815.75</v>
      </c>
    </row>
    <row r="177" ht="14.25" hidden="1" customHeight="1">
      <c r="A177" s="42" t="str">
        <f>'Input - Bookings'!A177</f>
        <v>29/06/2023</v>
      </c>
      <c r="B177" s="43" t="str">
        <f t="shared" si="1"/>
        <v>Asia</v>
      </c>
      <c r="C177" s="43" t="str">
        <f t="shared" si="2"/>
        <v>ATH</v>
      </c>
      <c r="D177" s="43" t="str">
        <f>'Input - Bookings'!D177</f>
        <v>A</v>
      </c>
      <c r="E177" s="43" t="str">
        <f>'Input - Bookings'!J177</f>
        <v>TH</v>
      </c>
      <c r="F177" s="44" t="str">
        <f>'Input - Bookings'!F177</f>
        <v>065</v>
      </c>
      <c r="G177" s="44" t="str">
        <f>'Input - Bookings'!I177</f>
        <v>DILOK AND SONS CO.,LTD.</v>
      </c>
      <c r="H177" s="45" t="str">
        <f>'Input - Bookings'!K177</f>
        <v>H41664</v>
      </c>
      <c r="I177" s="45" t="str">
        <f>VLOOKUP(H177,'Input - Bookings'!$G$2:$H$611,2,0)</f>
        <v>006065</v>
      </c>
      <c r="J177" s="44" t="str">
        <f>'Input - Bookings'!N177</f>
        <v>A3C4</v>
      </c>
      <c r="K177" s="44" t="str">
        <f>'Input - Bookings'!O177</f>
        <v>J2.5UT</v>
      </c>
      <c r="L177" s="44" t="str">
        <f>'Input - Bookings'!C177</f>
        <v>USD</v>
      </c>
      <c r="M177" s="46" t="str">
        <f t="array" ref="M177">IF(L177="USD",INDEX('AP Plants'!A:A,MATCH(J177,'AP Plants'!D:D,0)),INDEX('Australia Plants'!A:A,MATCH(J177,'Australia Plants'!D:D,0)))</f>
        <v>Maximal</v>
      </c>
      <c r="N177" s="10">
        <v>1.0</v>
      </c>
      <c r="O177" s="9">
        <v>26137.0</v>
      </c>
      <c r="P177" s="9">
        <v>18815.75</v>
      </c>
      <c r="Q177" s="47">
        <v>0.17578737839366498</v>
      </c>
      <c r="R177" s="48">
        <f t="shared" si="3"/>
        <v>0.2801105712</v>
      </c>
      <c r="S177" s="49">
        <f t="shared" si="4"/>
        <v>0</v>
      </c>
      <c r="T177" s="49">
        <f t="shared" si="21"/>
        <v>0.1757873784</v>
      </c>
      <c r="U177" s="50" t="str">
        <f t="shared" si="6"/>
        <v>AOP</v>
      </c>
      <c r="V177" s="51">
        <f t="shared" si="28"/>
        <v>3307.571365</v>
      </c>
      <c r="W177" s="52">
        <f t="shared" si="8"/>
        <v>3307.571365</v>
      </c>
      <c r="X177" s="9">
        <f t="shared" si="25"/>
        <v>18815.75</v>
      </c>
      <c r="Y177" s="8"/>
      <c r="Z177" s="8"/>
      <c r="AA177" s="8"/>
      <c r="AB177" s="8" t="str">
        <f t="shared" si="10"/>
        <v>ATHH41664J2.5UT</v>
      </c>
      <c r="AC177" s="8" t="str">
        <f>IF(AB177='Input - Bookings'!S174,"OK","Check")</f>
        <v>Check</v>
      </c>
      <c r="AD177" s="60"/>
      <c r="AE177" s="54"/>
      <c r="AF177" s="54"/>
      <c r="AG177" s="55"/>
      <c r="AH177" s="62"/>
      <c r="AI177" s="8" t="str">
        <f t="array" ref="AI177">XLOOKUP($J177,'AP Plants'!D:D,'AP Plants'!B:B)</f>
        <v>Class 1</v>
      </c>
      <c r="AJ177" s="56"/>
      <c r="AK177" s="56"/>
      <c r="AL177" s="49">
        <v>0.015</v>
      </c>
      <c r="AM177" s="49">
        <f t="array" ref="AM177">XLOOKUP($AI177,Warranty!B:B,Warranty!E:E)</f>
        <v>0.005</v>
      </c>
      <c r="AN177" s="8">
        <f>IF($L177="AUD",VLOOKUP(RIGHT('Wk - Margins'!$J177,3),'AU Freight'!C:G,5,0),0)</f>
        <v>0</v>
      </c>
      <c r="AO177" s="49">
        <f t="shared" si="11"/>
        <v>0</v>
      </c>
      <c r="AP177" s="57">
        <f t="shared" si="12"/>
        <v>0</v>
      </c>
      <c r="AQ177" s="58">
        <f t="shared" si="13"/>
        <v>1</v>
      </c>
      <c r="AR177" s="59">
        <f>IF(L177="AUD",O177*'Currency &amp; Conversion'!$L$7,'Wk - Margins'!O177)</f>
        <v>26137</v>
      </c>
      <c r="AS177" s="59">
        <f>IF(L177="AUD",P177*'Currency &amp; Conversion'!$L$7,'Wk - Margins'!P177)</f>
        <v>18815.75</v>
      </c>
    </row>
    <row r="178" ht="14.25" hidden="1" customHeight="1">
      <c r="A178" s="42" t="str">
        <f>'Input - Bookings'!A178</f>
        <v>29/06/2023</v>
      </c>
      <c r="B178" s="43" t="str">
        <f t="shared" si="1"/>
        <v>Asia</v>
      </c>
      <c r="C178" s="43" t="str">
        <f t="shared" si="2"/>
        <v>ATH</v>
      </c>
      <c r="D178" s="43" t="str">
        <f>'Input - Bookings'!D178</f>
        <v>A</v>
      </c>
      <c r="E178" s="43" t="str">
        <f>'Input - Bookings'!J178</f>
        <v>TH</v>
      </c>
      <c r="F178" s="44" t="str">
        <f>'Input - Bookings'!F178</f>
        <v>065</v>
      </c>
      <c r="G178" s="44" t="str">
        <f>'Input - Bookings'!I178</f>
        <v>DILOK AND SONS CO.,LTD.</v>
      </c>
      <c r="H178" s="45" t="str">
        <f>'Input - Bookings'!K178</f>
        <v>H41665</v>
      </c>
      <c r="I178" s="45" t="str">
        <f>VLOOKUP(H178,'Input - Bookings'!$G$2:$H$611,2,0)</f>
        <v>006065</v>
      </c>
      <c r="J178" s="44" t="str">
        <f>'Input - Bookings'!N178</f>
        <v>A3C4</v>
      </c>
      <c r="K178" s="44" t="str">
        <f>'Input - Bookings'!O178</f>
        <v>J2.5UT</v>
      </c>
      <c r="L178" s="44" t="str">
        <f>'Input - Bookings'!C178</f>
        <v>USD</v>
      </c>
      <c r="M178" s="46" t="str">
        <f t="array" ref="M178">IF(L178="USD",INDEX('AP Plants'!A:A,MATCH(J178,'AP Plants'!D:D,0)),INDEX('Australia Plants'!A:A,MATCH(J178,'Australia Plants'!D:D,0)))</f>
        <v>Maximal</v>
      </c>
      <c r="N178" s="10">
        <v>1.0</v>
      </c>
      <c r="O178" s="9">
        <v>26137.0</v>
      </c>
      <c r="P178" s="9">
        <v>18815.75</v>
      </c>
      <c r="Q178" s="47">
        <v>0.17578737839366498</v>
      </c>
      <c r="R178" s="48">
        <f t="shared" si="3"/>
        <v>0.2801105712</v>
      </c>
      <c r="S178" s="49">
        <f t="shared" si="4"/>
        <v>0</v>
      </c>
      <c r="T178" s="49">
        <f t="shared" si="21"/>
        <v>0.1757873784</v>
      </c>
      <c r="U178" s="50" t="str">
        <f t="shared" si="6"/>
        <v>AOP</v>
      </c>
      <c r="V178" s="51">
        <f t="shared" si="28"/>
        <v>3307.571365</v>
      </c>
      <c r="W178" s="52">
        <f t="shared" si="8"/>
        <v>3307.571365</v>
      </c>
      <c r="X178" s="9">
        <f t="shared" si="25"/>
        <v>18815.75</v>
      </c>
      <c r="Y178" s="8"/>
      <c r="Z178" s="8"/>
      <c r="AA178" s="8"/>
      <c r="AB178" s="8" t="str">
        <f t="shared" si="10"/>
        <v>ATHH41665J2.5UT</v>
      </c>
      <c r="AC178" s="8" t="str">
        <f>IF(AB178='Input - Bookings'!S175,"OK","Check")</f>
        <v>Check</v>
      </c>
      <c r="AD178" s="60"/>
      <c r="AE178" s="54"/>
      <c r="AF178" s="54"/>
      <c r="AG178" s="55"/>
      <c r="AH178" s="62"/>
      <c r="AI178" s="8" t="str">
        <f t="array" ref="AI178">XLOOKUP($J178,'AP Plants'!D:D,'AP Plants'!B:B)</f>
        <v>Class 1</v>
      </c>
      <c r="AJ178" s="56"/>
      <c r="AK178" s="56"/>
      <c r="AL178" s="49">
        <v>0.015</v>
      </c>
      <c r="AM178" s="49">
        <f t="array" ref="AM178">XLOOKUP($AI178,Warranty!B:B,Warranty!E:E)</f>
        <v>0.005</v>
      </c>
      <c r="AN178" s="8">
        <f>IF($L178="AUD",VLOOKUP(RIGHT('Wk - Margins'!$J178,3),'AU Freight'!C:G,5,0),0)</f>
        <v>0</v>
      </c>
      <c r="AO178" s="49">
        <f t="shared" si="11"/>
        <v>0</v>
      </c>
      <c r="AP178" s="57">
        <f t="shared" si="12"/>
        <v>0</v>
      </c>
      <c r="AQ178" s="58">
        <f t="shared" si="13"/>
        <v>1</v>
      </c>
      <c r="AR178" s="59">
        <f>IF(L178="AUD",O178*'Currency &amp; Conversion'!$L$7,'Wk - Margins'!O178)</f>
        <v>26137</v>
      </c>
      <c r="AS178" s="59">
        <f>IF(L178="AUD",P178*'Currency &amp; Conversion'!$L$7,'Wk - Margins'!P178)</f>
        <v>18815.75</v>
      </c>
    </row>
    <row r="179" ht="14.25" hidden="1" customHeight="1">
      <c r="A179" s="42" t="str">
        <f>'Input - Bookings'!A179</f>
        <v>29/06/2023</v>
      </c>
      <c r="B179" s="43" t="str">
        <f t="shared" si="1"/>
        <v>Asia</v>
      </c>
      <c r="C179" s="43" t="str">
        <f t="shared" si="2"/>
        <v>AKR</v>
      </c>
      <c r="D179" s="43" t="str">
        <f>'Input - Bookings'!D179</f>
        <v>A</v>
      </c>
      <c r="E179" s="43" t="str">
        <f>'Input - Bookings'!J179</f>
        <v>KR</v>
      </c>
      <c r="F179" s="44" t="str">
        <f>'Input - Bookings'!F179</f>
        <v>067</v>
      </c>
      <c r="G179" s="44" t="str">
        <f>'Input - Bookings'!I179</f>
        <v>YALE EQUIPMENT, INC</v>
      </c>
      <c r="H179" s="44" t="str">
        <f>'Input - Bookings'!K179</f>
        <v>H40856</v>
      </c>
      <c r="I179" s="45" t="str">
        <f>VLOOKUP(H179,'Input - Bookings'!$G$2:$H$611,2,0)</f>
        <v>816405</v>
      </c>
      <c r="J179" s="44" t="str">
        <f>'Input - Bookings'!N179</f>
        <v>C900</v>
      </c>
      <c r="K179" s="44" t="str">
        <f>'Input - Bookings'!O179</f>
        <v>FBR15SZ</v>
      </c>
      <c r="L179" s="44" t="str">
        <f>'Input - Bookings'!C179</f>
        <v>USD</v>
      </c>
      <c r="M179" s="46" t="str">
        <f t="array" ref="M179">IF(L179="USD",INDEX('AP Plants'!A:A,MATCH(J179,'AP Plants'!D:D,0)),INDEX('Australia Plants'!A:A,MATCH(J179,'Australia Plants'!D:D,0)))</f>
        <v>SN</v>
      </c>
      <c r="N179" s="10">
        <v>1.0</v>
      </c>
      <c r="O179" s="9">
        <v>24850.0</v>
      </c>
      <c r="P179" s="9">
        <v>14993.749999999998</v>
      </c>
      <c r="Q179" s="47">
        <v>0.16767998134021</v>
      </c>
      <c r="R179" s="48">
        <f t="shared" si="3"/>
        <v>0.3966297787</v>
      </c>
      <c r="S179" s="49">
        <f t="shared" si="4"/>
        <v>0</v>
      </c>
      <c r="T179" s="49">
        <f t="shared" si="21"/>
        <v>0.1676799813</v>
      </c>
      <c r="U179" s="50" t="str">
        <f t="shared" si="6"/>
        <v>AOP</v>
      </c>
      <c r="V179" s="51">
        <f t="shared" si="28"/>
        <v>2514.15172</v>
      </c>
      <c r="W179" s="52">
        <f t="shared" si="8"/>
        <v>2514.15172</v>
      </c>
      <c r="X179" s="9">
        <f t="shared" si="25"/>
        <v>14993.75</v>
      </c>
      <c r="Y179" s="8"/>
      <c r="Z179" s="8"/>
      <c r="AA179" s="8"/>
      <c r="AB179" s="8" t="str">
        <f t="shared" si="10"/>
        <v>AKRH40856FBR15SZ</v>
      </c>
      <c r="AC179" s="8" t="str">
        <f>IF(AB179='Input - Bookings'!S176,"OK","Check")</f>
        <v>Check</v>
      </c>
      <c r="AD179" s="60"/>
      <c r="AE179" s="54"/>
      <c r="AF179" s="54"/>
      <c r="AG179" s="55"/>
      <c r="AH179" s="55"/>
      <c r="AI179" s="8" t="str">
        <f t="array" ref="AI179">XLOOKUP($J179,'AP Plants'!D:D,'AP Plants'!B:B)</f>
        <v>Class 2</v>
      </c>
      <c r="AJ179" s="56"/>
      <c r="AK179" s="56"/>
      <c r="AL179" s="49">
        <v>0.015</v>
      </c>
      <c r="AM179" s="49">
        <f t="array" ref="AM179">XLOOKUP($AI179,Warranty!B:B,Warranty!E:E)</f>
        <v>0.015</v>
      </c>
      <c r="AN179" s="8">
        <f>IF($L179="AUD",VLOOKUP(RIGHT('Wk - Margins'!$J179,3),'AU Freight'!C:G,5,0),0)</f>
        <v>0</v>
      </c>
      <c r="AO179" s="49">
        <f t="shared" si="11"/>
        <v>0</v>
      </c>
      <c r="AP179" s="57">
        <f t="shared" si="12"/>
        <v>0</v>
      </c>
      <c r="AQ179" s="58">
        <f t="shared" si="13"/>
        <v>1</v>
      </c>
      <c r="AR179" s="59">
        <f>IF(L179="AUD",O179*'Currency &amp; Conversion'!$L$7,'Wk - Margins'!O179)</f>
        <v>24850</v>
      </c>
      <c r="AS179" s="59">
        <f>IF(L179="AUD",P179*'Currency &amp; Conversion'!$L$7,'Wk - Margins'!P179)</f>
        <v>14993.75</v>
      </c>
    </row>
    <row r="180" ht="14.25" hidden="1" customHeight="1">
      <c r="A180" s="42" t="str">
        <f>'Input - Bookings'!A180</f>
        <v>29/06/2023</v>
      </c>
      <c r="B180" s="43" t="str">
        <f t="shared" si="1"/>
        <v>Asia</v>
      </c>
      <c r="C180" s="43" t="str">
        <f t="shared" si="2"/>
        <v>AKR</v>
      </c>
      <c r="D180" s="43" t="str">
        <f>'Input - Bookings'!D180</f>
        <v>A</v>
      </c>
      <c r="E180" s="43" t="str">
        <f>'Input - Bookings'!J180</f>
        <v>KR</v>
      </c>
      <c r="F180" s="44" t="str">
        <f>'Input - Bookings'!F180</f>
        <v>067</v>
      </c>
      <c r="G180" s="44" t="str">
        <f>'Input - Bookings'!I180</f>
        <v>YALE EQUIPMENT, INC</v>
      </c>
      <c r="H180" s="44" t="str">
        <f>'Input - Bookings'!K180</f>
        <v>H40860</v>
      </c>
      <c r="I180" s="45" t="str">
        <f>VLOOKUP(H180,'Input - Bookings'!$G$2:$H$611,2,0)</f>
        <v>816405</v>
      </c>
      <c r="J180" s="44" t="str">
        <f>'Input - Bookings'!N180</f>
        <v>C900</v>
      </c>
      <c r="K180" s="44" t="str">
        <f>'Input - Bookings'!O180</f>
        <v>FBR15SZ</v>
      </c>
      <c r="L180" s="44" t="str">
        <f>'Input - Bookings'!C180</f>
        <v>USD</v>
      </c>
      <c r="M180" s="46" t="str">
        <f t="array" ref="M180">IF(L180="USD",INDEX('AP Plants'!A:A,MATCH(J180,'AP Plants'!D:D,0)),INDEX('Australia Plants'!A:A,MATCH(J180,'Australia Plants'!D:D,0)))</f>
        <v>SN</v>
      </c>
      <c r="N180" s="10">
        <v>1.0</v>
      </c>
      <c r="O180" s="9">
        <v>24850.0</v>
      </c>
      <c r="P180" s="9">
        <v>14993.749999999998</v>
      </c>
      <c r="Q180" s="47">
        <v>0.16767998134021</v>
      </c>
      <c r="R180" s="48">
        <f t="shared" si="3"/>
        <v>0.3966297787</v>
      </c>
      <c r="S180" s="49">
        <f t="shared" si="4"/>
        <v>0</v>
      </c>
      <c r="T180" s="49">
        <f t="shared" si="21"/>
        <v>0.1676799813</v>
      </c>
      <c r="U180" s="50" t="str">
        <f t="shared" si="6"/>
        <v>AOP</v>
      </c>
      <c r="V180" s="51">
        <f t="shared" si="28"/>
        <v>2514.15172</v>
      </c>
      <c r="W180" s="52">
        <f t="shared" si="8"/>
        <v>2514.15172</v>
      </c>
      <c r="X180" s="9">
        <f t="shared" si="25"/>
        <v>14993.75</v>
      </c>
      <c r="Y180" s="8"/>
      <c r="Z180" s="8"/>
      <c r="AA180" s="8"/>
      <c r="AB180" s="8" t="str">
        <f t="shared" si="10"/>
        <v>AKRH40860FBR15SZ</v>
      </c>
      <c r="AC180" s="8" t="str">
        <f>IF(AB180='Input - Bookings'!S177,"OK","Check")</f>
        <v>Check</v>
      </c>
      <c r="AD180" s="60"/>
      <c r="AE180" s="54"/>
      <c r="AF180" s="54"/>
      <c r="AG180" s="55"/>
      <c r="AH180" s="55"/>
      <c r="AI180" s="8" t="str">
        <f t="array" ref="AI180">XLOOKUP($J180,'AP Plants'!D:D,'AP Plants'!B:B)</f>
        <v>Class 2</v>
      </c>
      <c r="AJ180" s="56"/>
      <c r="AK180" s="56"/>
      <c r="AL180" s="49">
        <v>0.015</v>
      </c>
      <c r="AM180" s="49">
        <f t="array" ref="AM180">XLOOKUP($AI180,Warranty!B:B,Warranty!E:E)</f>
        <v>0.015</v>
      </c>
      <c r="AN180" s="8">
        <f>IF($L180="AUD",VLOOKUP(RIGHT('Wk - Margins'!$J180,3),'AU Freight'!C:G,5,0),0)</f>
        <v>0</v>
      </c>
      <c r="AO180" s="49">
        <f t="shared" si="11"/>
        <v>0</v>
      </c>
      <c r="AP180" s="57">
        <f t="shared" si="12"/>
        <v>0</v>
      </c>
      <c r="AQ180" s="58">
        <f t="shared" si="13"/>
        <v>1</v>
      </c>
      <c r="AR180" s="59">
        <f>IF(L180="AUD",O180*'Currency &amp; Conversion'!$L$7,'Wk - Margins'!O180)</f>
        <v>24850</v>
      </c>
      <c r="AS180" s="59">
        <f>IF(L180="AUD",P180*'Currency &amp; Conversion'!$L$7,'Wk - Margins'!P180)</f>
        <v>14993.75</v>
      </c>
    </row>
    <row r="181" ht="14.25" hidden="1" customHeight="1">
      <c r="A181" s="42" t="str">
        <f>'Input - Bookings'!A181</f>
        <v>29/06/2023</v>
      </c>
      <c r="B181" s="43" t="str">
        <f t="shared" si="1"/>
        <v>Asia</v>
      </c>
      <c r="C181" s="43" t="str">
        <f t="shared" si="2"/>
        <v>AKR</v>
      </c>
      <c r="D181" s="43" t="str">
        <f>'Input - Bookings'!D181</f>
        <v>A</v>
      </c>
      <c r="E181" s="43" t="str">
        <f>'Input - Bookings'!J181</f>
        <v>KR</v>
      </c>
      <c r="F181" s="44" t="str">
        <f>'Input - Bookings'!F181</f>
        <v>067</v>
      </c>
      <c r="G181" s="44" t="str">
        <f>'Input - Bookings'!I181</f>
        <v>YALE EQUIPMENT, INC</v>
      </c>
      <c r="H181" s="44" t="str">
        <f>'Input - Bookings'!K181</f>
        <v>H40861</v>
      </c>
      <c r="I181" s="45" t="str">
        <f>VLOOKUP(H181,'Input - Bookings'!$G$2:$H$611,2,0)</f>
        <v>816405</v>
      </c>
      <c r="J181" s="44" t="str">
        <f>'Input - Bookings'!N181</f>
        <v>C900</v>
      </c>
      <c r="K181" s="44" t="str">
        <f>'Input - Bookings'!O181</f>
        <v>FBR15SZ</v>
      </c>
      <c r="L181" s="44" t="str">
        <f>'Input - Bookings'!C181</f>
        <v>USD</v>
      </c>
      <c r="M181" s="46" t="str">
        <f t="array" ref="M181">IF(L181="USD",INDEX('AP Plants'!A:A,MATCH(J181,'AP Plants'!D:D,0)),INDEX('Australia Plants'!A:A,MATCH(J181,'Australia Plants'!D:D,0)))</f>
        <v>SN</v>
      </c>
      <c r="N181" s="10">
        <v>1.0</v>
      </c>
      <c r="O181" s="9">
        <v>24850.0</v>
      </c>
      <c r="P181" s="9">
        <v>14993.749999999998</v>
      </c>
      <c r="Q181" s="47">
        <v>0.16767998134021</v>
      </c>
      <c r="R181" s="48">
        <f t="shared" si="3"/>
        <v>0.3966297787</v>
      </c>
      <c r="S181" s="49">
        <f t="shared" si="4"/>
        <v>0</v>
      </c>
      <c r="T181" s="49">
        <f t="shared" si="21"/>
        <v>0.1676799813</v>
      </c>
      <c r="U181" s="50" t="str">
        <f t="shared" si="6"/>
        <v>AOP</v>
      </c>
      <c r="V181" s="51">
        <f t="shared" si="28"/>
        <v>2514.15172</v>
      </c>
      <c r="W181" s="52">
        <f t="shared" si="8"/>
        <v>2514.15172</v>
      </c>
      <c r="X181" s="9">
        <f t="shared" si="25"/>
        <v>14993.75</v>
      </c>
      <c r="Y181" s="8"/>
      <c r="Z181" s="8"/>
      <c r="AA181" s="8"/>
      <c r="AB181" s="8" t="str">
        <f t="shared" si="10"/>
        <v>AKRH40861FBR15SZ</v>
      </c>
      <c r="AC181" s="8" t="str">
        <f>IF(AB181='Input - Bookings'!S178,"OK","Check")</f>
        <v>Check</v>
      </c>
      <c r="AD181" s="60"/>
      <c r="AE181" s="54"/>
      <c r="AF181" s="54"/>
      <c r="AG181" s="55"/>
      <c r="AH181" s="55"/>
      <c r="AI181" s="8" t="str">
        <f t="array" ref="AI181">XLOOKUP($J181,'AP Plants'!D:D,'AP Plants'!B:B)</f>
        <v>Class 2</v>
      </c>
      <c r="AJ181" s="56"/>
      <c r="AK181" s="56"/>
      <c r="AL181" s="49">
        <v>0.015</v>
      </c>
      <c r="AM181" s="49">
        <f t="array" ref="AM181">XLOOKUP($AI181,Warranty!B:B,Warranty!E:E)</f>
        <v>0.015</v>
      </c>
      <c r="AN181" s="8">
        <f>IF($L181="AUD",VLOOKUP(RIGHT('Wk - Margins'!$J181,3),'AU Freight'!C:G,5,0),0)</f>
        <v>0</v>
      </c>
      <c r="AO181" s="49">
        <f t="shared" si="11"/>
        <v>0</v>
      </c>
      <c r="AP181" s="57">
        <f t="shared" si="12"/>
        <v>0</v>
      </c>
      <c r="AQ181" s="58">
        <f t="shared" si="13"/>
        <v>1</v>
      </c>
      <c r="AR181" s="59">
        <f>IF(L181="AUD",O181*'Currency &amp; Conversion'!$L$7,'Wk - Margins'!O181)</f>
        <v>24850</v>
      </c>
      <c r="AS181" s="59">
        <f>IF(L181="AUD",P181*'Currency &amp; Conversion'!$L$7,'Wk - Margins'!P181)</f>
        <v>14993.75</v>
      </c>
    </row>
    <row r="182" ht="14.25" hidden="1" customHeight="1">
      <c r="A182" s="42" t="str">
        <f>'Input - Bookings'!A182</f>
        <v>29/06/2023</v>
      </c>
      <c r="B182" s="43" t="str">
        <f t="shared" si="1"/>
        <v>Asia</v>
      </c>
      <c r="C182" s="43" t="str">
        <f t="shared" si="2"/>
        <v>AKR</v>
      </c>
      <c r="D182" s="43" t="str">
        <f>'Input - Bookings'!D182</f>
        <v>A</v>
      </c>
      <c r="E182" s="43" t="str">
        <f>'Input - Bookings'!J182</f>
        <v>KR</v>
      </c>
      <c r="F182" s="44" t="str">
        <f>'Input - Bookings'!F182</f>
        <v>067</v>
      </c>
      <c r="G182" s="44" t="str">
        <f>'Input - Bookings'!I182</f>
        <v>YALE EQUIPMENT, INC</v>
      </c>
      <c r="H182" s="44" t="str">
        <f>'Input - Bookings'!K182</f>
        <v>H40862</v>
      </c>
      <c r="I182" s="45" t="str">
        <f>VLOOKUP(H182,'Input - Bookings'!$G$2:$H$611,2,0)</f>
        <v>816405</v>
      </c>
      <c r="J182" s="44" t="str">
        <f>'Input - Bookings'!N182</f>
        <v>C900</v>
      </c>
      <c r="K182" s="44" t="str">
        <f>'Input - Bookings'!O182</f>
        <v>FBR15SZ</v>
      </c>
      <c r="L182" s="44" t="str">
        <f>'Input - Bookings'!C182</f>
        <v>USD</v>
      </c>
      <c r="M182" s="46" t="str">
        <f t="array" ref="M182">IF(L182="USD",INDEX('AP Plants'!A:A,MATCH(J182,'AP Plants'!D:D,0)),INDEX('Australia Plants'!A:A,MATCH(J182,'Australia Plants'!D:D,0)))</f>
        <v>SN</v>
      </c>
      <c r="N182" s="10">
        <v>1.0</v>
      </c>
      <c r="O182" s="9">
        <v>24850.0</v>
      </c>
      <c r="P182" s="9">
        <v>14993.749999999998</v>
      </c>
      <c r="Q182" s="47">
        <v>0.16767998134021</v>
      </c>
      <c r="R182" s="48">
        <f t="shared" si="3"/>
        <v>0.3966297787</v>
      </c>
      <c r="S182" s="49">
        <f t="shared" si="4"/>
        <v>0</v>
      </c>
      <c r="T182" s="49">
        <f t="shared" si="21"/>
        <v>0.1676799813</v>
      </c>
      <c r="U182" s="50" t="str">
        <f t="shared" si="6"/>
        <v>AOP</v>
      </c>
      <c r="V182" s="51">
        <f t="shared" si="28"/>
        <v>2514.15172</v>
      </c>
      <c r="W182" s="52">
        <f t="shared" si="8"/>
        <v>2514.15172</v>
      </c>
      <c r="X182" s="9">
        <f t="shared" si="25"/>
        <v>14993.75</v>
      </c>
      <c r="Y182" s="8"/>
      <c r="Z182" s="8"/>
      <c r="AA182" s="8"/>
      <c r="AB182" s="8" t="str">
        <f t="shared" si="10"/>
        <v>AKRH40862FBR15SZ</v>
      </c>
      <c r="AC182" s="8" t="str">
        <f>IF(AB182='Input - Bookings'!S179,"OK","Check")</f>
        <v>Check</v>
      </c>
      <c r="AD182" s="60"/>
      <c r="AE182" s="54"/>
      <c r="AF182" s="54"/>
      <c r="AG182" s="55"/>
      <c r="AH182" s="55"/>
      <c r="AI182" s="8" t="str">
        <f t="array" ref="AI182">XLOOKUP($J182,'AP Plants'!D:D,'AP Plants'!B:B)</f>
        <v>Class 2</v>
      </c>
      <c r="AJ182" s="56"/>
      <c r="AK182" s="56"/>
      <c r="AL182" s="49">
        <v>0.015</v>
      </c>
      <c r="AM182" s="49">
        <f t="array" ref="AM182">XLOOKUP($AI182,Warranty!B:B,Warranty!E:E)</f>
        <v>0.015</v>
      </c>
      <c r="AN182" s="8">
        <f>IF($L182="AUD",VLOOKUP(RIGHT('Wk - Margins'!$J182,3),'AU Freight'!C:G,5,0),0)</f>
        <v>0</v>
      </c>
      <c r="AO182" s="49">
        <f t="shared" si="11"/>
        <v>0</v>
      </c>
      <c r="AP182" s="57">
        <f t="shared" si="12"/>
        <v>0</v>
      </c>
      <c r="AQ182" s="58">
        <f t="shared" si="13"/>
        <v>1</v>
      </c>
      <c r="AR182" s="59">
        <f>IF(L182="AUD",O182*'Currency &amp; Conversion'!$L$7,'Wk - Margins'!O182)</f>
        <v>24850</v>
      </c>
      <c r="AS182" s="59">
        <f>IF(L182="AUD",P182*'Currency &amp; Conversion'!$L$7,'Wk - Margins'!P182)</f>
        <v>14993.75</v>
      </c>
    </row>
    <row r="183" ht="14.25" hidden="1" customHeight="1">
      <c r="A183" s="42" t="str">
        <f>'Input - Bookings'!A183</f>
        <v>29/06/2023</v>
      </c>
      <c r="B183" s="43" t="str">
        <f t="shared" si="1"/>
        <v>Asia</v>
      </c>
      <c r="C183" s="43" t="str">
        <f t="shared" si="2"/>
        <v>AKR</v>
      </c>
      <c r="D183" s="43" t="str">
        <f>'Input - Bookings'!D183</f>
        <v>A</v>
      </c>
      <c r="E183" s="43" t="str">
        <f>'Input - Bookings'!J183</f>
        <v>KR</v>
      </c>
      <c r="F183" s="44" t="str">
        <f>'Input - Bookings'!F183</f>
        <v>067</v>
      </c>
      <c r="G183" s="44" t="str">
        <f>'Input - Bookings'!I183</f>
        <v>YALE EQUIPMENT, INC</v>
      </c>
      <c r="H183" s="44" t="str">
        <f>'Input - Bookings'!K183</f>
        <v>H40863</v>
      </c>
      <c r="I183" s="45" t="str">
        <f>VLOOKUP(H183,'Input - Bookings'!$G$2:$H$611,2,0)</f>
        <v>816405</v>
      </c>
      <c r="J183" s="44" t="str">
        <f>'Input - Bookings'!N183</f>
        <v>C900</v>
      </c>
      <c r="K183" s="44" t="str">
        <f>'Input - Bookings'!O183</f>
        <v>FBR15SZ</v>
      </c>
      <c r="L183" s="44" t="str">
        <f>'Input - Bookings'!C183</f>
        <v>USD</v>
      </c>
      <c r="M183" s="46" t="str">
        <f t="array" ref="M183">IF(L183="USD",INDEX('AP Plants'!A:A,MATCH(J183,'AP Plants'!D:D,0)),INDEX('Australia Plants'!A:A,MATCH(J183,'Australia Plants'!D:D,0)))</f>
        <v>SN</v>
      </c>
      <c r="N183" s="10">
        <v>1.0</v>
      </c>
      <c r="O183" s="9">
        <v>24850.0</v>
      </c>
      <c r="P183" s="9">
        <v>14993.749999999998</v>
      </c>
      <c r="Q183" s="47">
        <v>0.16767998134021</v>
      </c>
      <c r="R183" s="48">
        <f t="shared" si="3"/>
        <v>0.3966297787</v>
      </c>
      <c r="S183" s="49">
        <f t="shared" si="4"/>
        <v>0</v>
      </c>
      <c r="T183" s="49">
        <f t="shared" si="21"/>
        <v>0.1676799813</v>
      </c>
      <c r="U183" s="50" t="str">
        <f t="shared" si="6"/>
        <v>AOP</v>
      </c>
      <c r="V183" s="51">
        <f t="shared" si="28"/>
        <v>2514.15172</v>
      </c>
      <c r="W183" s="52">
        <f t="shared" si="8"/>
        <v>2514.15172</v>
      </c>
      <c r="X183" s="9">
        <f t="shared" si="25"/>
        <v>14993.75</v>
      </c>
      <c r="Y183" s="8"/>
      <c r="Z183" s="8"/>
      <c r="AA183" s="8"/>
      <c r="AB183" s="8" t="str">
        <f t="shared" si="10"/>
        <v>AKRH40863FBR15SZ</v>
      </c>
      <c r="AC183" s="8" t="str">
        <f>IF(AB183='Input - Bookings'!S180,"OK","Check")</f>
        <v>Check</v>
      </c>
      <c r="AD183" s="60"/>
      <c r="AE183" s="54"/>
      <c r="AF183" s="54"/>
      <c r="AG183" s="55"/>
      <c r="AH183" s="62"/>
      <c r="AI183" s="8" t="str">
        <f t="array" ref="AI183">XLOOKUP($J183,'AP Plants'!D:D,'AP Plants'!B:B)</f>
        <v>Class 2</v>
      </c>
      <c r="AJ183" s="56"/>
      <c r="AK183" s="56"/>
      <c r="AL183" s="49">
        <v>0.015</v>
      </c>
      <c r="AM183" s="49">
        <f t="array" ref="AM183">XLOOKUP($AI183,Warranty!B:B,Warranty!E:E)</f>
        <v>0.015</v>
      </c>
      <c r="AN183" s="8">
        <f>IF($L183="AUD",VLOOKUP(RIGHT('Wk - Margins'!$J183,3),'AU Freight'!C:G,5,0),0)</f>
        <v>0</v>
      </c>
      <c r="AO183" s="49">
        <f t="shared" si="11"/>
        <v>0</v>
      </c>
      <c r="AP183" s="57">
        <f t="shared" si="12"/>
        <v>0</v>
      </c>
      <c r="AQ183" s="58">
        <f t="shared" si="13"/>
        <v>1</v>
      </c>
      <c r="AR183" s="59">
        <f>IF(L183="AUD",O183*'Currency &amp; Conversion'!$L$7,'Wk - Margins'!O183)</f>
        <v>24850</v>
      </c>
      <c r="AS183" s="59">
        <f>IF(L183="AUD",P183*'Currency &amp; Conversion'!$L$7,'Wk - Margins'!P183)</f>
        <v>14993.75</v>
      </c>
    </row>
    <row r="184" ht="14.25" hidden="1" customHeight="1">
      <c r="A184" s="42" t="str">
        <f>'Input - Bookings'!A184</f>
        <v>29/06/2023</v>
      </c>
      <c r="B184" s="43" t="str">
        <f t="shared" si="1"/>
        <v>Asia</v>
      </c>
      <c r="C184" s="43" t="str">
        <f t="shared" si="2"/>
        <v>AKR</v>
      </c>
      <c r="D184" s="43" t="str">
        <f>'Input - Bookings'!D184</f>
        <v>A</v>
      </c>
      <c r="E184" s="43" t="str">
        <f>'Input - Bookings'!J184</f>
        <v>KR</v>
      </c>
      <c r="F184" s="44" t="str">
        <f>'Input - Bookings'!F184</f>
        <v>067</v>
      </c>
      <c r="G184" s="44" t="str">
        <f>'Input - Bookings'!I184</f>
        <v>YALE EQUIPMENT, INC</v>
      </c>
      <c r="H184" s="44" t="str">
        <f>'Input - Bookings'!K184</f>
        <v>H40857</v>
      </c>
      <c r="I184" s="45" t="str">
        <f>VLOOKUP(H184,'Input - Bookings'!$G$2:$H$611,2,0)</f>
        <v>816405</v>
      </c>
      <c r="J184" s="44" t="str">
        <f>'Input - Bookings'!N184</f>
        <v>C881</v>
      </c>
      <c r="K184" s="44" t="str">
        <f>'Input - Bookings'!O184</f>
        <v>FB25RZ</v>
      </c>
      <c r="L184" s="44" t="str">
        <f>'Input - Bookings'!C184</f>
        <v>USD</v>
      </c>
      <c r="M184" s="46" t="str">
        <f t="array" ref="M184">IF(L184="USD",INDEX('AP Plants'!A:A,MATCH(J184,'AP Plants'!D:D,0)),INDEX('Australia Plants'!A:A,MATCH(J184,'Australia Plants'!D:D,0)))</f>
        <v>SN</v>
      </c>
      <c r="N184" s="10">
        <v>1.0</v>
      </c>
      <c r="O184" s="9">
        <v>30425.0</v>
      </c>
      <c r="P184" s="9">
        <v>18443.5</v>
      </c>
      <c r="Q184" s="47">
        <v>0.1731519141109934</v>
      </c>
      <c r="R184" s="48">
        <f t="shared" si="3"/>
        <v>0.3938044371</v>
      </c>
      <c r="S184" s="49">
        <f t="shared" si="4"/>
        <v>0</v>
      </c>
      <c r="T184" s="49">
        <f t="shared" si="21"/>
        <v>0.1731519141</v>
      </c>
      <c r="U184" s="50" t="str">
        <f t="shared" si="6"/>
        <v>AOP</v>
      </c>
      <c r="V184" s="51">
        <f t="shared" si="28"/>
        <v>3193.527328</v>
      </c>
      <c r="W184" s="52">
        <f t="shared" si="8"/>
        <v>3193.527328</v>
      </c>
      <c r="X184" s="9">
        <f t="shared" si="25"/>
        <v>18443.5</v>
      </c>
      <c r="Y184" s="8"/>
      <c r="Z184" s="8"/>
      <c r="AA184" s="8"/>
      <c r="AB184" s="8" t="str">
        <f t="shared" si="10"/>
        <v>AKRH40857FB25RZ</v>
      </c>
      <c r="AC184" s="8" t="str">
        <f>IF(AB184='Input - Bookings'!S181,"OK","Check")</f>
        <v>Check</v>
      </c>
      <c r="AD184" s="60"/>
      <c r="AE184" s="54"/>
      <c r="AF184" s="54"/>
      <c r="AG184" s="55"/>
      <c r="AH184" s="62"/>
      <c r="AI184" s="8" t="str">
        <f t="array" ref="AI184">XLOOKUP($J184,'AP Plants'!D:D,'AP Plants'!B:B)</f>
        <v>Class 1</v>
      </c>
      <c r="AJ184" s="56"/>
      <c r="AK184" s="56"/>
      <c r="AL184" s="49">
        <v>0.015</v>
      </c>
      <c r="AM184" s="49">
        <f t="array" ref="AM184">XLOOKUP($AI184,Warranty!B:B,Warranty!E:E)</f>
        <v>0.005</v>
      </c>
      <c r="AN184" s="8">
        <f>IF($L184="AUD",VLOOKUP(RIGHT('Wk - Margins'!$J184,3),'AU Freight'!C:G,5,0),0)</f>
        <v>0</v>
      </c>
      <c r="AO184" s="49">
        <f t="shared" si="11"/>
        <v>0</v>
      </c>
      <c r="AP184" s="57">
        <f t="shared" si="12"/>
        <v>0</v>
      </c>
      <c r="AQ184" s="58">
        <f t="shared" si="13"/>
        <v>1</v>
      </c>
      <c r="AR184" s="59">
        <f>IF(L184="AUD",O184*'Currency &amp; Conversion'!$L$7,'Wk - Margins'!O184)</f>
        <v>30425</v>
      </c>
      <c r="AS184" s="59">
        <f>IF(L184="AUD",P184*'Currency &amp; Conversion'!$L$7,'Wk - Margins'!P184)</f>
        <v>18443.5</v>
      </c>
    </row>
    <row r="185" ht="12.75" hidden="1" customHeight="1">
      <c r="A185" s="42" t="str">
        <f>'Input - Bookings'!A185</f>
        <v>29/06/2023</v>
      </c>
      <c r="B185" s="43" t="str">
        <f t="shared" si="1"/>
        <v>Asia</v>
      </c>
      <c r="C185" s="43" t="str">
        <f t="shared" si="2"/>
        <v>AKR</v>
      </c>
      <c r="D185" s="43" t="str">
        <f>'Input - Bookings'!D185</f>
        <v>A</v>
      </c>
      <c r="E185" s="43" t="str">
        <f>'Input - Bookings'!J185</f>
        <v>KR</v>
      </c>
      <c r="F185" s="44" t="str">
        <f>'Input - Bookings'!F185</f>
        <v>067</v>
      </c>
      <c r="G185" s="44" t="str">
        <f>'Input - Bookings'!I185</f>
        <v>YALE EQUIPMENT, INC</v>
      </c>
      <c r="H185" s="44" t="str">
        <f>'Input - Bookings'!K185</f>
        <v>H40864</v>
      </c>
      <c r="I185" s="45" t="str">
        <f>VLOOKUP(H185,'Input - Bookings'!$G$2:$H$611,2,0)</f>
        <v>816405</v>
      </c>
      <c r="J185" s="44" t="str">
        <f>'Input - Bookings'!N185</f>
        <v>C881</v>
      </c>
      <c r="K185" s="44" t="str">
        <f>'Input - Bookings'!O185</f>
        <v>FB25RZ</v>
      </c>
      <c r="L185" s="44" t="str">
        <f>'Input - Bookings'!C185</f>
        <v>USD</v>
      </c>
      <c r="M185" s="46" t="str">
        <f t="array" ref="M185">IF(L185="USD",INDEX('AP Plants'!A:A,MATCH(J185,'AP Plants'!D:D,0)),INDEX('Australia Plants'!A:A,MATCH(J185,'Australia Plants'!D:D,0)))</f>
        <v>SN</v>
      </c>
      <c r="N185" s="10">
        <v>1.0</v>
      </c>
      <c r="O185" s="9">
        <v>30425.0</v>
      </c>
      <c r="P185" s="9">
        <v>18443.5</v>
      </c>
      <c r="Q185" s="47">
        <v>0.1731519141109934</v>
      </c>
      <c r="R185" s="48">
        <f t="shared" si="3"/>
        <v>0.3938044371</v>
      </c>
      <c r="S185" s="49">
        <f t="shared" si="4"/>
        <v>0</v>
      </c>
      <c r="T185" s="49">
        <f t="shared" si="21"/>
        <v>0.1731519141</v>
      </c>
      <c r="U185" s="50" t="str">
        <f t="shared" si="6"/>
        <v>AOP</v>
      </c>
      <c r="V185" s="51">
        <f t="shared" si="28"/>
        <v>3193.527328</v>
      </c>
      <c r="W185" s="52">
        <f t="shared" si="8"/>
        <v>3193.527328</v>
      </c>
      <c r="X185" s="9">
        <f t="shared" si="25"/>
        <v>18443.5</v>
      </c>
      <c r="Y185" s="8"/>
      <c r="Z185" s="8"/>
      <c r="AA185" s="8"/>
      <c r="AB185" s="8" t="str">
        <f t="shared" si="10"/>
        <v>AKRH40864FB25RZ</v>
      </c>
      <c r="AC185" s="8" t="str">
        <f>IF(AB185='Input - Bookings'!S182,"OK","Check")</f>
        <v>Check</v>
      </c>
      <c r="AD185" s="60"/>
      <c r="AE185" s="54"/>
      <c r="AF185" s="54"/>
      <c r="AG185" s="55"/>
      <c r="AH185" s="62"/>
      <c r="AI185" s="8" t="str">
        <f t="array" ref="AI185">XLOOKUP($J185,'AP Plants'!D:D,'AP Plants'!B:B)</f>
        <v>Class 1</v>
      </c>
      <c r="AJ185" s="56"/>
      <c r="AK185" s="56"/>
      <c r="AL185" s="49">
        <v>0.015</v>
      </c>
      <c r="AM185" s="49">
        <f t="array" ref="AM185">XLOOKUP($AI185,Warranty!B:B,Warranty!E:E)</f>
        <v>0.005</v>
      </c>
      <c r="AN185" s="8">
        <f>IF($L185="AUD",VLOOKUP(RIGHT('Wk - Margins'!$J185,3),'AU Freight'!C:G,5,0),0)</f>
        <v>0</v>
      </c>
      <c r="AO185" s="49">
        <f t="shared" si="11"/>
        <v>0</v>
      </c>
      <c r="AP185" s="57">
        <f t="shared" si="12"/>
        <v>0</v>
      </c>
      <c r="AQ185" s="58">
        <f t="shared" si="13"/>
        <v>1</v>
      </c>
      <c r="AR185" s="59">
        <f>IF(L185="AUD",O185*'Currency &amp; Conversion'!$L$7,'Wk - Margins'!O185)</f>
        <v>30425</v>
      </c>
      <c r="AS185" s="59">
        <f>IF(L185="AUD",P185*'Currency &amp; Conversion'!$L$7,'Wk - Margins'!P185)</f>
        <v>18443.5</v>
      </c>
    </row>
    <row r="186" ht="12.75" hidden="1" customHeight="1">
      <c r="A186" s="42" t="str">
        <f>'Input - Bookings'!A186</f>
        <v>29/06/2023</v>
      </c>
      <c r="B186" s="43" t="str">
        <f t="shared" si="1"/>
        <v>Asia</v>
      </c>
      <c r="C186" s="43" t="str">
        <f t="shared" si="2"/>
        <v>AKR</v>
      </c>
      <c r="D186" s="43" t="str">
        <f>'Input - Bookings'!D186</f>
        <v>A</v>
      </c>
      <c r="E186" s="43" t="str">
        <f>'Input - Bookings'!J186</f>
        <v>KR</v>
      </c>
      <c r="F186" s="44" t="str">
        <f>'Input - Bookings'!F186</f>
        <v>067</v>
      </c>
      <c r="G186" s="44" t="str">
        <f>'Input - Bookings'!I186</f>
        <v>YALE EQUIPMENT, INC</v>
      </c>
      <c r="H186" s="44" t="str">
        <f>'Input - Bookings'!K186</f>
        <v>H40865</v>
      </c>
      <c r="I186" s="45" t="str">
        <f>VLOOKUP(H186,'Input - Bookings'!$G$2:$H$611,2,0)</f>
        <v>816405</v>
      </c>
      <c r="J186" s="44" t="str">
        <f>'Input - Bookings'!N186</f>
        <v>C881</v>
      </c>
      <c r="K186" s="44" t="str">
        <f>'Input - Bookings'!O186</f>
        <v>FB25RZ</v>
      </c>
      <c r="L186" s="44" t="str">
        <f>'Input - Bookings'!C186</f>
        <v>USD</v>
      </c>
      <c r="M186" s="46" t="str">
        <f t="array" ref="M186">IF(L186="USD",INDEX('AP Plants'!A:A,MATCH(J186,'AP Plants'!D:D,0)),INDEX('Australia Plants'!A:A,MATCH(J186,'Australia Plants'!D:D,0)))</f>
        <v>SN</v>
      </c>
      <c r="N186" s="10">
        <v>1.0</v>
      </c>
      <c r="O186" s="9">
        <v>30425.0</v>
      </c>
      <c r="P186" s="9">
        <v>18443.5</v>
      </c>
      <c r="Q186" s="47">
        <v>0.1731519141109934</v>
      </c>
      <c r="R186" s="48">
        <f t="shared" si="3"/>
        <v>0.3938044371</v>
      </c>
      <c r="S186" s="49">
        <f t="shared" si="4"/>
        <v>0</v>
      </c>
      <c r="T186" s="49">
        <f t="shared" si="21"/>
        <v>0.1731519141</v>
      </c>
      <c r="U186" s="50" t="str">
        <f t="shared" si="6"/>
        <v>AOP</v>
      </c>
      <c r="V186" s="51">
        <f t="shared" si="28"/>
        <v>3193.527328</v>
      </c>
      <c r="W186" s="52">
        <f t="shared" si="8"/>
        <v>3193.527328</v>
      </c>
      <c r="X186" s="9">
        <f t="shared" si="25"/>
        <v>18443.5</v>
      </c>
      <c r="Y186" s="8"/>
      <c r="Z186" s="8"/>
      <c r="AA186" s="8"/>
      <c r="AB186" s="8" t="str">
        <f t="shared" si="10"/>
        <v>AKRH40865FB25RZ</v>
      </c>
      <c r="AC186" s="8" t="str">
        <f>IF(AB186='Input - Bookings'!S183,"OK","Check")</f>
        <v>Check</v>
      </c>
      <c r="AD186" s="60"/>
      <c r="AE186" s="54"/>
      <c r="AF186" s="54"/>
      <c r="AG186" s="55"/>
      <c r="AH186" s="62"/>
      <c r="AI186" s="8" t="str">
        <f t="array" ref="AI186">XLOOKUP($J186,'AP Plants'!D:D,'AP Plants'!B:B)</f>
        <v>Class 1</v>
      </c>
      <c r="AJ186" s="56"/>
      <c r="AK186" s="56"/>
      <c r="AL186" s="49">
        <v>0.015</v>
      </c>
      <c r="AM186" s="49">
        <f t="array" ref="AM186">XLOOKUP($AI186,Warranty!B:B,Warranty!E:E)</f>
        <v>0.005</v>
      </c>
      <c r="AN186" s="8">
        <f>IF($L186="AUD",VLOOKUP(RIGHT('Wk - Margins'!$J186,3),'AU Freight'!C:G,5,0),0)</f>
        <v>0</v>
      </c>
      <c r="AO186" s="49">
        <f t="shared" si="11"/>
        <v>0</v>
      </c>
      <c r="AP186" s="57">
        <f t="shared" si="12"/>
        <v>0</v>
      </c>
      <c r="AQ186" s="58">
        <f t="shared" si="13"/>
        <v>1</v>
      </c>
      <c r="AR186" s="59">
        <f>IF(L186="AUD",O186*'Currency &amp; Conversion'!$L$7,'Wk - Margins'!O186)</f>
        <v>30425</v>
      </c>
      <c r="AS186" s="59">
        <f>IF(L186="AUD",P186*'Currency &amp; Conversion'!$L$7,'Wk - Margins'!P186)</f>
        <v>18443.5</v>
      </c>
    </row>
    <row r="187" ht="12.75" hidden="1" customHeight="1">
      <c r="A187" s="42" t="str">
        <f>'Input - Bookings'!A187</f>
        <v>29/06/2023</v>
      </c>
      <c r="B187" s="43" t="str">
        <f t="shared" si="1"/>
        <v>Asia</v>
      </c>
      <c r="C187" s="43" t="str">
        <f t="shared" si="2"/>
        <v>AKR</v>
      </c>
      <c r="D187" s="43" t="str">
        <f>'Input - Bookings'!D187</f>
        <v>A</v>
      </c>
      <c r="E187" s="43" t="str">
        <f>'Input - Bookings'!J187</f>
        <v>KR</v>
      </c>
      <c r="F187" s="44" t="str">
        <f>'Input - Bookings'!F187</f>
        <v>067</v>
      </c>
      <c r="G187" s="44" t="str">
        <f>'Input - Bookings'!I187</f>
        <v>YALE EQUIPMENT, INC</v>
      </c>
      <c r="H187" s="44" t="str">
        <f>'Input - Bookings'!K187</f>
        <v>H40866</v>
      </c>
      <c r="I187" s="45" t="str">
        <f>VLOOKUP(H187,'Input - Bookings'!$G$2:$H$611,2,0)</f>
        <v>816405</v>
      </c>
      <c r="J187" s="44" t="str">
        <f>'Input - Bookings'!N187</f>
        <v>C881</v>
      </c>
      <c r="K187" s="44" t="str">
        <f>'Input - Bookings'!O187</f>
        <v>FB25RZ</v>
      </c>
      <c r="L187" s="44" t="str">
        <f>'Input - Bookings'!C187</f>
        <v>USD</v>
      </c>
      <c r="M187" s="46" t="str">
        <f t="array" ref="M187">IF(L187="USD",INDEX('AP Plants'!A:A,MATCH(J187,'AP Plants'!D:D,0)),INDEX('Australia Plants'!A:A,MATCH(J187,'Australia Plants'!D:D,0)))</f>
        <v>SN</v>
      </c>
      <c r="N187" s="10">
        <v>1.0</v>
      </c>
      <c r="O187" s="9">
        <v>30425.0</v>
      </c>
      <c r="P187" s="9">
        <v>18443.5</v>
      </c>
      <c r="Q187" s="47">
        <v>0.1731519141109934</v>
      </c>
      <c r="R187" s="48">
        <f t="shared" si="3"/>
        <v>0.3938044371</v>
      </c>
      <c r="S187" s="49">
        <f t="shared" si="4"/>
        <v>0</v>
      </c>
      <c r="T187" s="49">
        <f t="shared" si="21"/>
        <v>0.1731519141</v>
      </c>
      <c r="U187" s="50" t="str">
        <f t="shared" si="6"/>
        <v>AOP</v>
      </c>
      <c r="V187" s="51">
        <f t="shared" si="28"/>
        <v>3193.527328</v>
      </c>
      <c r="W187" s="52">
        <f t="shared" si="8"/>
        <v>3193.527328</v>
      </c>
      <c r="X187" s="9">
        <f t="shared" si="25"/>
        <v>18443.5</v>
      </c>
      <c r="Y187" s="8"/>
      <c r="Z187" s="8"/>
      <c r="AA187" s="8"/>
      <c r="AB187" s="8" t="str">
        <f t="shared" si="10"/>
        <v>AKRH40866FB25RZ</v>
      </c>
      <c r="AC187" s="8" t="str">
        <f>IF(AB187='Input - Bookings'!S184,"OK","Check")</f>
        <v>Check</v>
      </c>
      <c r="AD187" s="60"/>
      <c r="AE187" s="54"/>
      <c r="AF187" s="54"/>
      <c r="AG187" s="55"/>
      <c r="AH187" s="62"/>
      <c r="AI187" s="8" t="str">
        <f t="array" ref="AI187">XLOOKUP($J187,'AP Plants'!D:D,'AP Plants'!B:B)</f>
        <v>Class 1</v>
      </c>
      <c r="AJ187" s="56"/>
      <c r="AK187" s="56"/>
      <c r="AL187" s="49">
        <v>0.015</v>
      </c>
      <c r="AM187" s="49">
        <f t="array" ref="AM187">XLOOKUP($AI187,Warranty!B:B,Warranty!E:E)</f>
        <v>0.005</v>
      </c>
      <c r="AN187" s="8">
        <f>IF($L187="AUD",VLOOKUP(RIGHT('Wk - Margins'!$J187,3),'AU Freight'!C:G,5,0),0)</f>
        <v>0</v>
      </c>
      <c r="AO187" s="49">
        <f t="shared" si="11"/>
        <v>0</v>
      </c>
      <c r="AP187" s="57">
        <f t="shared" si="12"/>
        <v>0</v>
      </c>
      <c r="AQ187" s="58">
        <f t="shared" si="13"/>
        <v>1</v>
      </c>
      <c r="AR187" s="59">
        <f>IF(L187="AUD",O187*'Currency &amp; Conversion'!$L$7,'Wk - Margins'!O187)</f>
        <v>30425</v>
      </c>
      <c r="AS187" s="59">
        <f>IF(L187="AUD",P187*'Currency &amp; Conversion'!$L$7,'Wk - Margins'!P187)</f>
        <v>18443.5</v>
      </c>
    </row>
    <row r="188" ht="12.75" customHeight="1">
      <c r="A188" s="42" t="str">
        <f>'Input - Bookings'!A188</f>
        <v>29/06/2023</v>
      </c>
      <c r="B188" s="43" t="str">
        <f t="shared" si="1"/>
        <v>Asia</v>
      </c>
      <c r="C188" s="43" t="str">
        <f t="shared" si="2"/>
        <v>AKR</v>
      </c>
      <c r="D188" s="43" t="str">
        <f>'Input - Bookings'!D188</f>
        <v>A</v>
      </c>
      <c r="E188" s="43" t="str">
        <f>'Input - Bookings'!J188</f>
        <v>KR</v>
      </c>
      <c r="F188" s="44" t="str">
        <f>'Input - Bookings'!F188</f>
        <v>067</v>
      </c>
      <c r="G188" s="44" t="str">
        <f>'Input - Bookings'!I188</f>
        <v>YALE EQUIPMENT, INC</v>
      </c>
      <c r="H188" s="44" t="str">
        <f>'Input - Bookings'!K188</f>
        <v>H40858</v>
      </c>
      <c r="I188" s="45" t="str">
        <f>VLOOKUP(H188,'Input - Bookings'!$G$2:$H$611,2,0)</f>
        <v>816405</v>
      </c>
      <c r="J188" s="44" t="str">
        <f>'Input - Bookings'!N188</f>
        <v>E843</v>
      </c>
      <c r="K188" s="44" t="str">
        <f>'Input - Bookings'!O188</f>
        <v>MP25X</v>
      </c>
      <c r="L188" s="44" t="str">
        <f>'Input - Bookings'!C188</f>
        <v>USD</v>
      </c>
      <c r="M188" s="46" t="str">
        <f t="array" ref="M188">IF(L188="USD",INDEX('AP Plants'!A:A,MATCH(J188,'AP Plants'!D:D,0)),INDEX('Australia Plants'!A:A,MATCH(J188,'Australia Plants'!D:D,0)))</f>
        <v>Masate</v>
      </c>
      <c r="N188" s="10">
        <v>1.0</v>
      </c>
      <c r="O188" s="9">
        <v>15235.0</v>
      </c>
      <c r="P188" s="9">
        <v>10959.0</v>
      </c>
      <c r="Q188" s="47">
        <f t="shared" ref="Q188:Q199" si="31">AQ188</f>
        <v>0.2610364028</v>
      </c>
      <c r="R188" s="48">
        <f t="shared" si="3"/>
        <v>0.280669511</v>
      </c>
      <c r="S188" s="49">
        <f t="shared" si="4"/>
        <v>0</v>
      </c>
      <c r="T188" s="49">
        <f t="shared" si="21"/>
        <v>0.2610364028</v>
      </c>
      <c r="U188" s="50" t="str">
        <f t="shared" si="6"/>
        <v>AOP</v>
      </c>
      <c r="V188" s="51">
        <f t="shared" si="28"/>
        <v>2860.697938</v>
      </c>
      <c r="W188" s="52">
        <f t="shared" si="8"/>
        <v>2860.697938</v>
      </c>
      <c r="X188" s="9">
        <f t="shared" si="25"/>
        <v>10959</v>
      </c>
      <c r="Y188" s="8"/>
      <c r="Z188" s="8"/>
      <c r="AA188" s="8"/>
      <c r="AB188" s="8" t="str">
        <f t="shared" si="10"/>
        <v>AKRH40858MP25X</v>
      </c>
      <c r="AC188" s="8" t="str">
        <f>IF(AB188='Input - Bookings'!S185,"OK","Check")</f>
        <v>Check</v>
      </c>
      <c r="AD188" s="53"/>
      <c r="AE188" s="54">
        <v>0.0</v>
      </c>
      <c r="AF188" s="54">
        <v>0.0</v>
      </c>
      <c r="AG188" s="55"/>
      <c r="AH188" s="55">
        <v>7375.88</v>
      </c>
      <c r="AI188" s="8" t="str">
        <f t="array" ref="AI188">XLOOKUP($J188,'AP Plants'!D:D,'AP Plants'!B:B)</f>
        <v>Class 3</v>
      </c>
      <c r="AJ188" s="56"/>
      <c r="AK188" s="56">
        <f>(AH188*(1+VLOOKUP(M188,'Currency &amp; Conversion'!$F$13:$G$19,2,0))*'Currency &amp; Conversion'!$L$3)</f>
        <v>7862.429187</v>
      </c>
      <c r="AL188" s="49">
        <v>0.015</v>
      </c>
      <c r="AM188" s="49">
        <f t="array" ref="AM188">XLOOKUP($AI188,Warranty!B:B,Warranty!E:E)</f>
        <v>0.015</v>
      </c>
      <c r="AN188" s="8">
        <f>IF($L188="AUD",VLOOKUP(RIGHT('Wk - Margins'!$J188,3),'AU Freight'!C:G,5,0),0)</f>
        <v>0</v>
      </c>
      <c r="AO188" s="49">
        <f t="shared" si="11"/>
        <v>0</v>
      </c>
      <c r="AP188" s="63">
        <f t="shared" si="12"/>
        <v>8098.302062</v>
      </c>
      <c r="AQ188" s="64">
        <f t="shared" si="13"/>
        <v>0.2610364028</v>
      </c>
      <c r="AR188" s="59">
        <f>IF(L188="AUD",O188*'Currency &amp; Conversion'!$L$7,'Wk - Margins'!O188)</f>
        <v>15235</v>
      </c>
      <c r="AS188" s="59">
        <f>IF(L188="AUD",P188*'Currency &amp; Conversion'!$L$7,'Wk - Margins'!P188)</f>
        <v>10959</v>
      </c>
    </row>
    <row r="189" ht="12.75" customHeight="1">
      <c r="A189" s="42" t="str">
        <f>'Input - Bookings'!A189</f>
        <v>29/06/2023</v>
      </c>
      <c r="B189" s="43" t="str">
        <f t="shared" si="1"/>
        <v>Asia</v>
      </c>
      <c r="C189" s="43" t="str">
        <f t="shared" si="2"/>
        <v>AKR</v>
      </c>
      <c r="D189" s="43" t="str">
        <f>'Input - Bookings'!D189</f>
        <v>A</v>
      </c>
      <c r="E189" s="43" t="str">
        <f>'Input - Bookings'!J189</f>
        <v>KR</v>
      </c>
      <c r="F189" s="44" t="str">
        <f>'Input - Bookings'!F189</f>
        <v>067</v>
      </c>
      <c r="G189" s="44" t="str">
        <f>'Input - Bookings'!I189</f>
        <v>YALE EQUIPMENT, INC</v>
      </c>
      <c r="H189" s="44" t="str">
        <f>'Input - Bookings'!K189</f>
        <v>H40867</v>
      </c>
      <c r="I189" s="45" t="str">
        <f>VLOOKUP(H189,'Input - Bookings'!$G$2:$H$611,2,0)</f>
        <v>816405</v>
      </c>
      <c r="J189" s="44" t="str">
        <f>'Input - Bookings'!N189</f>
        <v>E843</v>
      </c>
      <c r="K189" s="44" t="str">
        <f>'Input - Bookings'!O189</f>
        <v>MP25X</v>
      </c>
      <c r="L189" s="44" t="str">
        <f>'Input - Bookings'!C189</f>
        <v>USD</v>
      </c>
      <c r="M189" s="46" t="str">
        <f t="array" ref="M189">IF(L189="USD",INDEX('AP Plants'!A:A,MATCH(J189,'AP Plants'!D:D,0)),INDEX('Australia Plants'!A:A,MATCH(J189,'Australia Plants'!D:D,0)))</f>
        <v>Masate</v>
      </c>
      <c r="N189" s="10">
        <v>1.0</v>
      </c>
      <c r="O189" s="9">
        <v>15235.0</v>
      </c>
      <c r="P189" s="9">
        <v>10959.0</v>
      </c>
      <c r="Q189" s="47">
        <f t="shared" si="31"/>
        <v>0.2610364028</v>
      </c>
      <c r="R189" s="48">
        <f t="shared" si="3"/>
        <v>0.280669511</v>
      </c>
      <c r="S189" s="49">
        <f t="shared" si="4"/>
        <v>0</v>
      </c>
      <c r="T189" s="49">
        <f t="shared" si="21"/>
        <v>0.2610364028</v>
      </c>
      <c r="U189" s="50" t="str">
        <f t="shared" si="6"/>
        <v>AOP</v>
      </c>
      <c r="V189" s="51">
        <f t="shared" si="28"/>
        <v>2860.697938</v>
      </c>
      <c r="W189" s="52">
        <f t="shared" si="8"/>
        <v>2860.697938</v>
      </c>
      <c r="X189" s="9">
        <f t="shared" si="25"/>
        <v>10959</v>
      </c>
      <c r="Y189" s="8"/>
      <c r="Z189" s="8"/>
      <c r="AA189" s="8"/>
      <c r="AB189" s="8" t="str">
        <f t="shared" si="10"/>
        <v>AKRH40867MP25X</v>
      </c>
      <c r="AC189" s="8" t="str">
        <f>IF(AB189='Input - Bookings'!S186,"OK","Check")</f>
        <v>Check</v>
      </c>
      <c r="AD189" s="53"/>
      <c r="AE189" s="54">
        <v>0.0</v>
      </c>
      <c r="AF189" s="54">
        <v>0.0</v>
      </c>
      <c r="AG189" s="55"/>
      <c r="AH189" s="55">
        <v>7375.88</v>
      </c>
      <c r="AI189" s="8" t="str">
        <f t="array" ref="AI189">XLOOKUP($J189,'AP Plants'!D:D,'AP Plants'!B:B)</f>
        <v>Class 3</v>
      </c>
      <c r="AJ189" s="56"/>
      <c r="AK189" s="56">
        <f>(AH189*(1+VLOOKUP(M189,'Currency &amp; Conversion'!$F$13:$G$19,2,0))*'Currency &amp; Conversion'!$L$3)</f>
        <v>7862.429187</v>
      </c>
      <c r="AL189" s="49">
        <v>0.015</v>
      </c>
      <c r="AM189" s="49">
        <f t="array" ref="AM189">XLOOKUP($AI189,Warranty!B:B,Warranty!E:E)</f>
        <v>0.015</v>
      </c>
      <c r="AN189" s="8">
        <f>IF($L189="AUD",VLOOKUP(RIGHT('Wk - Margins'!$J189,3),'AU Freight'!C:G,5,0),0)</f>
        <v>0</v>
      </c>
      <c r="AO189" s="49">
        <f t="shared" si="11"/>
        <v>0</v>
      </c>
      <c r="AP189" s="63">
        <f t="shared" si="12"/>
        <v>8098.302062</v>
      </c>
      <c r="AQ189" s="64">
        <f t="shared" si="13"/>
        <v>0.2610364028</v>
      </c>
      <c r="AR189" s="59">
        <f>IF(L189="AUD",O189*'Currency &amp; Conversion'!$L$7,'Wk - Margins'!O189)</f>
        <v>15235</v>
      </c>
      <c r="AS189" s="59">
        <f>IF(L189="AUD",P189*'Currency &amp; Conversion'!$L$7,'Wk - Margins'!P189)</f>
        <v>10959</v>
      </c>
    </row>
    <row r="190" ht="12.75" customHeight="1">
      <c r="A190" s="42" t="str">
        <f>'Input - Bookings'!A190</f>
        <v>29/06/2023</v>
      </c>
      <c r="B190" s="43" t="str">
        <f t="shared" si="1"/>
        <v>Asia</v>
      </c>
      <c r="C190" s="43" t="str">
        <f t="shared" si="2"/>
        <v>AKR</v>
      </c>
      <c r="D190" s="43" t="str">
        <f>'Input - Bookings'!D190</f>
        <v>A</v>
      </c>
      <c r="E190" s="43" t="str">
        <f>'Input - Bookings'!J190</f>
        <v>KR</v>
      </c>
      <c r="F190" s="44" t="str">
        <f>'Input - Bookings'!F190</f>
        <v>067</v>
      </c>
      <c r="G190" s="44" t="str">
        <f>'Input - Bookings'!I190</f>
        <v>YALE EQUIPMENT, INC</v>
      </c>
      <c r="H190" s="44" t="str">
        <f>'Input - Bookings'!K190</f>
        <v>H40868</v>
      </c>
      <c r="I190" s="45" t="str">
        <f>VLOOKUP(H190,'Input - Bookings'!$G$2:$H$611,2,0)</f>
        <v>816405</v>
      </c>
      <c r="J190" s="44" t="str">
        <f>'Input - Bookings'!N190</f>
        <v>E843</v>
      </c>
      <c r="K190" s="44" t="str">
        <f>'Input - Bookings'!O190</f>
        <v>MP25X</v>
      </c>
      <c r="L190" s="44" t="str">
        <f>'Input - Bookings'!C190</f>
        <v>USD</v>
      </c>
      <c r="M190" s="46" t="str">
        <f t="array" ref="M190">IF(L190="USD",INDEX('AP Plants'!A:A,MATCH(J190,'AP Plants'!D:D,0)),INDEX('Australia Plants'!A:A,MATCH(J190,'Australia Plants'!D:D,0)))</f>
        <v>Masate</v>
      </c>
      <c r="N190" s="10">
        <v>1.0</v>
      </c>
      <c r="O190" s="9">
        <v>15235.0</v>
      </c>
      <c r="P190" s="9">
        <v>10959.0</v>
      </c>
      <c r="Q190" s="47">
        <f t="shared" si="31"/>
        <v>0.2610364028</v>
      </c>
      <c r="R190" s="48">
        <f t="shared" si="3"/>
        <v>0.280669511</v>
      </c>
      <c r="S190" s="49">
        <f t="shared" si="4"/>
        <v>0</v>
      </c>
      <c r="T190" s="49">
        <f t="shared" si="21"/>
        <v>0.2610364028</v>
      </c>
      <c r="U190" s="50" t="str">
        <f t="shared" si="6"/>
        <v>AOP</v>
      </c>
      <c r="V190" s="51">
        <f t="shared" si="28"/>
        <v>2860.697938</v>
      </c>
      <c r="W190" s="52">
        <f t="shared" si="8"/>
        <v>2860.697938</v>
      </c>
      <c r="X190" s="9">
        <f t="shared" si="25"/>
        <v>10959</v>
      </c>
      <c r="Y190" s="8"/>
      <c r="Z190" s="8"/>
      <c r="AA190" s="8"/>
      <c r="AB190" s="8" t="str">
        <f t="shared" si="10"/>
        <v>AKRH40868MP25X</v>
      </c>
      <c r="AC190" s="8" t="str">
        <f>IF(AB190='Input - Bookings'!S187,"OK","Check")</f>
        <v>Check</v>
      </c>
      <c r="AD190" s="53"/>
      <c r="AE190" s="54">
        <v>0.0</v>
      </c>
      <c r="AF190" s="54">
        <v>0.0</v>
      </c>
      <c r="AG190" s="55"/>
      <c r="AH190" s="55">
        <v>7375.88</v>
      </c>
      <c r="AI190" s="8" t="str">
        <f t="array" ref="AI190">XLOOKUP($J190,'AP Plants'!D:D,'AP Plants'!B:B)</f>
        <v>Class 3</v>
      </c>
      <c r="AJ190" s="56"/>
      <c r="AK190" s="56">
        <f>(AH190*(1+VLOOKUP(M190,'Currency &amp; Conversion'!$F$13:$G$19,2,0))*'Currency &amp; Conversion'!$L$3)</f>
        <v>7862.429187</v>
      </c>
      <c r="AL190" s="49">
        <v>0.015</v>
      </c>
      <c r="AM190" s="49">
        <f t="array" ref="AM190">XLOOKUP($AI190,Warranty!B:B,Warranty!E:E)</f>
        <v>0.015</v>
      </c>
      <c r="AN190" s="8">
        <f>IF($L190="AUD",VLOOKUP(RIGHT('Wk - Margins'!$J190,3),'AU Freight'!C:G,5,0),0)</f>
        <v>0</v>
      </c>
      <c r="AO190" s="49">
        <f t="shared" si="11"/>
        <v>0</v>
      </c>
      <c r="AP190" s="63">
        <f t="shared" si="12"/>
        <v>8098.302062</v>
      </c>
      <c r="AQ190" s="64">
        <f t="shared" si="13"/>
        <v>0.2610364028</v>
      </c>
      <c r="AR190" s="59">
        <f>IF(L190="AUD",O190*'Currency &amp; Conversion'!$L$7,'Wk - Margins'!O190)</f>
        <v>15235</v>
      </c>
      <c r="AS190" s="59">
        <f>IF(L190="AUD",P190*'Currency &amp; Conversion'!$L$7,'Wk - Margins'!P190)</f>
        <v>10959</v>
      </c>
    </row>
    <row r="191" ht="12.75" customHeight="1">
      <c r="A191" s="42" t="str">
        <f>'Input - Bookings'!A191</f>
        <v>29/06/2023</v>
      </c>
      <c r="B191" s="43" t="str">
        <f t="shared" si="1"/>
        <v>Asia</v>
      </c>
      <c r="C191" s="43" t="str">
        <f t="shared" si="2"/>
        <v>AKR</v>
      </c>
      <c r="D191" s="43" t="str">
        <f>'Input - Bookings'!D191</f>
        <v>A</v>
      </c>
      <c r="E191" s="43" t="str">
        <f>'Input - Bookings'!J191</f>
        <v>KR</v>
      </c>
      <c r="F191" s="44" t="str">
        <f>'Input - Bookings'!F191</f>
        <v>067</v>
      </c>
      <c r="G191" s="44" t="str">
        <f>'Input - Bookings'!I191</f>
        <v>YALE EQUIPMENT, INC</v>
      </c>
      <c r="H191" s="44" t="str">
        <f>'Input - Bookings'!K191</f>
        <v>H40859</v>
      </c>
      <c r="I191" s="45" t="str">
        <f>VLOOKUP(H191,'Input - Bookings'!$G$2:$H$611,2,0)</f>
        <v>816405</v>
      </c>
      <c r="J191" s="44" t="str">
        <f>'Input - Bookings'!N191</f>
        <v>E843</v>
      </c>
      <c r="K191" s="44" t="str">
        <f>'Input - Bookings'!O191</f>
        <v>MP20X</v>
      </c>
      <c r="L191" s="44" t="str">
        <f>'Input - Bookings'!C191</f>
        <v>USD</v>
      </c>
      <c r="M191" s="46" t="str">
        <f t="array" ref="M191">IF(L191="USD",INDEX('AP Plants'!A:A,MATCH(J191,'AP Plants'!D:D,0)),INDEX('Australia Plants'!A:A,MATCH(J191,'Australia Plants'!D:D,0)))</f>
        <v>Masate</v>
      </c>
      <c r="N191" s="10">
        <v>1.0</v>
      </c>
      <c r="O191" s="9">
        <v>12620.0</v>
      </c>
      <c r="P191" s="9">
        <v>9028.0</v>
      </c>
      <c r="Q191" s="47">
        <f t="shared" si="31"/>
        <v>0.1638053337</v>
      </c>
      <c r="R191" s="48">
        <f t="shared" si="3"/>
        <v>0.2846275753</v>
      </c>
      <c r="S191" s="49">
        <f t="shared" si="4"/>
        <v>0</v>
      </c>
      <c r="T191" s="49">
        <f t="shared" si="21"/>
        <v>0.1638053337</v>
      </c>
      <c r="U191" s="50" t="str">
        <f t="shared" si="6"/>
        <v>AOP</v>
      </c>
      <c r="V191" s="51">
        <f t="shared" si="28"/>
        <v>1478.834553</v>
      </c>
      <c r="W191" s="52">
        <f t="shared" si="8"/>
        <v>1478.834553</v>
      </c>
      <c r="X191" s="9">
        <f t="shared" si="25"/>
        <v>9028</v>
      </c>
      <c r="Y191" s="8"/>
      <c r="Z191" s="8"/>
      <c r="AA191" s="8"/>
      <c r="AB191" s="8" t="str">
        <f t="shared" si="10"/>
        <v>AKRH40859MP20X</v>
      </c>
      <c r="AC191" s="8" t="str">
        <f>IF(AB191='Input - Bookings'!S188,"OK","Check")</f>
        <v>Check</v>
      </c>
      <c r="AD191" s="53"/>
      <c r="AE191" s="54">
        <v>0.0</v>
      </c>
      <c r="AF191" s="54">
        <v>0.0</v>
      </c>
      <c r="AG191" s="55"/>
      <c r="AH191" s="55">
        <v>6875.73</v>
      </c>
      <c r="AI191" s="8" t="str">
        <f t="array" ref="AI191">XLOOKUP($J191,'AP Plants'!D:D,'AP Plants'!B:B)</f>
        <v>Class 3</v>
      </c>
      <c r="AJ191" s="56"/>
      <c r="AK191" s="56">
        <f>(AH191*(1+VLOOKUP(M191,'Currency &amp; Conversion'!$F$13:$G$19,2,0))*'Currency &amp; Conversion'!$L$3)</f>
        <v>7329.286842</v>
      </c>
      <c r="AL191" s="49">
        <v>0.015</v>
      </c>
      <c r="AM191" s="49">
        <f t="array" ref="AM191">XLOOKUP($AI191,Warranty!B:B,Warranty!E:E)</f>
        <v>0.015</v>
      </c>
      <c r="AN191" s="8">
        <f>IF($L191="AUD",VLOOKUP(RIGHT('Wk - Margins'!$J191,3),'AU Freight'!C:G,5,0),0)</f>
        <v>0</v>
      </c>
      <c r="AO191" s="49">
        <f t="shared" si="11"/>
        <v>0</v>
      </c>
      <c r="AP191" s="63">
        <f t="shared" si="12"/>
        <v>7549.165447</v>
      </c>
      <c r="AQ191" s="64">
        <f t="shared" si="13"/>
        <v>0.1638053337</v>
      </c>
      <c r="AR191" s="59">
        <f>IF(L191="AUD",O191*'Currency &amp; Conversion'!$L$7,'Wk - Margins'!O191)</f>
        <v>12620</v>
      </c>
      <c r="AS191" s="59">
        <f>IF(L191="AUD",P191*'Currency &amp; Conversion'!$L$7,'Wk - Margins'!P191)</f>
        <v>9028</v>
      </c>
    </row>
    <row r="192" ht="12.75" customHeight="1">
      <c r="A192" s="42" t="str">
        <f>'Input - Bookings'!A192</f>
        <v>29/06/2023</v>
      </c>
      <c r="B192" s="43" t="str">
        <f t="shared" si="1"/>
        <v>Asia</v>
      </c>
      <c r="C192" s="43" t="str">
        <f t="shared" si="2"/>
        <v>AKR</v>
      </c>
      <c r="D192" s="43" t="str">
        <f>'Input - Bookings'!D192</f>
        <v>A</v>
      </c>
      <c r="E192" s="43" t="str">
        <f>'Input - Bookings'!J192</f>
        <v>KR</v>
      </c>
      <c r="F192" s="44" t="str">
        <f>'Input - Bookings'!F192</f>
        <v>067</v>
      </c>
      <c r="G192" s="44" t="str">
        <f>'Input - Bookings'!I192</f>
        <v>YALE EQUIPMENT, INC</v>
      </c>
      <c r="H192" s="44" t="str">
        <f>'Input - Bookings'!K192</f>
        <v>H40869</v>
      </c>
      <c r="I192" s="45" t="str">
        <f>VLOOKUP(H192,'Input - Bookings'!$G$2:$H$611,2,0)</f>
        <v>816405</v>
      </c>
      <c r="J192" s="44" t="str">
        <f>'Input - Bookings'!N192</f>
        <v>E843</v>
      </c>
      <c r="K192" s="44" t="str">
        <f>'Input - Bookings'!O192</f>
        <v>MP20X</v>
      </c>
      <c r="L192" s="44" t="str">
        <f>'Input - Bookings'!C192</f>
        <v>USD</v>
      </c>
      <c r="M192" s="46" t="str">
        <f t="array" ref="M192">IF(L192="USD",INDEX('AP Plants'!A:A,MATCH(J192,'AP Plants'!D:D,0)),INDEX('Australia Plants'!A:A,MATCH(J192,'Australia Plants'!D:D,0)))</f>
        <v>Masate</v>
      </c>
      <c r="N192" s="10">
        <v>1.0</v>
      </c>
      <c r="O192" s="9">
        <v>12620.0</v>
      </c>
      <c r="P192" s="9">
        <v>9028.0</v>
      </c>
      <c r="Q192" s="47">
        <f t="shared" si="31"/>
        <v>0.1638053337</v>
      </c>
      <c r="R192" s="48">
        <f t="shared" si="3"/>
        <v>0.2846275753</v>
      </c>
      <c r="S192" s="49">
        <f t="shared" si="4"/>
        <v>0</v>
      </c>
      <c r="T192" s="49">
        <f t="shared" si="21"/>
        <v>0.1638053337</v>
      </c>
      <c r="U192" s="50" t="str">
        <f t="shared" si="6"/>
        <v>AOP</v>
      </c>
      <c r="V192" s="51">
        <f t="shared" si="28"/>
        <v>1478.834553</v>
      </c>
      <c r="W192" s="52">
        <f t="shared" si="8"/>
        <v>1478.834553</v>
      </c>
      <c r="X192" s="9">
        <f t="shared" si="25"/>
        <v>9028</v>
      </c>
      <c r="Y192" s="8"/>
      <c r="Z192" s="8"/>
      <c r="AA192" s="8"/>
      <c r="AB192" s="8" t="str">
        <f t="shared" si="10"/>
        <v>AKRH40869MP20X</v>
      </c>
      <c r="AC192" s="8" t="str">
        <f>IF(AB192='Input - Bookings'!S189,"OK","Check")</f>
        <v>Check</v>
      </c>
      <c r="AD192" s="53"/>
      <c r="AE192" s="54">
        <v>0.0</v>
      </c>
      <c r="AF192" s="54">
        <v>0.0</v>
      </c>
      <c r="AG192" s="55"/>
      <c r="AH192" s="55">
        <v>6875.73</v>
      </c>
      <c r="AI192" s="8" t="str">
        <f t="array" ref="AI192">XLOOKUP($J192,'AP Plants'!D:D,'AP Plants'!B:B)</f>
        <v>Class 3</v>
      </c>
      <c r="AJ192" s="56"/>
      <c r="AK192" s="56">
        <f>(AH192*(1+VLOOKUP(M192,'Currency &amp; Conversion'!$F$13:$G$19,2,0))*'Currency &amp; Conversion'!$L$3)</f>
        <v>7329.286842</v>
      </c>
      <c r="AL192" s="49">
        <v>0.015</v>
      </c>
      <c r="AM192" s="49">
        <f t="array" ref="AM192">XLOOKUP($AI192,Warranty!B:B,Warranty!E:E)</f>
        <v>0.015</v>
      </c>
      <c r="AN192" s="8">
        <f>IF($L192="AUD",VLOOKUP(RIGHT('Wk - Margins'!$J192,3),'AU Freight'!C:G,5,0),0)</f>
        <v>0</v>
      </c>
      <c r="AO192" s="49">
        <f t="shared" si="11"/>
        <v>0</v>
      </c>
      <c r="AP192" s="63">
        <f t="shared" si="12"/>
        <v>7549.165447</v>
      </c>
      <c r="AQ192" s="64">
        <f t="shared" si="13"/>
        <v>0.1638053337</v>
      </c>
      <c r="AR192" s="59">
        <f>IF(L192="AUD",O192*'Currency &amp; Conversion'!$L$7,'Wk - Margins'!O192)</f>
        <v>12620</v>
      </c>
      <c r="AS192" s="59">
        <f>IF(L192="AUD",P192*'Currency &amp; Conversion'!$L$7,'Wk - Margins'!P192)</f>
        <v>9028</v>
      </c>
    </row>
    <row r="193" ht="12.75" customHeight="1">
      <c r="A193" s="42" t="str">
        <f>'Input - Bookings'!A193</f>
        <v>29/06/2023</v>
      </c>
      <c r="B193" s="43" t="str">
        <f t="shared" si="1"/>
        <v>Asia</v>
      </c>
      <c r="C193" s="43" t="str">
        <f t="shared" si="2"/>
        <v>AKR</v>
      </c>
      <c r="D193" s="43" t="str">
        <f>'Input - Bookings'!D193</f>
        <v>A</v>
      </c>
      <c r="E193" s="43" t="str">
        <f>'Input - Bookings'!J193</f>
        <v>KR</v>
      </c>
      <c r="F193" s="44" t="str">
        <f>'Input - Bookings'!F193</f>
        <v>067</v>
      </c>
      <c r="G193" s="44" t="str">
        <f>'Input - Bookings'!I193</f>
        <v>YALE EQUIPMENT, INC</v>
      </c>
      <c r="H193" s="44" t="str">
        <f>'Input - Bookings'!K193</f>
        <v>H40870</v>
      </c>
      <c r="I193" s="45" t="str">
        <f>VLOOKUP(H193,'Input - Bookings'!$G$2:$H$611,2,0)</f>
        <v>816405</v>
      </c>
      <c r="J193" s="44" t="str">
        <f>'Input - Bookings'!N193</f>
        <v>E843</v>
      </c>
      <c r="K193" s="44" t="str">
        <f>'Input - Bookings'!O193</f>
        <v>MP20X</v>
      </c>
      <c r="L193" s="44" t="str">
        <f>'Input - Bookings'!C193</f>
        <v>USD</v>
      </c>
      <c r="M193" s="46" t="str">
        <f t="array" ref="M193">IF(L193="USD",INDEX('AP Plants'!A:A,MATCH(J193,'AP Plants'!D:D,0)),INDEX('Australia Plants'!A:A,MATCH(J193,'Australia Plants'!D:D,0)))</f>
        <v>Masate</v>
      </c>
      <c r="N193" s="10">
        <v>1.0</v>
      </c>
      <c r="O193" s="9">
        <v>12620.0</v>
      </c>
      <c r="P193" s="9">
        <v>9028.0</v>
      </c>
      <c r="Q193" s="47">
        <f t="shared" si="31"/>
        <v>0.1638053337</v>
      </c>
      <c r="R193" s="48">
        <f t="shared" si="3"/>
        <v>0.2846275753</v>
      </c>
      <c r="S193" s="49">
        <f t="shared" si="4"/>
        <v>0</v>
      </c>
      <c r="T193" s="49">
        <f t="shared" si="21"/>
        <v>0.1638053337</v>
      </c>
      <c r="U193" s="50" t="str">
        <f t="shared" si="6"/>
        <v>AOP</v>
      </c>
      <c r="V193" s="51">
        <f t="shared" si="28"/>
        <v>1478.834553</v>
      </c>
      <c r="W193" s="52">
        <f t="shared" si="8"/>
        <v>1478.834553</v>
      </c>
      <c r="X193" s="9">
        <f t="shared" si="25"/>
        <v>9028</v>
      </c>
      <c r="Y193" s="8"/>
      <c r="Z193" s="8"/>
      <c r="AA193" s="8"/>
      <c r="AB193" s="8" t="str">
        <f t="shared" si="10"/>
        <v>AKRH40870MP20X</v>
      </c>
      <c r="AC193" s="8" t="str">
        <f>IF(AB193='Input - Bookings'!S190,"OK","Check")</f>
        <v>Check</v>
      </c>
      <c r="AD193" s="53"/>
      <c r="AE193" s="54">
        <v>0.0</v>
      </c>
      <c r="AF193" s="54">
        <v>0.0</v>
      </c>
      <c r="AG193" s="55"/>
      <c r="AH193" s="55">
        <v>6875.73</v>
      </c>
      <c r="AI193" s="8" t="str">
        <f t="array" ref="AI193">XLOOKUP($J193,'AP Plants'!D:D,'AP Plants'!B:B)</f>
        <v>Class 3</v>
      </c>
      <c r="AJ193" s="56"/>
      <c r="AK193" s="56">
        <f>(AH193*(1+VLOOKUP(M193,'Currency &amp; Conversion'!$F$13:$G$19,2,0))*'Currency &amp; Conversion'!$L$3)</f>
        <v>7329.286842</v>
      </c>
      <c r="AL193" s="49">
        <v>0.015</v>
      </c>
      <c r="AM193" s="49">
        <f t="array" ref="AM193">XLOOKUP($AI193,Warranty!B:B,Warranty!E:E)</f>
        <v>0.015</v>
      </c>
      <c r="AN193" s="8">
        <f>IF($L193="AUD",VLOOKUP(RIGHT('Wk - Margins'!$J193,3),'AU Freight'!C:G,5,0),0)</f>
        <v>0</v>
      </c>
      <c r="AO193" s="49">
        <f t="shared" si="11"/>
        <v>0</v>
      </c>
      <c r="AP193" s="63">
        <f t="shared" si="12"/>
        <v>7549.165447</v>
      </c>
      <c r="AQ193" s="64">
        <f t="shared" si="13"/>
        <v>0.1638053337</v>
      </c>
      <c r="AR193" s="59">
        <f>IF(L193="AUD",O193*'Currency &amp; Conversion'!$L$7,'Wk - Margins'!O193)</f>
        <v>12620</v>
      </c>
      <c r="AS193" s="59">
        <f>IF(L193="AUD",P193*'Currency &amp; Conversion'!$L$7,'Wk - Margins'!P193)</f>
        <v>9028</v>
      </c>
    </row>
    <row r="194" ht="12.75" customHeight="1">
      <c r="A194" s="42" t="str">
        <f>'Input - Bookings'!A194</f>
        <v>29/06/2023</v>
      </c>
      <c r="B194" s="43" t="str">
        <f t="shared" si="1"/>
        <v>Asia</v>
      </c>
      <c r="C194" s="43" t="str">
        <f t="shared" si="2"/>
        <v>AKR</v>
      </c>
      <c r="D194" s="43" t="str">
        <f>'Input - Bookings'!D194</f>
        <v>A</v>
      </c>
      <c r="E194" s="43" t="str">
        <f>'Input - Bookings'!J194</f>
        <v>KR</v>
      </c>
      <c r="F194" s="44" t="str">
        <f>'Input - Bookings'!F194</f>
        <v>067</v>
      </c>
      <c r="G194" s="44" t="str">
        <f>'Input - Bookings'!I194</f>
        <v>YALE EQUIPMENT, INC</v>
      </c>
      <c r="H194" s="44" t="str">
        <f>'Input - Bookings'!K194</f>
        <v>H40871</v>
      </c>
      <c r="I194" s="45" t="str">
        <f>VLOOKUP(H194,'Input - Bookings'!$G$2:$H$611,2,0)</f>
        <v>816405</v>
      </c>
      <c r="J194" s="44" t="str">
        <f>'Input - Bookings'!N194</f>
        <v>E843</v>
      </c>
      <c r="K194" s="44" t="str">
        <f>'Input - Bookings'!O194</f>
        <v>MP20X</v>
      </c>
      <c r="L194" s="44" t="str">
        <f>'Input - Bookings'!C194</f>
        <v>USD</v>
      </c>
      <c r="M194" s="46" t="str">
        <f t="array" ref="M194">IF(L194="USD",INDEX('AP Plants'!A:A,MATCH(J194,'AP Plants'!D:D,0)),INDEX('Australia Plants'!A:A,MATCH(J194,'Australia Plants'!D:D,0)))</f>
        <v>Masate</v>
      </c>
      <c r="N194" s="10">
        <v>1.0</v>
      </c>
      <c r="O194" s="9">
        <v>12620.0</v>
      </c>
      <c r="P194" s="9">
        <v>9028.0</v>
      </c>
      <c r="Q194" s="47">
        <f t="shared" si="31"/>
        <v>0.1638053337</v>
      </c>
      <c r="R194" s="48">
        <f t="shared" si="3"/>
        <v>0.2846275753</v>
      </c>
      <c r="S194" s="49">
        <f t="shared" si="4"/>
        <v>0</v>
      </c>
      <c r="T194" s="49">
        <f t="shared" si="21"/>
        <v>0.1638053337</v>
      </c>
      <c r="U194" s="50" t="str">
        <f t="shared" si="6"/>
        <v>AOP</v>
      </c>
      <c r="V194" s="51">
        <f t="shared" si="28"/>
        <v>1478.834553</v>
      </c>
      <c r="W194" s="52">
        <f t="shared" si="8"/>
        <v>1478.834553</v>
      </c>
      <c r="X194" s="9">
        <f t="shared" si="25"/>
        <v>9028</v>
      </c>
      <c r="Y194" s="8"/>
      <c r="Z194" s="8"/>
      <c r="AA194" s="8"/>
      <c r="AB194" s="8" t="str">
        <f t="shared" si="10"/>
        <v>AKRH40871MP20X</v>
      </c>
      <c r="AC194" s="8" t="str">
        <f>IF(AB194='Input - Bookings'!S191,"OK","Check")</f>
        <v>Check</v>
      </c>
      <c r="AD194" s="53"/>
      <c r="AE194" s="54">
        <v>0.0</v>
      </c>
      <c r="AF194" s="54">
        <v>0.0</v>
      </c>
      <c r="AG194" s="55"/>
      <c r="AH194" s="55">
        <v>6875.73</v>
      </c>
      <c r="AI194" s="8" t="str">
        <f t="array" ref="AI194">XLOOKUP($J194,'AP Plants'!D:D,'AP Plants'!B:B)</f>
        <v>Class 3</v>
      </c>
      <c r="AJ194" s="56"/>
      <c r="AK194" s="56">
        <f>(AH194*(1+VLOOKUP(M194,'Currency &amp; Conversion'!$F$13:$G$19,2,0))*'Currency &amp; Conversion'!$L$3)</f>
        <v>7329.286842</v>
      </c>
      <c r="AL194" s="49">
        <v>0.015</v>
      </c>
      <c r="AM194" s="49">
        <f t="array" ref="AM194">XLOOKUP($AI194,Warranty!B:B,Warranty!E:E)</f>
        <v>0.015</v>
      </c>
      <c r="AN194" s="8">
        <f>IF($L194="AUD",VLOOKUP(RIGHT('Wk - Margins'!$J194,3),'AU Freight'!C:G,5,0),0)</f>
        <v>0</v>
      </c>
      <c r="AO194" s="49">
        <f t="shared" si="11"/>
        <v>0</v>
      </c>
      <c r="AP194" s="63">
        <f t="shared" si="12"/>
        <v>7549.165447</v>
      </c>
      <c r="AQ194" s="64">
        <f t="shared" si="13"/>
        <v>0.1638053337</v>
      </c>
      <c r="AR194" s="59">
        <f>IF(L194="AUD",O194*'Currency &amp; Conversion'!$L$7,'Wk - Margins'!O194)</f>
        <v>12620</v>
      </c>
      <c r="AS194" s="59">
        <f>IF(L194="AUD",P194*'Currency &amp; Conversion'!$L$7,'Wk - Margins'!P194)</f>
        <v>9028</v>
      </c>
    </row>
    <row r="195" ht="12.75" customHeight="1">
      <c r="A195" s="42" t="str">
        <f>'Input - Bookings'!A195</f>
        <v>29/06/2023</v>
      </c>
      <c r="B195" s="43" t="str">
        <f t="shared" si="1"/>
        <v>Asia</v>
      </c>
      <c r="C195" s="43" t="str">
        <f t="shared" si="2"/>
        <v>AKR</v>
      </c>
      <c r="D195" s="43" t="str">
        <f>'Input - Bookings'!D195</f>
        <v>A</v>
      </c>
      <c r="E195" s="43" t="str">
        <f>'Input - Bookings'!J195</f>
        <v>KR</v>
      </c>
      <c r="F195" s="44" t="str">
        <f>'Input - Bookings'!F195</f>
        <v>067</v>
      </c>
      <c r="G195" s="44" t="str">
        <f>'Input - Bookings'!I195</f>
        <v>YALE EQUIPMENT, INC</v>
      </c>
      <c r="H195" s="44" t="str">
        <f>'Input - Bookings'!K195</f>
        <v>H40872</v>
      </c>
      <c r="I195" s="45" t="str">
        <f>VLOOKUP(H195,'Input - Bookings'!$G$2:$H$611,2,0)</f>
        <v>816405</v>
      </c>
      <c r="J195" s="44" t="str">
        <f>'Input - Bookings'!N195</f>
        <v>E843</v>
      </c>
      <c r="K195" s="44" t="str">
        <f>'Input - Bookings'!O195</f>
        <v>MP20X</v>
      </c>
      <c r="L195" s="44" t="str">
        <f>'Input - Bookings'!C195</f>
        <v>USD</v>
      </c>
      <c r="M195" s="46" t="str">
        <f t="array" ref="M195">IF(L195="USD",INDEX('AP Plants'!A:A,MATCH(J195,'AP Plants'!D:D,0)),INDEX('Australia Plants'!A:A,MATCH(J195,'Australia Plants'!D:D,0)))</f>
        <v>Masate</v>
      </c>
      <c r="N195" s="10">
        <v>1.0</v>
      </c>
      <c r="O195" s="9">
        <v>12620.0</v>
      </c>
      <c r="P195" s="9">
        <v>9028.0</v>
      </c>
      <c r="Q195" s="47">
        <f t="shared" si="31"/>
        <v>0.1638053337</v>
      </c>
      <c r="R195" s="48">
        <f t="shared" si="3"/>
        <v>0.2846275753</v>
      </c>
      <c r="S195" s="49">
        <f t="shared" si="4"/>
        <v>0</v>
      </c>
      <c r="T195" s="49">
        <f t="shared" si="21"/>
        <v>0.1638053337</v>
      </c>
      <c r="U195" s="50" t="str">
        <f t="shared" si="6"/>
        <v>AOP</v>
      </c>
      <c r="V195" s="51">
        <f t="shared" si="28"/>
        <v>1478.834553</v>
      </c>
      <c r="W195" s="52">
        <f t="shared" si="8"/>
        <v>1478.834553</v>
      </c>
      <c r="X195" s="9">
        <f t="shared" si="25"/>
        <v>9028</v>
      </c>
      <c r="Y195" s="8"/>
      <c r="Z195" s="8"/>
      <c r="AA195" s="8"/>
      <c r="AB195" s="8" t="str">
        <f t="shared" si="10"/>
        <v>AKRH40872MP20X</v>
      </c>
      <c r="AC195" s="8" t="str">
        <f>IF(AB195='Input - Bookings'!S192,"OK","Check")</f>
        <v>Check</v>
      </c>
      <c r="AD195" s="53"/>
      <c r="AE195" s="54">
        <v>0.0</v>
      </c>
      <c r="AF195" s="54">
        <v>0.0</v>
      </c>
      <c r="AG195" s="55"/>
      <c r="AH195" s="55">
        <v>6875.73</v>
      </c>
      <c r="AI195" s="8" t="str">
        <f t="array" ref="AI195">XLOOKUP($J195,'AP Plants'!D:D,'AP Plants'!B:B)</f>
        <v>Class 3</v>
      </c>
      <c r="AJ195" s="56"/>
      <c r="AK195" s="56">
        <f>(AH195*(1+VLOOKUP(M195,'Currency &amp; Conversion'!$F$13:$G$19,2,0))*'Currency &amp; Conversion'!$L$3)</f>
        <v>7329.286842</v>
      </c>
      <c r="AL195" s="49">
        <v>0.015</v>
      </c>
      <c r="AM195" s="49">
        <f t="array" ref="AM195">XLOOKUP($AI195,Warranty!B:B,Warranty!E:E)</f>
        <v>0.015</v>
      </c>
      <c r="AN195" s="8">
        <f>IF($L195="AUD",VLOOKUP(RIGHT('Wk - Margins'!$J195,3),'AU Freight'!C:G,5,0),0)</f>
        <v>0</v>
      </c>
      <c r="AO195" s="49">
        <f t="shared" si="11"/>
        <v>0</v>
      </c>
      <c r="AP195" s="63">
        <f t="shared" si="12"/>
        <v>7549.165447</v>
      </c>
      <c r="AQ195" s="64">
        <f t="shared" si="13"/>
        <v>0.1638053337</v>
      </c>
      <c r="AR195" s="59">
        <f>IF(L195="AUD",O195*'Currency &amp; Conversion'!$L$7,'Wk - Margins'!O195)</f>
        <v>12620</v>
      </c>
      <c r="AS195" s="59">
        <f>IF(L195="AUD",P195*'Currency &amp; Conversion'!$L$7,'Wk - Margins'!P195)</f>
        <v>9028</v>
      </c>
    </row>
    <row r="196" ht="12.75" customHeight="1">
      <c r="A196" s="42" t="str">
        <f>'Input - Bookings'!A196</f>
        <v>29/06/2023</v>
      </c>
      <c r="B196" s="43" t="str">
        <f t="shared" si="1"/>
        <v>Asia</v>
      </c>
      <c r="C196" s="43" t="str">
        <f t="shared" si="2"/>
        <v>AKR</v>
      </c>
      <c r="D196" s="43" t="str">
        <f>'Input - Bookings'!D196</f>
        <v>A</v>
      </c>
      <c r="E196" s="43" t="str">
        <f>'Input - Bookings'!J196</f>
        <v>KR</v>
      </c>
      <c r="F196" s="44" t="str">
        <f>'Input - Bookings'!F196</f>
        <v>067</v>
      </c>
      <c r="G196" s="44" t="str">
        <f>'Input - Bookings'!I196</f>
        <v>YALE EQUIPMENT, INC</v>
      </c>
      <c r="H196" s="44" t="str">
        <f>'Input - Bookings'!K196</f>
        <v>H40874</v>
      </c>
      <c r="I196" s="45" t="str">
        <f>VLOOKUP(H196,'Input - Bookings'!$G$2:$H$611,2,0)</f>
        <v>816405</v>
      </c>
      <c r="J196" s="44" t="str">
        <f>'Input - Bookings'!N196</f>
        <v>E843</v>
      </c>
      <c r="K196" s="44" t="str">
        <f>'Input - Bookings'!O196</f>
        <v>MP20X</v>
      </c>
      <c r="L196" s="44" t="str">
        <f>'Input - Bookings'!C196</f>
        <v>USD</v>
      </c>
      <c r="M196" s="46" t="str">
        <f t="array" ref="M196">IF(L196="USD",INDEX('AP Plants'!A:A,MATCH(J196,'AP Plants'!D:D,0)),INDEX('Australia Plants'!A:A,MATCH(J196,'Australia Plants'!D:D,0)))</f>
        <v>Masate</v>
      </c>
      <c r="N196" s="10">
        <v>1.0</v>
      </c>
      <c r="O196" s="9">
        <v>12620.0</v>
      </c>
      <c r="P196" s="9">
        <v>9028.0</v>
      </c>
      <c r="Q196" s="47">
        <f t="shared" si="31"/>
        <v>0.1638053337</v>
      </c>
      <c r="R196" s="48">
        <f t="shared" si="3"/>
        <v>0.2846275753</v>
      </c>
      <c r="S196" s="49">
        <f t="shared" si="4"/>
        <v>0</v>
      </c>
      <c r="T196" s="49">
        <f t="shared" si="21"/>
        <v>0.1638053337</v>
      </c>
      <c r="U196" s="50" t="str">
        <f t="shared" si="6"/>
        <v>AOP</v>
      </c>
      <c r="V196" s="51">
        <f t="shared" si="28"/>
        <v>1478.834553</v>
      </c>
      <c r="W196" s="52">
        <f t="shared" si="8"/>
        <v>1478.834553</v>
      </c>
      <c r="X196" s="9">
        <f t="shared" si="25"/>
        <v>9028</v>
      </c>
      <c r="Y196" s="8"/>
      <c r="Z196" s="8"/>
      <c r="AA196" s="8"/>
      <c r="AB196" s="8" t="str">
        <f t="shared" si="10"/>
        <v>AKRH40874MP20X</v>
      </c>
      <c r="AC196" s="8" t="str">
        <f>IF(AB196='Input - Bookings'!S193,"OK","Check")</f>
        <v>Check</v>
      </c>
      <c r="AD196" s="53"/>
      <c r="AE196" s="54">
        <v>0.0</v>
      </c>
      <c r="AF196" s="54">
        <v>0.0</v>
      </c>
      <c r="AG196" s="55"/>
      <c r="AH196" s="55">
        <v>6875.73</v>
      </c>
      <c r="AI196" s="8" t="str">
        <f t="array" ref="AI196">XLOOKUP($J196,'AP Plants'!D:D,'AP Plants'!B:B)</f>
        <v>Class 3</v>
      </c>
      <c r="AJ196" s="56"/>
      <c r="AK196" s="56">
        <f>(AH196*(1+VLOOKUP(M196,'Currency &amp; Conversion'!$F$13:$G$19,2,0))*'Currency &amp; Conversion'!$L$3)</f>
        <v>7329.286842</v>
      </c>
      <c r="AL196" s="49">
        <v>0.015</v>
      </c>
      <c r="AM196" s="49">
        <f t="array" ref="AM196">XLOOKUP($AI196,Warranty!B:B,Warranty!E:E)</f>
        <v>0.015</v>
      </c>
      <c r="AN196" s="8">
        <f>IF($L196="AUD",VLOOKUP(RIGHT('Wk - Margins'!$J196,3),'AU Freight'!C:G,5,0),0)</f>
        <v>0</v>
      </c>
      <c r="AO196" s="49">
        <f t="shared" si="11"/>
        <v>0</v>
      </c>
      <c r="AP196" s="63">
        <f t="shared" si="12"/>
        <v>7549.165447</v>
      </c>
      <c r="AQ196" s="64">
        <f t="shared" si="13"/>
        <v>0.1638053337</v>
      </c>
      <c r="AR196" s="59">
        <f>IF(L196="AUD",O196*'Currency &amp; Conversion'!$L$7,'Wk - Margins'!O196)</f>
        <v>12620</v>
      </c>
      <c r="AS196" s="59">
        <f>IF(L196="AUD",P196*'Currency &amp; Conversion'!$L$7,'Wk - Margins'!P196)</f>
        <v>9028</v>
      </c>
    </row>
    <row r="197" ht="12.75" customHeight="1">
      <c r="A197" s="42" t="str">
        <f>'Input - Bookings'!A197</f>
        <v>29/06/2023</v>
      </c>
      <c r="B197" s="43" t="str">
        <f t="shared" si="1"/>
        <v>Asia</v>
      </c>
      <c r="C197" s="43" t="str">
        <f t="shared" si="2"/>
        <v>AKR</v>
      </c>
      <c r="D197" s="43" t="str">
        <f>'Input - Bookings'!D197</f>
        <v>A</v>
      </c>
      <c r="E197" s="43" t="str">
        <f>'Input - Bookings'!J197</f>
        <v>KR</v>
      </c>
      <c r="F197" s="44" t="str">
        <f>'Input - Bookings'!F197</f>
        <v>067</v>
      </c>
      <c r="G197" s="44" t="str">
        <f>'Input - Bookings'!I197</f>
        <v>YALE EQUIPMENT, INC</v>
      </c>
      <c r="H197" s="44" t="str">
        <f>'Input - Bookings'!K197</f>
        <v>H40875</v>
      </c>
      <c r="I197" s="45" t="str">
        <f>VLOOKUP(H197,'Input - Bookings'!$G$2:$H$611,2,0)</f>
        <v>816405</v>
      </c>
      <c r="J197" s="44" t="str">
        <f>'Input - Bookings'!N197</f>
        <v>E843</v>
      </c>
      <c r="K197" s="44" t="str">
        <f>'Input - Bookings'!O197</f>
        <v>MP20X</v>
      </c>
      <c r="L197" s="44" t="str">
        <f>'Input - Bookings'!C197</f>
        <v>USD</v>
      </c>
      <c r="M197" s="46" t="str">
        <f t="array" ref="M197">IF(L197="USD",INDEX('AP Plants'!A:A,MATCH(J197,'AP Plants'!D:D,0)),INDEX('Australia Plants'!A:A,MATCH(J197,'Australia Plants'!D:D,0)))</f>
        <v>Masate</v>
      </c>
      <c r="N197" s="10">
        <v>1.0</v>
      </c>
      <c r="O197" s="9">
        <v>12620.0</v>
      </c>
      <c r="P197" s="9">
        <v>9028.0</v>
      </c>
      <c r="Q197" s="47">
        <f t="shared" si="31"/>
        <v>0.1638053337</v>
      </c>
      <c r="R197" s="48">
        <f t="shared" si="3"/>
        <v>0.2846275753</v>
      </c>
      <c r="S197" s="49">
        <f t="shared" si="4"/>
        <v>0</v>
      </c>
      <c r="T197" s="49">
        <f t="shared" si="21"/>
        <v>0.1638053337</v>
      </c>
      <c r="U197" s="50" t="str">
        <f t="shared" si="6"/>
        <v>AOP</v>
      </c>
      <c r="V197" s="51">
        <f t="shared" si="28"/>
        <v>1478.834553</v>
      </c>
      <c r="W197" s="52">
        <f t="shared" si="8"/>
        <v>1478.834553</v>
      </c>
      <c r="X197" s="9">
        <f t="shared" si="25"/>
        <v>9028</v>
      </c>
      <c r="Y197" s="8"/>
      <c r="Z197" s="8"/>
      <c r="AA197" s="8"/>
      <c r="AB197" s="8" t="str">
        <f t="shared" si="10"/>
        <v>AKRH40875MP20X</v>
      </c>
      <c r="AC197" s="8" t="str">
        <f>IF(AB197='Input - Bookings'!S194,"OK","Check")</f>
        <v>Check</v>
      </c>
      <c r="AD197" s="53"/>
      <c r="AE197" s="54">
        <v>0.0</v>
      </c>
      <c r="AF197" s="54">
        <v>0.0</v>
      </c>
      <c r="AG197" s="55"/>
      <c r="AH197" s="55">
        <v>6875.73</v>
      </c>
      <c r="AI197" s="8" t="str">
        <f t="array" ref="AI197">XLOOKUP($J197,'AP Plants'!D:D,'AP Plants'!B:B)</f>
        <v>Class 3</v>
      </c>
      <c r="AJ197" s="56"/>
      <c r="AK197" s="56">
        <f>(AH197*(1+VLOOKUP(M197,'Currency &amp; Conversion'!$F$13:$G$19,2,0))*'Currency &amp; Conversion'!$L$3)</f>
        <v>7329.286842</v>
      </c>
      <c r="AL197" s="49">
        <v>0.015</v>
      </c>
      <c r="AM197" s="49">
        <f t="array" ref="AM197">XLOOKUP($AI197,Warranty!B:B,Warranty!E:E)</f>
        <v>0.015</v>
      </c>
      <c r="AN197" s="8">
        <f>IF($L197="AUD",VLOOKUP(RIGHT('Wk - Margins'!$J197,3),'AU Freight'!C:G,5,0),0)</f>
        <v>0</v>
      </c>
      <c r="AO197" s="49">
        <f t="shared" si="11"/>
        <v>0</v>
      </c>
      <c r="AP197" s="63">
        <f t="shared" si="12"/>
        <v>7549.165447</v>
      </c>
      <c r="AQ197" s="64">
        <f t="shared" si="13"/>
        <v>0.1638053337</v>
      </c>
      <c r="AR197" s="59">
        <f>IF(L197="AUD",O197*'Currency &amp; Conversion'!$L$7,'Wk - Margins'!O197)</f>
        <v>12620</v>
      </c>
      <c r="AS197" s="59">
        <f>IF(L197="AUD",P197*'Currency &amp; Conversion'!$L$7,'Wk - Margins'!P197)</f>
        <v>9028</v>
      </c>
    </row>
    <row r="198" ht="12.75" customHeight="1">
      <c r="A198" s="42" t="str">
        <f>'Input - Bookings'!A198</f>
        <v>29/06/2023</v>
      </c>
      <c r="B198" s="43" t="str">
        <f t="shared" si="1"/>
        <v>Asia</v>
      </c>
      <c r="C198" s="43" t="str">
        <f t="shared" si="2"/>
        <v>AKR</v>
      </c>
      <c r="D198" s="43" t="str">
        <f>'Input - Bookings'!D198</f>
        <v>A</v>
      </c>
      <c r="E198" s="43" t="str">
        <f>'Input - Bookings'!J198</f>
        <v>KR</v>
      </c>
      <c r="F198" s="44" t="str">
        <f>'Input - Bookings'!F198</f>
        <v>067</v>
      </c>
      <c r="G198" s="44" t="str">
        <f>'Input - Bookings'!I198</f>
        <v>YALE EQUIPMENT, INC</v>
      </c>
      <c r="H198" s="44" t="str">
        <f>'Input - Bookings'!K198</f>
        <v>H40876</v>
      </c>
      <c r="I198" s="45" t="str">
        <f>VLOOKUP(H198,'Input - Bookings'!$G$2:$H$611,2,0)</f>
        <v>816405</v>
      </c>
      <c r="J198" s="44" t="str">
        <f>'Input - Bookings'!N198</f>
        <v>D819</v>
      </c>
      <c r="K198" s="44" t="str">
        <f>'Input - Bookings'!O198</f>
        <v>MCW025-E</v>
      </c>
      <c r="L198" s="44" t="str">
        <f>'Input - Bookings'!C198</f>
        <v>USD</v>
      </c>
      <c r="M198" s="46" t="str">
        <f t="array" ref="M198">IF(L198="USD",INDEX('AP Plants'!A:A,MATCH(J198,'AP Plants'!D:D,0)),INDEX('Australia Plants'!A:A,MATCH(J198,'Australia Plants'!D:D,0)))</f>
        <v>Greenville</v>
      </c>
      <c r="N198" s="10">
        <v>1.0</v>
      </c>
      <c r="O198" s="9">
        <v>22455.0</v>
      </c>
      <c r="P198" s="9">
        <v>15842.0</v>
      </c>
      <c r="Q198" s="47">
        <f t="shared" si="31"/>
        <v>0.07011594205</v>
      </c>
      <c r="R198" s="48">
        <f t="shared" si="3"/>
        <v>0.2945001113</v>
      </c>
      <c r="S198" s="49">
        <f t="shared" si="4"/>
        <v>0</v>
      </c>
      <c r="T198" s="49">
        <f t="shared" si="21"/>
        <v>0.07011594205</v>
      </c>
      <c r="U198" s="50" t="str">
        <f t="shared" si="6"/>
        <v>AOP</v>
      </c>
      <c r="V198" s="51">
        <f t="shared" si="28"/>
        <v>1110.776754</v>
      </c>
      <c r="W198" s="52">
        <f t="shared" si="8"/>
        <v>1110.776754</v>
      </c>
      <c r="X198" s="9">
        <f t="shared" si="25"/>
        <v>15842</v>
      </c>
      <c r="Y198" s="8"/>
      <c r="Z198" s="8"/>
      <c r="AA198" s="8"/>
      <c r="AB198" s="8" t="str">
        <f t="shared" si="10"/>
        <v>AKRH40876MCW025-E</v>
      </c>
      <c r="AC198" s="8" t="str">
        <f>IF(AB198='Input - Bookings'!S195,"OK","Check")</f>
        <v>Check</v>
      </c>
      <c r="AD198" s="53"/>
      <c r="AE198" s="54">
        <v>0.0</v>
      </c>
      <c r="AF198" s="54">
        <v>0.0</v>
      </c>
      <c r="AG198" s="55">
        <v>14289.298123</v>
      </c>
      <c r="AH198" s="62"/>
      <c r="AI198" s="8" t="str">
        <f t="array" ref="AI198">XLOOKUP($J198,'AP Plants'!D:D,'AP Plants'!B:B)</f>
        <v>Class 3</v>
      </c>
      <c r="AJ198" s="56"/>
      <c r="AK198" s="56">
        <f>(AG198*(1+VLOOKUP(M198,'Currency &amp; Conversion'!$F$13:$G$19,2,0))+((AE198+AF198)*90%))</f>
        <v>14302.15849</v>
      </c>
      <c r="AL198" s="49">
        <v>0.015</v>
      </c>
      <c r="AM198" s="49">
        <f t="array" ref="AM198">XLOOKUP($AI198,Warranty!B:B,Warranty!E:E)</f>
        <v>0.015</v>
      </c>
      <c r="AN198" s="8">
        <f>IF($L198="AUD",VLOOKUP(RIGHT('Wk - Margins'!$J198,3),'AU Freight'!C:G,5,0),0)</f>
        <v>0</v>
      </c>
      <c r="AO198" s="49">
        <f t="shared" si="11"/>
        <v>0</v>
      </c>
      <c r="AP198" s="63">
        <f t="shared" si="12"/>
        <v>14731.22325</v>
      </c>
      <c r="AQ198" s="64">
        <f t="shared" si="13"/>
        <v>0.07011594205</v>
      </c>
      <c r="AR198" s="59">
        <f>IF(L198="AUD",O198*'Currency &amp; Conversion'!$L$7,'Wk - Margins'!O198)</f>
        <v>22455</v>
      </c>
      <c r="AS198" s="59">
        <f>IF(L198="AUD",P198*'Currency &amp; Conversion'!$L$7,'Wk - Margins'!P198)</f>
        <v>15842</v>
      </c>
    </row>
    <row r="199" ht="12.75" customHeight="1">
      <c r="A199" s="42" t="str">
        <f>'Input - Bookings'!A199</f>
        <v>29/06/2023</v>
      </c>
      <c r="B199" s="43" t="str">
        <f t="shared" si="1"/>
        <v>Asia</v>
      </c>
      <c r="C199" s="43" t="str">
        <f t="shared" si="2"/>
        <v>AKR</v>
      </c>
      <c r="D199" s="43" t="str">
        <f>'Input - Bookings'!D199</f>
        <v>A</v>
      </c>
      <c r="E199" s="43" t="str">
        <f>'Input - Bookings'!J199</f>
        <v>KR</v>
      </c>
      <c r="F199" s="44" t="str">
        <f>'Input - Bookings'!F199</f>
        <v>067</v>
      </c>
      <c r="G199" s="44" t="str">
        <f>'Input - Bookings'!I199</f>
        <v>YALE EQUIPMENT, INC</v>
      </c>
      <c r="H199" s="44" t="str">
        <f>'Input - Bookings'!K199</f>
        <v>H40877</v>
      </c>
      <c r="I199" s="45" t="str">
        <f>VLOOKUP(H199,'Input - Bookings'!$G$2:$H$611,2,0)</f>
        <v>816405</v>
      </c>
      <c r="J199" s="44" t="str">
        <f>'Input - Bookings'!N199</f>
        <v>D819</v>
      </c>
      <c r="K199" s="44" t="str">
        <f>'Input - Bookings'!O199</f>
        <v>MCW025-E</v>
      </c>
      <c r="L199" s="44" t="str">
        <f>'Input - Bookings'!C199</f>
        <v>USD</v>
      </c>
      <c r="M199" s="46" t="str">
        <f t="array" ref="M199">IF(L199="USD",INDEX('AP Plants'!A:A,MATCH(J199,'AP Plants'!D:D,0)),INDEX('Australia Plants'!A:A,MATCH(J199,'Australia Plants'!D:D,0)))</f>
        <v>Greenville</v>
      </c>
      <c r="N199" s="10">
        <v>1.0</v>
      </c>
      <c r="O199" s="9">
        <v>22455.0</v>
      </c>
      <c r="P199" s="9">
        <v>15842.0</v>
      </c>
      <c r="Q199" s="47">
        <f t="shared" si="31"/>
        <v>0.07011594205</v>
      </c>
      <c r="R199" s="48">
        <f t="shared" si="3"/>
        <v>0.2945001113</v>
      </c>
      <c r="S199" s="49">
        <f t="shared" si="4"/>
        <v>0</v>
      </c>
      <c r="T199" s="49">
        <f t="shared" si="21"/>
        <v>0.07011594205</v>
      </c>
      <c r="U199" s="50" t="str">
        <f t="shared" si="6"/>
        <v>AOP</v>
      </c>
      <c r="V199" s="51">
        <f t="shared" si="28"/>
        <v>1110.776754</v>
      </c>
      <c r="W199" s="52">
        <f t="shared" si="8"/>
        <v>1110.776754</v>
      </c>
      <c r="X199" s="9">
        <f t="shared" si="25"/>
        <v>15842</v>
      </c>
      <c r="Y199" s="8"/>
      <c r="Z199" s="8"/>
      <c r="AA199" s="8"/>
      <c r="AB199" s="8" t="str">
        <f t="shared" si="10"/>
        <v>AKRH40877MCW025-E</v>
      </c>
      <c r="AC199" s="8" t="str">
        <f>IF(AB199='Input - Bookings'!S196,"OK","Check")</f>
        <v>Check</v>
      </c>
      <c r="AD199" s="53"/>
      <c r="AE199" s="54">
        <v>0.0</v>
      </c>
      <c r="AF199" s="54">
        <v>0.0</v>
      </c>
      <c r="AG199" s="55">
        <v>14289.298123</v>
      </c>
      <c r="AH199" s="55"/>
      <c r="AI199" s="8" t="str">
        <f t="array" ref="AI199">XLOOKUP($J199,'AP Plants'!D:D,'AP Plants'!B:B)</f>
        <v>Class 3</v>
      </c>
      <c r="AJ199" s="56"/>
      <c r="AK199" s="56">
        <f>(AG199*(1+VLOOKUP(M199,'Currency &amp; Conversion'!$F$13:$G$19,2,0))+((AE199+AF199)*90%))</f>
        <v>14302.15849</v>
      </c>
      <c r="AL199" s="49">
        <v>0.015</v>
      </c>
      <c r="AM199" s="49">
        <f t="array" ref="AM199">XLOOKUP($AI199,Warranty!B:B,Warranty!E:E)</f>
        <v>0.015</v>
      </c>
      <c r="AN199" s="8">
        <f>IF($L199="AUD",VLOOKUP(RIGHT('Wk - Margins'!$J199,3),'AU Freight'!C:G,5,0),0)</f>
        <v>0</v>
      </c>
      <c r="AO199" s="49">
        <f t="shared" si="11"/>
        <v>0</v>
      </c>
      <c r="AP199" s="63">
        <f t="shared" si="12"/>
        <v>14731.22325</v>
      </c>
      <c r="AQ199" s="64">
        <f t="shared" si="13"/>
        <v>0.07011594205</v>
      </c>
      <c r="AR199" s="59">
        <f>IF(L199="AUD",O199*'Currency &amp; Conversion'!$L$7,'Wk - Margins'!O199)</f>
        <v>22455</v>
      </c>
      <c r="AS199" s="59">
        <f>IF(L199="AUD",P199*'Currency &amp; Conversion'!$L$7,'Wk - Margins'!P199)</f>
        <v>15842</v>
      </c>
    </row>
    <row r="200" ht="12.75" hidden="1" customHeight="1">
      <c r="A200" s="42" t="str">
        <f>'Input - Bookings'!A200</f>
        <v>29/06/2023</v>
      </c>
      <c r="B200" s="43" t="str">
        <f t="shared" si="1"/>
        <v>India</v>
      </c>
      <c r="C200" s="43" t="str">
        <f t="shared" si="2"/>
        <v>AIN</v>
      </c>
      <c r="D200" s="43" t="str">
        <f>'Input - Bookings'!D200</f>
        <v>A</v>
      </c>
      <c r="E200" s="43" t="str">
        <f>'Input - Bookings'!J200</f>
        <v>IN</v>
      </c>
      <c r="F200" s="44" t="str">
        <f>'Input - Bookings'!F200</f>
        <v>067</v>
      </c>
      <c r="G200" s="44" t="str">
        <f>'Input - Bookings'!I200</f>
        <v>ELECTROMECH LIFT TRUCKS</v>
      </c>
      <c r="H200" s="45" t="str">
        <f>'Input - Bookings'!K200</f>
        <v>H40819</v>
      </c>
      <c r="I200" s="45" t="str">
        <f>VLOOKUP(H200,'Input - Bookings'!$G$2:$H$611,2,0)</f>
        <v>880805</v>
      </c>
      <c r="J200" s="44" t="str">
        <f>'Input - Bookings'!N200</f>
        <v>A3D4</v>
      </c>
      <c r="K200" s="44" t="str">
        <f>'Input - Bookings'!O200</f>
        <v>MPC15</v>
      </c>
      <c r="L200" s="44" t="str">
        <f>'Input - Bookings'!C200</f>
        <v>USD</v>
      </c>
      <c r="M200" s="46" t="str">
        <f t="array" ref="M200">IF(L200="USD",INDEX('AP Plants'!A:A,MATCH(J200,'AP Plants'!D:D,0)),INDEX('Australia Plants'!A:A,MATCH(J200,'Australia Plants'!D:D,0)))</f>
        <v>Staxx</v>
      </c>
      <c r="N200" s="10">
        <v>1.0</v>
      </c>
      <c r="O200" s="9">
        <v>1710.0</v>
      </c>
      <c r="P200" s="9">
        <v>1210.5</v>
      </c>
      <c r="Q200" s="47">
        <v>0.3355688430233025</v>
      </c>
      <c r="R200" s="48">
        <f t="shared" si="3"/>
        <v>0.2921052632</v>
      </c>
      <c r="S200" s="49">
        <f t="shared" si="4"/>
        <v>0</v>
      </c>
      <c r="T200" s="49">
        <f t="shared" si="21"/>
        <v>0.335568843</v>
      </c>
      <c r="U200" s="50" t="str">
        <f t="shared" si="6"/>
        <v>AOP</v>
      </c>
      <c r="V200" s="51">
        <f t="shared" si="28"/>
        <v>406.2060845</v>
      </c>
      <c r="W200" s="52">
        <f t="shared" si="8"/>
        <v>406.2060845</v>
      </c>
      <c r="X200" s="9">
        <f t="shared" si="25"/>
        <v>1210.5</v>
      </c>
      <c r="Y200" s="8"/>
      <c r="Z200" s="8"/>
      <c r="AA200" s="8"/>
      <c r="AB200" s="8" t="str">
        <f t="shared" si="10"/>
        <v>AINH40819MPC15</v>
      </c>
      <c r="AC200" s="8" t="str">
        <f>IF(AB200='Input - Bookings'!S197,"OK","Check")</f>
        <v>Check</v>
      </c>
      <c r="AD200" s="60"/>
      <c r="AE200" s="54"/>
      <c r="AF200" s="54"/>
      <c r="AG200" s="55">
        <f t="shared" ref="AG200:AG219" si="32">770.867879145915+10</f>
        <v>780.8678791</v>
      </c>
      <c r="AH200" s="55"/>
      <c r="AI200" s="8" t="str">
        <f t="array" ref="AI200">XLOOKUP($J200,'AP Plants'!D:D,'AP Plants'!B:B)</f>
        <v>Class 3</v>
      </c>
      <c r="AJ200" s="56"/>
      <c r="AK200" s="56">
        <f t="shared" ref="AK200:AK219" si="33">AG200</f>
        <v>780.8678791</v>
      </c>
      <c r="AL200" s="49">
        <v>0.015</v>
      </c>
      <c r="AM200" s="49">
        <f t="array" ref="AM200">XLOOKUP($AI200,Warranty!B:B,Warranty!E:E)</f>
        <v>0.015</v>
      </c>
      <c r="AN200" s="8">
        <f>IF($L200="AUD",VLOOKUP(RIGHT('Wk - Margins'!$J200,3),'AU Freight'!C:G,5,0),0)</f>
        <v>0</v>
      </c>
      <c r="AO200" s="49">
        <f t="shared" si="11"/>
        <v>0</v>
      </c>
      <c r="AP200" s="63">
        <f t="shared" si="12"/>
        <v>804.2939155</v>
      </c>
      <c r="AQ200" s="58">
        <f t="shared" si="13"/>
        <v>0.335568843</v>
      </c>
      <c r="AR200" s="59">
        <f>IF(L200="AUD",O200*'Currency &amp; Conversion'!$L$7,'Wk - Margins'!O200)</f>
        <v>1710</v>
      </c>
      <c r="AS200" s="59">
        <f>IF(L200="AUD",P200*'Currency &amp; Conversion'!$L$7,'Wk - Margins'!P200)</f>
        <v>1210.5</v>
      </c>
    </row>
    <row r="201" ht="12.75" hidden="1" customHeight="1">
      <c r="A201" s="42" t="str">
        <f>'Input - Bookings'!A201</f>
        <v>29/06/2023</v>
      </c>
      <c r="B201" s="43" t="str">
        <f t="shared" si="1"/>
        <v>India</v>
      </c>
      <c r="C201" s="43" t="str">
        <f t="shared" si="2"/>
        <v>AIN</v>
      </c>
      <c r="D201" s="43" t="str">
        <f>'Input - Bookings'!D201</f>
        <v>A</v>
      </c>
      <c r="E201" s="43" t="str">
        <f>'Input - Bookings'!J201</f>
        <v>IN</v>
      </c>
      <c r="F201" s="44" t="str">
        <f>'Input - Bookings'!F201</f>
        <v>067</v>
      </c>
      <c r="G201" s="44" t="str">
        <f>'Input - Bookings'!I201</f>
        <v>ELECTROMECH LIFT TRUCKS</v>
      </c>
      <c r="H201" s="45" t="str">
        <f>'Input - Bookings'!K201</f>
        <v>H40821</v>
      </c>
      <c r="I201" s="45" t="str">
        <f>VLOOKUP(H201,'Input - Bookings'!$G$2:$H$611,2,0)</f>
        <v>880805</v>
      </c>
      <c r="J201" s="44" t="str">
        <f>'Input - Bookings'!N201</f>
        <v>A3D4</v>
      </c>
      <c r="K201" s="44" t="str">
        <f>'Input - Bookings'!O201</f>
        <v>MPC15</v>
      </c>
      <c r="L201" s="44" t="str">
        <f>'Input - Bookings'!C201</f>
        <v>USD</v>
      </c>
      <c r="M201" s="46" t="str">
        <f t="array" ref="M201">IF(L201="USD",INDEX('AP Plants'!A:A,MATCH(J201,'AP Plants'!D:D,0)),INDEX('Australia Plants'!A:A,MATCH(J201,'Australia Plants'!D:D,0)))</f>
        <v>Staxx</v>
      </c>
      <c r="N201" s="10">
        <v>1.0</v>
      </c>
      <c r="O201" s="9">
        <v>1710.0</v>
      </c>
      <c r="P201" s="9">
        <v>1210.5</v>
      </c>
      <c r="Q201" s="47">
        <v>0.3355688430233025</v>
      </c>
      <c r="R201" s="48">
        <f t="shared" si="3"/>
        <v>0.2921052632</v>
      </c>
      <c r="S201" s="49">
        <f t="shared" si="4"/>
        <v>0</v>
      </c>
      <c r="T201" s="49">
        <f t="shared" si="21"/>
        <v>0.335568843</v>
      </c>
      <c r="U201" s="50" t="str">
        <f t="shared" si="6"/>
        <v>AOP</v>
      </c>
      <c r="V201" s="51">
        <f t="shared" si="28"/>
        <v>406.2060845</v>
      </c>
      <c r="W201" s="52">
        <f t="shared" si="8"/>
        <v>406.2060845</v>
      </c>
      <c r="X201" s="9">
        <f t="shared" si="25"/>
        <v>1210.5</v>
      </c>
      <c r="Y201" s="8"/>
      <c r="Z201" s="8"/>
      <c r="AA201" s="8"/>
      <c r="AB201" s="8" t="str">
        <f t="shared" si="10"/>
        <v>AINH40821MPC15</v>
      </c>
      <c r="AC201" s="8" t="str">
        <f>IF(AB201='Input - Bookings'!S198,"OK","Check")</f>
        <v>Check</v>
      </c>
      <c r="AD201" s="60"/>
      <c r="AE201" s="54"/>
      <c r="AF201" s="54"/>
      <c r="AG201" s="55">
        <f t="shared" si="32"/>
        <v>780.8678791</v>
      </c>
      <c r="AH201" s="62"/>
      <c r="AI201" s="8" t="str">
        <f t="array" ref="AI201">XLOOKUP($J201,'AP Plants'!D:D,'AP Plants'!B:B)</f>
        <v>Class 3</v>
      </c>
      <c r="AJ201" s="56"/>
      <c r="AK201" s="56">
        <f t="shared" si="33"/>
        <v>780.8678791</v>
      </c>
      <c r="AL201" s="49">
        <v>0.015</v>
      </c>
      <c r="AM201" s="49">
        <f t="array" ref="AM201">XLOOKUP($AI201,Warranty!B:B,Warranty!E:E)</f>
        <v>0.015</v>
      </c>
      <c r="AN201" s="8">
        <f>IF($L201="AUD",VLOOKUP(RIGHT('Wk - Margins'!$J201,3),'AU Freight'!C:G,5,0),0)</f>
        <v>0</v>
      </c>
      <c r="AO201" s="49">
        <f t="shared" si="11"/>
        <v>0</v>
      </c>
      <c r="AP201" s="63">
        <f t="shared" si="12"/>
        <v>804.2939155</v>
      </c>
      <c r="AQ201" s="58">
        <f t="shared" si="13"/>
        <v>0.335568843</v>
      </c>
      <c r="AR201" s="59">
        <f>IF(L201="AUD",O201*'Currency &amp; Conversion'!$L$7,'Wk - Margins'!O201)</f>
        <v>1710</v>
      </c>
      <c r="AS201" s="59">
        <f>IF(L201="AUD",P201*'Currency &amp; Conversion'!$L$7,'Wk - Margins'!P201)</f>
        <v>1210.5</v>
      </c>
    </row>
    <row r="202" ht="12.75" hidden="1" customHeight="1">
      <c r="A202" s="42" t="str">
        <f>'Input - Bookings'!A202</f>
        <v>29/06/2023</v>
      </c>
      <c r="B202" s="43" t="str">
        <f t="shared" si="1"/>
        <v>India</v>
      </c>
      <c r="C202" s="43" t="str">
        <f t="shared" si="2"/>
        <v>AIN</v>
      </c>
      <c r="D202" s="43" t="str">
        <f>'Input - Bookings'!D202</f>
        <v>A</v>
      </c>
      <c r="E202" s="43" t="str">
        <f>'Input - Bookings'!J202</f>
        <v>IN</v>
      </c>
      <c r="F202" s="44" t="str">
        <f>'Input - Bookings'!F202</f>
        <v>067</v>
      </c>
      <c r="G202" s="44" t="str">
        <f>'Input - Bookings'!I202</f>
        <v>ELECTROMECH LIFT TRUCKS</v>
      </c>
      <c r="H202" s="45" t="str">
        <f>'Input - Bookings'!K202</f>
        <v>H40822</v>
      </c>
      <c r="I202" s="45" t="str">
        <f>VLOOKUP(H202,'Input - Bookings'!$G$2:$H$611,2,0)</f>
        <v>880805</v>
      </c>
      <c r="J202" s="44" t="str">
        <f>'Input - Bookings'!N202</f>
        <v>A3D4</v>
      </c>
      <c r="K202" s="44" t="str">
        <f>'Input - Bookings'!O202</f>
        <v>MPC15</v>
      </c>
      <c r="L202" s="44" t="str">
        <f>'Input - Bookings'!C202</f>
        <v>USD</v>
      </c>
      <c r="M202" s="46" t="str">
        <f t="array" ref="M202">IF(L202="USD",INDEX('AP Plants'!A:A,MATCH(J202,'AP Plants'!D:D,0)),INDEX('Australia Plants'!A:A,MATCH(J202,'Australia Plants'!D:D,0)))</f>
        <v>Staxx</v>
      </c>
      <c r="N202" s="10">
        <v>1.0</v>
      </c>
      <c r="O202" s="9">
        <v>1710.0</v>
      </c>
      <c r="P202" s="9">
        <v>1210.5</v>
      </c>
      <c r="Q202" s="47">
        <v>0.3355688430233025</v>
      </c>
      <c r="R202" s="48">
        <f t="shared" si="3"/>
        <v>0.2921052632</v>
      </c>
      <c r="S202" s="49">
        <f t="shared" si="4"/>
        <v>0</v>
      </c>
      <c r="T202" s="49">
        <f t="shared" si="21"/>
        <v>0.335568843</v>
      </c>
      <c r="U202" s="50" t="str">
        <f t="shared" si="6"/>
        <v>AOP</v>
      </c>
      <c r="V202" s="51">
        <f t="shared" si="28"/>
        <v>406.2060845</v>
      </c>
      <c r="W202" s="52">
        <f t="shared" si="8"/>
        <v>406.2060845</v>
      </c>
      <c r="X202" s="9">
        <f t="shared" si="25"/>
        <v>1210.5</v>
      </c>
      <c r="Y202" s="8"/>
      <c r="Z202" s="8"/>
      <c r="AA202" s="8"/>
      <c r="AB202" s="8" t="str">
        <f t="shared" si="10"/>
        <v>AINH40822MPC15</v>
      </c>
      <c r="AC202" s="8" t="str">
        <f>IF(AB202='Input - Bookings'!S199,"OK","Check")</f>
        <v>Check</v>
      </c>
      <c r="AD202" s="60"/>
      <c r="AE202" s="54"/>
      <c r="AF202" s="54"/>
      <c r="AG202" s="55">
        <f t="shared" si="32"/>
        <v>780.8678791</v>
      </c>
      <c r="AH202" s="62"/>
      <c r="AI202" s="8" t="str">
        <f t="array" ref="AI202">XLOOKUP($J202,'AP Plants'!D:D,'AP Plants'!B:B)</f>
        <v>Class 3</v>
      </c>
      <c r="AJ202" s="56"/>
      <c r="AK202" s="56">
        <f t="shared" si="33"/>
        <v>780.8678791</v>
      </c>
      <c r="AL202" s="49">
        <v>0.015</v>
      </c>
      <c r="AM202" s="49">
        <f t="array" ref="AM202">XLOOKUP($AI202,Warranty!B:B,Warranty!E:E)</f>
        <v>0.015</v>
      </c>
      <c r="AN202" s="8">
        <f>IF($L202="AUD",VLOOKUP(RIGHT('Wk - Margins'!$J202,3),'AU Freight'!C:G,5,0),0)</f>
        <v>0</v>
      </c>
      <c r="AO202" s="49">
        <f t="shared" si="11"/>
        <v>0</v>
      </c>
      <c r="AP202" s="63">
        <f t="shared" si="12"/>
        <v>804.2939155</v>
      </c>
      <c r="AQ202" s="58">
        <f t="shared" si="13"/>
        <v>0.335568843</v>
      </c>
      <c r="AR202" s="59">
        <f>IF(L202="AUD",O202*'Currency &amp; Conversion'!$L$7,'Wk - Margins'!O202)</f>
        <v>1710</v>
      </c>
      <c r="AS202" s="59">
        <f>IF(L202="AUD",P202*'Currency &amp; Conversion'!$L$7,'Wk - Margins'!P202)</f>
        <v>1210.5</v>
      </c>
    </row>
    <row r="203" ht="12.75" hidden="1" customHeight="1">
      <c r="A203" s="42" t="str">
        <f>'Input - Bookings'!A203</f>
        <v>29/06/2023</v>
      </c>
      <c r="B203" s="43" t="str">
        <f t="shared" si="1"/>
        <v>India</v>
      </c>
      <c r="C203" s="43" t="str">
        <f t="shared" si="2"/>
        <v>AIN</v>
      </c>
      <c r="D203" s="43" t="str">
        <f>'Input - Bookings'!D203</f>
        <v>A</v>
      </c>
      <c r="E203" s="43" t="str">
        <f>'Input - Bookings'!J203</f>
        <v>IN</v>
      </c>
      <c r="F203" s="44" t="str">
        <f>'Input - Bookings'!F203</f>
        <v>067</v>
      </c>
      <c r="G203" s="44" t="str">
        <f>'Input - Bookings'!I203</f>
        <v>ELECTROMECH LIFT TRUCKS</v>
      </c>
      <c r="H203" s="45" t="str">
        <f>'Input - Bookings'!K203</f>
        <v>H40823</v>
      </c>
      <c r="I203" s="45" t="str">
        <f>VLOOKUP(H203,'Input - Bookings'!$G$2:$H$611,2,0)</f>
        <v>880805</v>
      </c>
      <c r="J203" s="44" t="str">
        <f>'Input - Bookings'!N203</f>
        <v>A3D4</v>
      </c>
      <c r="K203" s="44" t="str">
        <f>'Input - Bookings'!O203</f>
        <v>MPC15</v>
      </c>
      <c r="L203" s="44" t="str">
        <f>'Input - Bookings'!C203</f>
        <v>USD</v>
      </c>
      <c r="M203" s="46" t="str">
        <f t="array" ref="M203">IF(L203="USD",INDEX('AP Plants'!A:A,MATCH(J203,'AP Plants'!D:D,0)),INDEX('Australia Plants'!A:A,MATCH(J203,'Australia Plants'!D:D,0)))</f>
        <v>Staxx</v>
      </c>
      <c r="N203" s="10">
        <v>1.0</v>
      </c>
      <c r="O203" s="9">
        <v>1710.0</v>
      </c>
      <c r="P203" s="9">
        <v>1210.5</v>
      </c>
      <c r="Q203" s="47">
        <v>0.3355688430233025</v>
      </c>
      <c r="R203" s="48">
        <f t="shared" si="3"/>
        <v>0.2921052632</v>
      </c>
      <c r="S203" s="49">
        <f t="shared" si="4"/>
        <v>0</v>
      </c>
      <c r="T203" s="49">
        <f t="shared" si="21"/>
        <v>0.335568843</v>
      </c>
      <c r="U203" s="50" t="str">
        <f t="shared" si="6"/>
        <v>AOP</v>
      </c>
      <c r="V203" s="51">
        <f t="shared" si="28"/>
        <v>406.2060845</v>
      </c>
      <c r="W203" s="52">
        <f t="shared" si="8"/>
        <v>406.2060845</v>
      </c>
      <c r="X203" s="9">
        <f t="shared" si="25"/>
        <v>1210.5</v>
      </c>
      <c r="Y203" s="8"/>
      <c r="Z203" s="8"/>
      <c r="AA203" s="8"/>
      <c r="AB203" s="8" t="str">
        <f t="shared" si="10"/>
        <v>AINH40823MPC15</v>
      </c>
      <c r="AC203" s="8" t="str">
        <f>IF(AB203='Input - Bookings'!S200,"OK","Check")</f>
        <v>Check</v>
      </c>
      <c r="AD203" s="53"/>
      <c r="AE203" s="54"/>
      <c r="AF203" s="54"/>
      <c r="AG203" s="55">
        <f t="shared" si="32"/>
        <v>780.8678791</v>
      </c>
      <c r="AH203" s="62"/>
      <c r="AI203" s="8" t="str">
        <f t="array" ref="AI203">XLOOKUP($J203,'AP Plants'!D:D,'AP Plants'!B:B)</f>
        <v>Class 3</v>
      </c>
      <c r="AJ203" s="56"/>
      <c r="AK203" s="56">
        <f t="shared" si="33"/>
        <v>780.8678791</v>
      </c>
      <c r="AL203" s="49">
        <v>0.015</v>
      </c>
      <c r="AM203" s="49">
        <f t="array" ref="AM203">XLOOKUP($AI203,Warranty!B:B,Warranty!E:E)</f>
        <v>0.015</v>
      </c>
      <c r="AN203" s="8">
        <f>IF($L203="AUD",VLOOKUP(RIGHT('Wk - Margins'!$J203,3),'AU Freight'!C:G,5,0),0)</f>
        <v>0</v>
      </c>
      <c r="AO203" s="49">
        <f t="shared" si="11"/>
        <v>0</v>
      </c>
      <c r="AP203" s="63">
        <f t="shared" si="12"/>
        <v>804.2939155</v>
      </c>
      <c r="AQ203" s="58">
        <f t="shared" si="13"/>
        <v>0.335568843</v>
      </c>
      <c r="AR203" s="59">
        <f>IF(L203="AUD",O203*'Currency &amp; Conversion'!$L$7,'Wk - Margins'!O203)</f>
        <v>1710</v>
      </c>
      <c r="AS203" s="59">
        <f>IF(L203="AUD",P203*'Currency &amp; Conversion'!$L$7,'Wk - Margins'!P203)</f>
        <v>1210.5</v>
      </c>
    </row>
    <row r="204" ht="12.75" hidden="1" customHeight="1">
      <c r="A204" s="42" t="str">
        <f>'Input - Bookings'!A204</f>
        <v>29/06/2023</v>
      </c>
      <c r="B204" s="43" t="str">
        <f t="shared" si="1"/>
        <v>India</v>
      </c>
      <c r="C204" s="43" t="str">
        <f t="shared" si="2"/>
        <v>AIN</v>
      </c>
      <c r="D204" s="43" t="str">
        <f>'Input - Bookings'!D204</f>
        <v>A</v>
      </c>
      <c r="E204" s="43" t="str">
        <f>'Input - Bookings'!J204</f>
        <v>IN</v>
      </c>
      <c r="F204" s="44" t="str">
        <f>'Input - Bookings'!F204</f>
        <v>067</v>
      </c>
      <c r="G204" s="44" t="str">
        <f>'Input - Bookings'!I204</f>
        <v>ELECTROMECH LIFT TRUCKS</v>
      </c>
      <c r="H204" s="45" t="str">
        <f>'Input - Bookings'!K204</f>
        <v>H40824</v>
      </c>
      <c r="I204" s="45" t="str">
        <f>VLOOKUP(H204,'Input - Bookings'!$G$2:$H$611,2,0)</f>
        <v>880805</v>
      </c>
      <c r="J204" s="44" t="str">
        <f>'Input - Bookings'!N204</f>
        <v>A3D4</v>
      </c>
      <c r="K204" s="44" t="str">
        <f>'Input - Bookings'!O204</f>
        <v>MPC15</v>
      </c>
      <c r="L204" s="44" t="str">
        <f>'Input - Bookings'!C204</f>
        <v>USD</v>
      </c>
      <c r="M204" s="46" t="str">
        <f t="array" ref="M204">IF(L204="USD",INDEX('AP Plants'!A:A,MATCH(J204,'AP Plants'!D:D,0)),INDEX('Australia Plants'!A:A,MATCH(J204,'Australia Plants'!D:D,0)))</f>
        <v>Staxx</v>
      </c>
      <c r="N204" s="10">
        <v>1.0</v>
      </c>
      <c r="O204" s="9">
        <v>1710.0</v>
      </c>
      <c r="P204" s="9">
        <v>1210.5</v>
      </c>
      <c r="Q204" s="47">
        <v>0.3355688430233025</v>
      </c>
      <c r="R204" s="48">
        <f t="shared" si="3"/>
        <v>0.2921052632</v>
      </c>
      <c r="S204" s="49">
        <f t="shared" si="4"/>
        <v>0</v>
      </c>
      <c r="T204" s="49">
        <f t="shared" si="21"/>
        <v>0.335568843</v>
      </c>
      <c r="U204" s="50" t="str">
        <f t="shared" si="6"/>
        <v>AOP</v>
      </c>
      <c r="V204" s="51">
        <f t="shared" si="28"/>
        <v>406.2060845</v>
      </c>
      <c r="W204" s="52">
        <f t="shared" si="8"/>
        <v>406.2060845</v>
      </c>
      <c r="X204" s="9">
        <f t="shared" si="25"/>
        <v>1210.5</v>
      </c>
      <c r="Y204" s="8"/>
      <c r="Z204" s="8"/>
      <c r="AA204" s="8"/>
      <c r="AB204" s="8" t="str">
        <f t="shared" si="10"/>
        <v>AINH40824MPC15</v>
      </c>
      <c r="AC204" s="8" t="str">
        <f>IF(AB204='Input - Bookings'!S201,"OK","Check")</f>
        <v>Check</v>
      </c>
      <c r="AD204" s="53"/>
      <c r="AE204" s="54"/>
      <c r="AF204" s="54"/>
      <c r="AG204" s="55">
        <f t="shared" si="32"/>
        <v>780.8678791</v>
      </c>
      <c r="AH204" s="55"/>
      <c r="AI204" s="8" t="str">
        <f t="array" ref="AI204">XLOOKUP($J204,'AP Plants'!D:D,'AP Plants'!B:B)</f>
        <v>Class 3</v>
      </c>
      <c r="AJ204" s="56"/>
      <c r="AK204" s="56">
        <f t="shared" si="33"/>
        <v>780.8678791</v>
      </c>
      <c r="AL204" s="49">
        <v>0.015</v>
      </c>
      <c r="AM204" s="49">
        <f t="array" ref="AM204">XLOOKUP($AI204,Warranty!B:B,Warranty!E:E)</f>
        <v>0.015</v>
      </c>
      <c r="AN204" s="8">
        <f>IF($L204="AUD",VLOOKUP(RIGHT('Wk - Margins'!$J204,3),'AU Freight'!C:G,5,0),0)</f>
        <v>0</v>
      </c>
      <c r="AO204" s="49">
        <f t="shared" si="11"/>
        <v>0</v>
      </c>
      <c r="AP204" s="63">
        <f t="shared" si="12"/>
        <v>804.2939155</v>
      </c>
      <c r="AQ204" s="58">
        <f t="shared" si="13"/>
        <v>0.335568843</v>
      </c>
      <c r="AR204" s="59">
        <f>IF(L204="AUD",O204*'Currency &amp; Conversion'!$L$7,'Wk - Margins'!O204)</f>
        <v>1710</v>
      </c>
      <c r="AS204" s="59">
        <f>IF(L204="AUD",P204*'Currency &amp; Conversion'!$L$7,'Wk - Margins'!P204)</f>
        <v>1210.5</v>
      </c>
    </row>
    <row r="205" ht="12.75" hidden="1" customHeight="1">
      <c r="A205" s="42" t="str">
        <f>'Input - Bookings'!A205</f>
        <v>29/06/2023</v>
      </c>
      <c r="B205" s="43" t="str">
        <f t="shared" si="1"/>
        <v>India</v>
      </c>
      <c r="C205" s="43" t="str">
        <f t="shared" si="2"/>
        <v>AIN</v>
      </c>
      <c r="D205" s="43" t="str">
        <f>'Input - Bookings'!D205</f>
        <v>A</v>
      </c>
      <c r="E205" s="43" t="str">
        <f>'Input - Bookings'!J205</f>
        <v>IN</v>
      </c>
      <c r="F205" s="44" t="str">
        <f>'Input - Bookings'!F205</f>
        <v>067</v>
      </c>
      <c r="G205" s="44" t="str">
        <f>'Input - Bookings'!I205</f>
        <v>ELECTROMECH LIFT TRUCKS</v>
      </c>
      <c r="H205" s="45" t="str">
        <f>'Input - Bookings'!K205</f>
        <v>H40825</v>
      </c>
      <c r="I205" s="45" t="str">
        <f>VLOOKUP(H205,'Input - Bookings'!$G$2:$H$611,2,0)</f>
        <v>880805</v>
      </c>
      <c r="J205" s="44" t="str">
        <f>'Input - Bookings'!N205</f>
        <v>A3D4</v>
      </c>
      <c r="K205" s="44" t="str">
        <f>'Input - Bookings'!O205</f>
        <v>MPC15</v>
      </c>
      <c r="L205" s="44" t="str">
        <f>'Input - Bookings'!C205</f>
        <v>USD</v>
      </c>
      <c r="M205" s="46" t="str">
        <f t="array" ref="M205">IF(L205="USD",INDEX('AP Plants'!A:A,MATCH(J205,'AP Plants'!D:D,0)),INDEX('Australia Plants'!A:A,MATCH(J205,'Australia Plants'!D:D,0)))</f>
        <v>Staxx</v>
      </c>
      <c r="N205" s="10">
        <v>1.0</v>
      </c>
      <c r="O205" s="9">
        <v>1710.0</v>
      </c>
      <c r="P205" s="9">
        <v>1210.5</v>
      </c>
      <c r="Q205" s="47">
        <v>0.3355688430233025</v>
      </c>
      <c r="R205" s="48">
        <f t="shared" si="3"/>
        <v>0.2921052632</v>
      </c>
      <c r="S205" s="49">
        <f t="shared" si="4"/>
        <v>0</v>
      </c>
      <c r="T205" s="49">
        <f t="shared" si="21"/>
        <v>0.335568843</v>
      </c>
      <c r="U205" s="50" t="str">
        <f t="shared" si="6"/>
        <v>AOP</v>
      </c>
      <c r="V205" s="51">
        <f t="shared" si="28"/>
        <v>406.2060845</v>
      </c>
      <c r="W205" s="52">
        <f t="shared" si="8"/>
        <v>406.2060845</v>
      </c>
      <c r="X205" s="9">
        <f t="shared" si="25"/>
        <v>1210.5</v>
      </c>
      <c r="Y205" s="8"/>
      <c r="Z205" s="8"/>
      <c r="AA205" s="8"/>
      <c r="AB205" s="8" t="str">
        <f t="shared" si="10"/>
        <v>AINH40825MPC15</v>
      </c>
      <c r="AC205" s="8" t="str">
        <f>IF(AB205='Input - Bookings'!S202,"OK","Check")</f>
        <v>Check</v>
      </c>
      <c r="AD205" s="53"/>
      <c r="AE205" s="54"/>
      <c r="AF205" s="54"/>
      <c r="AG205" s="55">
        <f t="shared" si="32"/>
        <v>780.8678791</v>
      </c>
      <c r="AH205" s="55"/>
      <c r="AI205" s="8" t="str">
        <f t="array" ref="AI205">XLOOKUP($J205,'AP Plants'!D:D,'AP Plants'!B:B)</f>
        <v>Class 3</v>
      </c>
      <c r="AJ205" s="56"/>
      <c r="AK205" s="56">
        <f t="shared" si="33"/>
        <v>780.8678791</v>
      </c>
      <c r="AL205" s="49">
        <v>0.015</v>
      </c>
      <c r="AM205" s="49">
        <f t="array" ref="AM205">XLOOKUP($AI205,Warranty!B:B,Warranty!E:E)</f>
        <v>0.015</v>
      </c>
      <c r="AN205" s="8">
        <f>IF($L205="AUD",VLOOKUP(RIGHT('Wk - Margins'!$J205,3),'AU Freight'!C:G,5,0),0)</f>
        <v>0</v>
      </c>
      <c r="AO205" s="49">
        <f t="shared" si="11"/>
        <v>0</v>
      </c>
      <c r="AP205" s="63">
        <f t="shared" si="12"/>
        <v>804.2939155</v>
      </c>
      <c r="AQ205" s="58">
        <f t="shared" si="13"/>
        <v>0.335568843</v>
      </c>
      <c r="AR205" s="59">
        <f>IF(L205="AUD",O205*'Currency &amp; Conversion'!$L$7,'Wk - Margins'!O205)</f>
        <v>1710</v>
      </c>
      <c r="AS205" s="59">
        <f>IF(L205="AUD",P205*'Currency &amp; Conversion'!$L$7,'Wk - Margins'!P205)</f>
        <v>1210.5</v>
      </c>
    </row>
    <row r="206" ht="12.75" hidden="1" customHeight="1">
      <c r="A206" s="42" t="str">
        <f>'Input - Bookings'!A206</f>
        <v>29/06/2023</v>
      </c>
      <c r="B206" s="43" t="str">
        <f t="shared" si="1"/>
        <v>India</v>
      </c>
      <c r="C206" s="43" t="str">
        <f t="shared" si="2"/>
        <v>AIN</v>
      </c>
      <c r="D206" s="43" t="str">
        <f>'Input - Bookings'!D206</f>
        <v>A</v>
      </c>
      <c r="E206" s="43" t="str">
        <f>'Input - Bookings'!J206</f>
        <v>IN</v>
      </c>
      <c r="F206" s="44" t="str">
        <f>'Input - Bookings'!F206</f>
        <v>067</v>
      </c>
      <c r="G206" s="44" t="str">
        <f>'Input - Bookings'!I206</f>
        <v>ELECTROMECH LIFT TRUCKS</v>
      </c>
      <c r="H206" s="45" t="str">
        <f>'Input - Bookings'!K206</f>
        <v>H40826</v>
      </c>
      <c r="I206" s="45" t="str">
        <f>VLOOKUP(H206,'Input - Bookings'!$G$2:$H$611,2,0)</f>
        <v>880805</v>
      </c>
      <c r="J206" s="44" t="str">
        <f>'Input - Bookings'!N206</f>
        <v>A3D4</v>
      </c>
      <c r="K206" s="44" t="str">
        <f>'Input - Bookings'!O206</f>
        <v>MPC15</v>
      </c>
      <c r="L206" s="44" t="str">
        <f>'Input - Bookings'!C206</f>
        <v>USD</v>
      </c>
      <c r="M206" s="46" t="str">
        <f t="array" ref="M206">IF(L206="USD",INDEX('AP Plants'!A:A,MATCH(J206,'AP Plants'!D:D,0)),INDEX('Australia Plants'!A:A,MATCH(J206,'Australia Plants'!D:D,0)))</f>
        <v>Staxx</v>
      </c>
      <c r="N206" s="10">
        <v>1.0</v>
      </c>
      <c r="O206" s="9">
        <v>1710.0</v>
      </c>
      <c r="P206" s="9">
        <v>1210.5</v>
      </c>
      <c r="Q206" s="47">
        <v>0.3355688430233025</v>
      </c>
      <c r="R206" s="48">
        <f t="shared" si="3"/>
        <v>0.2921052632</v>
      </c>
      <c r="S206" s="49">
        <f t="shared" si="4"/>
        <v>0</v>
      </c>
      <c r="T206" s="49">
        <f t="shared" si="21"/>
        <v>0.335568843</v>
      </c>
      <c r="U206" s="50" t="str">
        <f t="shared" si="6"/>
        <v>AOP</v>
      </c>
      <c r="V206" s="51">
        <f t="shared" si="28"/>
        <v>406.2060845</v>
      </c>
      <c r="W206" s="52">
        <f t="shared" si="8"/>
        <v>406.2060845</v>
      </c>
      <c r="X206" s="9">
        <f t="shared" si="25"/>
        <v>1210.5</v>
      </c>
      <c r="Y206" s="8"/>
      <c r="Z206" s="8"/>
      <c r="AA206" s="8"/>
      <c r="AB206" s="8" t="str">
        <f t="shared" si="10"/>
        <v>AINH40826MPC15</v>
      </c>
      <c r="AC206" s="8" t="str">
        <f>IF(AB206='Input - Bookings'!S203,"OK","Check")</f>
        <v>Check</v>
      </c>
      <c r="AD206" s="53"/>
      <c r="AE206" s="54"/>
      <c r="AF206" s="54"/>
      <c r="AG206" s="55">
        <f t="shared" si="32"/>
        <v>780.8678791</v>
      </c>
      <c r="AH206" s="55"/>
      <c r="AI206" s="8" t="str">
        <f t="array" ref="AI206">XLOOKUP($J206,'AP Plants'!D:D,'AP Plants'!B:B)</f>
        <v>Class 3</v>
      </c>
      <c r="AJ206" s="56"/>
      <c r="AK206" s="56">
        <f t="shared" si="33"/>
        <v>780.8678791</v>
      </c>
      <c r="AL206" s="49">
        <v>0.015</v>
      </c>
      <c r="AM206" s="49">
        <f t="array" ref="AM206">XLOOKUP($AI206,Warranty!B:B,Warranty!E:E)</f>
        <v>0.015</v>
      </c>
      <c r="AN206" s="8">
        <f>IF($L206="AUD",VLOOKUP(RIGHT('Wk - Margins'!$J206,3),'AU Freight'!C:G,5,0),0)</f>
        <v>0</v>
      </c>
      <c r="AO206" s="49">
        <f t="shared" si="11"/>
        <v>0</v>
      </c>
      <c r="AP206" s="63">
        <f t="shared" si="12"/>
        <v>804.2939155</v>
      </c>
      <c r="AQ206" s="58">
        <f t="shared" si="13"/>
        <v>0.335568843</v>
      </c>
      <c r="AR206" s="59">
        <f>IF(L206="AUD",O206*'Currency &amp; Conversion'!$L$7,'Wk - Margins'!O206)</f>
        <v>1710</v>
      </c>
      <c r="AS206" s="59">
        <f>IF(L206="AUD",P206*'Currency &amp; Conversion'!$L$7,'Wk - Margins'!P206)</f>
        <v>1210.5</v>
      </c>
    </row>
    <row r="207" ht="12.75" hidden="1" customHeight="1">
      <c r="A207" s="42" t="str">
        <f>'Input - Bookings'!A207</f>
        <v>29/06/2023</v>
      </c>
      <c r="B207" s="43" t="str">
        <f t="shared" si="1"/>
        <v>India</v>
      </c>
      <c r="C207" s="43" t="str">
        <f t="shared" si="2"/>
        <v>AIN</v>
      </c>
      <c r="D207" s="43" t="str">
        <f>'Input - Bookings'!D207</f>
        <v>A</v>
      </c>
      <c r="E207" s="43" t="str">
        <f>'Input - Bookings'!J207</f>
        <v>IN</v>
      </c>
      <c r="F207" s="44" t="str">
        <f>'Input - Bookings'!F207</f>
        <v>067</v>
      </c>
      <c r="G207" s="44" t="str">
        <f>'Input - Bookings'!I207</f>
        <v>ELECTROMECH LIFT TRUCKS</v>
      </c>
      <c r="H207" s="45" t="str">
        <f>'Input - Bookings'!K207</f>
        <v>H40827</v>
      </c>
      <c r="I207" s="45" t="str">
        <f>VLOOKUP(H207,'Input - Bookings'!$G$2:$H$611,2,0)</f>
        <v>880805</v>
      </c>
      <c r="J207" s="44" t="str">
        <f>'Input - Bookings'!N207</f>
        <v>A3D4</v>
      </c>
      <c r="K207" s="44" t="str">
        <f>'Input - Bookings'!O207</f>
        <v>MPC15</v>
      </c>
      <c r="L207" s="44" t="str">
        <f>'Input - Bookings'!C207</f>
        <v>USD</v>
      </c>
      <c r="M207" s="46" t="str">
        <f t="array" ref="M207">IF(L207="USD",INDEX('AP Plants'!A:A,MATCH(J207,'AP Plants'!D:D,0)),INDEX('Australia Plants'!A:A,MATCH(J207,'Australia Plants'!D:D,0)))</f>
        <v>Staxx</v>
      </c>
      <c r="N207" s="10">
        <v>1.0</v>
      </c>
      <c r="O207" s="9">
        <v>1710.0</v>
      </c>
      <c r="P207" s="9">
        <v>1210.5</v>
      </c>
      <c r="Q207" s="47">
        <v>0.3355688430233025</v>
      </c>
      <c r="R207" s="48">
        <f t="shared" si="3"/>
        <v>0.2921052632</v>
      </c>
      <c r="S207" s="49">
        <f t="shared" si="4"/>
        <v>0</v>
      </c>
      <c r="T207" s="49">
        <f t="shared" si="21"/>
        <v>0.335568843</v>
      </c>
      <c r="U207" s="50" t="str">
        <f t="shared" si="6"/>
        <v>AOP</v>
      </c>
      <c r="V207" s="51">
        <f t="shared" si="28"/>
        <v>406.2060845</v>
      </c>
      <c r="W207" s="52">
        <f t="shared" si="8"/>
        <v>406.2060845</v>
      </c>
      <c r="X207" s="9">
        <f t="shared" si="25"/>
        <v>1210.5</v>
      </c>
      <c r="Y207" s="8"/>
      <c r="Z207" s="8"/>
      <c r="AA207" s="8"/>
      <c r="AB207" s="8" t="str">
        <f t="shared" si="10"/>
        <v>AINH40827MPC15</v>
      </c>
      <c r="AC207" s="8" t="str">
        <f>IF(AB207='Input - Bookings'!S204,"OK","Check")</f>
        <v>Check</v>
      </c>
      <c r="AD207" s="53"/>
      <c r="AE207" s="54"/>
      <c r="AF207" s="54"/>
      <c r="AG207" s="55">
        <f t="shared" si="32"/>
        <v>780.8678791</v>
      </c>
      <c r="AH207" s="62"/>
      <c r="AI207" s="8" t="str">
        <f t="array" ref="AI207">XLOOKUP($J207,'AP Plants'!D:D,'AP Plants'!B:B)</f>
        <v>Class 3</v>
      </c>
      <c r="AJ207" s="56"/>
      <c r="AK207" s="56">
        <f t="shared" si="33"/>
        <v>780.8678791</v>
      </c>
      <c r="AL207" s="49">
        <v>0.015</v>
      </c>
      <c r="AM207" s="49">
        <f t="array" ref="AM207">XLOOKUP($AI207,Warranty!B:B,Warranty!E:E)</f>
        <v>0.015</v>
      </c>
      <c r="AN207" s="8">
        <f>IF($L207="AUD",VLOOKUP(RIGHT('Wk - Margins'!$J207,3),'AU Freight'!C:G,5,0),0)</f>
        <v>0</v>
      </c>
      <c r="AO207" s="49">
        <f t="shared" si="11"/>
        <v>0</v>
      </c>
      <c r="AP207" s="63">
        <f t="shared" si="12"/>
        <v>804.2939155</v>
      </c>
      <c r="AQ207" s="58">
        <f t="shared" si="13"/>
        <v>0.335568843</v>
      </c>
      <c r="AR207" s="59">
        <f>IF(L207="AUD",O207*'Currency &amp; Conversion'!$L$7,'Wk - Margins'!O207)</f>
        <v>1710</v>
      </c>
      <c r="AS207" s="59">
        <f>IF(L207="AUD",P207*'Currency &amp; Conversion'!$L$7,'Wk - Margins'!P207)</f>
        <v>1210.5</v>
      </c>
    </row>
    <row r="208" ht="12.75" hidden="1" customHeight="1">
      <c r="A208" s="42" t="str">
        <f>'Input - Bookings'!A208</f>
        <v>29/06/2023</v>
      </c>
      <c r="B208" s="43" t="str">
        <f t="shared" si="1"/>
        <v>India</v>
      </c>
      <c r="C208" s="43" t="str">
        <f t="shared" si="2"/>
        <v>AIN</v>
      </c>
      <c r="D208" s="43" t="str">
        <f>'Input - Bookings'!D208</f>
        <v>A</v>
      </c>
      <c r="E208" s="43" t="str">
        <f>'Input - Bookings'!J208</f>
        <v>IN</v>
      </c>
      <c r="F208" s="44" t="str">
        <f>'Input - Bookings'!F208</f>
        <v>067</v>
      </c>
      <c r="G208" s="44" t="str">
        <f>'Input - Bookings'!I208</f>
        <v>ELECTROMECH LIFT TRUCKS</v>
      </c>
      <c r="H208" s="45" t="str">
        <f>'Input - Bookings'!K208</f>
        <v>H40828</v>
      </c>
      <c r="I208" s="45" t="str">
        <f>VLOOKUP(H208,'Input - Bookings'!$G$2:$H$611,2,0)</f>
        <v>880805</v>
      </c>
      <c r="J208" s="44" t="str">
        <f>'Input - Bookings'!N208</f>
        <v>A3D4</v>
      </c>
      <c r="K208" s="44" t="str">
        <f>'Input - Bookings'!O208</f>
        <v>MPC15</v>
      </c>
      <c r="L208" s="44" t="str">
        <f>'Input - Bookings'!C208</f>
        <v>USD</v>
      </c>
      <c r="M208" s="46" t="str">
        <f t="array" ref="M208">IF(L208="USD",INDEX('AP Plants'!A:A,MATCH(J208,'AP Plants'!D:D,0)),INDEX('Australia Plants'!A:A,MATCH(J208,'Australia Plants'!D:D,0)))</f>
        <v>Staxx</v>
      </c>
      <c r="N208" s="10">
        <v>1.0</v>
      </c>
      <c r="O208" s="9">
        <v>1710.0</v>
      </c>
      <c r="P208" s="9">
        <v>1210.5</v>
      </c>
      <c r="Q208" s="47">
        <v>0.3355688430233025</v>
      </c>
      <c r="R208" s="48">
        <f t="shared" si="3"/>
        <v>0.2921052632</v>
      </c>
      <c r="S208" s="49">
        <f t="shared" si="4"/>
        <v>0</v>
      </c>
      <c r="T208" s="49">
        <f t="shared" si="21"/>
        <v>0.335568843</v>
      </c>
      <c r="U208" s="50" t="str">
        <f t="shared" si="6"/>
        <v>AOP</v>
      </c>
      <c r="V208" s="51">
        <f t="shared" si="28"/>
        <v>406.2060845</v>
      </c>
      <c r="W208" s="52">
        <f t="shared" si="8"/>
        <v>406.2060845</v>
      </c>
      <c r="X208" s="9">
        <f t="shared" si="25"/>
        <v>1210.5</v>
      </c>
      <c r="Y208" s="8"/>
      <c r="Z208" s="8"/>
      <c r="AA208" s="8"/>
      <c r="AB208" s="8" t="str">
        <f t="shared" si="10"/>
        <v>AINH40828MPC15</v>
      </c>
      <c r="AC208" s="8" t="str">
        <f>IF(AB208='Input - Bookings'!S205,"OK","Check")</f>
        <v>Check</v>
      </c>
      <c r="AD208" s="53"/>
      <c r="AE208" s="54"/>
      <c r="AF208" s="54"/>
      <c r="AG208" s="55">
        <f t="shared" si="32"/>
        <v>780.8678791</v>
      </c>
      <c r="AH208" s="62"/>
      <c r="AI208" s="8" t="str">
        <f t="array" ref="AI208">XLOOKUP($J208,'AP Plants'!D:D,'AP Plants'!B:B)</f>
        <v>Class 3</v>
      </c>
      <c r="AJ208" s="56"/>
      <c r="AK208" s="56">
        <f t="shared" si="33"/>
        <v>780.8678791</v>
      </c>
      <c r="AL208" s="49">
        <v>0.015</v>
      </c>
      <c r="AM208" s="49">
        <f t="array" ref="AM208">XLOOKUP($AI208,Warranty!B:B,Warranty!E:E)</f>
        <v>0.015</v>
      </c>
      <c r="AN208" s="8">
        <f>IF($L208="AUD",VLOOKUP(RIGHT('Wk - Margins'!$J208,3),'AU Freight'!C:G,5,0),0)</f>
        <v>0</v>
      </c>
      <c r="AO208" s="49">
        <f t="shared" si="11"/>
        <v>0</v>
      </c>
      <c r="AP208" s="63">
        <f t="shared" si="12"/>
        <v>804.2939155</v>
      </c>
      <c r="AQ208" s="58">
        <f t="shared" si="13"/>
        <v>0.335568843</v>
      </c>
      <c r="AR208" s="59">
        <f>IF(L208="AUD",O208*'Currency &amp; Conversion'!$L$7,'Wk - Margins'!O208)</f>
        <v>1710</v>
      </c>
      <c r="AS208" s="59">
        <f>IF(L208="AUD",P208*'Currency &amp; Conversion'!$L$7,'Wk - Margins'!P208)</f>
        <v>1210.5</v>
      </c>
    </row>
    <row r="209" ht="12.75" hidden="1" customHeight="1">
      <c r="A209" s="42" t="str">
        <f>'Input - Bookings'!A209</f>
        <v>29/06/2023</v>
      </c>
      <c r="B209" s="43" t="str">
        <f t="shared" si="1"/>
        <v>India</v>
      </c>
      <c r="C209" s="43" t="str">
        <f t="shared" si="2"/>
        <v>AIN</v>
      </c>
      <c r="D209" s="43" t="str">
        <f>'Input - Bookings'!D209</f>
        <v>A</v>
      </c>
      <c r="E209" s="43" t="str">
        <f>'Input - Bookings'!J209</f>
        <v>IN</v>
      </c>
      <c r="F209" s="44" t="str">
        <f>'Input - Bookings'!F209</f>
        <v>067</v>
      </c>
      <c r="G209" s="44" t="str">
        <f>'Input - Bookings'!I209</f>
        <v>ELECTROMECH LIFT TRUCKS</v>
      </c>
      <c r="H209" s="45" t="str">
        <f>'Input - Bookings'!K209</f>
        <v>H40829</v>
      </c>
      <c r="I209" s="45" t="str">
        <f>VLOOKUP(H209,'Input - Bookings'!$G$2:$H$611,2,0)</f>
        <v>880805</v>
      </c>
      <c r="J209" s="44" t="str">
        <f>'Input - Bookings'!N209</f>
        <v>A3D4</v>
      </c>
      <c r="K209" s="44" t="str">
        <f>'Input - Bookings'!O209</f>
        <v>MPC15</v>
      </c>
      <c r="L209" s="44" t="str">
        <f>'Input - Bookings'!C209</f>
        <v>USD</v>
      </c>
      <c r="M209" s="46" t="str">
        <f t="array" ref="M209">IF(L209="USD",INDEX('AP Plants'!A:A,MATCH(J209,'AP Plants'!D:D,0)),INDEX('Australia Plants'!A:A,MATCH(J209,'Australia Plants'!D:D,0)))</f>
        <v>Staxx</v>
      </c>
      <c r="N209" s="10">
        <v>1.0</v>
      </c>
      <c r="O209" s="9">
        <v>1710.0</v>
      </c>
      <c r="P209" s="9">
        <v>1210.5</v>
      </c>
      <c r="Q209" s="47">
        <v>0.3355688430233025</v>
      </c>
      <c r="R209" s="48">
        <f t="shared" si="3"/>
        <v>0.2921052632</v>
      </c>
      <c r="S209" s="49">
        <f t="shared" si="4"/>
        <v>0</v>
      </c>
      <c r="T209" s="49">
        <f t="shared" si="21"/>
        <v>0.335568843</v>
      </c>
      <c r="U209" s="50" t="str">
        <f t="shared" si="6"/>
        <v>AOP</v>
      </c>
      <c r="V209" s="51">
        <f t="shared" si="28"/>
        <v>406.2060845</v>
      </c>
      <c r="W209" s="52">
        <f t="shared" si="8"/>
        <v>406.2060845</v>
      </c>
      <c r="X209" s="9">
        <f t="shared" si="25"/>
        <v>1210.5</v>
      </c>
      <c r="Y209" s="8"/>
      <c r="Z209" s="8"/>
      <c r="AA209" s="8"/>
      <c r="AB209" s="8" t="str">
        <f t="shared" si="10"/>
        <v>AINH40829MPC15</v>
      </c>
      <c r="AC209" s="8" t="str">
        <f>IF(AB209='Input - Bookings'!S206,"OK","Check")</f>
        <v>Check</v>
      </c>
      <c r="AD209" s="53"/>
      <c r="AE209" s="54"/>
      <c r="AF209" s="54"/>
      <c r="AG209" s="55">
        <f t="shared" si="32"/>
        <v>780.8678791</v>
      </c>
      <c r="AH209" s="55"/>
      <c r="AI209" s="8" t="str">
        <f t="array" ref="AI209">XLOOKUP($J209,'AP Plants'!D:D,'AP Plants'!B:B)</f>
        <v>Class 3</v>
      </c>
      <c r="AJ209" s="56"/>
      <c r="AK209" s="56">
        <f t="shared" si="33"/>
        <v>780.8678791</v>
      </c>
      <c r="AL209" s="49">
        <v>0.015</v>
      </c>
      <c r="AM209" s="49">
        <f t="array" ref="AM209">XLOOKUP($AI209,Warranty!B:B,Warranty!E:E)</f>
        <v>0.015</v>
      </c>
      <c r="AN209" s="8">
        <f>IF($L209="AUD",VLOOKUP(RIGHT('Wk - Margins'!$J209,3),'AU Freight'!C:G,5,0),0)</f>
        <v>0</v>
      </c>
      <c r="AO209" s="49">
        <f t="shared" si="11"/>
        <v>0</v>
      </c>
      <c r="AP209" s="63">
        <f t="shared" si="12"/>
        <v>804.2939155</v>
      </c>
      <c r="AQ209" s="58">
        <f t="shared" si="13"/>
        <v>0.335568843</v>
      </c>
      <c r="AR209" s="59">
        <f>IF(L209="AUD",O209*'Currency &amp; Conversion'!$L$7,'Wk - Margins'!O209)</f>
        <v>1710</v>
      </c>
      <c r="AS209" s="59">
        <f>IF(L209="AUD",P209*'Currency &amp; Conversion'!$L$7,'Wk - Margins'!P209)</f>
        <v>1210.5</v>
      </c>
    </row>
    <row r="210" ht="12.75" hidden="1" customHeight="1">
      <c r="A210" s="42" t="str">
        <f>'Input - Bookings'!A210</f>
        <v>29/06/2023</v>
      </c>
      <c r="B210" s="43" t="str">
        <f t="shared" si="1"/>
        <v>India</v>
      </c>
      <c r="C210" s="43" t="str">
        <f t="shared" si="2"/>
        <v>AIN</v>
      </c>
      <c r="D210" s="43" t="str">
        <f>'Input - Bookings'!D210</f>
        <v>A</v>
      </c>
      <c r="E210" s="43" t="str">
        <f>'Input - Bookings'!J210</f>
        <v>IN</v>
      </c>
      <c r="F210" s="44" t="str">
        <f>'Input - Bookings'!F210</f>
        <v>067</v>
      </c>
      <c r="G210" s="44" t="str">
        <f>'Input - Bookings'!I210</f>
        <v>ELECTROMECH LIFT TRUCKS</v>
      </c>
      <c r="H210" s="45" t="str">
        <f>'Input - Bookings'!K210</f>
        <v>H40830</v>
      </c>
      <c r="I210" s="45" t="str">
        <f>VLOOKUP(H210,'Input - Bookings'!$G$2:$H$611,2,0)</f>
        <v>880805</v>
      </c>
      <c r="J210" s="44" t="str">
        <f>'Input - Bookings'!N210</f>
        <v>A3D4</v>
      </c>
      <c r="K210" s="44" t="str">
        <f>'Input - Bookings'!O210</f>
        <v>MPC15</v>
      </c>
      <c r="L210" s="44" t="str">
        <f>'Input - Bookings'!C210</f>
        <v>USD</v>
      </c>
      <c r="M210" s="46" t="str">
        <f t="array" ref="M210">IF(L210="USD",INDEX('AP Plants'!A:A,MATCH(J210,'AP Plants'!D:D,0)),INDEX('Australia Plants'!A:A,MATCH(J210,'Australia Plants'!D:D,0)))</f>
        <v>Staxx</v>
      </c>
      <c r="N210" s="10">
        <v>1.0</v>
      </c>
      <c r="O210" s="9">
        <v>1710.0</v>
      </c>
      <c r="P210" s="9">
        <v>1210.5</v>
      </c>
      <c r="Q210" s="47">
        <v>0.3355688430233025</v>
      </c>
      <c r="R210" s="48">
        <f t="shared" si="3"/>
        <v>0.2921052632</v>
      </c>
      <c r="S210" s="49">
        <f t="shared" si="4"/>
        <v>0</v>
      </c>
      <c r="T210" s="49">
        <f t="shared" si="21"/>
        <v>0.335568843</v>
      </c>
      <c r="U210" s="50" t="str">
        <f t="shared" si="6"/>
        <v>AOP</v>
      </c>
      <c r="V210" s="51">
        <f t="shared" si="28"/>
        <v>406.2060845</v>
      </c>
      <c r="W210" s="52">
        <f t="shared" si="8"/>
        <v>406.2060845</v>
      </c>
      <c r="X210" s="9">
        <f t="shared" si="25"/>
        <v>1210.5</v>
      </c>
      <c r="Y210" s="8"/>
      <c r="Z210" s="8"/>
      <c r="AA210" s="8"/>
      <c r="AB210" s="8" t="str">
        <f t="shared" si="10"/>
        <v>AINH40830MPC15</v>
      </c>
      <c r="AC210" s="8" t="str">
        <f>IF(AB210='Input - Bookings'!S207,"OK","Check")</f>
        <v>Check</v>
      </c>
      <c r="AD210" s="53"/>
      <c r="AE210" s="54"/>
      <c r="AF210" s="54"/>
      <c r="AG210" s="55">
        <f t="shared" si="32"/>
        <v>780.8678791</v>
      </c>
      <c r="AH210" s="55"/>
      <c r="AI210" s="8" t="str">
        <f t="array" ref="AI210">XLOOKUP($J210,'AP Plants'!D:D,'AP Plants'!B:B)</f>
        <v>Class 3</v>
      </c>
      <c r="AJ210" s="56"/>
      <c r="AK210" s="56">
        <f t="shared" si="33"/>
        <v>780.8678791</v>
      </c>
      <c r="AL210" s="49">
        <v>0.015</v>
      </c>
      <c r="AM210" s="49">
        <f t="array" ref="AM210">XLOOKUP($AI210,Warranty!B:B,Warranty!E:E)</f>
        <v>0.015</v>
      </c>
      <c r="AN210" s="8">
        <f>IF($L210="AUD",VLOOKUP(RIGHT('Wk - Margins'!$J210,3),'AU Freight'!C:G,5,0),0)</f>
        <v>0</v>
      </c>
      <c r="AO210" s="49">
        <f t="shared" si="11"/>
        <v>0</v>
      </c>
      <c r="AP210" s="63">
        <f t="shared" si="12"/>
        <v>804.2939155</v>
      </c>
      <c r="AQ210" s="58">
        <f t="shared" si="13"/>
        <v>0.335568843</v>
      </c>
      <c r="AR210" s="59">
        <f>IF(L210="AUD",O210*'Currency &amp; Conversion'!$L$7,'Wk - Margins'!O210)</f>
        <v>1710</v>
      </c>
      <c r="AS210" s="59">
        <f>IF(L210="AUD",P210*'Currency &amp; Conversion'!$L$7,'Wk - Margins'!P210)</f>
        <v>1210.5</v>
      </c>
    </row>
    <row r="211" ht="12.75" hidden="1" customHeight="1">
      <c r="A211" s="42" t="str">
        <f>'Input - Bookings'!A211</f>
        <v>29/06/2023</v>
      </c>
      <c r="B211" s="43" t="str">
        <f t="shared" si="1"/>
        <v>India</v>
      </c>
      <c r="C211" s="43" t="str">
        <f t="shared" si="2"/>
        <v>AIN</v>
      </c>
      <c r="D211" s="43" t="str">
        <f>'Input - Bookings'!D211</f>
        <v>A</v>
      </c>
      <c r="E211" s="43" t="str">
        <f>'Input - Bookings'!J211</f>
        <v>IN</v>
      </c>
      <c r="F211" s="44" t="str">
        <f>'Input - Bookings'!F211</f>
        <v>067</v>
      </c>
      <c r="G211" s="44" t="str">
        <f>'Input - Bookings'!I211</f>
        <v>ELECTROMECH LIFT TRUCKS</v>
      </c>
      <c r="H211" s="45" t="str">
        <f>'Input - Bookings'!K211</f>
        <v>H40831</v>
      </c>
      <c r="I211" s="45" t="str">
        <f>VLOOKUP(H211,'Input - Bookings'!$G$2:$H$611,2,0)</f>
        <v>880805</v>
      </c>
      <c r="J211" s="44" t="str">
        <f>'Input - Bookings'!N211</f>
        <v>A3D4</v>
      </c>
      <c r="K211" s="44" t="str">
        <f>'Input - Bookings'!O211</f>
        <v>MPC15</v>
      </c>
      <c r="L211" s="44" t="str">
        <f>'Input - Bookings'!C211</f>
        <v>USD</v>
      </c>
      <c r="M211" s="46" t="str">
        <f t="array" ref="M211">IF(L211="USD",INDEX('AP Plants'!A:A,MATCH(J211,'AP Plants'!D:D,0)),INDEX('Australia Plants'!A:A,MATCH(J211,'Australia Plants'!D:D,0)))</f>
        <v>Staxx</v>
      </c>
      <c r="N211" s="10">
        <v>1.0</v>
      </c>
      <c r="O211" s="9">
        <v>1710.0</v>
      </c>
      <c r="P211" s="9">
        <v>1210.5</v>
      </c>
      <c r="Q211" s="47">
        <v>0.3355688430233025</v>
      </c>
      <c r="R211" s="48">
        <f t="shared" si="3"/>
        <v>0.2921052632</v>
      </c>
      <c r="S211" s="49">
        <f t="shared" si="4"/>
        <v>0</v>
      </c>
      <c r="T211" s="49">
        <f t="shared" si="21"/>
        <v>0.335568843</v>
      </c>
      <c r="U211" s="50" t="str">
        <f t="shared" si="6"/>
        <v>AOP</v>
      </c>
      <c r="V211" s="51">
        <f t="shared" si="28"/>
        <v>406.2060845</v>
      </c>
      <c r="W211" s="52">
        <f t="shared" si="8"/>
        <v>406.2060845</v>
      </c>
      <c r="X211" s="9">
        <f t="shared" si="25"/>
        <v>1210.5</v>
      </c>
      <c r="Y211" s="8"/>
      <c r="Z211" s="8"/>
      <c r="AA211" s="8"/>
      <c r="AB211" s="8" t="str">
        <f t="shared" si="10"/>
        <v>AINH40831MPC15</v>
      </c>
      <c r="AC211" s="8" t="str">
        <f>IF(AB211='Input - Bookings'!S208,"OK","Check")</f>
        <v>Check</v>
      </c>
      <c r="AD211" s="53"/>
      <c r="AE211" s="54"/>
      <c r="AF211" s="54"/>
      <c r="AG211" s="55">
        <f t="shared" si="32"/>
        <v>780.8678791</v>
      </c>
      <c r="AH211" s="62"/>
      <c r="AI211" s="8" t="str">
        <f t="array" ref="AI211">XLOOKUP($J211,'AP Plants'!D:D,'AP Plants'!B:B)</f>
        <v>Class 3</v>
      </c>
      <c r="AJ211" s="56"/>
      <c r="AK211" s="56">
        <f t="shared" si="33"/>
        <v>780.8678791</v>
      </c>
      <c r="AL211" s="49">
        <v>0.015</v>
      </c>
      <c r="AM211" s="49">
        <f t="array" ref="AM211">XLOOKUP($AI211,Warranty!B:B,Warranty!E:E)</f>
        <v>0.015</v>
      </c>
      <c r="AN211" s="8">
        <f>IF($L211="AUD",VLOOKUP(RIGHT('Wk - Margins'!$J211,3),'AU Freight'!C:G,5,0),0)</f>
        <v>0</v>
      </c>
      <c r="AO211" s="49">
        <f t="shared" si="11"/>
        <v>0</v>
      </c>
      <c r="AP211" s="63">
        <f t="shared" si="12"/>
        <v>804.2939155</v>
      </c>
      <c r="AQ211" s="58">
        <f t="shared" si="13"/>
        <v>0.335568843</v>
      </c>
      <c r="AR211" s="59">
        <f>IF(L211="AUD",O211*'Currency &amp; Conversion'!$L$7,'Wk - Margins'!O211)</f>
        <v>1710</v>
      </c>
      <c r="AS211" s="59">
        <f>IF(L211="AUD",P211*'Currency &amp; Conversion'!$L$7,'Wk - Margins'!P211)</f>
        <v>1210.5</v>
      </c>
    </row>
    <row r="212" ht="12.75" hidden="1" customHeight="1">
      <c r="A212" s="42" t="str">
        <f>'Input - Bookings'!A212</f>
        <v>29/06/2023</v>
      </c>
      <c r="B212" s="43" t="str">
        <f t="shared" si="1"/>
        <v>India</v>
      </c>
      <c r="C212" s="43" t="str">
        <f t="shared" si="2"/>
        <v>AIN</v>
      </c>
      <c r="D212" s="43" t="str">
        <f>'Input - Bookings'!D212</f>
        <v>A</v>
      </c>
      <c r="E212" s="43" t="str">
        <f>'Input - Bookings'!J212</f>
        <v>IN</v>
      </c>
      <c r="F212" s="44" t="str">
        <f>'Input - Bookings'!F212</f>
        <v>067</v>
      </c>
      <c r="G212" s="44" t="str">
        <f>'Input - Bookings'!I212</f>
        <v>ELECTROMECH LIFT TRUCKS</v>
      </c>
      <c r="H212" s="45" t="str">
        <f>'Input - Bookings'!K212</f>
        <v>H40832</v>
      </c>
      <c r="I212" s="45" t="str">
        <f>VLOOKUP(H212,'Input - Bookings'!$G$2:$H$611,2,0)</f>
        <v>880805</v>
      </c>
      <c r="J212" s="44" t="str">
        <f>'Input - Bookings'!N212</f>
        <v>A3D4</v>
      </c>
      <c r="K212" s="44" t="str">
        <f>'Input - Bookings'!O212</f>
        <v>MPC15</v>
      </c>
      <c r="L212" s="44" t="str">
        <f>'Input - Bookings'!C212</f>
        <v>USD</v>
      </c>
      <c r="M212" s="46" t="str">
        <f t="array" ref="M212">IF(L212="USD",INDEX('AP Plants'!A:A,MATCH(J212,'AP Plants'!D:D,0)),INDEX('Australia Plants'!A:A,MATCH(J212,'Australia Plants'!D:D,0)))</f>
        <v>Staxx</v>
      </c>
      <c r="N212" s="10">
        <v>1.0</v>
      </c>
      <c r="O212" s="9">
        <v>1710.0</v>
      </c>
      <c r="P212" s="9">
        <v>1210.5</v>
      </c>
      <c r="Q212" s="47">
        <v>0.3355688430233025</v>
      </c>
      <c r="R212" s="48">
        <f t="shared" si="3"/>
        <v>0.2921052632</v>
      </c>
      <c r="S212" s="49">
        <f t="shared" si="4"/>
        <v>0</v>
      </c>
      <c r="T212" s="49">
        <f t="shared" si="21"/>
        <v>0.335568843</v>
      </c>
      <c r="U212" s="50" t="str">
        <f t="shared" si="6"/>
        <v>AOP</v>
      </c>
      <c r="V212" s="51">
        <f t="shared" si="28"/>
        <v>406.2060845</v>
      </c>
      <c r="W212" s="52">
        <f t="shared" si="8"/>
        <v>406.2060845</v>
      </c>
      <c r="X212" s="9">
        <f t="shared" si="25"/>
        <v>1210.5</v>
      </c>
      <c r="Y212" s="8"/>
      <c r="Z212" s="8"/>
      <c r="AA212" s="8"/>
      <c r="AB212" s="8" t="str">
        <f t="shared" si="10"/>
        <v>AINH40832MPC15</v>
      </c>
      <c r="AC212" s="8" t="str">
        <f>IF(AB212='Input - Bookings'!S209,"OK","Check")</f>
        <v>Check</v>
      </c>
      <c r="AD212" s="53"/>
      <c r="AE212" s="54"/>
      <c r="AF212" s="54"/>
      <c r="AG212" s="55">
        <f t="shared" si="32"/>
        <v>780.8678791</v>
      </c>
      <c r="AH212" s="55"/>
      <c r="AI212" s="8" t="str">
        <f t="array" ref="AI212">XLOOKUP($J212,'AP Plants'!D:D,'AP Plants'!B:B)</f>
        <v>Class 3</v>
      </c>
      <c r="AJ212" s="56"/>
      <c r="AK212" s="56">
        <f t="shared" si="33"/>
        <v>780.8678791</v>
      </c>
      <c r="AL212" s="49">
        <v>0.015</v>
      </c>
      <c r="AM212" s="49">
        <f t="array" ref="AM212">XLOOKUP($AI212,Warranty!B:B,Warranty!E:E)</f>
        <v>0.015</v>
      </c>
      <c r="AN212" s="8">
        <f>IF($L212="AUD",VLOOKUP(RIGHT('Wk - Margins'!$J212,3),'AU Freight'!C:G,5,0),0)</f>
        <v>0</v>
      </c>
      <c r="AO212" s="49">
        <f t="shared" si="11"/>
        <v>0</v>
      </c>
      <c r="AP212" s="63">
        <f t="shared" si="12"/>
        <v>804.2939155</v>
      </c>
      <c r="AQ212" s="58">
        <f t="shared" si="13"/>
        <v>0.335568843</v>
      </c>
      <c r="AR212" s="59">
        <f>IF(L212="AUD",O212*'Currency &amp; Conversion'!$L$7,'Wk - Margins'!O212)</f>
        <v>1710</v>
      </c>
      <c r="AS212" s="59">
        <f>IF(L212="AUD",P212*'Currency &amp; Conversion'!$L$7,'Wk - Margins'!P212)</f>
        <v>1210.5</v>
      </c>
    </row>
    <row r="213" ht="12.75" hidden="1" customHeight="1">
      <c r="A213" s="42" t="str">
        <f>'Input - Bookings'!A213</f>
        <v>29/06/2023</v>
      </c>
      <c r="B213" s="43" t="str">
        <f t="shared" si="1"/>
        <v>India</v>
      </c>
      <c r="C213" s="43" t="str">
        <f t="shared" si="2"/>
        <v>AIN</v>
      </c>
      <c r="D213" s="43" t="str">
        <f>'Input - Bookings'!D213</f>
        <v>A</v>
      </c>
      <c r="E213" s="43" t="str">
        <f>'Input - Bookings'!J213</f>
        <v>IN</v>
      </c>
      <c r="F213" s="44" t="str">
        <f>'Input - Bookings'!F213</f>
        <v>067</v>
      </c>
      <c r="G213" s="44" t="str">
        <f>'Input - Bookings'!I213</f>
        <v>ELECTROMECH LIFT TRUCKS</v>
      </c>
      <c r="H213" s="45" t="str">
        <f>'Input - Bookings'!K213</f>
        <v>H40820</v>
      </c>
      <c r="I213" s="45" t="str">
        <f>VLOOKUP(H213,'Input - Bookings'!$G$2:$H$611,2,0)</f>
        <v>880805</v>
      </c>
      <c r="J213" s="44" t="str">
        <f>'Input - Bookings'!N213</f>
        <v>A3D4</v>
      </c>
      <c r="K213" s="44" t="str">
        <f>'Input - Bookings'!O213</f>
        <v>MPC15</v>
      </c>
      <c r="L213" s="44" t="str">
        <f>'Input - Bookings'!C213</f>
        <v>USD</v>
      </c>
      <c r="M213" s="46" t="str">
        <f t="array" ref="M213">IF(L213="USD",INDEX('AP Plants'!A:A,MATCH(J213,'AP Plants'!D:D,0)),INDEX('Australia Plants'!A:A,MATCH(J213,'Australia Plants'!D:D,0)))</f>
        <v>Staxx</v>
      </c>
      <c r="N213" s="10">
        <v>1.0</v>
      </c>
      <c r="O213" s="9">
        <v>1710.0</v>
      </c>
      <c r="P213" s="9">
        <v>1210.5</v>
      </c>
      <c r="Q213" s="47">
        <v>0.3355688430233025</v>
      </c>
      <c r="R213" s="48">
        <f t="shared" si="3"/>
        <v>0.2921052632</v>
      </c>
      <c r="S213" s="49">
        <f t="shared" si="4"/>
        <v>0</v>
      </c>
      <c r="T213" s="49">
        <f t="shared" si="21"/>
        <v>0.335568843</v>
      </c>
      <c r="U213" s="50" t="str">
        <f t="shared" si="6"/>
        <v>AOP</v>
      </c>
      <c r="V213" s="51">
        <f t="shared" si="28"/>
        <v>406.2060845</v>
      </c>
      <c r="W213" s="52">
        <f t="shared" si="8"/>
        <v>406.2060845</v>
      </c>
      <c r="X213" s="9">
        <f t="shared" si="25"/>
        <v>1210.5</v>
      </c>
      <c r="Y213" s="8"/>
      <c r="Z213" s="8"/>
      <c r="AA213" s="8"/>
      <c r="AB213" s="8" t="str">
        <f t="shared" si="10"/>
        <v>AINH40820MPC15</v>
      </c>
      <c r="AC213" s="8" t="str">
        <f>IF(AB213='Input - Bookings'!S210,"OK","Check")</f>
        <v>Check</v>
      </c>
      <c r="AD213" s="53"/>
      <c r="AE213" s="54"/>
      <c r="AF213" s="54"/>
      <c r="AG213" s="55">
        <f t="shared" si="32"/>
        <v>780.8678791</v>
      </c>
      <c r="AH213" s="62"/>
      <c r="AI213" s="8" t="str">
        <f t="array" ref="AI213">XLOOKUP($J213,'AP Plants'!D:D,'AP Plants'!B:B)</f>
        <v>Class 3</v>
      </c>
      <c r="AJ213" s="56"/>
      <c r="AK213" s="56">
        <f t="shared" si="33"/>
        <v>780.8678791</v>
      </c>
      <c r="AL213" s="49">
        <v>0.015</v>
      </c>
      <c r="AM213" s="49">
        <f t="array" ref="AM213">XLOOKUP($AI213,Warranty!B:B,Warranty!E:E)</f>
        <v>0.015</v>
      </c>
      <c r="AN213" s="8">
        <f>IF($L213="AUD",VLOOKUP(RIGHT('Wk - Margins'!$J213,3),'AU Freight'!C:G,5,0),0)</f>
        <v>0</v>
      </c>
      <c r="AO213" s="49">
        <f t="shared" si="11"/>
        <v>0</v>
      </c>
      <c r="AP213" s="63">
        <f t="shared" si="12"/>
        <v>804.2939155</v>
      </c>
      <c r="AQ213" s="58">
        <f t="shared" si="13"/>
        <v>0.335568843</v>
      </c>
      <c r="AR213" s="59">
        <f>IF(L213="AUD",O213*'Currency &amp; Conversion'!$L$7,'Wk - Margins'!O213)</f>
        <v>1710</v>
      </c>
      <c r="AS213" s="59">
        <f>IF(L213="AUD",P213*'Currency &amp; Conversion'!$L$7,'Wk - Margins'!P213)</f>
        <v>1210.5</v>
      </c>
    </row>
    <row r="214" ht="12.75" hidden="1" customHeight="1">
      <c r="A214" s="42" t="str">
        <f>'Input - Bookings'!A214</f>
        <v>29/06/2023</v>
      </c>
      <c r="B214" s="43" t="str">
        <f t="shared" si="1"/>
        <v>India</v>
      </c>
      <c r="C214" s="43" t="str">
        <f t="shared" si="2"/>
        <v>AIN</v>
      </c>
      <c r="D214" s="43" t="str">
        <f>'Input - Bookings'!D214</f>
        <v>A</v>
      </c>
      <c r="E214" s="43" t="str">
        <f>'Input - Bookings'!J214</f>
        <v>IN</v>
      </c>
      <c r="F214" s="44" t="str">
        <f>'Input - Bookings'!F214</f>
        <v>067</v>
      </c>
      <c r="G214" s="44" t="str">
        <f>'Input - Bookings'!I214</f>
        <v>ELECTROMECH LIFT TRUCKS</v>
      </c>
      <c r="H214" s="45" t="str">
        <f>'Input - Bookings'!K214</f>
        <v>H40833</v>
      </c>
      <c r="I214" s="45" t="str">
        <f>VLOOKUP(H214,'Input - Bookings'!$G$2:$H$611,2,0)</f>
        <v>880805</v>
      </c>
      <c r="J214" s="44" t="str">
        <f>'Input - Bookings'!N214</f>
        <v>A3D4</v>
      </c>
      <c r="K214" s="44" t="str">
        <f>'Input - Bookings'!O214</f>
        <v>MPC15</v>
      </c>
      <c r="L214" s="44" t="str">
        <f>'Input - Bookings'!C214</f>
        <v>USD</v>
      </c>
      <c r="M214" s="46" t="str">
        <f t="array" ref="M214">IF(L214="USD",INDEX('AP Plants'!A:A,MATCH(J214,'AP Plants'!D:D,0)),INDEX('Australia Plants'!A:A,MATCH(J214,'Australia Plants'!D:D,0)))</f>
        <v>Staxx</v>
      </c>
      <c r="N214" s="10">
        <v>1.0</v>
      </c>
      <c r="O214" s="9">
        <v>1710.0</v>
      </c>
      <c r="P214" s="9">
        <v>1210.5</v>
      </c>
      <c r="Q214" s="47">
        <v>0.3355688430233025</v>
      </c>
      <c r="R214" s="48">
        <f t="shared" si="3"/>
        <v>0.2921052632</v>
      </c>
      <c r="S214" s="49">
        <f t="shared" si="4"/>
        <v>0</v>
      </c>
      <c r="T214" s="49">
        <f t="shared" si="21"/>
        <v>0.335568843</v>
      </c>
      <c r="U214" s="50" t="str">
        <f t="shared" si="6"/>
        <v>AOP</v>
      </c>
      <c r="V214" s="51">
        <f t="shared" si="28"/>
        <v>406.2060845</v>
      </c>
      <c r="W214" s="52">
        <f t="shared" si="8"/>
        <v>406.2060845</v>
      </c>
      <c r="X214" s="9">
        <f t="shared" si="25"/>
        <v>1210.5</v>
      </c>
      <c r="Y214" s="8"/>
      <c r="Z214" s="8"/>
      <c r="AA214" s="8"/>
      <c r="AB214" s="8" t="str">
        <f t="shared" si="10"/>
        <v>AINH40833MPC15</v>
      </c>
      <c r="AC214" s="8" t="str">
        <f>IF(AB214='Input - Bookings'!S211,"OK","Check")</f>
        <v>Check</v>
      </c>
      <c r="AD214" s="53"/>
      <c r="AE214" s="54"/>
      <c r="AF214" s="54"/>
      <c r="AG214" s="55">
        <f t="shared" si="32"/>
        <v>780.8678791</v>
      </c>
      <c r="AH214" s="55"/>
      <c r="AI214" s="8" t="str">
        <f t="array" ref="AI214">XLOOKUP($J214,'AP Plants'!D:D,'AP Plants'!B:B)</f>
        <v>Class 3</v>
      </c>
      <c r="AJ214" s="56"/>
      <c r="AK214" s="56">
        <f t="shared" si="33"/>
        <v>780.8678791</v>
      </c>
      <c r="AL214" s="49">
        <v>0.015</v>
      </c>
      <c r="AM214" s="49">
        <f t="array" ref="AM214">XLOOKUP($AI214,Warranty!B:B,Warranty!E:E)</f>
        <v>0.015</v>
      </c>
      <c r="AN214" s="8">
        <f>IF($L214="AUD",VLOOKUP(RIGHT('Wk - Margins'!$J214,3),'AU Freight'!C:G,5,0),0)</f>
        <v>0</v>
      </c>
      <c r="AO214" s="49">
        <f t="shared" si="11"/>
        <v>0</v>
      </c>
      <c r="AP214" s="63">
        <f t="shared" si="12"/>
        <v>804.2939155</v>
      </c>
      <c r="AQ214" s="58">
        <f t="shared" si="13"/>
        <v>0.335568843</v>
      </c>
      <c r="AR214" s="59">
        <f>IF(L214="AUD",O214*'Currency &amp; Conversion'!$L$7,'Wk - Margins'!O214)</f>
        <v>1710</v>
      </c>
      <c r="AS214" s="59">
        <f>IF(L214="AUD",P214*'Currency &amp; Conversion'!$L$7,'Wk - Margins'!P214)</f>
        <v>1210.5</v>
      </c>
    </row>
    <row r="215" ht="12.75" hidden="1" customHeight="1">
      <c r="A215" s="42" t="str">
        <f>'Input - Bookings'!A215</f>
        <v>29/06/2023</v>
      </c>
      <c r="B215" s="43" t="str">
        <f t="shared" si="1"/>
        <v>India</v>
      </c>
      <c r="C215" s="43" t="str">
        <f t="shared" si="2"/>
        <v>AIN</v>
      </c>
      <c r="D215" s="43" t="str">
        <f>'Input - Bookings'!D215</f>
        <v>A</v>
      </c>
      <c r="E215" s="43" t="str">
        <f>'Input - Bookings'!J215</f>
        <v>IN</v>
      </c>
      <c r="F215" s="44" t="str">
        <f>'Input - Bookings'!F215</f>
        <v>067</v>
      </c>
      <c r="G215" s="44" t="str">
        <f>'Input - Bookings'!I215</f>
        <v>ELECTROMECH LIFT TRUCKS</v>
      </c>
      <c r="H215" s="45" t="str">
        <f>'Input - Bookings'!K215</f>
        <v>H40834</v>
      </c>
      <c r="I215" s="45" t="str">
        <f>VLOOKUP(H215,'Input - Bookings'!$G$2:$H$611,2,0)</f>
        <v>880805</v>
      </c>
      <c r="J215" s="44" t="str">
        <f>'Input - Bookings'!N215</f>
        <v>A3D4</v>
      </c>
      <c r="K215" s="44" t="str">
        <f>'Input - Bookings'!O215</f>
        <v>MPC15</v>
      </c>
      <c r="L215" s="44" t="str">
        <f>'Input - Bookings'!C215</f>
        <v>USD</v>
      </c>
      <c r="M215" s="46" t="str">
        <f t="array" ref="M215">IF(L215="USD",INDEX('AP Plants'!A:A,MATCH(J215,'AP Plants'!D:D,0)),INDEX('Australia Plants'!A:A,MATCH(J215,'Australia Plants'!D:D,0)))</f>
        <v>Staxx</v>
      </c>
      <c r="N215" s="10">
        <v>1.0</v>
      </c>
      <c r="O215" s="9">
        <v>1710.0</v>
      </c>
      <c r="P215" s="9">
        <v>1210.5</v>
      </c>
      <c r="Q215" s="47">
        <v>0.3355688430233025</v>
      </c>
      <c r="R215" s="48">
        <f t="shared" si="3"/>
        <v>0.2921052632</v>
      </c>
      <c r="S215" s="49">
        <f t="shared" si="4"/>
        <v>0</v>
      </c>
      <c r="T215" s="49">
        <f t="shared" si="21"/>
        <v>0.335568843</v>
      </c>
      <c r="U215" s="50" t="str">
        <f t="shared" si="6"/>
        <v>AOP</v>
      </c>
      <c r="V215" s="51">
        <f t="shared" si="28"/>
        <v>406.2060845</v>
      </c>
      <c r="W215" s="52">
        <f t="shared" si="8"/>
        <v>406.2060845</v>
      </c>
      <c r="X215" s="9">
        <f t="shared" si="25"/>
        <v>1210.5</v>
      </c>
      <c r="Y215" s="8"/>
      <c r="Z215" s="8"/>
      <c r="AA215" s="8"/>
      <c r="AB215" s="8" t="str">
        <f t="shared" si="10"/>
        <v>AINH40834MPC15</v>
      </c>
      <c r="AC215" s="8" t="str">
        <f>IF(AB215='Input - Bookings'!S212,"OK","Check")</f>
        <v>Check</v>
      </c>
      <c r="AD215" s="53"/>
      <c r="AE215" s="54"/>
      <c r="AF215" s="54"/>
      <c r="AG215" s="55">
        <f t="shared" si="32"/>
        <v>780.8678791</v>
      </c>
      <c r="AH215" s="55"/>
      <c r="AI215" s="8" t="str">
        <f t="array" ref="AI215">XLOOKUP($J215,'AP Plants'!D:D,'AP Plants'!B:B)</f>
        <v>Class 3</v>
      </c>
      <c r="AJ215" s="56"/>
      <c r="AK215" s="56">
        <f t="shared" si="33"/>
        <v>780.8678791</v>
      </c>
      <c r="AL215" s="49">
        <v>0.015</v>
      </c>
      <c r="AM215" s="49">
        <f t="array" ref="AM215">XLOOKUP($AI215,Warranty!B:B,Warranty!E:E)</f>
        <v>0.015</v>
      </c>
      <c r="AN215" s="8">
        <f>IF($L215="AUD",VLOOKUP(RIGHT('Wk - Margins'!$J215,3),'AU Freight'!C:G,5,0),0)</f>
        <v>0</v>
      </c>
      <c r="AO215" s="49">
        <f t="shared" si="11"/>
        <v>0</v>
      </c>
      <c r="AP215" s="63">
        <f t="shared" si="12"/>
        <v>804.2939155</v>
      </c>
      <c r="AQ215" s="58">
        <f t="shared" si="13"/>
        <v>0.335568843</v>
      </c>
      <c r="AR215" s="59">
        <f>IF(L215="AUD",O215*'Currency &amp; Conversion'!$L$7,'Wk - Margins'!O215)</f>
        <v>1710</v>
      </c>
      <c r="AS215" s="59">
        <f>IF(L215="AUD",P215*'Currency &amp; Conversion'!$L$7,'Wk - Margins'!P215)</f>
        <v>1210.5</v>
      </c>
    </row>
    <row r="216" ht="12.75" hidden="1" customHeight="1">
      <c r="A216" s="42" t="str">
        <f>'Input - Bookings'!A216</f>
        <v>29/06/2023</v>
      </c>
      <c r="B216" s="43" t="str">
        <f t="shared" si="1"/>
        <v>India</v>
      </c>
      <c r="C216" s="43" t="str">
        <f t="shared" si="2"/>
        <v>AIN</v>
      </c>
      <c r="D216" s="43" t="str">
        <f>'Input - Bookings'!D216</f>
        <v>A</v>
      </c>
      <c r="E216" s="43" t="str">
        <f>'Input - Bookings'!J216</f>
        <v>IN</v>
      </c>
      <c r="F216" s="44" t="str">
        <f>'Input - Bookings'!F216</f>
        <v>067</v>
      </c>
      <c r="G216" s="44" t="str">
        <f>'Input - Bookings'!I216</f>
        <v>ELECTROMECH LIFT TRUCKS</v>
      </c>
      <c r="H216" s="45" t="str">
        <f>'Input - Bookings'!K216</f>
        <v>H40835</v>
      </c>
      <c r="I216" s="45" t="str">
        <f>VLOOKUP(H216,'Input - Bookings'!$G$2:$H$611,2,0)</f>
        <v>880805</v>
      </c>
      <c r="J216" s="44" t="str">
        <f>'Input - Bookings'!N216</f>
        <v>A3D4</v>
      </c>
      <c r="K216" s="44" t="str">
        <f>'Input - Bookings'!O216</f>
        <v>MPC15</v>
      </c>
      <c r="L216" s="44" t="str">
        <f>'Input - Bookings'!C216</f>
        <v>USD</v>
      </c>
      <c r="M216" s="46" t="str">
        <f t="array" ref="M216">IF(L216="USD",INDEX('AP Plants'!A:A,MATCH(J216,'AP Plants'!D:D,0)),INDEX('Australia Plants'!A:A,MATCH(J216,'Australia Plants'!D:D,0)))</f>
        <v>Staxx</v>
      </c>
      <c r="N216" s="10">
        <v>1.0</v>
      </c>
      <c r="O216" s="9">
        <v>1710.0</v>
      </c>
      <c r="P216" s="9">
        <v>1210.5</v>
      </c>
      <c r="Q216" s="47">
        <v>0.3355688430233025</v>
      </c>
      <c r="R216" s="48">
        <f t="shared" si="3"/>
        <v>0.2921052632</v>
      </c>
      <c r="S216" s="49">
        <f t="shared" si="4"/>
        <v>0</v>
      </c>
      <c r="T216" s="49">
        <f t="shared" si="21"/>
        <v>0.335568843</v>
      </c>
      <c r="U216" s="50" t="str">
        <f t="shared" si="6"/>
        <v>AOP</v>
      </c>
      <c r="V216" s="51">
        <f t="shared" si="28"/>
        <v>406.2060845</v>
      </c>
      <c r="W216" s="52">
        <f t="shared" si="8"/>
        <v>406.2060845</v>
      </c>
      <c r="X216" s="9">
        <f t="shared" si="25"/>
        <v>1210.5</v>
      </c>
      <c r="Y216" s="8"/>
      <c r="Z216" s="8"/>
      <c r="AA216" s="8"/>
      <c r="AB216" s="8" t="str">
        <f t="shared" si="10"/>
        <v>AINH40835MPC15</v>
      </c>
      <c r="AC216" s="8" t="str">
        <f>IF(AB216='Input - Bookings'!S213,"OK","Check")</f>
        <v>Check</v>
      </c>
      <c r="AD216" s="53"/>
      <c r="AE216" s="54"/>
      <c r="AF216" s="54"/>
      <c r="AG216" s="55">
        <f t="shared" si="32"/>
        <v>780.8678791</v>
      </c>
      <c r="AH216" s="55"/>
      <c r="AI216" s="8" t="str">
        <f t="array" ref="AI216">XLOOKUP($J216,'AP Plants'!D:D,'AP Plants'!B:B)</f>
        <v>Class 3</v>
      </c>
      <c r="AJ216" s="56"/>
      <c r="AK216" s="56">
        <f t="shared" si="33"/>
        <v>780.8678791</v>
      </c>
      <c r="AL216" s="49">
        <v>0.015</v>
      </c>
      <c r="AM216" s="49">
        <f t="array" ref="AM216">XLOOKUP($AI216,Warranty!B:B,Warranty!E:E)</f>
        <v>0.015</v>
      </c>
      <c r="AN216" s="8">
        <f>IF($L216="AUD",VLOOKUP(RIGHT('Wk - Margins'!$J216,3),'AU Freight'!C:G,5,0),0)</f>
        <v>0</v>
      </c>
      <c r="AO216" s="49">
        <f t="shared" si="11"/>
        <v>0</v>
      </c>
      <c r="AP216" s="63">
        <f t="shared" si="12"/>
        <v>804.2939155</v>
      </c>
      <c r="AQ216" s="58">
        <f t="shared" si="13"/>
        <v>0.335568843</v>
      </c>
      <c r="AR216" s="59">
        <f>IF(L216="AUD",O216*'Currency &amp; Conversion'!$L$7,'Wk - Margins'!O216)</f>
        <v>1710</v>
      </c>
      <c r="AS216" s="59">
        <f>IF(L216="AUD",P216*'Currency &amp; Conversion'!$L$7,'Wk - Margins'!P216)</f>
        <v>1210.5</v>
      </c>
    </row>
    <row r="217" ht="12.75" hidden="1" customHeight="1">
      <c r="A217" s="42" t="str">
        <f>'Input - Bookings'!A217</f>
        <v>29/06/2023</v>
      </c>
      <c r="B217" s="43" t="str">
        <f t="shared" si="1"/>
        <v>India</v>
      </c>
      <c r="C217" s="43" t="str">
        <f t="shared" si="2"/>
        <v>AIN</v>
      </c>
      <c r="D217" s="43" t="str">
        <f>'Input - Bookings'!D217</f>
        <v>A</v>
      </c>
      <c r="E217" s="43" t="str">
        <f>'Input - Bookings'!J217</f>
        <v>IN</v>
      </c>
      <c r="F217" s="44" t="str">
        <f>'Input - Bookings'!F217</f>
        <v>067</v>
      </c>
      <c r="G217" s="44" t="str">
        <f>'Input - Bookings'!I217</f>
        <v>ELECTROMECH LIFT TRUCKS</v>
      </c>
      <c r="H217" s="45" t="str">
        <f>'Input - Bookings'!K217</f>
        <v>H40836</v>
      </c>
      <c r="I217" s="45" t="str">
        <f>VLOOKUP(H217,'Input - Bookings'!$G$2:$H$611,2,0)</f>
        <v>880805</v>
      </c>
      <c r="J217" s="44" t="str">
        <f>'Input - Bookings'!N217</f>
        <v>A3D4</v>
      </c>
      <c r="K217" s="44" t="str">
        <f>'Input - Bookings'!O217</f>
        <v>MPC15</v>
      </c>
      <c r="L217" s="44" t="str">
        <f>'Input - Bookings'!C217</f>
        <v>USD</v>
      </c>
      <c r="M217" s="46" t="str">
        <f t="array" ref="M217">IF(L217="USD",INDEX('AP Plants'!A:A,MATCH(J217,'AP Plants'!D:D,0)),INDEX('Australia Plants'!A:A,MATCH(J217,'Australia Plants'!D:D,0)))</f>
        <v>Staxx</v>
      </c>
      <c r="N217" s="10">
        <v>1.0</v>
      </c>
      <c r="O217" s="9">
        <v>1710.0</v>
      </c>
      <c r="P217" s="9">
        <v>1210.5</v>
      </c>
      <c r="Q217" s="47">
        <v>0.3355688430233025</v>
      </c>
      <c r="R217" s="48">
        <f t="shared" si="3"/>
        <v>0.2921052632</v>
      </c>
      <c r="S217" s="49">
        <f t="shared" si="4"/>
        <v>0</v>
      </c>
      <c r="T217" s="49">
        <f t="shared" si="21"/>
        <v>0.335568843</v>
      </c>
      <c r="U217" s="50" t="str">
        <f t="shared" si="6"/>
        <v>AOP</v>
      </c>
      <c r="V217" s="51">
        <f t="shared" si="28"/>
        <v>406.2060845</v>
      </c>
      <c r="W217" s="52">
        <f t="shared" si="8"/>
        <v>406.2060845</v>
      </c>
      <c r="X217" s="9">
        <f t="shared" si="25"/>
        <v>1210.5</v>
      </c>
      <c r="Y217" s="8"/>
      <c r="Z217" s="8"/>
      <c r="AA217" s="8"/>
      <c r="AB217" s="8" t="str">
        <f t="shared" si="10"/>
        <v>AINH40836MPC15</v>
      </c>
      <c r="AC217" s="8" t="str">
        <f>IF(AB217='Input - Bookings'!S214,"OK","Check")</f>
        <v>Check</v>
      </c>
      <c r="AD217" s="53"/>
      <c r="AE217" s="54"/>
      <c r="AF217" s="54"/>
      <c r="AG217" s="55">
        <f t="shared" si="32"/>
        <v>780.8678791</v>
      </c>
      <c r="AH217" s="55"/>
      <c r="AI217" s="8" t="str">
        <f t="array" ref="AI217">XLOOKUP($J217,'AP Plants'!D:D,'AP Plants'!B:B)</f>
        <v>Class 3</v>
      </c>
      <c r="AJ217" s="56"/>
      <c r="AK217" s="56">
        <f t="shared" si="33"/>
        <v>780.8678791</v>
      </c>
      <c r="AL217" s="49">
        <v>0.015</v>
      </c>
      <c r="AM217" s="49">
        <f t="array" ref="AM217">XLOOKUP($AI217,Warranty!B:B,Warranty!E:E)</f>
        <v>0.015</v>
      </c>
      <c r="AN217" s="8">
        <f>IF($L217="AUD",VLOOKUP(RIGHT('Wk - Margins'!$J217,3),'AU Freight'!C:G,5,0),0)</f>
        <v>0</v>
      </c>
      <c r="AO217" s="49">
        <f t="shared" si="11"/>
        <v>0</v>
      </c>
      <c r="AP217" s="63">
        <f t="shared" si="12"/>
        <v>804.2939155</v>
      </c>
      <c r="AQ217" s="58">
        <f t="shared" si="13"/>
        <v>0.335568843</v>
      </c>
      <c r="AR217" s="59">
        <f>IF(L217="AUD",O217*'Currency &amp; Conversion'!$L$7,'Wk - Margins'!O217)</f>
        <v>1710</v>
      </c>
      <c r="AS217" s="59">
        <f>IF(L217="AUD",P217*'Currency &amp; Conversion'!$L$7,'Wk - Margins'!P217)</f>
        <v>1210.5</v>
      </c>
    </row>
    <row r="218" ht="12.75" hidden="1" customHeight="1">
      <c r="A218" s="42" t="str">
        <f>'Input - Bookings'!A218</f>
        <v>29/06/2023</v>
      </c>
      <c r="B218" s="43" t="str">
        <f t="shared" si="1"/>
        <v>India</v>
      </c>
      <c r="C218" s="43" t="str">
        <f t="shared" si="2"/>
        <v>AIN</v>
      </c>
      <c r="D218" s="43" t="str">
        <f>'Input - Bookings'!D218</f>
        <v>A</v>
      </c>
      <c r="E218" s="43" t="str">
        <f>'Input - Bookings'!J218</f>
        <v>IN</v>
      </c>
      <c r="F218" s="44" t="str">
        <f>'Input - Bookings'!F218</f>
        <v>067</v>
      </c>
      <c r="G218" s="44" t="str">
        <f>'Input - Bookings'!I218</f>
        <v>ELECTROMECH LIFT TRUCKS</v>
      </c>
      <c r="H218" s="45" t="str">
        <f>'Input - Bookings'!K218</f>
        <v>H40837</v>
      </c>
      <c r="I218" s="45" t="str">
        <f>VLOOKUP(H218,'Input - Bookings'!$G$2:$H$611,2,0)</f>
        <v>880805</v>
      </c>
      <c r="J218" s="44" t="str">
        <f>'Input - Bookings'!N218</f>
        <v>A3D4</v>
      </c>
      <c r="K218" s="44" t="str">
        <f>'Input - Bookings'!O218</f>
        <v>MPC15</v>
      </c>
      <c r="L218" s="44" t="str">
        <f>'Input - Bookings'!C218</f>
        <v>USD</v>
      </c>
      <c r="M218" s="46" t="str">
        <f t="array" ref="M218">IF(L218="USD",INDEX('AP Plants'!A:A,MATCH(J218,'AP Plants'!D:D,0)),INDEX('Australia Plants'!A:A,MATCH(J218,'Australia Plants'!D:D,0)))</f>
        <v>Staxx</v>
      </c>
      <c r="N218" s="10">
        <v>1.0</v>
      </c>
      <c r="O218" s="9">
        <v>1710.0</v>
      </c>
      <c r="P218" s="9">
        <v>1210.5</v>
      </c>
      <c r="Q218" s="47">
        <v>0.3355688430233025</v>
      </c>
      <c r="R218" s="48">
        <f t="shared" si="3"/>
        <v>0.2921052632</v>
      </c>
      <c r="S218" s="49">
        <f t="shared" si="4"/>
        <v>0</v>
      </c>
      <c r="T218" s="49">
        <f t="shared" si="21"/>
        <v>0.335568843</v>
      </c>
      <c r="U218" s="50" t="str">
        <f t="shared" si="6"/>
        <v>AOP</v>
      </c>
      <c r="V218" s="51">
        <f t="shared" si="28"/>
        <v>406.2060845</v>
      </c>
      <c r="W218" s="52">
        <f t="shared" si="8"/>
        <v>406.2060845</v>
      </c>
      <c r="X218" s="9">
        <f t="shared" si="25"/>
        <v>1210.5</v>
      </c>
      <c r="Y218" s="8"/>
      <c r="Z218" s="8"/>
      <c r="AA218" s="8"/>
      <c r="AB218" s="8" t="str">
        <f t="shared" si="10"/>
        <v>AINH40837MPC15</v>
      </c>
      <c r="AC218" s="8" t="str">
        <f>IF(AB218='Input - Bookings'!S215,"OK","Check")</f>
        <v>Check</v>
      </c>
      <c r="AD218" s="53"/>
      <c r="AE218" s="54"/>
      <c r="AF218" s="54"/>
      <c r="AG218" s="55">
        <f t="shared" si="32"/>
        <v>780.8678791</v>
      </c>
      <c r="AH218" s="55"/>
      <c r="AI218" s="8" t="str">
        <f t="array" ref="AI218">XLOOKUP($J218,'AP Plants'!D:D,'AP Plants'!B:B)</f>
        <v>Class 3</v>
      </c>
      <c r="AJ218" s="56"/>
      <c r="AK218" s="56">
        <f t="shared" si="33"/>
        <v>780.8678791</v>
      </c>
      <c r="AL218" s="49">
        <v>0.015</v>
      </c>
      <c r="AM218" s="49">
        <f t="array" ref="AM218">XLOOKUP($AI218,Warranty!B:B,Warranty!E:E)</f>
        <v>0.015</v>
      </c>
      <c r="AN218" s="8">
        <f>IF($L218="AUD",VLOOKUP(RIGHT('Wk - Margins'!$J218,3),'AU Freight'!C:G,5,0),0)</f>
        <v>0</v>
      </c>
      <c r="AO218" s="49">
        <f t="shared" si="11"/>
        <v>0</v>
      </c>
      <c r="AP218" s="63">
        <f t="shared" si="12"/>
        <v>804.2939155</v>
      </c>
      <c r="AQ218" s="58">
        <f t="shared" si="13"/>
        <v>0.335568843</v>
      </c>
      <c r="AR218" s="59">
        <f>IF(L218="AUD",O218*'Currency &amp; Conversion'!$L$7,'Wk - Margins'!O218)</f>
        <v>1710</v>
      </c>
      <c r="AS218" s="59">
        <f>IF(L218="AUD",P218*'Currency &amp; Conversion'!$L$7,'Wk - Margins'!P218)</f>
        <v>1210.5</v>
      </c>
    </row>
    <row r="219" ht="12.75" hidden="1" customHeight="1">
      <c r="A219" s="42" t="str">
        <f>'Input - Bookings'!A219</f>
        <v>29/06/2023</v>
      </c>
      <c r="B219" s="43" t="str">
        <f t="shared" si="1"/>
        <v>India</v>
      </c>
      <c r="C219" s="43" t="str">
        <f t="shared" si="2"/>
        <v>AIN</v>
      </c>
      <c r="D219" s="43" t="str">
        <f>'Input - Bookings'!D219</f>
        <v>A</v>
      </c>
      <c r="E219" s="43" t="str">
        <f>'Input - Bookings'!J219</f>
        <v>IN</v>
      </c>
      <c r="F219" s="44" t="str">
        <f>'Input - Bookings'!F219</f>
        <v>067</v>
      </c>
      <c r="G219" s="44" t="str">
        <f>'Input - Bookings'!I219</f>
        <v>ELECTROMECH LIFT TRUCKS</v>
      </c>
      <c r="H219" s="45" t="str">
        <f>'Input - Bookings'!K219</f>
        <v>H40838</v>
      </c>
      <c r="I219" s="45" t="str">
        <f>VLOOKUP(H219,'Input - Bookings'!$G$2:$H$611,2,0)</f>
        <v>880805</v>
      </c>
      <c r="J219" s="44" t="str">
        <f>'Input - Bookings'!N219</f>
        <v>A3D4</v>
      </c>
      <c r="K219" s="44" t="str">
        <f>'Input - Bookings'!O219</f>
        <v>MPC15</v>
      </c>
      <c r="L219" s="44" t="str">
        <f>'Input - Bookings'!C219</f>
        <v>USD</v>
      </c>
      <c r="M219" s="46" t="str">
        <f t="array" ref="M219">IF(L219="USD",INDEX('AP Plants'!A:A,MATCH(J219,'AP Plants'!D:D,0)),INDEX('Australia Plants'!A:A,MATCH(J219,'Australia Plants'!D:D,0)))</f>
        <v>Staxx</v>
      </c>
      <c r="N219" s="10">
        <v>1.0</v>
      </c>
      <c r="O219" s="9">
        <v>1710.0</v>
      </c>
      <c r="P219" s="9">
        <v>1210.5</v>
      </c>
      <c r="Q219" s="47">
        <v>0.3355688430233025</v>
      </c>
      <c r="R219" s="48">
        <f t="shared" si="3"/>
        <v>0.2921052632</v>
      </c>
      <c r="S219" s="49">
        <f t="shared" si="4"/>
        <v>0</v>
      </c>
      <c r="T219" s="49">
        <f t="shared" si="21"/>
        <v>0.335568843</v>
      </c>
      <c r="U219" s="50" t="str">
        <f t="shared" si="6"/>
        <v>AOP</v>
      </c>
      <c r="V219" s="51">
        <f t="shared" si="28"/>
        <v>406.2060845</v>
      </c>
      <c r="W219" s="52">
        <f t="shared" si="8"/>
        <v>406.2060845</v>
      </c>
      <c r="X219" s="9">
        <f t="shared" si="25"/>
        <v>1210.5</v>
      </c>
      <c r="Y219" s="8"/>
      <c r="Z219" s="8"/>
      <c r="AA219" s="8"/>
      <c r="AB219" s="8" t="str">
        <f t="shared" si="10"/>
        <v>AINH40838MPC15</v>
      </c>
      <c r="AC219" s="8" t="str">
        <f>IF(AB219='Input - Bookings'!S216,"OK","Check")</f>
        <v>Check</v>
      </c>
      <c r="AD219" s="53"/>
      <c r="AE219" s="54"/>
      <c r="AF219" s="54"/>
      <c r="AG219" s="55">
        <f t="shared" si="32"/>
        <v>780.8678791</v>
      </c>
      <c r="AH219" s="62"/>
      <c r="AI219" s="8" t="str">
        <f t="array" ref="AI219">XLOOKUP($J219,'AP Plants'!D:D,'AP Plants'!B:B)</f>
        <v>Class 3</v>
      </c>
      <c r="AJ219" s="56"/>
      <c r="AK219" s="56">
        <f t="shared" si="33"/>
        <v>780.8678791</v>
      </c>
      <c r="AL219" s="49">
        <v>0.015</v>
      </c>
      <c r="AM219" s="49">
        <f t="array" ref="AM219">XLOOKUP($AI219,Warranty!B:B,Warranty!E:E)</f>
        <v>0.015</v>
      </c>
      <c r="AN219" s="8">
        <f>IF($L219="AUD",VLOOKUP(RIGHT('Wk - Margins'!$J219,3),'AU Freight'!C:G,5,0),0)</f>
        <v>0</v>
      </c>
      <c r="AO219" s="49">
        <f t="shared" si="11"/>
        <v>0</v>
      </c>
      <c r="AP219" s="63">
        <f t="shared" si="12"/>
        <v>804.2939155</v>
      </c>
      <c r="AQ219" s="58">
        <f t="shared" si="13"/>
        <v>0.335568843</v>
      </c>
      <c r="AR219" s="59">
        <f>IF(L219="AUD",O219*'Currency &amp; Conversion'!$L$7,'Wk - Margins'!O219)</f>
        <v>1710</v>
      </c>
      <c r="AS219" s="59">
        <f>IF(L219="AUD",P219*'Currency &amp; Conversion'!$L$7,'Wk - Margins'!P219)</f>
        <v>1210.5</v>
      </c>
    </row>
    <row r="220" ht="12.75" customHeight="1">
      <c r="A220" s="42" t="str">
        <f>'Input - Bookings'!A220</f>
        <v>29/06/2023</v>
      </c>
      <c r="B220" s="43" t="str">
        <f t="shared" si="1"/>
        <v>Asia</v>
      </c>
      <c r="C220" s="43" t="str">
        <f t="shared" si="2"/>
        <v>ATH</v>
      </c>
      <c r="D220" s="43" t="str">
        <f>'Input - Bookings'!D220</f>
        <v>A</v>
      </c>
      <c r="E220" s="43" t="str">
        <f>'Input - Bookings'!J220</f>
        <v>TH</v>
      </c>
      <c r="F220" s="44" t="str">
        <f>'Input - Bookings'!F220</f>
        <v>065</v>
      </c>
      <c r="G220" s="44" t="str">
        <f>'Input - Bookings'!I220</f>
        <v>DILOK AND SONS CO.,LTD.</v>
      </c>
      <c r="H220" s="44" t="str">
        <f>'Input - Bookings'!K220</f>
        <v>H40873</v>
      </c>
      <c r="I220" s="45" t="str">
        <f>VLOOKUP(H220,'Input - Bookings'!$G$2:$H$611,2,0)</f>
        <v>001255</v>
      </c>
      <c r="J220" s="44" t="str">
        <f>'Input - Bookings'!N220</f>
        <v>E264</v>
      </c>
      <c r="K220" s="44" t="str">
        <f>'Input - Bookings'!O220</f>
        <v>N35ZDR3</v>
      </c>
      <c r="L220" s="44" t="str">
        <f>'Input - Bookings'!C220</f>
        <v>USD</v>
      </c>
      <c r="M220" s="46" t="str">
        <f t="array" ref="M220">IF(L220="USD",INDEX('AP Plants'!A:A,MATCH(J220,'AP Plants'!D:D,0)),INDEX('Australia Plants'!A:A,MATCH(J220,'Australia Plants'!D:D,0)))</f>
        <v>Greenville</v>
      </c>
      <c r="N220" s="10">
        <v>1.0</v>
      </c>
      <c r="O220" s="9">
        <v>53505.0</v>
      </c>
      <c r="P220" s="9">
        <v>39638.7</v>
      </c>
      <c r="Q220" s="47">
        <f>AQ220</f>
        <v>0.05071526147</v>
      </c>
      <c r="R220" s="48">
        <f t="shared" si="3"/>
        <v>0.2591589571</v>
      </c>
      <c r="S220" s="49">
        <f t="shared" si="4"/>
        <v>0</v>
      </c>
      <c r="T220" s="49">
        <f t="shared" si="21"/>
        <v>0.05071526147</v>
      </c>
      <c r="U220" s="50" t="str">
        <f t="shared" si="6"/>
        <v>AOP</v>
      </c>
      <c r="V220" s="51">
        <f t="shared" si="28"/>
        <v>2010.287035</v>
      </c>
      <c r="W220" s="52">
        <f t="shared" si="8"/>
        <v>2010.287035</v>
      </c>
      <c r="X220" s="9">
        <f t="shared" si="25"/>
        <v>39638.7</v>
      </c>
      <c r="Y220" s="8"/>
      <c r="Z220" s="8"/>
      <c r="AA220" s="8"/>
      <c r="AB220" s="8" t="str">
        <f t="shared" si="10"/>
        <v>ATHH40873N35ZDR3</v>
      </c>
      <c r="AC220" s="8" t="str">
        <f>IF(AB220='Input - Bookings'!S217,"OK","Check")</f>
        <v>Check</v>
      </c>
      <c r="AD220" s="53"/>
      <c r="AE220" s="54">
        <v>0.0</v>
      </c>
      <c r="AF220" s="54">
        <v>0.0</v>
      </c>
      <c r="AG220" s="55">
        <v>36499.590141</v>
      </c>
      <c r="AH220" s="55"/>
      <c r="AI220" s="8" t="str">
        <f t="array" ref="AI220">XLOOKUP($J220,'AP Plants'!D:D,'AP Plants'!B:B)</f>
        <v>Class 2</v>
      </c>
      <c r="AJ220" s="56"/>
      <c r="AK220" s="56">
        <f>(AG220*(1+VLOOKUP(M220,'Currency &amp; Conversion'!$F$13:$G$19,2,0))+((AE220+AF220)*90%))</f>
        <v>36532.43977</v>
      </c>
      <c r="AL220" s="49">
        <v>0.015</v>
      </c>
      <c r="AM220" s="49">
        <f t="array" ref="AM220">XLOOKUP($AI220,Warranty!B:B,Warranty!E:E)</f>
        <v>0.015</v>
      </c>
      <c r="AN220" s="8">
        <f>IF($L220="AUD",VLOOKUP(RIGHT('Wk - Margins'!$J220,3),'AU Freight'!C:G,5,0),0)</f>
        <v>0</v>
      </c>
      <c r="AO220" s="49">
        <f t="shared" si="11"/>
        <v>0</v>
      </c>
      <c r="AP220" s="63">
        <f t="shared" si="12"/>
        <v>37628.41297</v>
      </c>
      <c r="AQ220" s="64">
        <f t="shared" si="13"/>
        <v>0.05071526147</v>
      </c>
      <c r="AR220" s="59">
        <f>IF(L220="AUD",O220*'Currency &amp; Conversion'!$L$7,'Wk - Margins'!O220)</f>
        <v>53505</v>
      </c>
      <c r="AS220" s="59">
        <f>IF(L220="AUD",P220*'Currency &amp; Conversion'!$L$7,'Wk - Margins'!P220)</f>
        <v>39638.7</v>
      </c>
    </row>
    <row r="221" ht="12.75" hidden="1" customHeight="1">
      <c r="A221" s="42" t="str">
        <f>'Input - Bookings'!A221</f>
        <v>29/06/2023</v>
      </c>
      <c r="B221" s="43" t="str">
        <f t="shared" si="1"/>
        <v>Asia</v>
      </c>
      <c r="C221" s="43" t="str">
        <f t="shared" si="2"/>
        <v>ATH</v>
      </c>
      <c r="D221" s="43" t="str">
        <f>'Input - Bookings'!D221</f>
        <v>A</v>
      </c>
      <c r="E221" s="43" t="str">
        <f>'Input - Bookings'!J221</f>
        <v>TH</v>
      </c>
      <c r="F221" s="44" t="str">
        <f>'Input - Bookings'!F221</f>
        <v>065</v>
      </c>
      <c r="G221" s="44" t="str">
        <f>'Input - Bookings'!I221</f>
        <v>DILOK AND SONS CO.,LTD.</v>
      </c>
      <c r="H221" s="44" t="str">
        <f>'Input - Bookings'!K221</f>
        <v>H40847</v>
      </c>
      <c r="I221" s="45" t="str">
        <f>VLOOKUP(H221,'Input - Bookings'!$G$2:$H$611,2,0)</f>
        <v>001255</v>
      </c>
      <c r="J221" s="44" t="str">
        <f>'Input - Bookings'!N221</f>
        <v>D466</v>
      </c>
      <c r="K221" s="44" t="str">
        <f>'Input - Bookings'!O221</f>
        <v>H3.5XT</v>
      </c>
      <c r="L221" s="44" t="str">
        <f>'Input - Bookings'!C221</f>
        <v>USD</v>
      </c>
      <c r="M221" s="46" t="str">
        <f t="array" ref="M221">IF(L221="USD",INDEX('AP Plants'!A:A,MATCH(J221,'AP Plants'!D:D,0)),INDEX('Australia Plants'!A:A,MATCH(J221,'Australia Plants'!D:D,0)))</f>
        <v>SN</v>
      </c>
      <c r="N221" s="10">
        <v>1.0</v>
      </c>
      <c r="O221" s="9">
        <v>31065.0</v>
      </c>
      <c r="P221" s="9">
        <v>19426.675</v>
      </c>
      <c r="Q221" s="47">
        <v>0.08878392363494958</v>
      </c>
      <c r="R221" s="48">
        <f t="shared" si="3"/>
        <v>0.3746442942</v>
      </c>
      <c r="S221" s="49">
        <f t="shared" si="4"/>
        <v>0</v>
      </c>
      <c r="T221" s="49">
        <f t="shared" si="21"/>
        <v>0.08878392363</v>
      </c>
      <c r="U221" s="50" t="str">
        <f t="shared" si="6"/>
        <v>AOP</v>
      </c>
      <c r="V221" s="51">
        <f t="shared" si="28"/>
        <v>1724.77643</v>
      </c>
      <c r="W221" s="52">
        <f t="shared" si="8"/>
        <v>1724.77643</v>
      </c>
      <c r="X221" s="9">
        <f t="shared" si="25"/>
        <v>19426.675</v>
      </c>
      <c r="Y221" s="8"/>
      <c r="Z221" s="8"/>
      <c r="AA221" s="8"/>
      <c r="AB221" s="8" t="str">
        <f t="shared" si="10"/>
        <v>ATHH40847H3.5XT</v>
      </c>
      <c r="AC221" s="8" t="str">
        <f>IF(AB221='Input - Bookings'!S218,"OK","Check")</f>
        <v>Check</v>
      </c>
      <c r="AD221" s="53"/>
      <c r="AE221" s="54"/>
      <c r="AF221" s="54"/>
      <c r="AG221" s="55"/>
      <c r="AH221" s="55"/>
      <c r="AI221" s="8" t="str">
        <f t="array" ref="AI221">XLOOKUP($J221,'AP Plants'!D:D,'AP Plants'!B:B)</f>
        <v>Class 5 NOT BT</v>
      </c>
      <c r="AJ221" s="56"/>
      <c r="AK221" s="56"/>
      <c r="AL221" s="49">
        <v>0.015</v>
      </c>
      <c r="AM221" s="49">
        <f t="array" ref="AM221">XLOOKUP($AI221,Warranty!B:B,Warranty!E:E)</f>
        <v>0.005</v>
      </c>
      <c r="AN221" s="8">
        <f>IF($L221="AUD",VLOOKUP(RIGHT('Wk - Margins'!$J221,3),'AU Freight'!C:G,5,0),0)</f>
        <v>0</v>
      </c>
      <c r="AO221" s="49">
        <f t="shared" si="11"/>
        <v>0</v>
      </c>
      <c r="AP221" s="57">
        <f t="shared" si="12"/>
        <v>0</v>
      </c>
      <c r="AQ221" s="58">
        <f t="shared" si="13"/>
        <v>1</v>
      </c>
      <c r="AR221" s="59">
        <f>IF(L221="AUD",O221*'Currency &amp; Conversion'!$L$7,'Wk - Margins'!O221)</f>
        <v>31065</v>
      </c>
      <c r="AS221" s="59">
        <f>IF(L221="AUD",P221*'Currency &amp; Conversion'!$L$7,'Wk - Margins'!P221)</f>
        <v>19426.675</v>
      </c>
    </row>
    <row r="222" ht="12.75" hidden="1" customHeight="1">
      <c r="A222" s="42" t="str">
        <f>'Input - Bookings'!A222</f>
        <v>29/06/2023</v>
      </c>
      <c r="B222" s="43" t="str">
        <f t="shared" si="1"/>
        <v>Asia</v>
      </c>
      <c r="C222" s="43" t="str">
        <f t="shared" si="2"/>
        <v>ATH</v>
      </c>
      <c r="D222" s="43" t="str">
        <f>'Input - Bookings'!D222</f>
        <v>A</v>
      </c>
      <c r="E222" s="43" t="str">
        <f>'Input - Bookings'!J222</f>
        <v>TH</v>
      </c>
      <c r="F222" s="44" t="str">
        <f>'Input - Bookings'!F222</f>
        <v>065</v>
      </c>
      <c r="G222" s="44" t="str">
        <f>'Input - Bookings'!I222</f>
        <v>DILOK AND SONS CO.,LTD.</v>
      </c>
      <c r="H222" s="44" t="str">
        <f>'Input - Bookings'!K222</f>
        <v>H40849</v>
      </c>
      <c r="I222" s="45" t="str">
        <f>VLOOKUP(H222,'Input - Bookings'!$G$2:$H$611,2,0)</f>
        <v>001255</v>
      </c>
      <c r="J222" s="44" t="str">
        <f>'Input - Bookings'!N222</f>
        <v>D466</v>
      </c>
      <c r="K222" s="44" t="str">
        <f>'Input - Bookings'!O222</f>
        <v>H3.5XT</v>
      </c>
      <c r="L222" s="44" t="str">
        <f>'Input - Bookings'!C222</f>
        <v>USD</v>
      </c>
      <c r="M222" s="46" t="str">
        <f t="array" ref="M222">IF(L222="USD",INDEX('AP Plants'!A:A,MATCH(J222,'AP Plants'!D:D,0)),INDEX('Australia Plants'!A:A,MATCH(J222,'Australia Plants'!D:D,0)))</f>
        <v>SN</v>
      </c>
      <c r="N222" s="10">
        <v>1.0</v>
      </c>
      <c r="O222" s="9">
        <v>31065.0</v>
      </c>
      <c r="P222" s="9">
        <v>19426.675</v>
      </c>
      <c r="Q222" s="47">
        <v>0.08878392363494958</v>
      </c>
      <c r="R222" s="48">
        <f t="shared" si="3"/>
        <v>0.3746442942</v>
      </c>
      <c r="S222" s="49">
        <f t="shared" si="4"/>
        <v>0</v>
      </c>
      <c r="T222" s="49">
        <f t="shared" si="21"/>
        <v>0.08878392363</v>
      </c>
      <c r="U222" s="50" t="str">
        <f t="shared" si="6"/>
        <v>AOP</v>
      </c>
      <c r="V222" s="51">
        <f t="shared" si="28"/>
        <v>1724.77643</v>
      </c>
      <c r="W222" s="52">
        <f t="shared" si="8"/>
        <v>1724.77643</v>
      </c>
      <c r="X222" s="9">
        <f t="shared" si="25"/>
        <v>19426.675</v>
      </c>
      <c r="Y222" s="8"/>
      <c r="Z222" s="8"/>
      <c r="AA222" s="8"/>
      <c r="AB222" s="8" t="str">
        <f t="shared" si="10"/>
        <v>ATHH40849H3.5XT</v>
      </c>
      <c r="AC222" s="8" t="str">
        <f>IF(AB222='Input - Bookings'!S219,"OK","Check")</f>
        <v>Check</v>
      </c>
      <c r="AD222" s="53"/>
      <c r="AE222" s="54"/>
      <c r="AF222" s="54"/>
      <c r="AG222" s="55"/>
      <c r="AH222" s="55"/>
      <c r="AI222" s="8" t="str">
        <f t="array" ref="AI222">XLOOKUP($J222,'AP Plants'!D:D,'AP Plants'!B:B)</f>
        <v>Class 5 NOT BT</v>
      </c>
      <c r="AJ222" s="56"/>
      <c r="AK222" s="56"/>
      <c r="AL222" s="49">
        <v>0.015</v>
      </c>
      <c r="AM222" s="49">
        <f t="array" ref="AM222">XLOOKUP($AI222,Warranty!B:B,Warranty!E:E)</f>
        <v>0.005</v>
      </c>
      <c r="AN222" s="8">
        <f>IF($L222="AUD",VLOOKUP(RIGHT('Wk - Margins'!$J222,3),'AU Freight'!C:G,5,0),0)</f>
        <v>0</v>
      </c>
      <c r="AO222" s="49">
        <f t="shared" si="11"/>
        <v>0</v>
      </c>
      <c r="AP222" s="57">
        <f t="shared" si="12"/>
        <v>0</v>
      </c>
      <c r="AQ222" s="58">
        <f t="shared" si="13"/>
        <v>1</v>
      </c>
      <c r="AR222" s="59">
        <f>IF(L222="AUD",O222*'Currency &amp; Conversion'!$L$7,'Wk - Margins'!O222)</f>
        <v>31065</v>
      </c>
      <c r="AS222" s="59">
        <f>IF(L222="AUD",P222*'Currency &amp; Conversion'!$L$7,'Wk - Margins'!P222)</f>
        <v>19426.675</v>
      </c>
    </row>
    <row r="223" ht="12.75" hidden="1" customHeight="1">
      <c r="A223" s="42" t="str">
        <f>'Input - Bookings'!A223</f>
        <v>29/06/2023</v>
      </c>
      <c r="B223" s="43" t="str">
        <f t="shared" si="1"/>
        <v>Asia</v>
      </c>
      <c r="C223" s="43" t="str">
        <f t="shared" si="2"/>
        <v>ATH</v>
      </c>
      <c r="D223" s="43" t="str">
        <f>'Input - Bookings'!D223</f>
        <v>A</v>
      </c>
      <c r="E223" s="43" t="str">
        <f>'Input - Bookings'!J223</f>
        <v>TH</v>
      </c>
      <c r="F223" s="44" t="str">
        <f>'Input - Bookings'!F223</f>
        <v>065</v>
      </c>
      <c r="G223" s="44" t="str">
        <f>'Input - Bookings'!I223</f>
        <v>DILOK AND SONS CO.,LTD.</v>
      </c>
      <c r="H223" s="44" t="str">
        <f>'Input - Bookings'!K223</f>
        <v>H40850</v>
      </c>
      <c r="I223" s="45" t="str">
        <f>VLOOKUP(H223,'Input - Bookings'!$G$2:$H$611,2,0)</f>
        <v>001255</v>
      </c>
      <c r="J223" s="44" t="str">
        <f>'Input - Bookings'!N223</f>
        <v>D466</v>
      </c>
      <c r="K223" s="44" t="str">
        <f>'Input - Bookings'!O223</f>
        <v>H3.5XT</v>
      </c>
      <c r="L223" s="44" t="str">
        <f>'Input - Bookings'!C223</f>
        <v>USD</v>
      </c>
      <c r="M223" s="46" t="str">
        <f t="array" ref="M223">IF(L223="USD",INDEX('AP Plants'!A:A,MATCH(J223,'AP Plants'!D:D,0)),INDEX('Australia Plants'!A:A,MATCH(J223,'Australia Plants'!D:D,0)))</f>
        <v>SN</v>
      </c>
      <c r="N223" s="10">
        <v>1.0</v>
      </c>
      <c r="O223" s="9">
        <v>31065.0</v>
      </c>
      <c r="P223" s="9">
        <v>19426.675</v>
      </c>
      <c r="Q223" s="47">
        <v>0.08878392363494958</v>
      </c>
      <c r="R223" s="48">
        <f t="shared" si="3"/>
        <v>0.3746442942</v>
      </c>
      <c r="S223" s="49">
        <f t="shared" si="4"/>
        <v>0</v>
      </c>
      <c r="T223" s="49">
        <f t="shared" si="21"/>
        <v>0.08878392363</v>
      </c>
      <c r="U223" s="50" t="str">
        <f t="shared" si="6"/>
        <v>AOP</v>
      </c>
      <c r="V223" s="51">
        <f t="shared" si="28"/>
        <v>1724.77643</v>
      </c>
      <c r="W223" s="52">
        <f t="shared" si="8"/>
        <v>1724.77643</v>
      </c>
      <c r="X223" s="9">
        <f t="shared" si="25"/>
        <v>19426.675</v>
      </c>
      <c r="Y223" s="8"/>
      <c r="Z223" s="8"/>
      <c r="AA223" s="8"/>
      <c r="AB223" s="8" t="str">
        <f t="shared" si="10"/>
        <v>ATHH40850H3.5XT</v>
      </c>
      <c r="AC223" s="8" t="str">
        <f>IF(AB223='Input - Bookings'!S220,"OK","Check")</f>
        <v>Check</v>
      </c>
      <c r="AD223" s="53"/>
      <c r="AE223" s="54"/>
      <c r="AF223" s="54"/>
      <c r="AG223" s="55"/>
      <c r="AH223" s="55"/>
      <c r="AI223" s="8" t="str">
        <f t="array" ref="AI223">XLOOKUP($J223,'AP Plants'!D:D,'AP Plants'!B:B)</f>
        <v>Class 5 NOT BT</v>
      </c>
      <c r="AJ223" s="56"/>
      <c r="AK223" s="56"/>
      <c r="AL223" s="49">
        <v>0.015</v>
      </c>
      <c r="AM223" s="49">
        <f t="array" ref="AM223">XLOOKUP($AI223,Warranty!B:B,Warranty!E:E)</f>
        <v>0.005</v>
      </c>
      <c r="AN223" s="8">
        <f>IF($L223="AUD",VLOOKUP(RIGHT('Wk - Margins'!$J223,3),'AU Freight'!C:G,5,0),0)</f>
        <v>0</v>
      </c>
      <c r="AO223" s="49">
        <f t="shared" si="11"/>
        <v>0</v>
      </c>
      <c r="AP223" s="57">
        <f t="shared" si="12"/>
        <v>0</v>
      </c>
      <c r="AQ223" s="58">
        <f t="shared" si="13"/>
        <v>1</v>
      </c>
      <c r="AR223" s="59">
        <f>IF(L223="AUD",O223*'Currency &amp; Conversion'!$L$7,'Wk - Margins'!O223)</f>
        <v>31065</v>
      </c>
      <c r="AS223" s="59">
        <f>IF(L223="AUD",P223*'Currency &amp; Conversion'!$L$7,'Wk - Margins'!P223)</f>
        <v>19426.675</v>
      </c>
    </row>
    <row r="224" ht="12.75" hidden="1" customHeight="1">
      <c r="A224" s="42" t="str">
        <f>'Input - Bookings'!A224</f>
        <v>29/06/2023</v>
      </c>
      <c r="B224" s="43" t="str">
        <f t="shared" si="1"/>
        <v>Asia</v>
      </c>
      <c r="C224" s="43" t="str">
        <f t="shared" si="2"/>
        <v>ATH</v>
      </c>
      <c r="D224" s="43" t="str">
        <f>'Input - Bookings'!D224</f>
        <v>A</v>
      </c>
      <c r="E224" s="43" t="str">
        <f>'Input - Bookings'!J224</f>
        <v>TH</v>
      </c>
      <c r="F224" s="44" t="str">
        <f>'Input - Bookings'!F224</f>
        <v>065</v>
      </c>
      <c r="G224" s="44" t="str">
        <f>'Input - Bookings'!I224</f>
        <v>DILOK AND SONS CO.,LTD.</v>
      </c>
      <c r="H224" s="44" t="str">
        <f>'Input - Bookings'!K224</f>
        <v>H40848</v>
      </c>
      <c r="I224" s="45" t="str">
        <f>VLOOKUP(H224,'Input - Bookings'!$G$2:$H$611,2,0)</f>
        <v>001255</v>
      </c>
      <c r="J224" s="44" t="str">
        <f>'Input - Bookings'!N224</f>
        <v>D466</v>
      </c>
      <c r="K224" s="44" t="str">
        <f>'Input - Bookings'!O224</f>
        <v>H3.5XT</v>
      </c>
      <c r="L224" s="44" t="str">
        <f>'Input - Bookings'!C224</f>
        <v>USD</v>
      </c>
      <c r="M224" s="46" t="str">
        <f t="array" ref="M224">IF(L224="USD",INDEX('AP Plants'!A:A,MATCH(J224,'AP Plants'!D:D,0)),INDEX('Australia Plants'!A:A,MATCH(J224,'Australia Plants'!D:D,0)))</f>
        <v>SN</v>
      </c>
      <c r="N224" s="10">
        <v>1.0</v>
      </c>
      <c r="O224" s="9">
        <v>31065.0</v>
      </c>
      <c r="P224" s="9">
        <v>19037.649999999998</v>
      </c>
      <c r="Q224" s="47">
        <v>0.08358014495719912</v>
      </c>
      <c r="R224" s="48">
        <f t="shared" si="3"/>
        <v>0.38716723</v>
      </c>
      <c r="S224" s="49">
        <f t="shared" si="4"/>
        <v>0</v>
      </c>
      <c r="T224" s="49">
        <f t="shared" si="21"/>
        <v>0.08358014496</v>
      </c>
      <c r="U224" s="50" t="str">
        <f t="shared" si="6"/>
        <v>AOP</v>
      </c>
      <c r="V224" s="51">
        <f t="shared" si="28"/>
        <v>1591.169547</v>
      </c>
      <c r="W224" s="52">
        <f t="shared" si="8"/>
        <v>1591.169547</v>
      </c>
      <c r="X224" s="9">
        <f t="shared" si="25"/>
        <v>19037.65</v>
      </c>
      <c r="Y224" s="8"/>
      <c r="Z224" s="8"/>
      <c r="AA224" s="8"/>
      <c r="AB224" s="8" t="str">
        <f t="shared" si="10"/>
        <v>ATHH40848H3.5XT</v>
      </c>
      <c r="AC224" s="8" t="str">
        <f>IF(AB224='Input - Bookings'!S221,"OK","Check")</f>
        <v>Check</v>
      </c>
      <c r="AD224" s="53"/>
      <c r="AE224" s="54"/>
      <c r="AF224" s="54"/>
      <c r="AG224" s="55"/>
      <c r="AH224" s="55"/>
      <c r="AI224" s="8" t="str">
        <f t="array" ref="AI224">XLOOKUP($J224,'AP Plants'!D:D,'AP Plants'!B:B)</f>
        <v>Class 5 NOT BT</v>
      </c>
      <c r="AJ224" s="56"/>
      <c r="AK224" s="56"/>
      <c r="AL224" s="49">
        <v>0.015</v>
      </c>
      <c r="AM224" s="49">
        <f t="array" ref="AM224">XLOOKUP($AI224,Warranty!B:B,Warranty!E:E)</f>
        <v>0.005</v>
      </c>
      <c r="AN224" s="8">
        <f>IF($L224="AUD",VLOOKUP(RIGHT('Wk - Margins'!$J224,3),'AU Freight'!C:G,5,0),0)</f>
        <v>0</v>
      </c>
      <c r="AO224" s="49">
        <f t="shared" si="11"/>
        <v>0</v>
      </c>
      <c r="AP224" s="57">
        <f t="shared" si="12"/>
        <v>0</v>
      </c>
      <c r="AQ224" s="58">
        <f t="shared" si="13"/>
        <v>1</v>
      </c>
      <c r="AR224" s="59">
        <f>IF(L224="AUD",O224*'Currency &amp; Conversion'!$L$7,'Wk - Margins'!O224)</f>
        <v>31065</v>
      </c>
      <c r="AS224" s="59">
        <f>IF(L224="AUD",P224*'Currency &amp; Conversion'!$L$7,'Wk - Margins'!P224)</f>
        <v>19037.65</v>
      </c>
    </row>
    <row r="225" ht="12.75" hidden="1" customHeight="1">
      <c r="A225" s="42" t="str">
        <f>'Input - Bookings'!A225</f>
        <v>29/06/2023</v>
      </c>
      <c r="B225" s="43" t="str">
        <f t="shared" si="1"/>
        <v>Asia</v>
      </c>
      <c r="C225" s="43" t="str">
        <f t="shared" si="2"/>
        <v>ATH</v>
      </c>
      <c r="D225" s="43" t="str">
        <f>'Input - Bookings'!D225</f>
        <v>A</v>
      </c>
      <c r="E225" s="43" t="str">
        <f>'Input - Bookings'!J225</f>
        <v>TH</v>
      </c>
      <c r="F225" s="44" t="str">
        <f>'Input - Bookings'!F225</f>
        <v>065</v>
      </c>
      <c r="G225" s="44" t="str">
        <f>'Input - Bookings'!I225</f>
        <v>DILOK AND SONS CO.,LTD.</v>
      </c>
      <c r="H225" s="44" t="str">
        <f>'Input - Bookings'!K225</f>
        <v>H40851</v>
      </c>
      <c r="I225" s="45" t="str">
        <f>VLOOKUP(H225,'Input - Bookings'!$G$2:$H$611,2,0)</f>
        <v>001255</v>
      </c>
      <c r="J225" s="44" t="str">
        <f>'Input - Bookings'!N225</f>
        <v>D466</v>
      </c>
      <c r="K225" s="44" t="str">
        <f>'Input - Bookings'!O225</f>
        <v>H3.5XT</v>
      </c>
      <c r="L225" s="44" t="str">
        <f>'Input - Bookings'!C225</f>
        <v>USD</v>
      </c>
      <c r="M225" s="46" t="str">
        <f t="array" ref="M225">IF(L225="USD",INDEX('AP Plants'!A:A,MATCH(J225,'AP Plants'!D:D,0)),INDEX('Australia Plants'!A:A,MATCH(J225,'Australia Plants'!D:D,0)))</f>
        <v>SN</v>
      </c>
      <c r="N225" s="10">
        <v>1.0</v>
      </c>
      <c r="O225" s="9">
        <v>31065.0</v>
      </c>
      <c r="P225" s="9">
        <v>19037.649999999998</v>
      </c>
      <c r="Q225" s="47">
        <v>0.08358014495719912</v>
      </c>
      <c r="R225" s="48">
        <f t="shared" si="3"/>
        <v>0.38716723</v>
      </c>
      <c r="S225" s="49">
        <f t="shared" si="4"/>
        <v>0</v>
      </c>
      <c r="T225" s="49">
        <f t="shared" si="21"/>
        <v>0.08358014496</v>
      </c>
      <c r="U225" s="50" t="str">
        <f t="shared" si="6"/>
        <v>AOP</v>
      </c>
      <c r="V225" s="51">
        <f t="shared" si="28"/>
        <v>1591.169547</v>
      </c>
      <c r="W225" s="52">
        <f t="shared" si="8"/>
        <v>1591.169547</v>
      </c>
      <c r="X225" s="9">
        <f t="shared" si="25"/>
        <v>19037.65</v>
      </c>
      <c r="Y225" s="8"/>
      <c r="Z225" s="8"/>
      <c r="AA225" s="8"/>
      <c r="AB225" s="8" t="str">
        <f t="shared" si="10"/>
        <v>ATHH40851H3.5XT</v>
      </c>
      <c r="AC225" s="8" t="str">
        <f>IF(AB225='Input - Bookings'!S222,"OK","Check")</f>
        <v>Check</v>
      </c>
      <c r="AD225" s="53"/>
      <c r="AE225" s="54"/>
      <c r="AF225" s="54"/>
      <c r="AG225" s="55"/>
      <c r="AH225" s="55"/>
      <c r="AI225" s="8" t="str">
        <f t="array" ref="AI225">XLOOKUP($J225,'AP Plants'!D:D,'AP Plants'!B:B)</f>
        <v>Class 5 NOT BT</v>
      </c>
      <c r="AJ225" s="56"/>
      <c r="AK225" s="56"/>
      <c r="AL225" s="49">
        <v>0.015</v>
      </c>
      <c r="AM225" s="49">
        <f t="array" ref="AM225">XLOOKUP($AI225,Warranty!B:B,Warranty!E:E)</f>
        <v>0.005</v>
      </c>
      <c r="AN225" s="8">
        <f>IF($L225="AUD",VLOOKUP(RIGHT('Wk - Margins'!$J225,3),'AU Freight'!C:G,5,0),0)</f>
        <v>0</v>
      </c>
      <c r="AO225" s="49">
        <f t="shared" si="11"/>
        <v>0</v>
      </c>
      <c r="AP225" s="57">
        <f t="shared" si="12"/>
        <v>0</v>
      </c>
      <c r="AQ225" s="58">
        <f t="shared" si="13"/>
        <v>1</v>
      </c>
      <c r="AR225" s="59">
        <f>IF(L225="AUD",O225*'Currency &amp; Conversion'!$L$7,'Wk - Margins'!O225)</f>
        <v>31065</v>
      </c>
      <c r="AS225" s="59">
        <f>IF(L225="AUD",P225*'Currency &amp; Conversion'!$L$7,'Wk - Margins'!P225)</f>
        <v>19037.65</v>
      </c>
    </row>
    <row r="226" ht="12.75" hidden="1" customHeight="1">
      <c r="A226" s="42" t="str">
        <f>'Input - Bookings'!A226</f>
        <v>29/06/2023</v>
      </c>
      <c r="B226" s="43" t="str">
        <f t="shared" si="1"/>
        <v>Asia</v>
      </c>
      <c r="C226" s="43" t="str">
        <f t="shared" si="2"/>
        <v>ATH</v>
      </c>
      <c r="D226" s="43" t="str">
        <f>'Input - Bookings'!D226</f>
        <v>A</v>
      </c>
      <c r="E226" s="43" t="str">
        <f>'Input - Bookings'!J226</f>
        <v>TH</v>
      </c>
      <c r="F226" s="44" t="str">
        <f>'Input - Bookings'!F226</f>
        <v>065</v>
      </c>
      <c r="G226" s="44" t="str">
        <f>'Input - Bookings'!I226</f>
        <v>DILOK AND SONS CO.,LTD.</v>
      </c>
      <c r="H226" s="44" t="str">
        <f>'Input - Bookings'!K226</f>
        <v>H40852</v>
      </c>
      <c r="I226" s="45" t="str">
        <f>VLOOKUP(H226,'Input - Bookings'!$G$2:$H$611,2,0)</f>
        <v>001255</v>
      </c>
      <c r="J226" s="44" t="str">
        <f>'Input - Bookings'!N226</f>
        <v>D466</v>
      </c>
      <c r="K226" s="44" t="str">
        <f>'Input - Bookings'!O226</f>
        <v>H3.5XT</v>
      </c>
      <c r="L226" s="44" t="str">
        <f>'Input - Bookings'!C226</f>
        <v>USD</v>
      </c>
      <c r="M226" s="46" t="str">
        <f t="array" ref="M226">IF(L226="USD",INDEX('AP Plants'!A:A,MATCH(J226,'AP Plants'!D:D,0)),INDEX('Australia Plants'!A:A,MATCH(J226,'Australia Plants'!D:D,0)))</f>
        <v>SN</v>
      </c>
      <c r="N226" s="10">
        <v>1.0</v>
      </c>
      <c r="O226" s="9">
        <v>31065.0</v>
      </c>
      <c r="P226" s="9">
        <v>19037.649999999998</v>
      </c>
      <c r="Q226" s="47">
        <v>0.08358014495719912</v>
      </c>
      <c r="R226" s="48">
        <f t="shared" si="3"/>
        <v>0.38716723</v>
      </c>
      <c r="S226" s="49">
        <f t="shared" si="4"/>
        <v>0</v>
      </c>
      <c r="T226" s="49">
        <f t="shared" si="21"/>
        <v>0.08358014496</v>
      </c>
      <c r="U226" s="50" t="str">
        <f t="shared" si="6"/>
        <v>AOP</v>
      </c>
      <c r="V226" s="51">
        <f t="shared" si="28"/>
        <v>1591.169547</v>
      </c>
      <c r="W226" s="52">
        <f t="shared" si="8"/>
        <v>1591.169547</v>
      </c>
      <c r="X226" s="9">
        <f t="shared" si="25"/>
        <v>19037.65</v>
      </c>
      <c r="Y226" s="8"/>
      <c r="Z226" s="8"/>
      <c r="AA226" s="8"/>
      <c r="AB226" s="8" t="str">
        <f t="shared" si="10"/>
        <v>ATHH40852H3.5XT</v>
      </c>
      <c r="AC226" s="8" t="str">
        <f>IF(AB226='Input - Bookings'!S223,"OK","Check")</f>
        <v>Check</v>
      </c>
      <c r="AD226" s="53"/>
      <c r="AE226" s="54"/>
      <c r="AF226" s="54"/>
      <c r="AG226" s="55"/>
      <c r="AH226" s="55"/>
      <c r="AI226" s="8" t="str">
        <f t="array" ref="AI226">XLOOKUP($J226,'AP Plants'!D:D,'AP Plants'!B:B)</f>
        <v>Class 5 NOT BT</v>
      </c>
      <c r="AJ226" s="56"/>
      <c r="AK226" s="56"/>
      <c r="AL226" s="49">
        <v>0.015</v>
      </c>
      <c r="AM226" s="49">
        <f t="array" ref="AM226">XLOOKUP($AI226,Warranty!B:B,Warranty!E:E)</f>
        <v>0.005</v>
      </c>
      <c r="AN226" s="8">
        <f>IF($L226="AUD",VLOOKUP(RIGHT('Wk - Margins'!$J226,3),'AU Freight'!C:G,5,0),0)</f>
        <v>0</v>
      </c>
      <c r="AO226" s="49">
        <f t="shared" si="11"/>
        <v>0</v>
      </c>
      <c r="AP226" s="57">
        <f t="shared" si="12"/>
        <v>0</v>
      </c>
      <c r="AQ226" s="58">
        <f t="shared" si="13"/>
        <v>1</v>
      </c>
      <c r="AR226" s="59">
        <f>IF(L226="AUD",O226*'Currency &amp; Conversion'!$L$7,'Wk - Margins'!O226)</f>
        <v>31065</v>
      </c>
      <c r="AS226" s="59">
        <f>IF(L226="AUD",P226*'Currency &amp; Conversion'!$L$7,'Wk - Margins'!P226)</f>
        <v>19037.65</v>
      </c>
    </row>
    <row r="227" ht="12.75" customHeight="1">
      <c r="A227" s="42" t="str">
        <f>'Input - Bookings'!A227</f>
        <v>29/06/2023</v>
      </c>
      <c r="B227" s="43" t="str">
        <f t="shared" si="1"/>
        <v>Asia</v>
      </c>
      <c r="C227" s="43" t="str">
        <f t="shared" si="2"/>
        <v>ATH</v>
      </c>
      <c r="D227" s="43" t="str">
        <f>'Input - Bookings'!D227</f>
        <v>A</v>
      </c>
      <c r="E227" s="43" t="str">
        <f>'Input - Bookings'!J227</f>
        <v>TH</v>
      </c>
      <c r="F227" s="44" t="str">
        <f>'Input - Bookings'!F227</f>
        <v>065</v>
      </c>
      <c r="G227" s="44" t="str">
        <f>'Input - Bookings'!I227</f>
        <v>DILOK AND SONS CO.,LTD.</v>
      </c>
      <c r="H227" s="44" t="str">
        <f>'Input - Bookings'!K227</f>
        <v>H40853</v>
      </c>
      <c r="I227" s="45" t="str">
        <f>VLOOKUP(H227,'Input - Bookings'!$G$2:$H$611,2,0)</f>
        <v>001255</v>
      </c>
      <c r="J227" s="44" t="str">
        <f>'Input - Bookings'!N227</f>
        <v>C453</v>
      </c>
      <c r="K227" s="44" t="str">
        <f>'Input - Bookings'!O227</f>
        <v>W40ZA</v>
      </c>
      <c r="L227" s="44" t="str">
        <f>'Input - Bookings'!C227</f>
        <v>USD</v>
      </c>
      <c r="M227" s="46" t="str">
        <f t="array" ref="M227">IF(L227="USD",INDEX('AP Plants'!A:A,MATCH(J227,'AP Plants'!D:D,0)),INDEX('Australia Plants'!A:A,MATCH(J227,'Australia Plants'!D:D,0)))</f>
        <v>Greenville</v>
      </c>
      <c r="N227" s="10">
        <v>1.0</v>
      </c>
      <c r="O227" s="9">
        <v>22155.0</v>
      </c>
      <c r="P227" s="9">
        <v>16632.2</v>
      </c>
      <c r="Q227" s="47">
        <f t="shared" ref="Q227:Q228" si="34">AQ227</f>
        <v>0.2970038419</v>
      </c>
      <c r="R227" s="48">
        <f t="shared" si="3"/>
        <v>0.2492800722</v>
      </c>
      <c r="S227" s="49">
        <f t="shared" si="4"/>
        <v>0</v>
      </c>
      <c r="T227" s="49">
        <f t="shared" si="21"/>
        <v>0.2970038419</v>
      </c>
      <c r="U227" s="50" t="str">
        <f t="shared" si="6"/>
        <v>AOP</v>
      </c>
      <c r="V227" s="51">
        <f t="shared" si="28"/>
        <v>4939.827299</v>
      </c>
      <c r="W227" s="52">
        <f t="shared" si="8"/>
        <v>4939.827299</v>
      </c>
      <c r="X227" s="9">
        <f t="shared" si="25"/>
        <v>16632.2</v>
      </c>
      <c r="Y227" s="8"/>
      <c r="Z227" s="8"/>
      <c r="AA227" s="8"/>
      <c r="AB227" s="8" t="str">
        <f t="shared" si="10"/>
        <v>ATHH40853W40ZA</v>
      </c>
      <c r="AC227" s="8" t="str">
        <f>IF(AB227='Input - Bookings'!S232,"OK","Check")</f>
        <v>Check</v>
      </c>
      <c r="AD227" s="53"/>
      <c r="AE227" s="54">
        <v>0.0</v>
      </c>
      <c r="AF227" s="54">
        <v>0.0</v>
      </c>
      <c r="AG227" s="55">
        <v>11341.610707</v>
      </c>
      <c r="AH227" s="62"/>
      <c r="AI227" s="8" t="str">
        <f t="array" ref="AI227">XLOOKUP($J227,'AP Plants'!D:D,'AP Plants'!B:B)</f>
        <v>Class 3</v>
      </c>
      <c r="AJ227" s="56"/>
      <c r="AK227" s="56">
        <f>(AG227*(1+VLOOKUP(M227,'Currency &amp; Conversion'!$F$13:$G$19,2,0))+((AE227+AF227)*90%))</f>
        <v>11351.81816</v>
      </c>
      <c r="AL227" s="49">
        <v>0.015</v>
      </c>
      <c r="AM227" s="49">
        <f t="array" ref="AM227">XLOOKUP($AI227,Warranty!B:B,Warranty!E:E)</f>
        <v>0.015</v>
      </c>
      <c r="AN227" s="8">
        <f>IF($L227="AUD",VLOOKUP(RIGHT('Wk - Margins'!$J227,3),'AU Freight'!C:G,5,0),0)</f>
        <v>0</v>
      </c>
      <c r="AO227" s="49">
        <f t="shared" si="11"/>
        <v>0</v>
      </c>
      <c r="AP227" s="63">
        <f t="shared" si="12"/>
        <v>11692.3727</v>
      </c>
      <c r="AQ227" s="64">
        <f t="shared" si="13"/>
        <v>0.2970038419</v>
      </c>
      <c r="AR227" s="59">
        <f>IF(L227="AUD",O227*'Currency &amp; Conversion'!$L$7,'Wk - Margins'!O227)</f>
        <v>22155</v>
      </c>
      <c r="AS227" s="59">
        <f>IF(L227="AUD",P227*'Currency &amp; Conversion'!$L$7,'Wk - Margins'!P227)</f>
        <v>16632.2</v>
      </c>
    </row>
    <row r="228" ht="12.75" customHeight="1">
      <c r="A228" s="42" t="str">
        <f>'Input - Bookings'!A228</f>
        <v>29/06/2023</v>
      </c>
      <c r="B228" s="43" t="str">
        <f t="shared" si="1"/>
        <v>Asia</v>
      </c>
      <c r="C228" s="43" t="str">
        <f t="shared" si="2"/>
        <v>ATH</v>
      </c>
      <c r="D228" s="43" t="str">
        <f>'Input - Bookings'!D228</f>
        <v>A</v>
      </c>
      <c r="E228" s="43" t="str">
        <f>'Input - Bookings'!J228</f>
        <v>TH</v>
      </c>
      <c r="F228" s="44" t="str">
        <f>'Input - Bookings'!F228</f>
        <v>065</v>
      </c>
      <c r="G228" s="44" t="str">
        <f>'Input - Bookings'!I228</f>
        <v>DILOK AND SONS CO.,LTD.</v>
      </c>
      <c r="H228" s="44" t="str">
        <f>'Input - Bookings'!K228</f>
        <v>H40854</v>
      </c>
      <c r="I228" s="45" t="str">
        <f>VLOOKUP(H228,'Input - Bookings'!$G$2:$H$611,2,0)</f>
        <v>001255</v>
      </c>
      <c r="J228" s="44" t="str">
        <f>'Input - Bookings'!N228</f>
        <v>C453</v>
      </c>
      <c r="K228" s="44" t="str">
        <f>'Input - Bookings'!O228</f>
        <v>W40ZA</v>
      </c>
      <c r="L228" s="44" t="str">
        <f>'Input - Bookings'!C228</f>
        <v>USD</v>
      </c>
      <c r="M228" s="46" t="str">
        <f t="array" ref="M228">IF(L228="USD",INDEX('AP Plants'!A:A,MATCH(J228,'AP Plants'!D:D,0)),INDEX('Australia Plants'!A:A,MATCH(J228,'Australia Plants'!D:D,0)))</f>
        <v>Greenville</v>
      </c>
      <c r="N228" s="10">
        <v>1.0</v>
      </c>
      <c r="O228" s="9">
        <v>22155.0</v>
      </c>
      <c r="P228" s="9">
        <v>16632.2</v>
      </c>
      <c r="Q228" s="47">
        <f t="shared" si="34"/>
        <v>0.2970038419</v>
      </c>
      <c r="R228" s="48">
        <f t="shared" si="3"/>
        <v>0.2492800722</v>
      </c>
      <c r="S228" s="49">
        <f t="shared" si="4"/>
        <v>0</v>
      </c>
      <c r="T228" s="49">
        <f t="shared" si="21"/>
        <v>0.2970038419</v>
      </c>
      <c r="U228" s="50" t="str">
        <f t="shared" si="6"/>
        <v>AOP</v>
      </c>
      <c r="V228" s="51">
        <f t="shared" si="28"/>
        <v>4939.827299</v>
      </c>
      <c r="W228" s="52">
        <f t="shared" si="8"/>
        <v>4939.827299</v>
      </c>
      <c r="X228" s="9">
        <f t="shared" si="25"/>
        <v>16632.2</v>
      </c>
      <c r="Y228" s="8"/>
      <c r="Z228" s="8"/>
      <c r="AA228" s="8"/>
      <c r="AB228" s="8" t="str">
        <f t="shared" si="10"/>
        <v>ATHH40854W40ZA</v>
      </c>
      <c r="AC228" s="8" t="str">
        <f>IF(AB228='Input - Bookings'!S233,"OK","Check")</f>
        <v>Check</v>
      </c>
      <c r="AD228" s="53"/>
      <c r="AE228" s="54">
        <v>0.0</v>
      </c>
      <c r="AF228" s="54">
        <v>0.0</v>
      </c>
      <c r="AG228" s="55">
        <v>11341.610707</v>
      </c>
      <c r="AH228" s="62"/>
      <c r="AI228" s="8" t="str">
        <f t="array" ref="AI228">XLOOKUP($J228,'AP Plants'!D:D,'AP Plants'!B:B)</f>
        <v>Class 3</v>
      </c>
      <c r="AJ228" s="56"/>
      <c r="AK228" s="56">
        <f>(AG228*(1+VLOOKUP(M228,'Currency &amp; Conversion'!$F$13:$G$19,2,0))+((AE228+AF228)*90%))</f>
        <v>11351.81816</v>
      </c>
      <c r="AL228" s="49">
        <v>0.015</v>
      </c>
      <c r="AM228" s="49">
        <f t="array" ref="AM228">XLOOKUP($AI228,Warranty!B:B,Warranty!E:E)</f>
        <v>0.015</v>
      </c>
      <c r="AN228" s="8">
        <f>IF($L228="AUD",VLOOKUP(RIGHT('Wk - Margins'!$J228,3),'AU Freight'!C:G,5,0),0)</f>
        <v>0</v>
      </c>
      <c r="AO228" s="49">
        <f t="shared" si="11"/>
        <v>0</v>
      </c>
      <c r="AP228" s="63">
        <f t="shared" si="12"/>
        <v>11692.3727</v>
      </c>
      <c r="AQ228" s="64">
        <f t="shared" si="13"/>
        <v>0.2970038419</v>
      </c>
      <c r="AR228" s="59">
        <f>IF(L228="AUD",O228*'Currency &amp; Conversion'!$L$7,'Wk - Margins'!O228)</f>
        <v>22155</v>
      </c>
      <c r="AS228" s="59">
        <f>IF(L228="AUD",P228*'Currency &amp; Conversion'!$L$7,'Wk - Margins'!P228)</f>
        <v>16632.2</v>
      </c>
    </row>
    <row r="229" ht="12.75" hidden="1" customHeight="1">
      <c r="A229" s="42" t="str">
        <f>'Input - Bookings'!A229</f>
        <v>29/06/2023</v>
      </c>
      <c r="B229" s="43" t="str">
        <f t="shared" si="1"/>
        <v>Asia</v>
      </c>
      <c r="C229" s="43" t="str">
        <f t="shared" si="2"/>
        <v>ATH</v>
      </c>
      <c r="D229" s="43" t="str">
        <f>'Input - Bookings'!D229</f>
        <v>A</v>
      </c>
      <c r="E229" s="43" t="str">
        <f>'Input - Bookings'!J229</f>
        <v>TH</v>
      </c>
      <c r="F229" s="44" t="str">
        <f>'Input - Bookings'!F229</f>
        <v>065</v>
      </c>
      <c r="G229" s="44" t="str">
        <f>'Input - Bookings'!I229</f>
        <v>DILOK AND SONS CO.,LTD.</v>
      </c>
      <c r="H229" s="45" t="str">
        <f>'Input - Bookings'!K229</f>
        <v>H40878</v>
      </c>
      <c r="I229" s="45" t="str">
        <f>VLOOKUP(H229,'Input - Bookings'!$G$2:$H$611,2,0)</f>
        <v>001255</v>
      </c>
      <c r="J229" s="44" t="str">
        <f>'Input - Bookings'!N229</f>
        <v>A3C4</v>
      </c>
      <c r="K229" s="44" t="str">
        <f>'Input - Bookings'!O229</f>
        <v>J2.0UT</v>
      </c>
      <c r="L229" s="44" t="str">
        <f>'Input - Bookings'!C229</f>
        <v>USD</v>
      </c>
      <c r="M229" s="46" t="str">
        <f t="array" ref="M229">IF(L229="USD",INDEX('AP Plants'!A:A,MATCH(J229,'AP Plants'!D:D,0)),INDEX('Australia Plants'!A:A,MATCH(J229,'Australia Plants'!D:D,0)))</f>
        <v>Maximal</v>
      </c>
      <c r="N229" s="10">
        <v>1.0</v>
      </c>
      <c r="O229" s="9">
        <v>30676.0</v>
      </c>
      <c r="P229" s="9">
        <v>21523.765</v>
      </c>
      <c r="Q229" s="47">
        <v>0.1310597441711172</v>
      </c>
      <c r="R229" s="48">
        <f t="shared" si="3"/>
        <v>0.298351643</v>
      </c>
      <c r="S229" s="49">
        <f t="shared" si="4"/>
        <v>0</v>
      </c>
      <c r="T229" s="49">
        <f t="shared" si="21"/>
        <v>0.1310597442</v>
      </c>
      <c r="U229" s="50" t="str">
        <f t="shared" si="6"/>
        <v>AOP</v>
      </c>
      <c r="V229" s="51">
        <f t="shared" si="28"/>
        <v>2820.899134</v>
      </c>
      <c r="W229" s="52">
        <f t="shared" si="8"/>
        <v>2820.899134</v>
      </c>
      <c r="X229" s="9">
        <f t="shared" si="25"/>
        <v>21523.765</v>
      </c>
      <c r="Y229" s="8"/>
      <c r="Z229" s="8"/>
      <c r="AA229" s="8"/>
      <c r="AB229" s="8" t="str">
        <f t="shared" si="10"/>
        <v>ATHH40878J2.0UT</v>
      </c>
      <c r="AC229" s="8" t="str">
        <f>IF(AB229='Input - Bookings'!S234,"OK","Check")</f>
        <v>Check</v>
      </c>
      <c r="AD229" s="53"/>
      <c r="AE229" s="54"/>
      <c r="AF229" s="54"/>
      <c r="AG229" s="55"/>
      <c r="AH229" s="62"/>
      <c r="AI229" s="8" t="str">
        <f t="array" ref="AI229">XLOOKUP($J229,'AP Plants'!D:D,'AP Plants'!B:B)</f>
        <v>Class 1</v>
      </c>
      <c r="AJ229" s="56"/>
      <c r="AK229" s="56"/>
      <c r="AL229" s="49">
        <v>0.015</v>
      </c>
      <c r="AM229" s="49">
        <f t="array" ref="AM229">XLOOKUP($AI229,Warranty!B:B,Warranty!E:E)</f>
        <v>0.005</v>
      </c>
      <c r="AN229" s="8">
        <f>IF($L229="AUD",VLOOKUP(RIGHT('Wk - Margins'!$J229,3),'AU Freight'!C:G,5,0),0)</f>
        <v>0</v>
      </c>
      <c r="AO229" s="49">
        <f t="shared" si="11"/>
        <v>0</v>
      </c>
      <c r="AP229" s="57">
        <f t="shared" si="12"/>
        <v>0</v>
      </c>
      <c r="AQ229" s="58">
        <f t="shared" si="13"/>
        <v>1</v>
      </c>
      <c r="AR229" s="59">
        <f>IF(L229="AUD",O229*'Currency &amp; Conversion'!$L$7,'Wk - Margins'!O229)</f>
        <v>30676</v>
      </c>
      <c r="AS229" s="59">
        <f>IF(L229="AUD",P229*'Currency &amp; Conversion'!$L$7,'Wk - Margins'!P229)</f>
        <v>21523.765</v>
      </c>
    </row>
    <row r="230" ht="12.75" hidden="1" customHeight="1">
      <c r="A230" s="42" t="str">
        <f>'Input - Bookings'!A230</f>
        <v>29/06/2023</v>
      </c>
      <c r="B230" s="43" t="str">
        <f t="shared" si="1"/>
        <v>Asia</v>
      </c>
      <c r="C230" s="43" t="str">
        <f t="shared" si="2"/>
        <v>ATH</v>
      </c>
      <c r="D230" s="43" t="str">
        <f>'Input - Bookings'!D230</f>
        <v>A</v>
      </c>
      <c r="E230" s="43" t="str">
        <f>'Input - Bookings'!J230</f>
        <v>TH</v>
      </c>
      <c r="F230" s="44" t="str">
        <f>'Input - Bookings'!F230</f>
        <v>065</v>
      </c>
      <c r="G230" s="44" t="str">
        <f>'Input - Bookings'!I230</f>
        <v>DILOK AND SONS CO.,LTD.</v>
      </c>
      <c r="H230" s="44" t="str">
        <f>'Input - Bookings'!K230</f>
        <v>H40880</v>
      </c>
      <c r="I230" s="45" t="str">
        <f>VLOOKUP(H230,'Input - Bookings'!$G$2:$H$611,2,0)</f>
        <v>001255</v>
      </c>
      <c r="J230" s="44" t="str">
        <f>'Input - Bookings'!N230</f>
        <v>A3C3</v>
      </c>
      <c r="K230" s="44" t="str">
        <f>'Input - Bookings'!O230</f>
        <v>S1.5UT</v>
      </c>
      <c r="L230" s="44" t="str">
        <f>'Input - Bookings'!C230</f>
        <v>USD</v>
      </c>
      <c r="M230" s="46" t="str">
        <f t="array" ref="M230">IF(L230="USD",INDEX('AP Plants'!A:A,MATCH(J230,'AP Plants'!D:D,0)),INDEX('Australia Plants'!A:A,MATCH(J230,'Australia Plants'!D:D,0)))</f>
        <v>Ruyi</v>
      </c>
      <c r="N230" s="10">
        <v>1.0</v>
      </c>
      <c r="O230" s="9">
        <v>12705.0</v>
      </c>
      <c r="P230" s="9">
        <v>8814.9</v>
      </c>
      <c r="Q230" s="47">
        <v>0.28705084570125217</v>
      </c>
      <c r="R230" s="48">
        <f t="shared" si="3"/>
        <v>0.3061865407</v>
      </c>
      <c r="S230" s="49">
        <f t="shared" si="4"/>
        <v>0</v>
      </c>
      <c r="T230" s="49">
        <f t="shared" si="21"/>
        <v>0.2870508457</v>
      </c>
      <c r="U230" s="50" t="str">
        <f t="shared" si="6"/>
        <v>AOP</v>
      </c>
      <c r="V230" s="51">
        <f t="shared" si="28"/>
        <v>2530.3245</v>
      </c>
      <c r="W230" s="52">
        <f t="shared" si="8"/>
        <v>2530.3245</v>
      </c>
      <c r="X230" s="9">
        <f t="shared" si="25"/>
        <v>8814.9</v>
      </c>
      <c r="Y230" s="8"/>
      <c r="Z230" s="8"/>
      <c r="AA230" s="8"/>
      <c r="AB230" s="8" t="str">
        <f t="shared" si="10"/>
        <v>ATHH40880S1.5UT</v>
      </c>
      <c r="AC230" s="8" t="str">
        <f>IF(AB230='Input - Bookings'!S235,"OK","Check")</f>
        <v>Check</v>
      </c>
      <c r="AD230" s="53"/>
      <c r="AE230" s="54"/>
      <c r="AF230" s="54"/>
      <c r="AG230" s="55"/>
      <c r="AH230" s="55"/>
      <c r="AI230" s="8" t="str">
        <f t="array" ref="AI230">XLOOKUP($J230,'AP Plants'!D:D,'AP Plants'!B:B)</f>
        <v>Class 3</v>
      </c>
      <c r="AJ230" s="56"/>
      <c r="AK230" s="56"/>
      <c r="AL230" s="49">
        <v>0.015</v>
      </c>
      <c r="AM230" s="49">
        <f t="array" ref="AM230">XLOOKUP($AI230,Warranty!B:B,Warranty!E:E)</f>
        <v>0.015</v>
      </c>
      <c r="AN230" s="8">
        <f>IF($L230="AUD",VLOOKUP(RIGHT('Wk - Margins'!$J230,3),'AU Freight'!C:G,5,0),0)</f>
        <v>0</v>
      </c>
      <c r="AO230" s="49">
        <f t="shared" si="11"/>
        <v>0</v>
      </c>
      <c r="AP230" s="57">
        <f t="shared" si="12"/>
        <v>0</v>
      </c>
      <c r="AQ230" s="58">
        <f t="shared" si="13"/>
        <v>1</v>
      </c>
      <c r="AR230" s="59">
        <f>IF(L230="AUD",O230*'Currency &amp; Conversion'!$L$7,'Wk - Margins'!O230)</f>
        <v>12705</v>
      </c>
      <c r="AS230" s="59">
        <f>IF(L230="AUD",P230*'Currency &amp; Conversion'!$L$7,'Wk - Margins'!P230)</f>
        <v>8814.9</v>
      </c>
    </row>
    <row r="231" ht="12.75" hidden="1" customHeight="1">
      <c r="A231" s="42" t="str">
        <f>'Input - Bookings'!A231</f>
        <v>29/06/2023</v>
      </c>
      <c r="B231" s="43" t="str">
        <f t="shared" si="1"/>
        <v>Asia</v>
      </c>
      <c r="C231" s="43" t="str">
        <f t="shared" si="2"/>
        <v>ATH</v>
      </c>
      <c r="D231" s="43" t="str">
        <f>'Input - Bookings'!D231</f>
        <v>A</v>
      </c>
      <c r="E231" s="43" t="str">
        <f>'Input - Bookings'!J231</f>
        <v>TH</v>
      </c>
      <c r="F231" s="44" t="str">
        <f>'Input - Bookings'!F231</f>
        <v>065</v>
      </c>
      <c r="G231" s="44" t="str">
        <f>'Input - Bookings'!I231</f>
        <v>DILOK AND SONS CO.,LTD.</v>
      </c>
      <c r="H231" s="45" t="str">
        <f>'Input - Bookings'!K231</f>
        <v>H40881</v>
      </c>
      <c r="I231" s="45" t="str">
        <f>VLOOKUP(H231,'Input - Bookings'!$G$2:$H$611,2,0)</f>
        <v>001255</v>
      </c>
      <c r="J231" s="44" t="str">
        <f>'Input - Bookings'!N231</f>
        <v>A6W9</v>
      </c>
      <c r="K231" s="44" t="str">
        <f>'Input - Bookings'!O231</f>
        <v>PC1.5</v>
      </c>
      <c r="L231" s="44" t="str">
        <f>'Input - Bookings'!C231</f>
        <v>USD</v>
      </c>
      <c r="M231" s="46" t="str">
        <f t="array" ref="M231">IF(L231="USD",INDEX('AP Plants'!A:A,MATCH(J231,'AP Plants'!D:D,0)),INDEX('Australia Plants'!A:A,MATCH(J231,'Australia Plants'!D:D,0)))</f>
        <v>Staxx</v>
      </c>
      <c r="N231" s="10">
        <v>1.0</v>
      </c>
      <c r="O231" s="9">
        <v>1475.0</v>
      </c>
      <c r="P231" s="9">
        <v>1030.2</v>
      </c>
      <c r="Q231" s="47">
        <v>0.33253817157833654</v>
      </c>
      <c r="R231" s="48">
        <f t="shared" si="3"/>
        <v>0.301559322</v>
      </c>
      <c r="S231" s="49">
        <f t="shared" si="4"/>
        <v>0</v>
      </c>
      <c r="T231" s="49">
        <f t="shared" si="21"/>
        <v>0.3325381716</v>
      </c>
      <c r="U231" s="50" t="str">
        <f t="shared" si="6"/>
        <v>AOP</v>
      </c>
      <c r="V231" s="51">
        <f t="shared" si="28"/>
        <v>342.5808244</v>
      </c>
      <c r="W231" s="52">
        <f t="shared" si="8"/>
        <v>342.5808244</v>
      </c>
      <c r="X231" s="9">
        <f t="shared" si="25"/>
        <v>1030.2</v>
      </c>
      <c r="Y231" s="8"/>
      <c r="Z231" s="8"/>
      <c r="AA231" s="8"/>
      <c r="AB231" s="8" t="str">
        <f t="shared" si="10"/>
        <v>ATHH40881PC1.5</v>
      </c>
      <c r="AC231" s="8" t="str">
        <f>IF(AB231='Input - Bookings'!S236,"OK","Check")</f>
        <v>Check</v>
      </c>
      <c r="AD231" s="53"/>
      <c r="AE231" s="54"/>
      <c r="AF231" s="54"/>
      <c r="AG231" s="55">
        <f t="shared" ref="AG231:AG232" si="35">657.591432660192+10</f>
        <v>667.5914327</v>
      </c>
      <c r="AH231" s="62"/>
      <c r="AI231" s="8" t="str">
        <f t="array" ref="AI231">XLOOKUP($J231,'AP Plants'!D:D,'AP Plants'!B:B)</f>
        <v>Class 3</v>
      </c>
      <c r="AJ231" s="56"/>
      <c r="AK231" s="56">
        <f t="shared" ref="AK231:AK232" si="36">AG231</f>
        <v>667.5914327</v>
      </c>
      <c r="AL231" s="49">
        <v>0.015</v>
      </c>
      <c r="AM231" s="49">
        <f t="array" ref="AM231">XLOOKUP($AI231,Warranty!B:B,Warranty!E:E)</f>
        <v>0.015</v>
      </c>
      <c r="AN231" s="8">
        <f>IF($L231="AUD",VLOOKUP(RIGHT('Wk - Margins'!$J231,3),'AU Freight'!C:G,5,0),0)</f>
        <v>0</v>
      </c>
      <c r="AO231" s="49">
        <f t="shared" si="11"/>
        <v>0</v>
      </c>
      <c r="AP231" s="63">
        <f t="shared" si="12"/>
        <v>687.6191756</v>
      </c>
      <c r="AQ231" s="58">
        <f t="shared" si="13"/>
        <v>0.3325381716</v>
      </c>
      <c r="AR231" s="59">
        <f>IF(L231="AUD",O231*'Currency &amp; Conversion'!$L$7,'Wk - Margins'!O231)</f>
        <v>1475</v>
      </c>
      <c r="AS231" s="59">
        <f>IF(L231="AUD",P231*'Currency &amp; Conversion'!$L$7,'Wk - Margins'!P231)</f>
        <v>1030.2</v>
      </c>
    </row>
    <row r="232" ht="12.75" hidden="1" customHeight="1">
      <c r="A232" s="42" t="str">
        <f>'Input - Bookings'!A232</f>
        <v>29/06/2023</v>
      </c>
      <c r="B232" s="43" t="str">
        <f t="shared" si="1"/>
        <v>Asia</v>
      </c>
      <c r="C232" s="43" t="str">
        <f t="shared" si="2"/>
        <v>ATH</v>
      </c>
      <c r="D232" s="43" t="str">
        <f>'Input - Bookings'!D232</f>
        <v>A</v>
      </c>
      <c r="E232" s="43" t="str">
        <f>'Input - Bookings'!J232</f>
        <v>TH</v>
      </c>
      <c r="F232" s="44" t="str">
        <f>'Input - Bookings'!F232</f>
        <v>065</v>
      </c>
      <c r="G232" s="44" t="str">
        <f>'Input - Bookings'!I232</f>
        <v>DILOK AND SONS CO.,LTD.</v>
      </c>
      <c r="H232" s="45" t="str">
        <f>'Input - Bookings'!K232</f>
        <v>H40882</v>
      </c>
      <c r="I232" s="45" t="str">
        <f>VLOOKUP(H232,'Input - Bookings'!$G$2:$H$611,2,0)</f>
        <v>001255</v>
      </c>
      <c r="J232" s="44" t="str">
        <f>'Input - Bookings'!N232</f>
        <v>A6W9</v>
      </c>
      <c r="K232" s="44" t="str">
        <f>'Input - Bookings'!O232</f>
        <v>PC1.5</v>
      </c>
      <c r="L232" s="44" t="str">
        <f>'Input - Bookings'!C232</f>
        <v>USD</v>
      </c>
      <c r="M232" s="46" t="str">
        <f t="array" ref="M232">IF(L232="USD",INDEX('AP Plants'!A:A,MATCH(J232,'AP Plants'!D:D,0)),INDEX('Australia Plants'!A:A,MATCH(J232,'Australia Plants'!D:D,0)))</f>
        <v>Staxx</v>
      </c>
      <c r="N232" s="10">
        <v>1.0</v>
      </c>
      <c r="O232" s="9">
        <v>1475.0</v>
      </c>
      <c r="P232" s="9">
        <v>1030.2</v>
      </c>
      <c r="Q232" s="47">
        <v>0.33253817157833654</v>
      </c>
      <c r="R232" s="48">
        <f t="shared" si="3"/>
        <v>0.301559322</v>
      </c>
      <c r="S232" s="49">
        <f t="shared" si="4"/>
        <v>0</v>
      </c>
      <c r="T232" s="49">
        <f t="shared" si="21"/>
        <v>0.3325381716</v>
      </c>
      <c r="U232" s="50" t="str">
        <f t="shared" si="6"/>
        <v>AOP</v>
      </c>
      <c r="V232" s="51">
        <f t="shared" si="28"/>
        <v>342.5808244</v>
      </c>
      <c r="W232" s="52">
        <f t="shared" si="8"/>
        <v>342.5808244</v>
      </c>
      <c r="X232" s="9">
        <f t="shared" si="25"/>
        <v>1030.2</v>
      </c>
      <c r="Y232" s="8"/>
      <c r="Z232" s="8"/>
      <c r="AA232" s="8"/>
      <c r="AB232" s="8" t="str">
        <f t="shared" si="10"/>
        <v>ATHH40882PC1.5</v>
      </c>
      <c r="AC232" s="8" t="str">
        <f>IF(AB232='Input - Bookings'!S237,"OK","Check")</f>
        <v>Check</v>
      </c>
      <c r="AD232" s="53"/>
      <c r="AE232" s="65"/>
      <c r="AF232" s="65"/>
      <c r="AG232" s="55">
        <f t="shared" si="35"/>
        <v>667.5914327</v>
      </c>
      <c r="AH232" s="62"/>
      <c r="AI232" s="8" t="str">
        <f t="array" ref="AI232">XLOOKUP($J232,'AP Plants'!D:D,'AP Plants'!B:B)</f>
        <v>Class 3</v>
      </c>
      <c r="AJ232" s="56"/>
      <c r="AK232" s="56">
        <f t="shared" si="36"/>
        <v>667.5914327</v>
      </c>
      <c r="AL232" s="49">
        <v>0.015</v>
      </c>
      <c r="AM232" s="49">
        <f t="array" ref="AM232">XLOOKUP($AI232,Warranty!B:B,Warranty!E:E)</f>
        <v>0.015</v>
      </c>
      <c r="AN232" s="8">
        <f>IF($L232="AUD",VLOOKUP(RIGHT('Wk - Margins'!$J232,3),'AU Freight'!C:G,5,0),0)</f>
        <v>0</v>
      </c>
      <c r="AO232" s="49">
        <f t="shared" si="11"/>
        <v>0</v>
      </c>
      <c r="AP232" s="63">
        <f t="shared" si="12"/>
        <v>687.6191756</v>
      </c>
      <c r="AQ232" s="58">
        <f t="shared" si="13"/>
        <v>0.3325381716</v>
      </c>
      <c r="AR232" s="59">
        <f>IF(L232="AUD",O232*'Currency &amp; Conversion'!$L$7,'Wk - Margins'!O232)</f>
        <v>1475</v>
      </c>
      <c r="AS232" s="59">
        <f>IF(L232="AUD",P232*'Currency &amp; Conversion'!$L$7,'Wk - Margins'!P232)</f>
        <v>1030.2</v>
      </c>
    </row>
    <row r="233" ht="12.75" customHeight="1">
      <c r="A233" s="42" t="str">
        <f>'Input - Bookings'!A233</f>
        <v>29/06/2023</v>
      </c>
      <c r="B233" s="43" t="str">
        <f t="shared" si="1"/>
        <v>Asia</v>
      </c>
      <c r="C233" s="43" t="str">
        <f t="shared" si="2"/>
        <v>ATH</v>
      </c>
      <c r="D233" s="43" t="str">
        <f>'Input - Bookings'!D233</f>
        <v>A</v>
      </c>
      <c r="E233" s="43" t="str">
        <f>'Input - Bookings'!J233</f>
        <v>TH</v>
      </c>
      <c r="F233" s="44" t="str">
        <f>'Input - Bookings'!F233</f>
        <v>065</v>
      </c>
      <c r="G233" s="44" t="str">
        <f>'Input - Bookings'!I233</f>
        <v>DILOK AND SONS CO.,LTD.</v>
      </c>
      <c r="H233" s="44" t="str">
        <f>'Input - Bookings'!K233</f>
        <v>H40883</v>
      </c>
      <c r="I233" s="45" t="str">
        <f>VLOOKUP(H233,'Input - Bookings'!$G$2:$H$611,2,0)</f>
        <v>001255</v>
      </c>
      <c r="J233" s="44" t="str">
        <f>'Input - Bookings'!N233</f>
        <v>E264</v>
      </c>
      <c r="K233" s="44" t="str">
        <f>'Input - Bookings'!O233</f>
        <v>N35ZDR3</v>
      </c>
      <c r="L233" s="44" t="str">
        <f>'Input - Bookings'!C233</f>
        <v>USD</v>
      </c>
      <c r="M233" s="46" t="str">
        <f t="array" ref="M233">IF(L233="USD",INDEX('AP Plants'!A:A,MATCH(J233,'AP Plants'!D:D,0)),INDEX('Australia Plants'!A:A,MATCH(J233,'Australia Plants'!D:D,0)))</f>
        <v>Greenville</v>
      </c>
      <c r="N233" s="10">
        <v>1.0</v>
      </c>
      <c r="O233" s="9">
        <v>55832.0</v>
      </c>
      <c r="P233" s="9">
        <v>40092.36</v>
      </c>
      <c r="Q233" s="47">
        <f t="shared" ref="Q233:Q238" si="37">AQ233</f>
        <v>0.06867637091</v>
      </c>
      <c r="R233" s="48">
        <f t="shared" si="3"/>
        <v>0.2819107322</v>
      </c>
      <c r="S233" s="49">
        <f t="shared" si="4"/>
        <v>0</v>
      </c>
      <c r="T233" s="49">
        <f t="shared" si="21"/>
        <v>0.06867637091</v>
      </c>
      <c r="U233" s="50" t="str">
        <f t="shared" si="6"/>
        <v>AOP</v>
      </c>
      <c r="V233" s="51">
        <f t="shared" si="28"/>
        <v>2753.397786</v>
      </c>
      <c r="W233" s="52">
        <f t="shared" si="8"/>
        <v>2753.397786</v>
      </c>
      <c r="X233" s="9">
        <f t="shared" si="25"/>
        <v>40092.36</v>
      </c>
      <c r="Y233" s="8"/>
      <c r="Z233" s="8"/>
      <c r="AA233" s="8"/>
      <c r="AB233" s="8" t="str">
        <f t="shared" si="10"/>
        <v>ATHH40883N35ZDR3</v>
      </c>
      <c r="AC233" s="8" t="str">
        <f>IF(AB233='Input - Bookings'!S238,"OK","Check")</f>
        <v>Check</v>
      </c>
      <c r="AD233" s="53"/>
      <c r="AE233" s="65">
        <v>2402.4</v>
      </c>
      <c r="AF233" s="65">
        <v>0.0</v>
      </c>
      <c r="AG233" s="55">
        <v>34058.606879</v>
      </c>
      <c r="AH233" s="62"/>
      <c r="AI233" s="8" t="str">
        <f t="array" ref="AI233">XLOOKUP($J233,'AP Plants'!D:D,'AP Plants'!B:B)</f>
        <v>Class 2</v>
      </c>
      <c r="AJ233" s="56"/>
      <c r="AK233" s="56">
        <f>(AG233*(1+VLOOKUP(M233,'Currency &amp; Conversion'!$F$13:$G$19,2,0))+((AE233+AF233)*90%))</f>
        <v>36251.41963</v>
      </c>
      <c r="AL233" s="49">
        <v>0.015</v>
      </c>
      <c r="AM233" s="49">
        <f t="array" ref="AM233">XLOOKUP($AI233,Warranty!B:B,Warranty!E:E)</f>
        <v>0.015</v>
      </c>
      <c r="AN233" s="8">
        <f>IF($L233="AUD",VLOOKUP(RIGHT('Wk - Margins'!$J233,3),'AU Freight'!C:G,5,0),0)</f>
        <v>0</v>
      </c>
      <c r="AO233" s="49">
        <f t="shared" si="11"/>
        <v>0</v>
      </c>
      <c r="AP233" s="63">
        <f t="shared" si="12"/>
        <v>37338.96221</v>
      </c>
      <c r="AQ233" s="64">
        <f t="shared" si="13"/>
        <v>0.06867637091</v>
      </c>
      <c r="AR233" s="59">
        <f>IF(L233="AUD",O233*'Currency &amp; Conversion'!$L$7,'Wk - Margins'!O233)</f>
        <v>55832</v>
      </c>
      <c r="AS233" s="59">
        <f>IF(L233="AUD",P233*'Currency &amp; Conversion'!$L$7,'Wk - Margins'!P233)</f>
        <v>40092.36</v>
      </c>
    </row>
    <row r="234" ht="12.75" customHeight="1">
      <c r="A234" s="42" t="str">
        <f>'Input - Bookings'!A234</f>
        <v>29/06/2023</v>
      </c>
      <c r="B234" s="43" t="str">
        <f t="shared" si="1"/>
        <v>Asia</v>
      </c>
      <c r="C234" s="43" t="str">
        <f t="shared" si="2"/>
        <v>ATH</v>
      </c>
      <c r="D234" s="43" t="str">
        <f>'Input - Bookings'!D234</f>
        <v>A</v>
      </c>
      <c r="E234" s="43" t="str">
        <f>'Input - Bookings'!J234</f>
        <v>TH</v>
      </c>
      <c r="F234" s="44" t="str">
        <f>'Input - Bookings'!F234</f>
        <v>065</v>
      </c>
      <c r="G234" s="44" t="str">
        <f>'Input - Bookings'!I234</f>
        <v>DILOK AND SONS CO.,LTD.</v>
      </c>
      <c r="H234" s="44" t="str">
        <f>'Input - Bookings'!K234</f>
        <v>H40884</v>
      </c>
      <c r="I234" s="45" t="str">
        <f>VLOOKUP(H234,'Input - Bookings'!$G$2:$H$611,2,0)</f>
        <v>001255</v>
      </c>
      <c r="J234" s="44" t="str">
        <f>'Input - Bookings'!N234</f>
        <v>E264</v>
      </c>
      <c r="K234" s="44" t="str">
        <f>'Input - Bookings'!O234</f>
        <v>N35ZDR3</v>
      </c>
      <c r="L234" s="44" t="str">
        <f>'Input - Bookings'!C234</f>
        <v>USD</v>
      </c>
      <c r="M234" s="46" t="str">
        <f t="array" ref="M234">IF(L234="USD",INDEX('AP Plants'!A:A,MATCH(J234,'AP Plants'!D:D,0)),INDEX('Australia Plants'!A:A,MATCH(J234,'Australia Plants'!D:D,0)))</f>
        <v>Greenville</v>
      </c>
      <c r="N234" s="10">
        <v>1.0</v>
      </c>
      <c r="O234" s="9">
        <v>55832.0</v>
      </c>
      <c r="P234" s="9">
        <v>40092.36</v>
      </c>
      <c r="Q234" s="47">
        <f t="shared" si="37"/>
        <v>0.06867637091</v>
      </c>
      <c r="R234" s="48">
        <f t="shared" si="3"/>
        <v>0.2819107322</v>
      </c>
      <c r="S234" s="49">
        <f t="shared" si="4"/>
        <v>0</v>
      </c>
      <c r="T234" s="49">
        <f t="shared" si="21"/>
        <v>0.06867637091</v>
      </c>
      <c r="U234" s="50" t="str">
        <f t="shared" si="6"/>
        <v>AOP</v>
      </c>
      <c r="V234" s="51">
        <f t="shared" si="28"/>
        <v>2753.397786</v>
      </c>
      <c r="W234" s="52">
        <f t="shared" si="8"/>
        <v>2753.397786</v>
      </c>
      <c r="X234" s="9">
        <f t="shared" si="25"/>
        <v>40092.36</v>
      </c>
      <c r="Y234" s="8"/>
      <c r="Z234" s="8"/>
      <c r="AA234" s="8"/>
      <c r="AB234" s="8" t="str">
        <f t="shared" si="10"/>
        <v>ATHH40884N35ZDR3</v>
      </c>
      <c r="AC234" s="8" t="str">
        <f>IF(AB234='Input - Bookings'!S239,"OK","Check")</f>
        <v>Check</v>
      </c>
      <c r="AD234" s="53"/>
      <c r="AE234" s="65">
        <v>2402.4</v>
      </c>
      <c r="AF234" s="54">
        <v>0.0</v>
      </c>
      <c r="AG234" s="55">
        <v>34058.606879</v>
      </c>
      <c r="AH234" s="62"/>
      <c r="AI234" s="8" t="str">
        <f t="array" ref="AI234">XLOOKUP($J234,'AP Plants'!D:D,'AP Plants'!B:B)</f>
        <v>Class 2</v>
      </c>
      <c r="AJ234" s="56"/>
      <c r="AK234" s="56">
        <f>(AG234*(1+VLOOKUP(M234,'Currency &amp; Conversion'!$F$13:$G$19,2,0))+((AE234+AF234)*90%))</f>
        <v>36251.41963</v>
      </c>
      <c r="AL234" s="49">
        <v>0.015</v>
      </c>
      <c r="AM234" s="49">
        <f t="array" ref="AM234">XLOOKUP($AI234,Warranty!B:B,Warranty!E:E)</f>
        <v>0.015</v>
      </c>
      <c r="AN234" s="8">
        <f>IF($L234="AUD",VLOOKUP(RIGHT('Wk - Margins'!$J234,3),'AU Freight'!C:G,5,0),0)</f>
        <v>0</v>
      </c>
      <c r="AO234" s="49">
        <f t="shared" si="11"/>
        <v>0</v>
      </c>
      <c r="AP234" s="63">
        <f t="shared" si="12"/>
        <v>37338.96221</v>
      </c>
      <c r="AQ234" s="64">
        <f t="shared" si="13"/>
        <v>0.06867637091</v>
      </c>
      <c r="AR234" s="59">
        <f>IF(L234="AUD",O234*'Currency &amp; Conversion'!$L$7,'Wk - Margins'!O234)</f>
        <v>55832</v>
      </c>
      <c r="AS234" s="59">
        <f>IF(L234="AUD",P234*'Currency &amp; Conversion'!$L$7,'Wk - Margins'!P234)</f>
        <v>40092.36</v>
      </c>
    </row>
    <row r="235" ht="12.75" customHeight="1">
      <c r="A235" s="42" t="str">
        <f>'Input - Bookings'!A235</f>
        <v>29/06/2023</v>
      </c>
      <c r="B235" s="43" t="str">
        <f t="shared" si="1"/>
        <v>Asia</v>
      </c>
      <c r="C235" s="43" t="str">
        <f t="shared" si="2"/>
        <v>ATH</v>
      </c>
      <c r="D235" s="43" t="str">
        <f>'Input - Bookings'!D235</f>
        <v>A</v>
      </c>
      <c r="E235" s="43" t="str">
        <f>'Input - Bookings'!J235</f>
        <v>TH</v>
      </c>
      <c r="F235" s="44" t="str">
        <f>'Input - Bookings'!F235</f>
        <v>065</v>
      </c>
      <c r="G235" s="44" t="str">
        <f>'Input - Bookings'!I235</f>
        <v>DILOK AND SONS CO.,LTD.</v>
      </c>
      <c r="H235" s="44" t="str">
        <f>'Input - Bookings'!K235</f>
        <v>H40893</v>
      </c>
      <c r="I235" s="45" t="str">
        <f>VLOOKUP(H235,'Input - Bookings'!$G$2:$H$611,2,0)</f>
        <v>001255</v>
      </c>
      <c r="J235" s="44" t="str">
        <f>'Input - Bookings'!N235</f>
        <v>D435</v>
      </c>
      <c r="K235" s="44" t="str">
        <f>'Input - Bookings'!O235</f>
        <v>R1.6N</v>
      </c>
      <c r="L235" s="44" t="str">
        <f>'Input - Bookings'!C235</f>
        <v>USD</v>
      </c>
      <c r="M235" s="46" t="str">
        <f t="array" ref="M235">IF(L235="USD",INDEX('AP Plants'!A:A,MATCH(J235,'AP Plants'!D:D,0)),INDEX('Australia Plants'!A:A,MATCH(J235,'Australia Plants'!D:D,0)))</f>
        <v>Masate</v>
      </c>
      <c r="N235" s="10">
        <v>1.0</v>
      </c>
      <c r="O235" s="9">
        <v>42255.0</v>
      </c>
      <c r="P235" s="9">
        <v>28504.5</v>
      </c>
      <c r="Q235" s="47">
        <f t="shared" si="37"/>
        <v>0.1730779747</v>
      </c>
      <c r="R235" s="48">
        <f t="shared" si="3"/>
        <v>0.3254171104</v>
      </c>
      <c r="S235" s="49">
        <f t="shared" si="4"/>
        <v>0</v>
      </c>
      <c r="T235" s="49">
        <f t="shared" si="21"/>
        <v>0.1730779747</v>
      </c>
      <c r="U235" s="50" t="str">
        <f t="shared" si="6"/>
        <v>AOP</v>
      </c>
      <c r="V235" s="51">
        <f t="shared" si="28"/>
        <v>4933.50113</v>
      </c>
      <c r="W235" s="52">
        <f t="shared" si="8"/>
        <v>4933.50113</v>
      </c>
      <c r="X235" s="9">
        <f t="shared" si="25"/>
        <v>28504.5</v>
      </c>
      <c r="Y235" s="8"/>
      <c r="Z235" s="8"/>
      <c r="AA235" s="8"/>
      <c r="AB235" s="8" t="str">
        <f t="shared" si="10"/>
        <v>ATHH40893R1.6N</v>
      </c>
      <c r="AC235" s="8" t="str">
        <f>IF(AB235='Input - Bookings'!S240,"OK","Check")</f>
        <v>Check</v>
      </c>
      <c r="AD235" s="53"/>
      <c r="AE235" s="54">
        <v>0.0</v>
      </c>
      <c r="AF235" s="54">
        <v>0.0</v>
      </c>
      <c r="AG235" s="55"/>
      <c r="AH235" s="55">
        <v>21468.31</v>
      </c>
      <c r="AI235" s="8" t="str">
        <f t="array" ref="AI235">XLOOKUP($J235,'AP Plants'!D:D,'AP Plants'!B:B)</f>
        <v>Class 2</v>
      </c>
      <c r="AJ235" s="56"/>
      <c r="AK235" s="56">
        <f>(AH235*(1+VLOOKUP(M235,'Currency &amp; Conversion'!$F$13:$G$19,2,0))*'Currency &amp; Conversion'!$L$3)</f>
        <v>22884.46492</v>
      </c>
      <c r="AL235" s="49">
        <v>0.015</v>
      </c>
      <c r="AM235" s="49">
        <f t="array" ref="AM235">XLOOKUP($AI235,Warranty!B:B,Warranty!E:E)</f>
        <v>0.015</v>
      </c>
      <c r="AN235" s="8">
        <f>IF($L235="AUD",VLOOKUP(RIGHT('Wk - Margins'!$J235,3),'AU Freight'!C:G,5,0),0)</f>
        <v>0</v>
      </c>
      <c r="AO235" s="49">
        <f t="shared" si="11"/>
        <v>0</v>
      </c>
      <c r="AP235" s="63">
        <f t="shared" si="12"/>
        <v>23570.99887</v>
      </c>
      <c r="AQ235" s="64">
        <f t="shared" si="13"/>
        <v>0.1730779747</v>
      </c>
      <c r="AR235" s="59">
        <f>IF(L235="AUD",O235*'Currency &amp; Conversion'!$L$7,'Wk - Margins'!O235)</f>
        <v>42255</v>
      </c>
      <c r="AS235" s="59">
        <f>IF(L235="AUD",P235*'Currency &amp; Conversion'!$L$7,'Wk - Margins'!P235)</f>
        <v>28504.5</v>
      </c>
    </row>
    <row r="236" ht="12.75" customHeight="1">
      <c r="A236" s="42" t="str">
        <f>'Input - Bookings'!A236</f>
        <v>29/06/2023</v>
      </c>
      <c r="B236" s="43" t="str">
        <f t="shared" si="1"/>
        <v>Asia</v>
      </c>
      <c r="C236" s="43" t="str">
        <f t="shared" si="2"/>
        <v>ATH</v>
      </c>
      <c r="D236" s="43" t="str">
        <f>'Input - Bookings'!D236</f>
        <v>A</v>
      </c>
      <c r="E236" s="43" t="str">
        <f>'Input - Bookings'!J236</f>
        <v>TH</v>
      </c>
      <c r="F236" s="44" t="str">
        <f>'Input - Bookings'!F236</f>
        <v>065</v>
      </c>
      <c r="G236" s="44" t="str">
        <f>'Input - Bookings'!I236</f>
        <v>DILOK AND SONS CO.,LTD.</v>
      </c>
      <c r="H236" s="44" t="str">
        <f>'Input - Bookings'!K236</f>
        <v>H40896</v>
      </c>
      <c r="I236" s="45" t="str">
        <f>VLOOKUP(H236,'Input - Bookings'!$G$2:$H$611,2,0)</f>
        <v>001255</v>
      </c>
      <c r="J236" s="44" t="str">
        <f>'Input - Bookings'!N236</f>
        <v>D435</v>
      </c>
      <c r="K236" s="44" t="str">
        <f>'Input - Bookings'!O236</f>
        <v>R2.0HD</v>
      </c>
      <c r="L236" s="44" t="str">
        <f>'Input - Bookings'!C236</f>
        <v>USD</v>
      </c>
      <c r="M236" s="46" t="str">
        <f t="array" ref="M236">IF(L236="USD",INDEX('AP Plants'!A:A,MATCH(J236,'AP Plants'!D:D,0)),INDEX('Australia Plants'!A:A,MATCH(J236,'Australia Plants'!D:D,0)))</f>
        <v>Masate</v>
      </c>
      <c r="N236" s="10">
        <v>1.0</v>
      </c>
      <c r="O236" s="9">
        <v>64965.0</v>
      </c>
      <c r="P236" s="9">
        <v>42391.35</v>
      </c>
      <c r="Q236" s="47">
        <f t="shared" si="37"/>
        <v>0.323016537</v>
      </c>
      <c r="R236" s="48">
        <f t="shared" si="3"/>
        <v>0.3474740245</v>
      </c>
      <c r="S236" s="49">
        <f t="shared" si="4"/>
        <v>0</v>
      </c>
      <c r="T236" s="49">
        <f t="shared" si="21"/>
        <v>0.323016537</v>
      </c>
      <c r="U236" s="50" t="str">
        <f t="shared" si="6"/>
        <v>AOP</v>
      </c>
      <c r="V236" s="51">
        <f t="shared" si="28"/>
        <v>13693.10708</v>
      </c>
      <c r="W236" s="52">
        <f t="shared" si="8"/>
        <v>13693.10708</v>
      </c>
      <c r="X236" s="9">
        <f t="shared" si="25"/>
        <v>42391.35</v>
      </c>
      <c r="Y236" s="8"/>
      <c r="Z236" s="8"/>
      <c r="AA236" s="8"/>
      <c r="AB236" s="8" t="str">
        <f t="shared" si="10"/>
        <v>ATHH40896R2.0HD</v>
      </c>
      <c r="AC236" s="8" t="str">
        <f>IF(AB236='Input - Bookings'!S241,"OK","Check")</f>
        <v>Check</v>
      </c>
      <c r="AD236" s="53"/>
      <c r="AE236" s="54">
        <v>0.0</v>
      </c>
      <c r="AF236" s="54">
        <v>0.0</v>
      </c>
      <c r="AG236" s="55"/>
      <c r="AH236" s="55">
        <v>26138.17</v>
      </c>
      <c r="AI236" s="8" t="str">
        <f t="array" ref="AI236">XLOOKUP($J236,'AP Plants'!D:D,'AP Plants'!B:B)</f>
        <v>Class 2</v>
      </c>
      <c r="AJ236" s="56"/>
      <c r="AK236" s="56">
        <f>(AH236*(1+VLOOKUP(M236,'Currency &amp; Conversion'!$F$13:$G$19,2,0))*'Currency &amp; Conversion'!$L$3)</f>
        <v>27862.37177</v>
      </c>
      <c r="AL236" s="49">
        <v>0.015</v>
      </c>
      <c r="AM236" s="49">
        <f t="array" ref="AM236">XLOOKUP($AI236,Warranty!B:B,Warranty!E:E)</f>
        <v>0.015</v>
      </c>
      <c r="AN236" s="8">
        <f>IF($L236="AUD",VLOOKUP(RIGHT('Wk - Margins'!$J236,3),'AU Freight'!C:G,5,0),0)</f>
        <v>0</v>
      </c>
      <c r="AO236" s="49">
        <f t="shared" si="11"/>
        <v>0</v>
      </c>
      <c r="AP236" s="63">
        <f t="shared" si="12"/>
        <v>28698.24292</v>
      </c>
      <c r="AQ236" s="64">
        <f t="shared" si="13"/>
        <v>0.323016537</v>
      </c>
      <c r="AR236" s="59">
        <f>IF(L236="AUD",O236*'Currency &amp; Conversion'!$L$7,'Wk - Margins'!O236)</f>
        <v>64965</v>
      </c>
      <c r="AS236" s="59">
        <f>IF(L236="AUD",P236*'Currency &amp; Conversion'!$L$7,'Wk - Margins'!P236)</f>
        <v>42391.35</v>
      </c>
    </row>
    <row r="237" ht="12.75" customHeight="1">
      <c r="A237" s="42" t="str">
        <f>'Input - Bookings'!A237</f>
        <v>29/06/2023</v>
      </c>
      <c r="B237" s="43" t="str">
        <f t="shared" si="1"/>
        <v>Asia</v>
      </c>
      <c r="C237" s="43" t="str">
        <f t="shared" si="2"/>
        <v>ATH</v>
      </c>
      <c r="D237" s="43" t="str">
        <f>'Input - Bookings'!D237</f>
        <v>A</v>
      </c>
      <c r="E237" s="43" t="str">
        <f>'Input - Bookings'!J237</f>
        <v>TH</v>
      </c>
      <c r="F237" s="44" t="str">
        <f>'Input - Bookings'!F237</f>
        <v>065</v>
      </c>
      <c r="G237" s="44" t="str">
        <f>'Input - Bookings'!I237</f>
        <v>DILOK AND SONS CO.,LTD.</v>
      </c>
      <c r="H237" s="44" t="str">
        <f>'Input - Bookings'!K237</f>
        <v>H40897</v>
      </c>
      <c r="I237" s="45" t="str">
        <f>VLOOKUP(H237,'Input - Bookings'!$G$2:$H$611,2,0)</f>
        <v>001255</v>
      </c>
      <c r="J237" s="44" t="str">
        <f>'Input - Bookings'!N237</f>
        <v>D435</v>
      </c>
      <c r="K237" s="44" t="str">
        <f>'Input - Bookings'!O237</f>
        <v>R2.0HD</v>
      </c>
      <c r="L237" s="44" t="str">
        <f>'Input - Bookings'!C237</f>
        <v>USD</v>
      </c>
      <c r="M237" s="46" t="str">
        <f t="array" ref="M237">IF(L237="USD",INDEX('AP Plants'!A:A,MATCH(J237,'AP Plants'!D:D,0)),INDEX('Australia Plants'!A:A,MATCH(J237,'Australia Plants'!D:D,0)))</f>
        <v>Masate</v>
      </c>
      <c r="N237" s="10">
        <v>1.0</v>
      </c>
      <c r="O237" s="9">
        <v>64965.0</v>
      </c>
      <c r="P237" s="9">
        <v>42391.35</v>
      </c>
      <c r="Q237" s="47">
        <f t="shared" si="37"/>
        <v>0.323016537</v>
      </c>
      <c r="R237" s="48">
        <f t="shared" si="3"/>
        <v>0.3474740245</v>
      </c>
      <c r="S237" s="49">
        <f t="shared" si="4"/>
        <v>0</v>
      </c>
      <c r="T237" s="49">
        <f t="shared" si="21"/>
        <v>0.323016537</v>
      </c>
      <c r="U237" s="50" t="str">
        <f t="shared" si="6"/>
        <v>AOP</v>
      </c>
      <c r="V237" s="51">
        <f t="shared" si="28"/>
        <v>13693.10708</v>
      </c>
      <c r="W237" s="52">
        <f t="shared" si="8"/>
        <v>13693.10708</v>
      </c>
      <c r="X237" s="9">
        <f t="shared" si="25"/>
        <v>42391.35</v>
      </c>
      <c r="Y237" s="8"/>
      <c r="Z237" s="8"/>
      <c r="AA237" s="8"/>
      <c r="AB237" s="8" t="str">
        <f t="shared" si="10"/>
        <v>ATHH40897R2.0HD</v>
      </c>
      <c r="AC237" s="8" t="str">
        <f>IF(AB237='Input - Bookings'!S242,"OK","Check")</f>
        <v>Check</v>
      </c>
      <c r="AD237" s="53"/>
      <c r="AE237" s="54">
        <v>0.0</v>
      </c>
      <c r="AF237" s="54">
        <v>0.0</v>
      </c>
      <c r="AG237" s="55"/>
      <c r="AH237" s="55">
        <v>26138.17</v>
      </c>
      <c r="AI237" s="8" t="str">
        <f t="array" ref="AI237">XLOOKUP($J237,'AP Plants'!D:D,'AP Plants'!B:B)</f>
        <v>Class 2</v>
      </c>
      <c r="AJ237" s="56"/>
      <c r="AK237" s="56">
        <f>(AH237*(1+VLOOKUP(M237,'Currency &amp; Conversion'!$F$13:$G$19,2,0))*'Currency &amp; Conversion'!$L$3)</f>
        <v>27862.37177</v>
      </c>
      <c r="AL237" s="49">
        <v>0.015</v>
      </c>
      <c r="AM237" s="49">
        <f t="array" ref="AM237">XLOOKUP($AI237,Warranty!B:B,Warranty!E:E)</f>
        <v>0.015</v>
      </c>
      <c r="AN237" s="8">
        <f>IF($L237="AUD",VLOOKUP(RIGHT('Wk - Margins'!$J237,3),'AU Freight'!C:G,5,0),0)</f>
        <v>0</v>
      </c>
      <c r="AO237" s="49">
        <f t="shared" si="11"/>
        <v>0</v>
      </c>
      <c r="AP237" s="63">
        <f t="shared" si="12"/>
        <v>28698.24292</v>
      </c>
      <c r="AQ237" s="64">
        <f t="shared" si="13"/>
        <v>0.323016537</v>
      </c>
      <c r="AR237" s="59">
        <f>IF(L237="AUD",O237*'Currency &amp; Conversion'!$L$7,'Wk - Margins'!O237)</f>
        <v>64965</v>
      </c>
      <c r="AS237" s="59">
        <f>IF(L237="AUD",P237*'Currency &amp; Conversion'!$L$7,'Wk - Margins'!P237)</f>
        <v>42391.35</v>
      </c>
    </row>
    <row r="238" ht="12.75" customHeight="1">
      <c r="A238" s="42" t="str">
        <f>'Input - Bookings'!A238</f>
        <v>29/06/2023</v>
      </c>
      <c r="B238" s="43" t="str">
        <f t="shared" si="1"/>
        <v>Asia</v>
      </c>
      <c r="C238" s="43" t="str">
        <f t="shared" si="2"/>
        <v>ATH</v>
      </c>
      <c r="D238" s="43" t="str">
        <f>'Input - Bookings'!D238</f>
        <v>A</v>
      </c>
      <c r="E238" s="43" t="str">
        <f>'Input - Bookings'!J238</f>
        <v>TH</v>
      </c>
      <c r="F238" s="44" t="str">
        <f>'Input - Bookings'!F238</f>
        <v>065</v>
      </c>
      <c r="G238" s="44" t="str">
        <f>'Input - Bookings'!I238</f>
        <v>DILOK AND SONS CO.,LTD.</v>
      </c>
      <c r="H238" s="44" t="str">
        <f>'Input - Bookings'!K238</f>
        <v>H40920</v>
      </c>
      <c r="I238" s="45" t="str">
        <f>VLOOKUP(H238,'Input - Bookings'!$G$2:$H$611,2,0)</f>
        <v>001255</v>
      </c>
      <c r="J238" s="44" t="str">
        <f>'Input - Bookings'!N238</f>
        <v>D435</v>
      </c>
      <c r="K238" s="44" t="str">
        <f>'Input - Bookings'!O238</f>
        <v>R1.6</v>
      </c>
      <c r="L238" s="44" t="str">
        <f>'Input - Bookings'!C238</f>
        <v>USD</v>
      </c>
      <c r="M238" s="46" t="str">
        <f t="array" ref="M238">IF(L238="USD",INDEX('AP Plants'!A:A,MATCH(J238,'AP Plants'!D:D,0)),INDEX('Australia Plants'!A:A,MATCH(J238,'Australia Plants'!D:D,0)))</f>
        <v>Masate</v>
      </c>
      <c r="N238" s="10">
        <v>1.0</v>
      </c>
      <c r="O238" s="9">
        <v>42370.0</v>
      </c>
      <c r="P238" s="9">
        <v>28543.25</v>
      </c>
      <c r="Q238" s="47">
        <f t="shared" si="37"/>
        <v>0.1560227306</v>
      </c>
      <c r="R238" s="48">
        <f t="shared" si="3"/>
        <v>0.3263334907</v>
      </c>
      <c r="S238" s="49">
        <f t="shared" si="4"/>
        <v>0</v>
      </c>
      <c r="T238" s="49">
        <f t="shared" si="21"/>
        <v>0.1560227306</v>
      </c>
      <c r="U238" s="50" t="str">
        <f t="shared" si="6"/>
        <v>AOP</v>
      </c>
      <c r="V238" s="51">
        <f t="shared" si="28"/>
        <v>4453.395806</v>
      </c>
      <c r="W238" s="52">
        <f t="shared" si="8"/>
        <v>4453.395806</v>
      </c>
      <c r="X238" s="9">
        <f t="shared" si="25"/>
        <v>28543.25</v>
      </c>
      <c r="Y238" s="8"/>
      <c r="Z238" s="8"/>
      <c r="AA238" s="8"/>
      <c r="AB238" s="8" t="str">
        <f t="shared" si="10"/>
        <v>ATHH40920R1.6</v>
      </c>
      <c r="AC238" s="8" t="str">
        <f>IF(AB238='Input - Bookings'!S225,"OK","Check")</f>
        <v>Check</v>
      </c>
      <c r="AD238" s="53"/>
      <c r="AE238" s="54">
        <v>0.0</v>
      </c>
      <c r="AF238" s="54">
        <v>0.0</v>
      </c>
      <c r="AG238" s="55"/>
      <c r="AH238" s="55">
        <v>21940.88</v>
      </c>
      <c r="AI238" s="8" t="str">
        <f t="array" ref="AI238">XLOOKUP($J238,'AP Plants'!D:D,'AP Plants'!B:B)</f>
        <v>Class 2</v>
      </c>
      <c r="AJ238" s="56"/>
      <c r="AK238" s="56">
        <f>(AH238*(1+VLOOKUP(M238,'Currency &amp; Conversion'!$F$13:$G$19,2,0))*'Currency &amp; Conversion'!$L$3)</f>
        <v>23388.20796</v>
      </c>
      <c r="AL238" s="49">
        <v>0.015</v>
      </c>
      <c r="AM238" s="49">
        <f t="array" ref="AM238">XLOOKUP($AI238,Warranty!B:B,Warranty!E:E)</f>
        <v>0.015</v>
      </c>
      <c r="AN238" s="8">
        <f>IF($L238="AUD",VLOOKUP(RIGHT('Wk - Margins'!$J238,3),'AU Freight'!C:G,5,0),0)</f>
        <v>0</v>
      </c>
      <c r="AO238" s="49">
        <f t="shared" si="11"/>
        <v>0</v>
      </c>
      <c r="AP238" s="63">
        <f t="shared" si="12"/>
        <v>24089.85419</v>
      </c>
      <c r="AQ238" s="64">
        <f t="shared" si="13"/>
        <v>0.1560227306</v>
      </c>
      <c r="AR238" s="59">
        <f>IF(L238="AUD",O238*'Currency &amp; Conversion'!$L$7,'Wk - Margins'!O238)</f>
        <v>42370</v>
      </c>
      <c r="AS238" s="59">
        <f>IF(L238="AUD",P238*'Currency &amp; Conversion'!$L$7,'Wk - Margins'!P238)</f>
        <v>28543.25</v>
      </c>
    </row>
    <row r="239" ht="12.75" hidden="1" customHeight="1">
      <c r="A239" s="42" t="str">
        <f>'Input - Bookings'!A239</f>
        <v>29/06/2023</v>
      </c>
      <c r="B239" s="43" t="str">
        <f t="shared" si="1"/>
        <v>Asia</v>
      </c>
      <c r="C239" s="43" t="str">
        <f t="shared" si="2"/>
        <v>ATH</v>
      </c>
      <c r="D239" s="43" t="str">
        <f>'Input - Bookings'!D239</f>
        <v>A</v>
      </c>
      <c r="E239" s="43" t="str">
        <f>'Input - Bookings'!J239</f>
        <v>TH</v>
      </c>
      <c r="F239" s="44" t="str">
        <f>'Input - Bookings'!F239</f>
        <v>065</v>
      </c>
      <c r="G239" s="44" t="str">
        <f>'Input - Bookings'!I239</f>
        <v>DILOK AND SONS CO.,LTD.</v>
      </c>
      <c r="H239" s="45" t="str">
        <f>'Input - Bookings'!K239</f>
        <v>H40968</v>
      </c>
      <c r="I239" s="45" t="str">
        <f>VLOOKUP(H239,'Input - Bookings'!$G$2:$H$611,2,0)</f>
        <v>001255</v>
      </c>
      <c r="J239" s="44" t="str">
        <f>'Input - Bookings'!N239</f>
        <v>A3C4</v>
      </c>
      <c r="K239" s="44" t="str">
        <f>'Input - Bookings'!O239</f>
        <v>J2.0UT</v>
      </c>
      <c r="L239" s="44" t="str">
        <f>'Input - Bookings'!C239</f>
        <v>USD</v>
      </c>
      <c r="M239" s="46" t="str">
        <f t="array" ref="M239">IF(L239="USD",INDEX('AP Plants'!A:A,MATCH(J239,'AP Plants'!D:D,0)),INDEX('Australia Plants'!A:A,MATCH(J239,'Australia Plants'!D:D,0)))</f>
        <v>Maximal</v>
      </c>
      <c r="N239" s="10">
        <v>1.0</v>
      </c>
      <c r="O239" s="9">
        <v>31506.0</v>
      </c>
      <c r="P239" s="9">
        <v>22154.565000000002</v>
      </c>
      <c r="Q239" s="47">
        <v>0.14141629529542243</v>
      </c>
      <c r="R239" s="48">
        <f t="shared" si="3"/>
        <v>0.2968144163</v>
      </c>
      <c r="S239" s="49">
        <f t="shared" si="4"/>
        <v>0</v>
      </c>
      <c r="T239" s="49">
        <f t="shared" si="21"/>
        <v>0.1414162953</v>
      </c>
      <c r="U239" s="50" t="str">
        <f t="shared" si="6"/>
        <v>AOP</v>
      </c>
      <c r="V239" s="51">
        <f t="shared" si="28"/>
        <v>3133.016506</v>
      </c>
      <c r="W239" s="52">
        <f t="shared" si="8"/>
        <v>3133.016506</v>
      </c>
      <c r="X239" s="9">
        <f t="shared" si="25"/>
        <v>22154.565</v>
      </c>
      <c r="Y239" s="8"/>
      <c r="Z239" s="8"/>
      <c r="AA239" s="8"/>
      <c r="AB239" s="8" t="str">
        <f t="shared" si="10"/>
        <v>ATHH40968J2.0UT</v>
      </c>
      <c r="AC239" s="8" t="str">
        <f>IF(AB239='Input - Bookings'!S226,"OK","Check")</f>
        <v>Check</v>
      </c>
      <c r="AD239" s="53"/>
      <c r="AE239" s="54"/>
      <c r="AF239" s="54"/>
      <c r="AG239" s="55"/>
      <c r="AH239" s="55"/>
      <c r="AI239" s="8" t="str">
        <f t="array" ref="AI239">XLOOKUP($J239,'AP Plants'!D:D,'AP Plants'!B:B)</f>
        <v>Class 1</v>
      </c>
      <c r="AJ239" s="56"/>
      <c r="AK239" s="56"/>
      <c r="AL239" s="49">
        <v>0.015</v>
      </c>
      <c r="AM239" s="49">
        <f t="array" ref="AM239">XLOOKUP($AI239,Warranty!B:B,Warranty!E:E)</f>
        <v>0.005</v>
      </c>
      <c r="AN239" s="8">
        <f>IF($L239="AUD",VLOOKUP(RIGHT('Wk - Margins'!$J239,3),'AU Freight'!C:G,5,0),0)</f>
        <v>0</v>
      </c>
      <c r="AO239" s="49">
        <f t="shared" si="11"/>
        <v>0</v>
      </c>
      <c r="AP239" s="57">
        <f t="shared" si="12"/>
        <v>0</v>
      </c>
      <c r="AQ239" s="58">
        <f t="shared" si="13"/>
        <v>1</v>
      </c>
      <c r="AR239" s="59">
        <f>IF(L239="AUD",O239*'Currency &amp; Conversion'!$L$7,'Wk - Margins'!O239)</f>
        <v>31506</v>
      </c>
      <c r="AS239" s="59">
        <f>IF(L239="AUD",P239*'Currency &amp; Conversion'!$L$7,'Wk - Margins'!P239)</f>
        <v>22154.565</v>
      </c>
    </row>
    <row r="240" ht="12.75" hidden="1" customHeight="1">
      <c r="A240" s="42" t="str">
        <f>'Input - Bookings'!A240</f>
        <v>29/06/2023</v>
      </c>
      <c r="B240" s="43" t="str">
        <f t="shared" si="1"/>
        <v>Asia</v>
      </c>
      <c r="C240" s="43" t="str">
        <f t="shared" si="2"/>
        <v>ATH</v>
      </c>
      <c r="D240" s="43" t="str">
        <f>'Input - Bookings'!D240</f>
        <v>A</v>
      </c>
      <c r="E240" s="43" t="str">
        <f>'Input - Bookings'!J240</f>
        <v>TH</v>
      </c>
      <c r="F240" s="44" t="str">
        <f>'Input - Bookings'!F240</f>
        <v>065</v>
      </c>
      <c r="G240" s="44" t="str">
        <f>'Input - Bookings'!I240</f>
        <v>DILOK AND SONS CO.,LTD.</v>
      </c>
      <c r="H240" s="45" t="str">
        <f>'Input - Bookings'!K240</f>
        <v>H40969</v>
      </c>
      <c r="I240" s="45" t="str">
        <f>VLOOKUP(H240,'Input - Bookings'!$G$2:$H$611,2,0)</f>
        <v>001255</v>
      </c>
      <c r="J240" s="44" t="str">
        <f>'Input - Bookings'!N240</f>
        <v>A3C4</v>
      </c>
      <c r="K240" s="44" t="str">
        <f>'Input - Bookings'!O240</f>
        <v>J2.0UT</v>
      </c>
      <c r="L240" s="44" t="str">
        <f>'Input - Bookings'!C240</f>
        <v>USD</v>
      </c>
      <c r="M240" s="46" t="str">
        <f t="array" ref="M240">IF(L240="USD",INDEX('AP Plants'!A:A,MATCH(J240,'AP Plants'!D:D,0)),INDEX('Australia Plants'!A:A,MATCH(J240,'Australia Plants'!D:D,0)))</f>
        <v>Maximal</v>
      </c>
      <c r="N240" s="10">
        <v>1.0</v>
      </c>
      <c r="O240" s="9">
        <v>31736.0</v>
      </c>
      <c r="P240" s="9">
        <v>22329.365000000005</v>
      </c>
      <c r="Q240" s="47">
        <v>0.142224243269509</v>
      </c>
      <c r="R240" s="48">
        <f t="shared" si="3"/>
        <v>0.2964026657</v>
      </c>
      <c r="S240" s="49">
        <f t="shared" si="4"/>
        <v>0</v>
      </c>
      <c r="T240" s="49">
        <f t="shared" si="21"/>
        <v>0.1422242433</v>
      </c>
      <c r="U240" s="50" t="str">
        <f t="shared" si="6"/>
        <v>AOP</v>
      </c>
      <c r="V240" s="51">
        <f t="shared" si="28"/>
        <v>3175.77704</v>
      </c>
      <c r="W240" s="52">
        <f t="shared" si="8"/>
        <v>3175.77704</v>
      </c>
      <c r="X240" s="9">
        <f t="shared" si="25"/>
        <v>22329.365</v>
      </c>
      <c r="Y240" s="8"/>
      <c r="Z240" s="8"/>
      <c r="AA240" s="8"/>
      <c r="AB240" s="8" t="str">
        <f t="shared" si="10"/>
        <v>ATHH40969J2.0UT</v>
      </c>
      <c r="AC240" s="8" t="str">
        <f>IF(AB240='Input - Bookings'!S227,"OK","Check")</f>
        <v>Check</v>
      </c>
      <c r="AD240" s="53"/>
      <c r="AE240" s="54"/>
      <c r="AF240" s="54"/>
      <c r="AG240" s="55"/>
      <c r="AH240" s="55"/>
      <c r="AI240" s="8" t="str">
        <f t="array" ref="AI240">XLOOKUP($J240,'AP Plants'!D:D,'AP Plants'!B:B)</f>
        <v>Class 1</v>
      </c>
      <c r="AJ240" s="56"/>
      <c r="AK240" s="56"/>
      <c r="AL240" s="49">
        <v>0.015</v>
      </c>
      <c r="AM240" s="49">
        <f t="array" ref="AM240">XLOOKUP($AI240,Warranty!B:B,Warranty!E:E)</f>
        <v>0.005</v>
      </c>
      <c r="AN240" s="8">
        <f>IF($L240="AUD",VLOOKUP(RIGHT('Wk - Margins'!$J240,3),'AU Freight'!C:G,5,0),0)</f>
        <v>0</v>
      </c>
      <c r="AO240" s="49">
        <f t="shared" si="11"/>
        <v>0</v>
      </c>
      <c r="AP240" s="57">
        <f t="shared" si="12"/>
        <v>0</v>
      </c>
      <c r="AQ240" s="58">
        <f t="shared" si="13"/>
        <v>1</v>
      </c>
      <c r="AR240" s="59">
        <f>IF(L240="AUD",O240*'Currency &amp; Conversion'!$L$7,'Wk - Margins'!O240)</f>
        <v>31736</v>
      </c>
      <c r="AS240" s="59">
        <f>IF(L240="AUD",P240*'Currency &amp; Conversion'!$L$7,'Wk - Margins'!P240)</f>
        <v>22329.365</v>
      </c>
    </row>
    <row r="241" ht="12.75" hidden="1" customHeight="1">
      <c r="A241" s="42" t="str">
        <f>'Input - Bookings'!A241</f>
        <v>29/06/2023</v>
      </c>
      <c r="B241" s="43" t="str">
        <f t="shared" si="1"/>
        <v>Asia</v>
      </c>
      <c r="C241" s="43" t="str">
        <f t="shared" si="2"/>
        <v>ATH</v>
      </c>
      <c r="D241" s="43" t="str">
        <f>'Input - Bookings'!D241</f>
        <v>A</v>
      </c>
      <c r="E241" s="43" t="str">
        <f>'Input - Bookings'!J241</f>
        <v>TH</v>
      </c>
      <c r="F241" s="44" t="str">
        <f>'Input - Bookings'!F241</f>
        <v>065</v>
      </c>
      <c r="G241" s="44" t="str">
        <f>'Input - Bookings'!I241</f>
        <v>DILOK AND SONS CO.,LTD.</v>
      </c>
      <c r="H241" s="45" t="str">
        <f>'Input - Bookings'!K241</f>
        <v>H40971</v>
      </c>
      <c r="I241" s="45" t="str">
        <f>VLOOKUP(H241,'Input - Bookings'!$G$2:$H$611,2,0)</f>
        <v>001255</v>
      </c>
      <c r="J241" s="44" t="str">
        <f>'Input - Bookings'!N241</f>
        <v>A3C4</v>
      </c>
      <c r="K241" s="44" t="str">
        <f>'Input - Bookings'!O241</f>
        <v>J2.0UT</v>
      </c>
      <c r="L241" s="44" t="str">
        <f>'Input - Bookings'!C241</f>
        <v>USD</v>
      </c>
      <c r="M241" s="46" t="str">
        <f t="array" ref="M241">IF(L241="USD",INDEX('AP Plants'!A:A,MATCH(J241,'AP Plants'!D:D,0)),INDEX('Australia Plants'!A:A,MATCH(J241,'Australia Plants'!D:D,0)))</f>
        <v>Maximal</v>
      </c>
      <c r="N241" s="10">
        <v>1.0</v>
      </c>
      <c r="O241" s="9">
        <v>31506.0</v>
      </c>
      <c r="P241" s="9">
        <v>22154.565000000002</v>
      </c>
      <c r="Q241" s="47">
        <v>0.14141629529542243</v>
      </c>
      <c r="R241" s="48">
        <f t="shared" si="3"/>
        <v>0.2968144163</v>
      </c>
      <c r="S241" s="49">
        <f t="shared" si="4"/>
        <v>0</v>
      </c>
      <c r="T241" s="49">
        <f t="shared" si="21"/>
        <v>0.1414162953</v>
      </c>
      <c r="U241" s="50" t="str">
        <f t="shared" si="6"/>
        <v>AOP</v>
      </c>
      <c r="V241" s="51">
        <f t="shared" si="28"/>
        <v>3133.016506</v>
      </c>
      <c r="W241" s="52">
        <f t="shared" si="8"/>
        <v>3133.016506</v>
      </c>
      <c r="X241" s="9">
        <f t="shared" si="25"/>
        <v>22154.565</v>
      </c>
      <c r="Y241" s="8"/>
      <c r="Z241" s="8"/>
      <c r="AA241" s="8"/>
      <c r="AB241" s="8" t="str">
        <f t="shared" si="10"/>
        <v>ATHH40971J2.0UT</v>
      </c>
      <c r="AC241" s="8" t="str">
        <f>IF(AB241='Input - Bookings'!S228,"OK","Check")</f>
        <v>Check</v>
      </c>
      <c r="AD241" s="53"/>
      <c r="AE241" s="54"/>
      <c r="AF241" s="54"/>
      <c r="AG241" s="55"/>
      <c r="AH241" s="55"/>
      <c r="AI241" s="8" t="str">
        <f t="array" ref="AI241">XLOOKUP($J241,'AP Plants'!D:D,'AP Plants'!B:B)</f>
        <v>Class 1</v>
      </c>
      <c r="AJ241" s="56"/>
      <c r="AK241" s="56"/>
      <c r="AL241" s="49">
        <v>0.015</v>
      </c>
      <c r="AM241" s="49">
        <f t="array" ref="AM241">XLOOKUP($AI241,Warranty!B:B,Warranty!E:E)</f>
        <v>0.005</v>
      </c>
      <c r="AN241" s="8">
        <f>IF($L241="AUD",VLOOKUP(RIGHT('Wk - Margins'!$J241,3),'AU Freight'!C:G,5,0),0)</f>
        <v>0</v>
      </c>
      <c r="AO241" s="49">
        <f t="shared" si="11"/>
        <v>0</v>
      </c>
      <c r="AP241" s="57">
        <f t="shared" si="12"/>
        <v>0</v>
      </c>
      <c r="AQ241" s="58">
        <f t="shared" si="13"/>
        <v>1</v>
      </c>
      <c r="AR241" s="59">
        <f>IF(L241="AUD",O241*'Currency &amp; Conversion'!$L$7,'Wk - Margins'!O241)</f>
        <v>31506</v>
      </c>
      <c r="AS241" s="59">
        <f>IF(L241="AUD",P241*'Currency &amp; Conversion'!$L$7,'Wk - Margins'!P241)</f>
        <v>22154.565</v>
      </c>
    </row>
    <row r="242" ht="12.75" hidden="1" customHeight="1">
      <c r="A242" s="42" t="str">
        <f>'Input - Bookings'!A242</f>
        <v>29/06/2023</v>
      </c>
      <c r="B242" s="43" t="str">
        <f t="shared" si="1"/>
        <v>Asia</v>
      </c>
      <c r="C242" s="43" t="str">
        <f t="shared" si="2"/>
        <v>ATH</v>
      </c>
      <c r="D242" s="43" t="str">
        <f>'Input - Bookings'!D242</f>
        <v>A</v>
      </c>
      <c r="E242" s="43" t="str">
        <f>'Input - Bookings'!J242</f>
        <v>TH</v>
      </c>
      <c r="F242" s="44" t="str">
        <f>'Input - Bookings'!F242</f>
        <v>065</v>
      </c>
      <c r="G242" s="44" t="str">
        <f>'Input - Bookings'!I242</f>
        <v>DILOK AND SONS CO.,LTD.</v>
      </c>
      <c r="H242" s="45" t="str">
        <f>'Input - Bookings'!K242</f>
        <v>H40985</v>
      </c>
      <c r="I242" s="45" t="str">
        <f>VLOOKUP(H242,'Input - Bookings'!$G$2:$H$611,2,0)</f>
        <v>001255</v>
      </c>
      <c r="J242" s="44" t="str">
        <f>'Input - Bookings'!N242</f>
        <v>A3C4</v>
      </c>
      <c r="K242" s="44" t="str">
        <f>'Input - Bookings'!O242</f>
        <v>J2.0UT</v>
      </c>
      <c r="L242" s="44" t="str">
        <f>'Input - Bookings'!C242</f>
        <v>USD</v>
      </c>
      <c r="M242" s="46" t="str">
        <f t="array" ref="M242">IF(L242="USD",INDEX('AP Plants'!A:A,MATCH(J242,'AP Plants'!D:D,0)),INDEX('Australia Plants'!A:A,MATCH(J242,'Australia Plants'!D:D,0)))</f>
        <v>Maximal</v>
      </c>
      <c r="N242" s="10">
        <v>1.0</v>
      </c>
      <c r="O242" s="9">
        <v>31371.0</v>
      </c>
      <c r="P242" s="9">
        <v>22051.965000000004</v>
      </c>
      <c r="Q242" s="47">
        <v>0.14103088954948184</v>
      </c>
      <c r="R242" s="48">
        <f t="shared" si="3"/>
        <v>0.2970589079</v>
      </c>
      <c r="S242" s="49">
        <f t="shared" si="4"/>
        <v>0</v>
      </c>
      <c r="T242" s="49">
        <f t="shared" si="21"/>
        <v>0.1410308895</v>
      </c>
      <c r="U242" s="50" t="str">
        <f t="shared" si="6"/>
        <v>AOP</v>
      </c>
      <c r="V242" s="51">
        <f t="shared" si="28"/>
        <v>3110.00824</v>
      </c>
      <c r="W242" s="52">
        <f t="shared" si="8"/>
        <v>3110.00824</v>
      </c>
      <c r="X242" s="9">
        <f t="shared" si="25"/>
        <v>22051.965</v>
      </c>
      <c r="Y242" s="8"/>
      <c r="Z242" s="8"/>
      <c r="AA242" s="8"/>
      <c r="AB242" s="8" t="str">
        <f t="shared" si="10"/>
        <v>ATHH40985J2.0UT</v>
      </c>
      <c r="AC242" s="8" t="str">
        <f>IF(AB242='Input - Bookings'!S229,"OK","Check")</f>
        <v>Check</v>
      </c>
      <c r="AD242" s="53"/>
      <c r="AE242" s="54"/>
      <c r="AF242" s="54"/>
      <c r="AG242" s="55"/>
      <c r="AH242" s="55"/>
      <c r="AI242" s="8" t="str">
        <f t="array" ref="AI242">XLOOKUP($J242,'AP Plants'!D:D,'AP Plants'!B:B)</f>
        <v>Class 1</v>
      </c>
      <c r="AJ242" s="56"/>
      <c r="AK242" s="56"/>
      <c r="AL242" s="49">
        <v>0.015</v>
      </c>
      <c r="AM242" s="49">
        <f t="array" ref="AM242">XLOOKUP($AI242,Warranty!B:B,Warranty!E:E)</f>
        <v>0.005</v>
      </c>
      <c r="AN242" s="8">
        <f>IF($L242="AUD",VLOOKUP(RIGHT('Wk - Margins'!$J242,3),'AU Freight'!C:G,5,0),0)</f>
        <v>0</v>
      </c>
      <c r="AO242" s="49">
        <f t="shared" si="11"/>
        <v>0</v>
      </c>
      <c r="AP242" s="57">
        <f t="shared" si="12"/>
        <v>0</v>
      </c>
      <c r="AQ242" s="58">
        <f t="shared" si="13"/>
        <v>1</v>
      </c>
      <c r="AR242" s="59">
        <f>IF(L242="AUD",O242*'Currency &amp; Conversion'!$L$7,'Wk - Margins'!O242)</f>
        <v>31371</v>
      </c>
      <c r="AS242" s="59">
        <f>IF(L242="AUD",P242*'Currency &amp; Conversion'!$L$7,'Wk - Margins'!P242)</f>
        <v>22051.965</v>
      </c>
    </row>
    <row r="243" ht="12.75" hidden="1" customHeight="1">
      <c r="A243" s="42" t="str">
        <f>'Input - Bookings'!A243</f>
        <v>29/06/2023</v>
      </c>
      <c r="B243" s="43" t="str">
        <f t="shared" si="1"/>
        <v>Asia</v>
      </c>
      <c r="C243" s="43" t="str">
        <f t="shared" si="2"/>
        <v>ATH</v>
      </c>
      <c r="D243" s="43" t="str">
        <f>'Input - Bookings'!D243</f>
        <v>A</v>
      </c>
      <c r="E243" s="43" t="str">
        <f>'Input - Bookings'!J243</f>
        <v>TH</v>
      </c>
      <c r="F243" s="44" t="str">
        <f>'Input - Bookings'!F243</f>
        <v>065</v>
      </c>
      <c r="G243" s="44" t="str">
        <f>'Input - Bookings'!I243</f>
        <v>DILOK AND SONS CO.,LTD.</v>
      </c>
      <c r="H243" s="45" t="str">
        <f>'Input - Bookings'!K243</f>
        <v>H41031</v>
      </c>
      <c r="I243" s="45" t="str">
        <f>VLOOKUP(H243,'Input - Bookings'!$G$2:$H$611,2,0)</f>
        <v>001255</v>
      </c>
      <c r="J243" s="44" t="str">
        <f>'Input - Bookings'!N243</f>
        <v>A3C4</v>
      </c>
      <c r="K243" s="44" t="str">
        <f>'Input - Bookings'!O243</f>
        <v>J3.0UT</v>
      </c>
      <c r="L243" s="44" t="str">
        <f>'Input - Bookings'!C243</f>
        <v>USD</v>
      </c>
      <c r="M243" s="46" t="str">
        <f t="array" ref="M243">IF(L243="USD",INDEX('AP Plants'!A:A,MATCH(J243,'AP Plants'!D:D,0)),INDEX('Australia Plants'!A:A,MATCH(J243,'Australia Plants'!D:D,0)))</f>
        <v>Maximal</v>
      </c>
      <c r="N243" s="10">
        <v>1.0</v>
      </c>
      <c r="O243" s="9">
        <v>35578.0</v>
      </c>
      <c r="P243" s="9">
        <v>26119.84</v>
      </c>
      <c r="Q243" s="47">
        <v>0.17992283428789801</v>
      </c>
      <c r="R243" s="48">
        <f t="shared" si="3"/>
        <v>0.2658429366</v>
      </c>
      <c r="S243" s="49">
        <f t="shared" si="4"/>
        <v>0</v>
      </c>
      <c r="T243" s="49">
        <f t="shared" si="21"/>
        <v>0.1799228343</v>
      </c>
      <c r="U243" s="50" t="str">
        <f t="shared" si="6"/>
        <v>AOP</v>
      </c>
      <c r="V243" s="51">
        <f t="shared" si="28"/>
        <v>4699.555644</v>
      </c>
      <c r="W243" s="52">
        <f t="shared" si="8"/>
        <v>4699.555644</v>
      </c>
      <c r="X243" s="9">
        <f t="shared" si="25"/>
        <v>26119.84</v>
      </c>
      <c r="Y243" s="8"/>
      <c r="Z243" s="8"/>
      <c r="AA243" s="8"/>
      <c r="AB243" s="8" t="str">
        <f t="shared" si="10"/>
        <v>ATHH41031J3.0UT</v>
      </c>
      <c r="AC243" s="8" t="str">
        <f>IF(AB243='Input - Bookings'!S230,"OK","Check")</f>
        <v>Check</v>
      </c>
      <c r="AD243" s="53"/>
      <c r="AE243" s="54"/>
      <c r="AF243" s="54"/>
      <c r="AG243" s="55"/>
      <c r="AH243" s="55"/>
      <c r="AI243" s="8" t="str">
        <f t="array" ref="AI243">XLOOKUP($J243,'AP Plants'!D:D,'AP Plants'!B:B)</f>
        <v>Class 1</v>
      </c>
      <c r="AJ243" s="56"/>
      <c r="AK243" s="56"/>
      <c r="AL243" s="49">
        <v>0.015</v>
      </c>
      <c r="AM243" s="49">
        <f t="array" ref="AM243">XLOOKUP($AI243,Warranty!B:B,Warranty!E:E)</f>
        <v>0.005</v>
      </c>
      <c r="AN243" s="8">
        <f>IF($L243="AUD",VLOOKUP(RIGHT('Wk - Margins'!$J243,3),'AU Freight'!C:G,5,0),0)</f>
        <v>0</v>
      </c>
      <c r="AO243" s="49">
        <f t="shared" si="11"/>
        <v>0</v>
      </c>
      <c r="AP243" s="57">
        <f t="shared" si="12"/>
        <v>0</v>
      </c>
      <c r="AQ243" s="58">
        <f t="shared" si="13"/>
        <v>1</v>
      </c>
      <c r="AR243" s="59">
        <f>IF(L243="AUD",O243*'Currency &amp; Conversion'!$L$7,'Wk - Margins'!O243)</f>
        <v>35578</v>
      </c>
      <c r="AS243" s="59">
        <f>IF(L243="AUD",P243*'Currency &amp; Conversion'!$L$7,'Wk - Margins'!P243)</f>
        <v>26119.84</v>
      </c>
    </row>
    <row r="244" ht="12.75" hidden="1" customHeight="1">
      <c r="A244" s="42" t="str">
        <f>'Input - Bookings'!A244</f>
        <v>29/06/2023</v>
      </c>
      <c r="B244" s="43" t="str">
        <f t="shared" si="1"/>
        <v>Asia</v>
      </c>
      <c r="C244" s="43" t="str">
        <f t="shared" si="2"/>
        <v>ATH</v>
      </c>
      <c r="D244" s="43" t="str">
        <f>'Input - Bookings'!D244</f>
        <v>A</v>
      </c>
      <c r="E244" s="43" t="str">
        <f>'Input - Bookings'!J244</f>
        <v>TH</v>
      </c>
      <c r="F244" s="44" t="str">
        <f>'Input - Bookings'!F244</f>
        <v>065</v>
      </c>
      <c r="G244" s="44" t="str">
        <f>'Input - Bookings'!I244</f>
        <v>DILOK AND SONS CO.,LTD.</v>
      </c>
      <c r="H244" s="45" t="str">
        <f>'Input - Bookings'!K244</f>
        <v>H41033</v>
      </c>
      <c r="I244" s="45" t="str">
        <f>VLOOKUP(H244,'Input - Bookings'!$G$2:$H$611,2,0)</f>
        <v>001255</v>
      </c>
      <c r="J244" s="44" t="str">
        <f>'Input - Bookings'!N244</f>
        <v>A3C4</v>
      </c>
      <c r="K244" s="44" t="str">
        <f>'Input - Bookings'!O244</f>
        <v>J3.0UT</v>
      </c>
      <c r="L244" s="44" t="str">
        <f>'Input - Bookings'!C244</f>
        <v>USD</v>
      </c>
      <c r="M244" s="46" t="str">
        <f t="array" ref="M244">IF(L244="USD",INDEX('AP Plants'!A:A,MATCH(J244,'AP Plants'!D:D,0)),INDEX('Australia Plants'!A:A,MATCH(J244,'Australia Plants'!D:D,0)))</f>
        <v>Maximal</v>
      </c>
      <c r="N244" s="10">
        <v>1.0</v>
      </c>
      <c r="O244" s="9">
        <v>35578.0</v>
      </c>
      <c r="P244" s="9">
        <v>26119.84</v>
      </c>
      <c r="Q244" s="47">
        <v>0.17992283428789801</v>
      </c>
      <c r="R244" s="48">
        <f t="shared" si="3"/>
        <v>0.2658429366</v>
      </c>
      <c r="S244" s="49">
        <f t="shared" si="4"/>
        <v>0</v>
      </c>
      <c r="T244" s="49">
        <f t="shared" si="21"/>
        <v>0.1799228343</v>
      </c>
      <c r="U244" s="50" t="str">
        <f t="shared" si="6"/>
        <v>AOP</v>
      </c>
      <c r="V244" s="51">
        <f t="shared" si="28"/>
        <v>4699.555644</v>
      </c>
      <c r="W244" s="52">
        <f t="shared" si="8"/>
        <v>4699.555644</v>
      </c>
      <c r="X244" s="9">
        <f t="shared" si="25"/>
        <v>26119.84</v>
      </c>
      <c r="Y244" s="8"/>
      <c r="Z244" s="8"/>
      <c r="AA244" s="8"/>
      <c r="AB244" s="8" t="str">
        <f t="shared" si="10"/>
        <v>ATHH41033J3.0UT</v>
      </c>
      <c r="AC244" s="8" t="str">
        <f>IF(AB244='Input - Bookings'!S227,"OK","Check")</f>
        <v>Check</v>
      </c>
      <c r="AD244" s="53"/>
      <c r="AE244" s="54"/>
      <c r="AF244" s="54"/>
      <c r="AG244" s="55"/>
      <c r="AH244" s="55"/>
      <c r="AI244" s="8" t="str">
        <f t="array" ref="AI244">XLOOKUP($J244,'AP Plants'!D:D,'AP Plants'!B:B)</f>
        <v>Class 1</v>
      </c>
      <c r="AJ244" s="56"/>
      <c r="AK244" s="56"/>
      <c r="AL244" s="49">
        <v>0.015</v>
      </c>
      <c r="AM244" s="49">
        <f t="array" ref="AM244">XLOOKUP($AI244,Warranty!B:B,Warranty!E:E)</f>
        <v>0.005</v>
      </c>
      <c r="AN244" s="8">
        <f>IF($L244="AUD",VLOOKUP(RIGHT('Wk - Margins'!$J244,3),'AU Freight'!C:G,5,0),0)</f>
        <v>0</v>
      </c>
      <c r="AO244" s="49">
        <f t="shared" si="11"/>
        <v>0</v>
      </c>
      <c r="AP244" s="57">
        <f t="shared" si="12"/>
        <v>0</v>
      </c>
      <c r="AQ244" s="58">
        <f t="shared" si="13"/>
        <v>1</v>
      </c>
      <c r="AR244" s="59">
        <f>IF(L244="AUD",O244*'Currency &amp; Conversion'!$L$7,'Wk - Margins'!O244)</f>
        <v>35578</v>
      </c>
      <c r="AS244" s="59">
        <f>IF(L244="AUD",P244*'Currency &amp; Conversion'!$L$7,'Wk - Margins'!P244)</f>
        <v>26119.84</v>
      </c>
    </row>
    <row r="245" ht="12.75" hidden="1" customHeight="1">
      <c r="A245" s="42" t="str">
        <f>'Input - Bookings'!A245</f>
        <v>29/06/2023</v>
      </c>
      <c r="B245" s="43" t="str">
        <f t="shared" si="1"/>
        <v>Asia</v>
      </c>
      <c r="C245" s="43" t="str">
        <f t="shared" si="2"/>
        <v>ATH</v>
      </c>
      <c r="D245" s="43" t="str">
        <f>'Input - Bookings'!D245</f>
        <v>A</v>
      </c>
      <c r="E245" s="43" t="str">
        <f>'Input - Bookings'!J245</f>
        <v>TH</v>
      </c>
      <c r="F245" s="44" t="str">
        <f>'Input - Bookings'!F245</f>
        <v>065</v>
      </c>
      <c r="G245" s="44" t="str">
        <f>'Input - Bookings'!I245</f>
        <v>DILOK AND SONS CO.,LTD.</v>
      </c>
      <c r="H245" s="45" t="str">
        <f>'Input - Bookings'!K245</f>
        <v>H41037</v>
      </c>
      <c r="I245" s="45" t="str">
        <f>VLOOKUP(H245,'Input - Bookings'!$G$2:$H$611,2,0)</f>
        <v>001255</v>
      </c>
      <c r="J245" s="44" t="str">
        <f>'Input - Bookings'!N245</f>
        <v>A3C4</v>
      </c>
      <c r="K245" s="44" t="str">
        <f>'Input - Bookings'!O245</f>
        <v>J3.5UT</v>
      </c>
      <c r="L245" s="44" t="str">
        <f>'Input - Bookings'!C245</f>
        <v>USD</v>
      </c>
      <c r="M245" s="46" t="str">
        <f t="array" ref="M245">IF(L245="USD",INDEX('AP Plants'!A:A,MATCH(J245,'AP Plants'!D:D,0)),INDEX('Australia Plants'!A:A,MATCH(J245,'Australia Plants'!D:D,0)))</f>
        <v>Maximal</v>
      </c>
      <c r="N245" s="10">
        <v>1.0</v>
      </c>
      <c r="O245" s="9">
        <v>36138.0</v>
      </c>
      <c r="P245" s="9">
        <v>26493.24</v>
      </c>
      <c r="Q245" s="47">
        <v>0.1663113339668837</v>
      </c>
      <c r="R245" s="48">
        <f t="shared" si="3"/>
        <v>0.2668869334</v>
      </c>
      <c r="S245" s="49">
        <f t="shared" si="4"/>
        <v>0</v>
      </c>
      <c r="T245" s="49">
        <f t="shared" si="21"/>
        <v>0.166311334</v>
      </c>
      <c r="U245" s="50" t="str">
        <f t="shared" si="6"/>
        <v>AOP</v>
      </c>
      <c r="V245" s="51">
        <f t="shared" si="28"/>
        <v>4406.126086</v>
      </c>
      <c r="W245" s="52">
        <f t="shared" si="8"/>
        <v>4406.126086</v>
      </c>
      <c r="X245" s="9">
        <f t="shared" si="25"/>
        <v>26493.24</v>
      </c>
      <c r="Y245" s="8"/>
      <c r="Z245" s="8"/>
      <c r="AA245" s="8"/>
      <c r="AB245" s="8" t="str">
        <f t="shared" si="10"/>
        <v>ATHH41037J3.5UT</v>
      </c>
      <c r="AC245" s="8" t="str">
        <f>IF(AB245='Input - Bookings'!S228,"OK","Check")</f>
        <v>Check</v>
      </c>
      <c r="AD245" s="53"/>
      <c r="AE245" s="54"/>
      <c r="AF245" s="54"/>
      <c r="AG245" s="55"/>
      <c r="AH245" s="55"/>
      <c r="AI245" s="8" t="str">
        <f t="array" ref="AI245">XLOOKUP($J245,'AP Plants'!D:D,'AP Plants'!B:B)</f>
        <v>Class 1</v>
      </c>
      <c r="AJ245" s="56"/>
      <c r="AK245" s="56"/>
      <c r="AL245" s="49">
        <v>0.015</v>
      </c>
      <c r="AM245" s="49">
        <f t="array" ref="AM245">XLOOKUP($AI245,Warranty!B:B,Warranty!E:E)</f>
        <v>0.005</v>
      </c>
      <c r="AN245" s="8">
        <f>IF($L245="AUD",VLOOKUP(RIGHT('Wk - Margins'!$J245,3),'AU Freight'!C:G,5,0),0)</f>
        <v>0</v>
      </c>
      <c r="AO245" s="49">
        <f t="shared" si="11"/>
        <v>0</v>
      </c>
      <c r="AP245" s="57">
        <f t="shared" si="12"/>
        <v>0</v>
      </c>
      <c r="AQ245" s="58">
        <f t="shared" si="13"/>
        <v>1</v>
      </c>
      <c r="AR245" s="59">
        <f>IF(L245="AUD",O245*'Currency &amp; Conversion'!$L$7,'Wk - Margins'!O245)</f>
        <v>36138</v>
      </c>
      <c r="AS245" s="59">
        <f>IF(L245="AUD",P245*'Currency &amp; Conversion'!$L$7,'Wk - Margins'!P245)</f>
        <v>26493.24</v>
      </c>
    </row>
    <row r="246" ht="12.75" hidden="1" customHeight="1">
      <c r="A246" s="42" t="str">
        <f>'Input - Bookings'!A246</f>
        <v>29/06/2023</v>
      </c>
      <c r="B246" s="43" t="str">
        <f t="shared" si="1"/>
        <v>Asia</v>
      </c>
      <c r="C246" s="43" t="str">
        <f t="shared" si="2"/>
        <v>ATH</v>
      </c>
      <c r="D246" s="43" t="str">
        <f>'Input - Bookings'!D246</f>
        <v>A</v>
      </c>
      <c r="E246" s="43" t="str">
        <f>'Input - Bookings'!J246</f>
        <v>TH</v>
      </c>
      <c r="F246" s="44" t="str">
        <f>'Input - Bookings'!F246</f>
        <v>065</v>
      </c>
      <c r="G246" s="44" t="str">
        <f>'Input - Bookings'!I246</f>
        <v>DILOK AND SONS CO.,LTD.</v>
      </c>
      <c r="H246" s="45" t="str">
        <f>'Input - Bookings'!K246</f>
        <v>H41097</v>
      </c>
      <c r="I246" s="45" t="str">
        <f>VLOOKUP(H246,'Input - Bookings'!$G$2:$H$611,2,0)</f>
        <v>001255</v>
      </c>
      <c r="J246" s="44" t="str">
        <f>'Input - Bookings'!N246</f>
        <v>A3C4</v>
      </c>
      <c r="K246" s="44" t="str">
        <f>'Input - Bookings'!O246</f>
        <v>J3.0UT</v>
      </c>
      <c r="L246" s="44" t="str">
        <f>'Input - Bookings'!C246</f>
        <v>USD</v>
      </c>
      <c r="M246" s="46" t="str">
        <f t="array" ref="M246">IF(L246="USD",INDEX('AP Plants'!A:A,MATCH(J246,'AP Plants'!D:D,0)),INDEX('Australia Plants'!A:A,MATCH(J246,'Australia Plants'!D:D,0)))</f>
        <v>Maximal</v>
      </c>
      <c r="N246" s="10">
        <v>1.0</v>
      </c>
      <c r="O246" s="9">
        <v>36613.0</v>
      </c>
      <c r="P246" s="9">
        <v>26906.44</v>
      </c>
      <c r="Q246" s="47">
        <v>0.18198253078408821</v>
      </c>
      <c r="R246" s="48">
        <f t="shared" si="3"/>
        <v>0.2651123918</v>
      </c>
      <c r="S246" s="49">
        <f t="shared" si="4"/>
        <v>0</v>
      </c>
      <c r="T246" s="49">
        <f t="shared" si="21"/>
        <v>0.1819825308</v>
      </c>
      <c r="U246" s="50" t="str">
        <f t="shared" si="6"/>
        <v>AOP</v>
      </c>
      <c r="V246" s="51">
        <f t="shared" si="28"/>
        <v>4896.502046</v>
      </c>
      <c r="W246" s="52">
        <f t="shared" si="8"/>
        <v>4896.502046</v>
      </c>
      <c r="X246" s="9">
        <f t="shared" si="25"/>
        <v>26906.44</v>
      </c>
      <c r="Y246" s="8"/>
      <c r="Z246" s="8"/>
      <c r="AA246" s="8"/>
      <c r="AB246" s="8" t="str">
        <f t="shared" si="10"/>
        <v>ATHH41097J3.0UT</v>
      </c>
      <c r="AC246" s="8" t="str">
        <f>IF(AB246='Input - Bookings'!S229,"OK","Check")</f>
        <v>Check</v>
      </c>
      <c r="AD246" s="53"/>
      <c r="AE246" s="54"/>
      <c r="AF246" s="54"/>
      <c r="AG246" s="55"/>
      <c r="AH246" s="55"/>
      <c r="AI246" s="8" t="str">
        <f t="array" ref="AI246">XLOOKUP($J246,'AP Plants'!D:D,'AP Plants'!B:B)</f>
        <v>Class 1</v>
      </c>
      <c r="AJ246" s="56"/>
      <c r="AK246" s="56"/>
      <c r="AL246" s="49">
        <v>0.015</v>
      </c>
      <c r="AM246" s="49">
        <f t="array" ref="AM246">XLOOKUP($AI246,Warranty!B:B,Warranty!E:E)</f>
        <v>0.005</v>
      </c>
      <c r="AN246" s="8">
        <f>IF($L246="AUD",VLOOKUP(RIGHT('Wk - Margins'!$J246,3),'AU Freight'!C:G,5,0),0)</f>
        <v>0</v>
      </c>
      <c r="AO246" s="49">
        <f t="shared" si="11"/>
        <v>0</v>
      </c>
      <c r="AP246" s="57">
        <f t="shared" si="12"/>
        <v>0</v>
      </c>
      <c r="AQ246" s="58">
        <f t="shared" si="13"/>
        <v>1</v>
      </c>
      <c r="AR246" s="59">
        <f>IF(L246="AUD",O246*'Currency &amp; Conversion'!$L$7,'Wk - Margins'!O246)</f>
        <v>36613</v>
      </c>
      <c r="AS246" s="59">
        <f>IF(L246="AUD",P246*'Currency &amp; Conversion'!$L$7,'Wk - Margins'!P246)</f>
        <v>26906.44</v>
      </c>
    </row>
    <row r="247" ht="12.75" hidden="1" customHeight="1">
      <c r="A247" s="42" t="str">
        <f>'Input - Bookings'!A247</f>
        <v>29/06/2023</v>
      </c>
      <c r="B247" s="43" t="str">
        <f t="shared" si="1"/>
        <v>Asia</v>
      </c>
      <c r="C247" s="43" t="str">
        <f t="shared" si="2"/>
        <v>ATH</v>
      </c>
      <c r="D247" s="43" t="str">
        <f>'Input - Bookings'!D247</f>
        <v>A</v>
      </c>
      <c r="E247" s="43" t="str">
        <f>'Input - Bookings'!J247</f>
        <v>TH</v>
      </c>
      <c r="F247" s="44" t="str">
        <f>'Input - Bookings'!F247</f>
        <v>065</v>
      </c>
      <c r="G247" s="44" t="str">
        <f>'Input - Bookings'!I247</f>
        <v>DILOK AND SONS CO.,LTD.</v>
      </c>
      <c r="H247" s="45" t="str">
        <f>'Input - Bookings'!K247</f>
        <v>H41098</v>
      </c>
      <c r="I247" s="45" t="str">
        <f>VLOOKUP(H247,'Input - Bookings'!$G$2:$H$611,2,0)</f>
        <v>001255</v>
      </c>
      <c r="J247" s="44" t="str">
        <f>'Input - Bookings'!N247</f>
        <v>A3C4</v>
      </c>
      <c r="K247" s="44" t="str">
        <f>'Input - Bookings'!O247</f>
        <v>J3.0UT</v>
      </c>
      <c r="L247" s="44" t="str">
        <f>'Input - Bookings'!C247</f>
        <v>USD</v>
      </c>
      <c r="M247" s="46" t="str">
        <f t="array" ref="M247">IF(L247="USD",INDEX('AP Plants'!A:A,MATCH(J247,'AP Plants'!D:D,0)),INDEX('Australia Plants'!A:A,MATCH(J247,'Australia Plants'!D:D,0)))</f>
        <v>Maximal</v>
      </c>
      <c r="N247" s="10">
        <v>1.0</v>
      </c>
      <c r="O247" s="9">
        <v>36613.0</v>
      </c>
      <c r="P247" s="9">
        <v>26906.44</v>
      </c>
      <c r="Q247" s="47">
        <v>0.18198253078408821</v>
      </c>
      <c r="R247" s="48">
        <f t="shared" si="3"/>
        <v>0.2651123918</v>
      </c>
      <c r="S247" s="49">
        <f t="shared" si="4"/>
        <v>0</v>
      </c>
      <c r="T247" s="49">
        <f t="shared" si="21"/>
        <v>0.1819825308</v>
      </c>
      <c r="U247" s="50" t="str">
        <f t="shared" si="6"/>
        <v>AOP</v>
      </c>
      <c r="V247" s="51">
        <f t="shared" si="28"/>
        <v>4896.502046</v>
      </c>
      <c r="W247" s="52">
        <f t="shared" si="8"/>
        <v>4896.502046</v>
      </c>
      <c r="X247" s="9">
        <f t="shared" si="25"/>
        <v>26906.44</v>
      </c>
      <c r="Y247" s="8"/>
      <c r="Z247" s="8"/>
      <c r="AA247" s="8"/>
      <c r="AB247" s="8" t="str">
        <f t="shared" si="10"/>
        <v>ATHH41098J3.0UT</v>
      </c>
      <c r="AC247" s="8" t="str">
        <f>IF(AB247='Input - Bookings'!S230,"OK","Check")</f>
        <v>Check</v>
      </c>
      <c r="AD247" s="53"/>
      <c r="AE247" s="54"/>
      <c r="AF247" s="54"/>
      <c r="AG247" s="55"/>
      <c r="AH247" s="55"/>
      <c r="AI247" s="8" t="str">
        <f t="array" ref="AI247">XLOOKUP($J247,'AP Plants'!D:D,'AP Plants'!B:B)</f>
        <v>Class 1</v>
      </c>
      <c r="AJ247" s="56"/>
      <c r="AK247" s="56"/>
      <c r="AL247" s="49">
        <v>0.015</v>
      </c>
      <c r="AM247" s="49">
        <f t="array" ref="AM247">XLOOKUP($AI247,Warranty!B:B,Warranty!E:E)</f>
        <v>0.005</v>
      </c>
      <c r="AN247" s="8">
        <f>IF($L247="AUD",VLOOKUP(RIGHT('Wk - Margins'!$J247,3),'AU Freight'!C:G,5,0),0)</f>
        <v>0</v>
      </c>
      <c r="AO247" s="49">
        <f t="shared" si="11"/>
        <v>0</v>
      </c>
      <c r="AP247" s="57">
        <f t="shared" si="12"/>
        <v>0</v>
      </c>
      <c r="AQ247" s="58">
        <f t="shared" si="13"/>
        <v>1</v>
      </c>
      <c r="AR247" s="59">
        <f>IF(L247="AUD",O247*'Currency &amp; Conversion'!$L$7,'Wk - Margins'!O247)</f>
        <v>36613</v>
      </c>
      <c r="AS247" s="59">
        <f>IF(L247="AUD",P247*'Currency &amp; Conversion'!$L$7,'Wk - Margins'!P247)</f>
        <v>26906.44</v>
      </c>
    </row>
    <row r="248" ht="12.75" hidden="1" customHeight="1">
      <c r="A248" s="42" t="str">
        <f>'Input - Bookings'!A248</f>
        <v>29/06/2023</v>
      </c>
      <c r="B248" s="43" t="str">
        <f t="shared" si="1"/>
        <v>Asia</v>
      </c>
      <c r="C248" s="43" t="str">
        <f t="shared" si="2"/>
        <v>ATH</v>
      </c>
      <c r="D248" s="43" t="str">
        <f>'Input - Bookings'!D248</f>
        <v>A</v>
      </c>
      <c r="E248" s="43" t="str">
        <f>'Input - Bookings'!J248</f>
        <v>TH</v>
      </c>
      <c r="F248" s="44" t="str">
        <f>'Input - Bookings'!F248</f>
        <v>065</v>
      </c>
      <c r="G248" s="44" t="str">
        <f>'Input - Bookings'!I248</f>
        <v>DILOK AND SONS CO.,LTD.</v>
      </c>
      <c r="H248" s="45" t="str">
        <f>'Input - Bookings'!K248</f>
        <v>H41099</v>
      </c>
      <c r="I248" s="45" t="str">
        <f>VLOOKUP(H248,'Input - Bookings'!$G$2:$H$611,2,0)</f>
        <v>001255</v>
      </c>
      <c r="J248" s="44" t="str">
        <f>'Input - Bookings'!N248</f>
        <v>A3C4</v>
      </c>
      <c r="K248" s="44" t="str">
        <f>'Input - Bookings'!O248</f>
        <v>J3.0UT</v>
      </c>
      <c r="L248" s="44" t="str">
        <f>'Input - Bookings'!C248</f>
        <v>USD</v>
      </c>
      <c r="M248" s="46" t="str">
        <f t="array" ref="M248">IF(L248="USD",INDEX('AP Plants'!A:A,MATCH(J248,'AP Plants'!D:D,0)),INDEX('Australia Plants'!A:A,MATCH(J248,'Australia Plants'!D:D,0)))</f>
        <v>Maximal</v>
      </c>
      <c r="N248" s="10">
        <v>1.0</v>
      </c>
      <c r="O248" s="9">
        <v>36613.0</v>
      </c>
      <c r="P248" s="9">
        <v>26906.44</v>
      </c>
      <c r="Q248" s="47">
        <v>0.18198253078408821</v>
      </c>
      <c r="R248" s="48">
        <f t="shared" si="3"/>
        <v>0.2651123918</v>
      </c>
      <c r="S248" s="49">
        <f t="shared" si="4"/>
        <v>0</v>
      </c>
      <c r="T248" s="49">
        <f t="shared" si="21"/>
        <v>0.1819825308</v>
      </c>
      <c r="U248" s="50" t="str">
        <f t="shared" si="6"/>
        <v>AOP</v>
      </c>
      <c r="V248" s="51">
        <f t="shared" si="28"/>
        <v>4896.502046</v>
      </c>
      <c r="W248" s="52">
        <f t="shared" si="8"/>
        <v>4896.502046</v>
      </c>
      <c r="X248" s="9">
        <f t="shared" si="25"/>
        <v>26906.44</v>
      </c>
      <c r="Y248" s="8"/>
      <c r="Z248" s="8"/>
      <c r="AA248" s="8"/>
      <c r="AB248" s="8" t="str">
        <f t="shared" si="10"/>
        <v>ATHH41099J3.0UT</v>
      </c>
      <c r="AC248" s="8" t="str">
        <f>IF(AB248='Input - Bookings'!S231,"OK","Check")</f>
        <v>Check</v>
      </c>
      <c r="AD248" s="60"/>
      <c r="AE248" s="54"/>
      <c r="AF248" s="54"/>
      <c r="AG248" s="55"/>
      <c r="AH248" s="62"/>
      <c r="AI248" s="8" t="str">
        <f t="array" ref="AI248">XLOOKUP($J248,'AP Plants'!D:D,'AP Plants'!B:B)</f>
        <v>Class 1</v>
      </c>
      <c r="AJ248" s="56"/>
      <c r="AK248" s="56"/>
      <c r="AL248" s="49">
        <v>0.015</v>
      </c>
      <c r="AM248" s="49">
        <f t="array" ref="AM248">XLOOKUP($AI248,Warranty!B:B,Warranty!E:E)</f>
        <v>0.005</v>
      </c>
      <c r="AN248" s="8">
        <f>IF($L248="AUD",VLOOKUP(RIGHT('Wk - Margins'!$J248,3),'AU Freight'!C:G,5,0),0)</f>
        <v>0</v>
      </c>
      <c r="AO248" s="49">
        <f t="shared" si="11"/>
        <v>0</v>
      </c>
      <c r="AP248" s="57">
        <f t="shared" si="12"/>
        <v>0</v>
      </c>
      <c r="AQ248" s="58">
        <f t="shared" si="13"/>
        <v>1</v>
      </c>
      <c r="AR248" s="59">
        <f>IF(L248="AUD",O248*'Currency &amp; Conversion'!$L$7,'Wk - Margins'!O248)</f>
        <v>36613</v>
      </c>
      <c r="AS248" s="59">
        <f>IF(L248="AUD",P248*'Currency &amp; Conversion'!$L$7,'Wk - Margins'!P248)</f>
        <v>26906.44</v>
      </c>
    </row>
    <row r="249" ht="12.75" hidden="1" customHeight="1">
      <c r="A249" s="42" t="str">
        <f>'Input - Bookings'!A249</f>
        <v>29/06/2023</v>
      </c>
      <c r="B249" s="43" t="str">
        <f t="shared" si="1"/>
        <v>Asia</v>
      </c>
      <c r="C249" s="43" t="str">
        <f t="shared" si="2"/>
        <v>ATH</v>
      </c>
      <c r="D249" s="43" t="str">
        <f>'Input - Bookings'!D249</f>
        <v>A</v>
      </c>
      <c r="E249" s="43" t="str">
        <f>'Input - Bookings'!J249</f>
        <v>TH</v>
      </c>
      <c r="F249" s="44" t="str">
        <f>'Input - Bookings'!F249</f>
        <v>065</v>
      </c>
      <c r="G249" s="44" t="str">
        <f>'Input - Bookings'!I249</f>
        <v>DILOK AND SONS CO.,LTD.</v>
      </c>
      <c r="H249" s="45" t="str">
        <f>'Input - Bookings'!K249</f>
        <v>H41100</v>
      </c>
      <c r="I249" s="45" t="str">
        <f>VLOOKUP(H249,'Input - Bookings'!$G$2:$H$611,2,0)</f>
        <v>001255</v>
      </c>
      <c r="J249" s="44" t="str">
        <f>'Input - Bookings'!N249</f>
        <v>A3C4</v>
      </c>
      <c r="K249" s="44" t="str">
        <f>'Input - Bookings'!O249</f>
        <v>J3.0UT</v>
      </c>
      <c r="L249" s="44" t="str">
        <f>'Input - Bookings'!C249</f>
        <v>USD</v>
      </c>
      <c r="M249" s="46" t="str">
        <f t="array" ref="M249">IF(L249="USD",INDEX('AP Plants'!A:A,MATCH(J249,'AP Plants'!D:D,0)),INDEX('Australia Plants'!A:A,MATCH(J249,'Australia Plants'!D:D,0)))</f>
        <v>Maximal</v>
      </c>
      <c r="N249" s="10">
        <v>1.0</v>
      </c>
      <c r="O249" s="9">
        <v>36613.0</v>
      </c>
      <c r="P249" s="9">
        <v>26906.44</v>
      </c>
      <c r="Q249" s="47">
        <v>0.18198253078408821</v>
      </c>
      <c r="R249" s="48">
        <f t="shared" si="3"/>
        <v>0.2651123918</v>
      </c>
      <c r="S249" s="49">
        <f t="shared" si="4"/>
        <v>0</v>
      </c>
      <c r="T249" s="49">
        <f t="shared" si="21"/>
        <v>0.1819825308</v>
      </c>
      <c r="U249" s="50" t="str">
        <f t="shared" si="6"/>
        <v>AOP</v>
      </c>
      <c r="V249" s="51">
        <f t="shared" si="28"/>
        <v>4896.502046</v>
      </c>
      <c r="W249" s="52">
        <f t="shared" si="8"/>
        <v>4896.502046</v>
      </c>
      <c r="X249" s="9">
        <f t="shared" si="25"/>
        <v>26906.44</v>
      </c>
      <c r="Y249" s="8"/>
      <c r="Z249" s="8"/>
      <c r="AA249" s="8"/>
      <c r="AB249" s="8" t="str">
        <f t="shared" si="10"/>
        <v>ATHH41100J3.0UT</v>
      </c>
      <c r="AC249" s="8" t="str">
        <f>IF(AB249='Input - Bookings'!S232,"OK","Check")</f>
        <v>Check</v>
      </c>
      <c r="AD249" s="60"/>
      <c r="AE249" s="54"/>
      <c r="AF249" s="54"/>
      <c r="AG249" s="55"/>
      <c r="AH249" s="62"/>
      <c r="AI249" s="8" t="str">
        <f t="array" ref="AI249">XLOOKUP($J249,'AP Plants'!D:D,'AP Plants'!B:B)</f>
        <v>Class 1</v>
      </c>
      <c r="AJ249" s="56"/>
      <c r="AK249" s="56"/>
      <c r="AL249" s="49">
        <v>0.015</v>
      </c>
      <c r="AM249" s="49">
        <f t="array" ref="AM249">XLOOKUP($AI249,Warranty!B:B,Warranty!E:E)</f>
        <v>0.005</v>
      </c>
      <c r="AN249" s="8">
        <f>IF($L249="AUD",VLOOKUP(RIGHT('Wk - Margins'!$J249,3),'AU Freight'!C:G,5,0),0)</f>
        <v>0</v>
      </c>
      <c r="AO249" s="49">
        <f t="shared" si="11"/>
        <v>0</v>
      </c>
      <c r="AP249" s="57">
        <f t="shared" si="12"/>
        <v>0</v>
      </c>
      <c r="AQ249" s="58">
        <f t="shared" si="13"/>
        <v>1</v>
      </c>
      <c r="AR249" s="59">
        <f>IF(L249="AUD",O249*'Currency &amp; Conversion'!$L$7,'Wk - Margins'!O249)</f>
        <v>36613</v>
      </c>
      <c r="AS249" s="59">
        <f>IF(L249="AUD",P249*'Currency &amp; Conversion'!$L$7,'Wk - Margins'!P249)</f>
        <v>26906.44</v>
      </c>
    </row>
    <row r="250" ht="12.75" hidden="1" customHeight="1">
      <c r="A250" s="42" t="str">
        <f>'Input - Bookings'!A250</f>
        <v>29/06/2023</v>
      </c>
      <c r="B250" s="43" t="str">
        <f t="shared" si="1"/>
        <v>Asia</v>
      </c>
      <c r="C250" s="43" t="str">
        <f t="shared" si="2"/>
        <v>ATH</v>
      </c>
      <c r="D250" s="43" t="str">
        <f>'Input - Bookings'!D250</f>
        <v>A</v>
      </c>
      <c r="E250" s="43" t="str">
        <f>'Input - Bookings'!J250</f>
        <v>TH</v>
      </c>
      <c r="F250" s="44" t="str">
        <f>'Input - Bookings'!F250</f>
        <v>065</v>
      </c>
      <c r="G250" s="44" t="str">
        <f>'Input - Bookings'!I250</f>
        <v>DILOK AND SONS CO.,LTD.</v>
      </c>
      <c r="H250" s="45" t="str">
        <f>'Input - Bookings'!K250</f>
        <v>H41101</v>
      </c>
      <c r="I250" s="45" t="str">
        <f>VLOOKUP(H250,'Input - Bookings'!$G$2:$H$611,2,0)</f>
        <v>001255</v>
      </c>
      <c r="J250" s="44" t="str">
        <f>'Input - Bookings'!N250</f>
        <v>A3C4</v>
      </c>
      <c r="K250" s="44" t="str">
        <f>'Input - Bookings'!O250</f>
        <v>J3.0UT</v>
      </c>
      <c r="L250" s="44" t="str">
        <f>'Input - Bookings'!C250</f>
        <v>USD</v>
      </c>
      <c r="M250" s="46" t="str">
        <f t="array" ref="M250">IF(L250="USD",INDEX('AP Plants'!A:A,MATCH(J250,'AP Plants'!D:D,0)),INDEX('Australia Plants'!A:A,MATCH(J250,'Australia Plants'!D:D,0)))</f>
        <v>Maximal</v>
      </c>
      <c r="N250" s="10">
        <v>1.0</v>
      </c>
      <c r="O250" s="9">
        <v>36613.0</v>
      </c>
      <c r="P250" s="9">
        <v>26906.44</v>
      </c>
      <c r="Q250" s="47">
        <v>0.18198253078408821</v>
      </c>
      <c r="R250" s="48">
        <f t="shared" si="3"/>
        <v>0.2651123918</v>
      </c>
      <c r="S250" s="49">
        <f t="shared" si="4"/>
        <v>0</v>
      </c>
      <c r="T250" s="49">
        <f t="shared" si="21"/>
        <v>0.1819825308</v>
      </c>
      <c r="U250" s="50" t="str">
        <f t="shared" si="6"/>
        <v>AOP</v>
      </c>
      <c r="V250" s="51">
        <f t="shared" si="28"/>
        <v>4896.502046</v>
      </c>
      <c r="W250" s="52">
        <f t="shared" si="8"/>
        <v>4896.502046</v>
      </c>
      <c r="X250" s="9">
        <f t="shared" si="25"/>
        <v>26906.44</v>
      </c>
      <c r="Y250" s="8"/>
      <c r="Z250" s="8"/>
      <c r="AA250" s="8"/>
      <c r="AB250" s="8" t="str">
        <f t="shared" si="10"/>
        <v>ATHH41101J3.0UT</v>
      </c>
      <c r="AC250" s="8" t="str">
        <f>IF(AB250='Input - Bookings'!S243,"OK","Check")</f>
        <v>Check</v>
      </c>
      <c r="AD250" s="60"/>
      <c r="AE250" s="54"/>
      <c r="AF250" s="54"/>
      <c r="AG250" s="55"/>
      <c r="AH250" s="62"/>
      <c r="AI250" s="8" t="str">
        <f t="array" ref="AI250">XLOOKUP($J250,'AP Plants'!D:D,'AP Plants'!B:B)</f>
        <v>Class 1</v>
      </c>
      <c r="AJ250" s="56"/>
      <c r="AK250" s="56"/>
      <c r="AL250" s="49">
        <v>0.015</v>
      </c>
      <c r="AM250" s="49">
        <f t="array" ref="AM250">XLOOKUP($AI250,Warranty!B:B,Warranty!E:E)</f>
        <v>0.005</v>
      </c>
      <c r="AN250" s="8">
        <f>IF($L250="AUD",VLOOKUP(RIGHT('Wk - Margins'!$J250,3),'AU Freight'!C:G,5,0),0)</f>
        <v>0</v>
      </c>
      <c r="AO250" s="49">
        <f t="shared" si="11"/>
        <v>0</v>
      </c>
      <c r="AP250" s="57">
        <f t="shared" si="12"/>
        <v>0</v>
      </c>
      <c r="AQ250" s="58">
        <f t="shared" si="13"/>
        <v>1</v>
      </c>
      <c r="AR250" s="59">
        <f>IF(L250="AUD",O250*'Currency &amp; Conversion'!$L$7,'Wk - Margins'!O250)</f>
        <v>36613</v>
      </c>
      <c r="AS250" s="59">
        <f>IF(L250="AUD",P250*'Currency &amp; Conversion'!$L$7,'Wk - Margins'!P250)</f>
        <v>26906.44</v>
      </c>
    </row>
    <row r="251" ht="12.75" hidden="1" customHeight="1">
      <c r="A251" s="42" t="str">
        <f>'Input - Bookings'!A251</f>
        <v>29/06/2023</v>
      </c>
      <c r="B251" s="43" t="str">
        <f t="shared" si="1"/>
        <v>Asia</v>
      </c>
      <c r="C251" s="43" t="str">
        <f t="shared" si="2"/>
        <v>ATH</v>
      </c>
      <c r="D251" s="43" t="str">
        <f>'Input - Bookings'!D251</f>
        <v>A</v>
      </c>
      <c r="E251" s="43" t="str">
        <f>'Input - Bookings'!J251</f>
        <v>TH</v>
      </c>
      <c r="F251" s="44" t="str">
        <f>'Input - Bookings'!F251</f>
        <v>065</v>
      </c>
      <c r="G251" s="44" t="str">
        <f>'Input - Bookings'!I251</f>
        <v>DILOK AND SONS CO.,LTD.</v>
      </c>
      <c r="H251" s="45" t="str">
        <f>'Input - Bookings'!K251</f>
        <v>H41102</v>
      </c>
      <c r="I251" s="45" t="str">
        <f>VLOOKUP(H251,'Input - Bookings'!$G$2:$H$611,2,0)</f>
        <v>001255</v>
      </c>
      <c r="J251" s="44" t="str">
        <f>'Input - Bookings'!N251</f>
        <v>A3C4</v>
      </c>
      <c r="K251" s="44" t="str">
        <f>'Input - Bookings'!O251</f>
        <v>J3.0UT</v>
      </c>
      <c r="L251" s="44" t="str">
        <f>'Input - Bookings'!C251</f>
        <v>USD</v>
      </c>
      <c r="M251" s="46" t="str">
        <f t="array" ref="M251">IF(L251="USD",INDEX('AP Plants'!A:A,MATCH(J251,'AP Plants'!D:D,0)),INDEX('Australia Plants'!A:A,MATCH(J251,'Australia Plants'!D:D,0)))</f>
        <v>Maximal</v>
      </c>
      <c r="N251" s="10">
        <v>1.0</v>
      </c>
      <c r="O251" s="9">
        <v>36613.0</v>
      </c>
      <c r="P251" s="9">
        <v>26906.44</v>
      </c>
      <c r="Q251" s="47">
        <v>0.18198253078408821</v>
      </c>
      <c r="R251" s="48">
        <f t="shared" si="3"/>
        <v>0.2651123918</v>
      </c>
      <c r="S251" s="49">
        <f t="shared" si="4"/>
        <v>0</v>
      </c>
      <c r="T251" s="49">
        <f t="shared" si="21"/>
        <v>0.1819825308</v>
      </c>
      <c r="U251" s="50" t="str">
        <f t="shared" si="6"/>
        <v>AOP</v>
      </c>
      <c r="V251" s="51">
        <f t="shared" si="28"/>
        <v>4896.502046</v>
      </c>
      <c r="W251" s="52">
        <f t="shared" si="8"/>
        <v>4896.502046</v>
      </c>
      <c r="X251" s="9">
        <f t="shared" si="25"/>
        <v>26906.44</v>
      </c>
      <c r="Y251" s="8"/>
      <c r="Z251" s="8"/>
      <c r="AA251" s="8"/>
      <c r="AB251" s="8" t="str">
        <f t="shared" si="10"/>
        <v>ATHH41102J3.0UT</v>
      </c>
      <c r="AC251" s="8" t="str">
        <f>IF(AB251='Input - Bookings'!S244,"OK","Check")</f>
        <v>Check</v>
      </c>
      <c r="AD251" s="60"/>
      <c r="AE251" s="54"/>
      <c r="AF251" s="54"/>
      <c r="AG251" s="55"/>
      <c r="AH251" s="55"/>
      <c r="AI251" s="8" t="str">
        <f t="array" ref="AI251">XLOOKUP($J251,'AP Plants'!D:D,'AP Plants'!B:B)</f>
        <v>Class 1</v>
      </c>
      <c r="AJ251" s="56"/>
      <c r="AK251" s="56"/>
      <c r="AL251" s="49">
        <v>0.015</v>
      </c>
      <c r="AM251" s="49">
        <f t="array" ref="AM251">XLOOKUP($AI251,Warranty!B:B,Warranty!E:E)</f>
        <v>0.005</v>
      </c>
      <c r="AN251" s="8">
        <f>IF($L251="AUD",VLOOKUP(RIGHT('Wk - Margins'!$J251,3),'AU Freight'!C:G,5,0),0)</f>
        <v>0</v>
      </c>
      <c r="AO251" s="49">
        <f t="shared" si="11"/>
        <v>0</v>
      </c>
      <c r="AP251" s="57">
        <f t="shared" si="12"/>
        <v>0</v>
      </c>
      <c r="AQ251" s="58">
        <f t="shared" si="13"/>
        <v>1</v>
      </c>
      <c r="AR251" s="59">
        <f>IF(L251="AUD",O251*'Currency &amp; Conversion'!$L$7,'Wk - Margins'!O251)</f>
        <v>36613</v>
      </c>
      <c r="AS251" s="59">
        <f>IF(L251="AUD",P251*'Currency &amp; Conversion'!$L$7,'Wk - Margins'!P251)</f>
        <v>26906.44</v>
      </c>
    </row>
    <row r="252" ht="12.75" hidden="1" customHeight="1">
      <c r="A252" s="42" t="str">
        <f>'Input - Bookings'!A252</f>
        <v>29/06/2023</v>
      </c>
      <c r="B252" s="43" t="str">
        <f t="shared" si="1"/>
        <v>Asia</v>
      </c>
      <c r="C252" s="43" t="str">
        <f t="shared" si="2"/>
        <v>ATH</v>
      </c>
      <c r="D252" s="43" t="str">
        <f>'Input - Bookings'!D252</f>
        <v>A</v>
      </c>
      <c r="E252" s="43" t="str">
        <f>'Input - Bookings'!J252</f>
        <v>TH</v>
      </c>
      <c r="F252" s="44" t="str">
        <f>'Input - Bookings'!F252</f>
        <v>065</v>
      </c>
      <c r="G252" s="44" t="str">
        <f>'Input - Bookings'!I252</f>
        <v>DILOK AND SONS CO.,LTD.</v>
      </c>
      <c r="H252" s="45" t="str">
        <f>'Input - Bookings'!K252</f>
        <v>H41105</v>
      </c>
      <c r="I252" s="45" t="str">
        <f>VLOOKUP(H252,'Input - Bookings'!$G$2:$H$611,2,0)</f>
        <v>001255</v>
      </c>
      <c r="J252" s="44" t="str">
        <f>'Input - Bookings'!N252</f>
        <v>A3C4</v>
      </c>
      <c r="K252" s="44" t="str">
        <f>'Input - Bookings'!O252</f>
        <v>J3.0UT</v>
      </c>
      <c r="L252" s="44" t="str">
        <f>'Input - Bookings'!C252</f>
        <v>USD</v>
      </c>
      <c r="M252" s="46" t="str">
        <f t="array" ref="M252">IF(L252="USD",INDEX('AP Plants'!A:A,MATCH(J252,'AP Plants'!D:D,0)),INDEX('Australia Plants'!A:A,MATCH(J252,'Australia Plants'!D:D,0)))</f>
        <v>Maximal</v>
      </c>
      <c r="N252" s="10">
        <v>1.0</v>
      </c>
      <c r="O252" s="9">
        <v>35683.0</v>
      </c>
      <c r="P252" s="9">
        <v>26199.64</v>
      </c>
      <c r="Q252" s="47">
        <v>0.1808812270362128</v>
      </c>
      <c r="R252" s="48">
        <f t="shared" si="3"/>
        <v>0.2657668918</v>
      </c>
      <c r="S252" s="49">
        <f t="shared" si="4"/>
        <v>0</v>
      </c>
      <c r="T252" s="49">
        <f t="shared" si="21"/>
        <v>0.180881227</v>
      </c>
      <c r="U252" s="50" t="str">
        <f t="shared" si="6"/>
        <v>AOP</v>
      </c>
      <c r="V252" s="51">
        <f t="shared" si="28"/>
        <v>4739.023031</v>
      </c>
      <c r="W252" s="52">
        <f t="shared" si="8"/>
        <v>4739.023031</v>
      </c>
      <c r="X252" s="9">
        <f t="shared" si="25"/>
        <v>26199.64</v>
      </c>
      <c r="Y252" s="8"/>
      <c r="Z252" s="8"/>
      <c r="AA252" s="8"/>
      <c r="AB252" s="8" t="str">
        <f t="shared" si="10"/>
        <v>ATHH41105J3.0UT</v>
      </c>
      <c r="AC252" s="8" t="str">
        <f>IF(AB252='Input - Bookings'!S245,"OK","Check")</f>
        <v>Check</v>
      </c>
      <c r="AD252" s="60"/>
      <c r="AE252" s="54"/>
      <c r="AF252" s="54"/>
      <c r="AG252" s="55"/>
      <c r="AH252" s="62"/>
      <c r="AI252" s="8" t="str">
        <f t="array" ref="AI252">XLOOKUP($J252,'AP Plants'!D:D,'AP Plants'!B:B)</f>
        <v>Class 1</v>
      </c>
      <c r="AJ252" s="56"/>
      <c r="AK252" s="56"/>
      <c r="AL252" s="49">
        <v>0.015</v>
      </c>
      <c r="AM252" s="49">
        <f t="array" ref="AM252">XLOOKUP($AI252,Warranty!B:B,Warranty!E:E)</f>
        <v>0.005</v>
      </c>
      <c r="AN252" s="8">
        <f>IF($L252="AUD",VLOOKUP(RIGHT('Wk - Margins'!$J252,3),'AU Freight'!C:G,5,0),0)</f>
        <v>0</v>
      </c>
      <c r="AO252" s="49">
        <f t="shared" si="11"/>
        <v>0</v>
      </c>
      <c r="AP252" s="57">
        <f t="shared" si="12"/>
        <v>0</v>
      </c>
      <c r="AQ252" s="58">
        <f t="shared" si="13"/>
        <v>1</v>
      </c>
      <c r="AR252" s="59">
        <f>IF(L252="AUD",O252*'Currency &amp; Conversion'!$L$7,'Wk - Margins'!O252)</f>
        <v>35683</v>
      </c>
      <c r="AS252" s="59">
        <f>IF(L252="AUD",P252*'Currency &amp; Conversion'!$L$7,'Wk - Margins'!P252)</f>
        <v>26199.64</v>
      </c>
    </row>
    <row r="253" ht="12.75" hidden="1" customHeight="1">
      <c r="A253" s="42" t="str">
        <f>'Input - Bookings'!A253</f>
        <v>29/06/2023</v>
      </c>
      <c r="B253" s="43" t="str">
        <f t="shared" si="1"/>
        <v>Asia</v>
      </c>
      <c r="C253" s="43" t="str">
        <f t="shared" si="2"/>
        <v>APH</v>
      </c>
      <c r="D253" s="43" t="str">
        <f>'Input - Bookings'!D253</f>
        <v>A</v>
      </c>
      <c r="E253" s="43" t="str">
        <f>'Input - Bookings'!J253</f>
        <v>PH</v>
      </c>
      <c r="F253" s="44" t="str">
        <f>'Input - Bookings'!F253</f>
        <v>067</v>
      </c>
      <c r="G253" s="44" t="str">
        <f>'Input - Bookings'!I253</f>
        <v>YALETRAK PHILIPPINES, INC</v>
      </c>
      <c r="H253" s="44" t="str">
        <f>'Input - Bookings'!K253</f>
        <v>H40879</v>
      </c>
      <c r="I253" s="45" t="str">
        <f>VLOOKUP(H253,'Input - Bookings'!$G$2:$H$611,2,0)</f>
        <v>808065</v>
      </c>
      <c r="J253" s="44" t="str">
        <f>'Input - Bookings'!N253</f>
        <v>E812</v>
      </c>
      <c r="K253" s="44" t="str">
        <f>'Input - Bookings'!O253</f>
        <v>GP15MX</v>
      </c>
      <c r="L253" s="44" t="str">
        <f>'Input - Bookings'!C253</f>
        <v>USD</v>
      </c>
      <c r="M253" s="46" t="str">
        <f t="array" ref="M253">IF(L253="USD",INDEX('AP Plants'!A:A,MATCH(J253,'AP Plants'!D:D,0)),INDEX('Australia Plants'!A:A,MATCH(J253,'Australia Plants'!D:D,0)))</f>
        <v>SN</v>
      </c>
      <c r="N253" s="10">
        <v>1.0</v>
      </c>
      <c r="O253" s="9">
        <v>22905.0</v>
      </c>
      <c r="P253" s="9">
        <v>14500.85</v>
      </c>
      <c r="Q253" s="47">
        <v>0.10943422315360163</v>
      </c>
      <c r="R253" s="48">
        <f t="shared" si="3"/>
        <v>0.3669133377</v>
      </c>
      <c r="S253" s="49">
        <f t="shared" si="4"/>
        <v>0</v>
      </c>
      <c r="T253" s="49">
        <f t="shared" si="21"/>
        <v>0.1094342232</v>
      </c>
      <c r="U253" s="50" t="str">
        <f t="shared" si="6"/>
        <v>AOP</v>
      </c>
      <c r="V253" s="51">
        <f t="shared" si="28"/>
        <v>1586.889255</v>
      </c>
      <c r="W253" s="52">
        <f t="shared" si="8"/>
        <v>1586.889255</v>
      </c>
      <c r="X253" s="9">
        <f t="shared" si="25"/>
        <v>14500.85</v>
      </c>
      <c r="Y253" s="8"/>
      <c r="Z253" s="8"/>
      <c r="AA253" s="8"/>
      <c r="AB253" s="8" t="str">
        <f t="shared" si="10"/>
        <v>APHH40879GP15MX</v>
      </c>
      <c r="AC253" s="8" t="str">
        <f>IF(AB253='Input - Bookings'!S246,"OK","Check")</f>
        <v>Check</v>
      </c>
      <c r="AD253" s="60"/>
      <c r="AE253" s="54"/>
      <c r="AF253" s="54"/>
      <c r="AG253" s="55"/>
      <c r="AH253" s="62"/>
      <c r="AI253" s="8" t="str">
        <f t="array" ref="AI253">XLOOKUP($J253,'AP Plants'!D:D,'AP Plants'!B:B)</f>
        <v>Class 5 NOT BT</v>
      </c>
      <c r="AJ253" s="56"/>
      <c r="AK253" s="56"/>
      <c r="AL253" s="49">
        <v>0.015</v>
      </c>
      <c r="AM253" s="49">
        <f t="array" ref="AM253">XLOOKUP($AI253,Warranty!B:B,Warranty!E:E)</f>
        <v>0.005</v>
      </c>
      <c r="AN253" s="8">
        <f>IF($L253="AUD",VLOOKUP(RIGHT('Wk - Margins'!$J253,3),'AU Freight'!C:G,5,0),0)</f>
        <v>0</v>
      </c>
      <c r="AO253" s="49">
        <f t="shared" si="11"/>
        <v>0</v>
      </c>
      <c r="AP253" s="57">
        <f t="shared" si="12"/>
        <v>0</v>
      </c>
      <c r="AQ253" s="58">
        <f t="shared" si="13"/>
        <v>1</v>
      </c>
      <c r="AR253" s="59">
        <f>IF(L253="AUD",O253*'Currency &amp; Conversion'!$L$7,'Wk - Margins'!O253)</f>
        <v>22905</v>
      </c>
      <c r="AS253" s="59">
        <f>IF(L253="AUD",P253*'Currency &amp; Conversion'!$L$7,'Wk - Margins'!P253)</f>
        <v>14500.85</v>
      </c>
    </row>
    <row r="254" ht="12.75" hidden="1" customHeight="1">
      <c r="A254" s="42" t="str">
        <f>'Input - Bookings'!A254</f>
        <v>29/06/2023</v>
      </c>
      <c r="B254" s="43" t="str">
        <f t="shared" si="1"/>
        <v>Asia</v>
      </c>
      <c r="C254" s="43" t="str">
        <f t="shared" si="2"/>
        <v>ATH</v>
      </c>
      <c r="D254" s="43" t="str">
        <f>'Input - Bookings'!D254</f>
        <v>A</v>
      </c>
      <c r="E254" s="43" t="str">
        <f>'Input - Bookings'!J254</f>
        <v>TH</v>
      </c>
      <c r="F254" s="44" t="str">
        <f>'Input - Bookings'!F254</f>
        <v>067</v>
      </c>
      <c r="G254" s="44" t="str">
        <f>'Input - Bookings'!I254</f>
        <v>JENBUNJERD CO LTD</v>
      </c>
      <c r="H254" s="44" t="str">
        <f>'Input - Bookings'!K254</f>
        <v>H41671</v>
      </c>
      <c r="I254" s="45" t="str">
        <f>VLOOKUP(H254,'Input - Bookings'!$G$2:$H$611,2,0)</f>
        <v>814065</v>
      </c>
      <c r="J254" s="44" t="str">
        <f>'Input - Bookings'!N254</f>
        <v>A961</v>
      </c>
      <c r="K254" s="44" t="str">
        <f>'Input - Bookings'!O254</f>
        <v>MR14 961</v>
      </c>
      <c r="L254" s="44" t="str">
        <f>'Input - Bookings'!C254</f>
        <v>USD</v>
      </c>
      <c r="M254" s="46" t="str">
        <f t="array" ref="M254">IF(L254="USD",INDEX('AP Plants'!A:A,MATCH(J254,'AP Plants'!D:D,0)),INDEX('Australia Plants'!A:A,MATCH(J254,'Australia Plants'!D:D,0)))</f>
        <v>Maximal</v>
      </c>
      <c r="N254" s="10">
        <v>1.0</v>
      </c>
      <c r="O254" s="9">
        <v>31585.0</v>
      </c>
      <c r="P254" s="9">
        <v>20909.1</v>
      </c>
      <c r="Q254" s="47">
        <v>0.06664454357582439</v>
      </c>
      <c r="R254" s="48">
        <f t="shared" si="3"/>
        <v>0.3380053823</v>
      </c>
      <c r="S254" s="49">
        <f t="shared" si="4"/>
        <v>0</v>
      </c>
      <c r="T254" s="49">
        <f t="shared" si="21"/>
        <v>0.06664454358</v>
      </c>
      <c r="U254" s="50" t="str">
        <f t="shared" si="6"/>
        <v>AOP</v>
      </c>
      <c r="V254" s="51">
        <f t="shared" si="28"/>
        <v>1393.477426</v>
      </c>
      <c r="W254" s="52">
        <f t="shared" si="8"/>
        <v>1393.477426</v>
      </c>
      <c r="X254" s="9">
        <f t="shared" si="25"/>
        <v>20909.1</v>
      </c>
      <c r="Y254" s="8"/>
      <c r="Z254" s="8"/>
      <c r="AA254" s="8"/>
      <c r="AB254" s="8" t="str">
        <f t="shared" si="10"/>
        <v>ATHH41671MR14 961</v>
      </c>
      <c r="AC254" s="8" t="str">
        <f>IF(AB254='Input - Bookings'!S247,"OK","Check")</f>
        <v>Check</v>
      </c>
      <c r="AD254" s="53"/>
      <c r="AE254" s="54"/>
      <c r="AF254" s="54"/>
      <c r="AG254" s="55"/>
      <c r="AH254" s="55"/>
      <c r="AI254" s="8" t="str">
        <f t="array" ref="AI254">XLOOKUP($J254,'AP Plants'!D:D,'AP Plants'!B:B)</f>
        <v>Class 2</v>
      </c>
      <c r="AJ254" s="56"/>
      <c r="AK254" s="56"/>
      <c r="AL254" s="49">
        <v>0.015</v>
      </c>
      <c r="AM254" s="49">
        <f t="array" ref="AM254">XLOOKUP($AI254,Warranty!B:B,Warranty!E:E)</f>
        <v>0.015</v>
      </c>
      <c r="AN254" s="8">
        <f>IF($L254="AUD",VLOOKUP(RIGHT('Wk - Margins'!$J254,3),'AU Freight'!C:G,5,0),0)</f>
        <v>0</v>
      </c>
      <c r="AO254" s="49">
        <f t="shared" si="11"/>
        <v>0</v>
      </c>
      <c r="AP254" s="57">
        <f t="shared" si="12"/>
        <v>0</v>
      </c>
      <c r="AQ254" s="58">
        <f t="shared" si="13"/>
        <v>1</v>
      </c>
      <c r="AR254" s="59">
        <f>IF(L254="AUD",O254*'Currency &amp; Conversion'!$L$7,'Wk - Margins'!O254)</f>
        <v>31585</v>
      </c>
      <c r="AS254" s="59">
        <f>IF(L254="AUD",P254*'Currency &amp; Conversion'!$L$7,'Wk - Margins'!P254)</f>
        <v>20909.1</v>
      </c>
    </row>
    <row r="255" ht="12.75" hidden="1" customHeight="1">
      <c r="A255" s="42" t="str">
        <f>'Input - Bookings'!A255</f>
        <v>29/06/2023</v>
      </c>
      <c r="B255" s="43" t="str">
        <f t="shared" si="1"/>
        <v>Asia</v>
      </c>
      <c r="C255" s="43" t="str">
        <f t="shared" si="2"/>
        <v>ATH</v>
      </c>
      <c r="D255" s="43" t="str">
        <f>'Input - Bookings'!D255</f>
        <v>A</v>
      </c>
      <c r="E255" s="43" t="str">
        <f>'Input - Bookings'!J255</f>
        <v>TH</v>
      </c>
      <c r="F255" s="44" t="str">
        <f>'Input - Bookings'!F255</f>
        <v>067</v>
      </c>
      <c r="G255" s="44" t="str">
        <f>'Input - Bookings'!I255</f>
        <v>JENBUNJERD CO LTD</v>
      </c>
      <c r="H255" s="44" t="str">
        <f>'Input - Bookings'!K255</f>
        <v>H41674</v>
      </c>
      <c r="I255" s="45" t="str">
        <f>VLOOKUP(H255,'Input - Bookings'!$G$2:$H$611,2,0)</f>
        <v>814065</v>
      </c>
      <c r="J255" s="44" t="str">
        <f>'Input - Bookings'!N255</f>
        <v>A961</v>
      </c>
      <c r="K255" s="44" t="str">
        <f>'Input - Bookings'!O255</f>
        <v>MR14 961</v>
      </c>
      <c r="L255" s="44" t="str">
        <f>'Input - Bookings'!C255</f>
        <v>USD</v>
      </c>
      <c r="M255" s="46" t="str">
        <f t="array" ref="M255">IF(L255="USD",INDEX('AP Plants'!A:A,MATCH(J255,'AP Plants'!D:D,0)),INDEX('Australia Plants'!A:A,MATCH(J255,'Australia Plants'!D:D,0)))</f>
        <v>Maximal</v>
      </c>
      <c r="N255" s="10">
        <v>1.0</v>
      </c>
      <c r="O255" s="9">
        <v>31585.0</v>
      </c>
      <c r="P255" s="9">
        <v>20909.1</v>
      </c>
      <c r="Q255" s="47">
        <v>0.06664454357582439</v>
      </c>
      <c r="R255" s="48">
        <f t="shared" si="3"/>
        <v>0.3380053823</v>
      </c>
      <c r="S255" s="49">
        <f t="shared" si="4"/>
        <v>0</v>
      </c>
      <c r="T255" s="49">
        <f t="shared" si="21"/>
        <v>0.06664454358</v>
      </c>
      <c r="U255" s="50" t="str">
        <f t="shared" si="6"/>
        <v>AOP</v>
      </c>
      <c r="V255" s="51">
        <f t="shared" si="28"/>
        <v>1393.477426</v>
      </c>
      <c r="W255" s="52">
        <f t="shared" si="8"/>
        <v>1393.477426</v>
      </c>
      <c r="X255" s="9">
        <f t="shared" si="25"/>
        <v>20909.1</v>
      </c>
      <c r="Y255" s="8"/>
      <c r="Z255" s="8"/>
      <c r="AA255" s="8"/>
      <c r="AB255" s="8" t="str">
        <f t="shared" si="10"/>
        <v>ATHH41674MR14 961</v>
      </c>
      <c r="AC255" s="8" t="str">
        <f>IF(AB255='Input - Bookings'!S248,"OK","Check")</f>
        <v>Check</v>
      </c>
      <c r="AD255" s="53"/>
      <c r="AE255" s="54"/>
      <c r="AF255" s="54"/>
      <c r="AG255" s="55"/>
      <c r="AH255" s="55"/>
      <c r="AI255" s="8" t="str">
        <f t="array" ref="AI255">XLOOKUP($J255,'AP Plants'!D:D,'AP Plants'!B:B)</f>
        <v>Class 2</v>
      </c>
      <c r="AJ255" s="56"/>
      <c r="AK255" s="56"/>
      <c r="AL255" s="49">
        <v>0.015</v>
      </c>
      <c r="AM255" s="49">
        <f t="array" ref="AM255">XLOOKUP($AI255,Warranty!B:B,Warranty!E:E)</f>
        <v>0.015</v>
      </c>
      <c r="AN255" s="8">
        <f>IF($L255="AUD",VLOOKUP(RIGHT('Wk - Margins'!$J255,3),'AU Freight'!C:G,5,0),0)</f>
        <v>0</v>
      </c>
      <c r="AO255" s="49">
        <f t="shared" si="11"/>
        <v>0</v>
      </c>
      <c r="AP255" s="57">
        <f t="shared" si="12"/>
        <v>0</v>
      </c>
      <c r="AQ255" s="58">
        <f t="shared" si="13"/>
        <v>1</v>
      </c>
      <c r="AR255" s="59">
        <f>IF(L255="AUD",O255*'Currency &amp; Conversion'!$L$7,'Wk - Margins'!O255)</f>
        <v>31585</v>
      </c>
      <c r="AS255" s="59">
        <f>IF(L255="AUD",P255*'Currency &amp; Conversion'!$L$7,'Wk - Margins'!P255)</f>
        <v>20909.1</v>
      </c>
    </row>
    <row r="256" ht="12.75" hidden="1" customHeight="1">
      <c r="A256" s="42" t="str">
        <f>'Input - Bookings'!A256</f>
        <v>29/06/2023</v>
      </c>
      <c r="B256" s="43" t="str">
        <f t="shared" si="1"/>
        <v>Asia</v>
      </c>
      <c r="C256" s="43" t="str">
        <f t="shared" si="2"/>
        <v>ATH</v>
      </c>
      <c r="D256" s="43" t="str">
        <f>'Input - Bookings'!D256</f>
        <v>A</v>
      </c>
      <c r="E256" s="43" t="str">
        <f>'Input - Bookings'!J256</f>
        <v>TH</v>
      </c>
      <c r="F256" s="44" t="str">
        <f>'Input - Bookings'!F256</f>
        <v>067</v>
      </c>
      <c r="G256" s="44" t="str">
        <f>'Input - Bookings'!I256</f>
        <v>JENBUNJERD CO LTD</v>
      </c>
      <c r="H256" s="44" t="str">
        <f>'Input - Bookings'!K256</f>
        <v>H41677</v>
      </c>
      <c r="I256" s="45" t="str">
        <f>VLOOKUP(H256,'Input - Bookings'!$G$2:$H$611,2,0)</f>
        <v>814065</v>
      </c>
      <c r="J256" s="44" t="str">
        <f>'Input - Bookings'!N256</f>
        <v>A961</v>
      </c>
      <c r="K256" s="44" t="str">
        <f>'Input - Bookings'!O256</f>
        <v>MR14 961</v>
      </c>
      <c r="L256" s="44" t="str">
        <f>'Input - Bookings'!C256</f>
        <v>USD</v>
      </c>
      <c r="M256" s="46" t="str">
        <f t="array" ref="M256">IF(L256="USD",INDEX('AP Plants'!A:A,MATCH(J256,'AP Plants'!D:D,0)),INDEX('Australia Plants'!A:A,MATCH(J256,'Australia Plants'!D:D,0)))</f>
        <v>Maximal</v>
      </c>
      <c r="N256" s="10">
        <v>1.0</v>
      </c>
      <c r="O256" s="9">
        <v>31585.0</v>
      </c>
      <c r="P256" s="9">
        <v>20909.1</v>
      </c>
      <c r="Q256" s="47">
        <v>0.06664454357582439</v>
      </c>
      <c r="R256" s="48">
        <f t="shared" si="3"/>
        <v>0.3380053823</v>
      </c>
      <c r="S256" s="49">
        <f t="shared" si="4"/>
        <v>0</v>
      </c>
      <c r="T256" s="49">
        <f t="shared" si="21"/>
        <v>0.06664454358</v>
      </c>
      <c r="U256" s="50" t="str">
        <f t="shared" si="6"/>
        <v>AOP</v>
      </c>
      <c r="V256" s="51">
        <f t="shared" si="28"/>
        <v>1393.477426</v>
      </c>
      <c r="W256" s="52">
        <f t="shared" si="8"/>
        <v>1393.477426</v>
      </c>
      <c r="X256" s="9">
        <f t="shared" si="25"/>
        <v>20909.1</v>
      </c>
      <c r="Y256" s="8"/>
      <c r="Z256" s="8"/>
      <c r="AA256" s="8"/>
      <c r="AB256" s="8" t="str">
        <f t="shared" si="10"/>
        <v>ATHH41677MR14 961</v>
      </c>
      <c r="AC256" s="8" t="str">
        <f>IF(AB256='Input - Bookings'!S249,"OK","Check")</f>
        <v>Check</v>
      </c>
      <c r="AD256" s="53"/>
      <c r="AE256" s="54"/>
      <c r="AF256" s="54"/>
      <c r="AG256" s="55"/>
      <c r="AH256" s="55"/>
      <c r="AI256" s="8" t="str">
        <f t="array" ref="AI256">XLOOKUP($J256,'AP Plants'!D:D,'AP Plants'!B:B)</f>
        <v>Class 2</v>
      </c>
      <c r="AJ256" s="56"/>
      <c r="AK256" s="56"/>
      <c r="AL256" s="49">
        <v>0.015</v>
      </c>
      <c r="AM256" s="49">
        <f t="array" ref="AM256">XLOOKUP($AI256,Warranty!B:B,Warranty!E:E)</f>
        <v>0.015</v>
      </c>
      <c r="AN256" s="8">
        <f>IF($L256="AUD",VLOOKUP(RIGHT('Wk - Margins'!$J256,3),'AU Freight'!C:G,5,0),0)</f>
        <v>0</v>
      </c>
      <c r="AO256" s="49">
        <f t="shared" si="11"/>
        <v>0</v>
      </c>
      <c r="AP256" s="57">
        <f t="shared" si="12"/>
        <v>0</v>
      </c>
      <c r="AQ256" s="58">
        <f t="shared" si="13"/>
        <v>1</v>
      </c>
      <c r="AR256" s="59">
        <f>IF(L256="AUD",O256*'Currency &amp; Conversion'!$L$7,'Wk - Margins'!O256)</f>
        <v>31585</v>
      </c>
      <c r="AS256" s="59">
        <f>IF(L256="AUD",P256*'Currency &amp; Conversion'!$L$7,'Wk - Margins'!P256)</f>
        <v>20909.1</v>
      </c>
    </row>
    <row r="257" ht="12.75" hidden="1" customHeight="1">
      <c r="A257" s="42" t="str">
        <f>'Input - Bookings'!A257</f>
        <v>29/06/2023</v>
      </c>
      <c r="B257" s="43" t="str">
        <f t="shared" si="1"/>
        <v>Asia</v>
      </c>
      <c r="C257" s="43" t="str">
        <f t="shared" si="2"/>
        <v>ATH</v>
      </c>
      <c r="D257" s="43" t="str">
        <f>'Input - Bookings'!D257</f>
        <v>A</v>
      </c>
      <c r="E257" s="43" t="str">
        <f>'Input - Bookings'!J257</f>
        <v>TH</v>
      </c>
      <c r="F257" s="44" t="str">
        <f>'Input - Bookings'!F257</f>
        <v>065</v>
      </c>
      <c r="G257" s="44" t="str">
        <f>'Input - Bookings'!I257</f>
        <v>DILOK AND SONS CO.,LTD.</v>
      </c>
      <c r="H257" s="44" t="str">
        <f>'Input - Bookings'!K257</f>
        <v>H41659</v>
      </c>
      <c r="I257" s="45" t="str">
        <f>VLOOKUP(H257,'Input - Bookings'!$G$2:$H$611,2,0)</f>
        <v>006065</v>
      </c>
      <c r="J257" s="44" t="str">
        <f>'Input - Bookings'!N257</f>
        <v>A3C1</v>
      </c>
      <c r="K257" s="44" t="str">
        <f>'Input - Bookings'!O257</f>
        <v>H3.5UT</v>
      </c>
      <c r="L257" s="44" t="str">
        <f>'Input - Bookings'!C257</f>
        <v>USD</v>
      </c>
      <c r="M257" s="46" t="str">
        <f t="array" ref="M257">IF(L257="USD",INDEX('AP Plants'!A:A,MATCH(J257,'AP Plants'!D:D,0)),INDEX('Australia Plants'!A:A,MATCH(J257,'Australia Plants'!D:D,0)))</f>
        <v>Maximal</v>
      </c>
      <c r="N257" s="10">
        <v>1.0</v>
      </c>
      <c r="O257" s="9">
        <v>22465.0</v>
      </c>
      <c r="P257" s="9">
        <v>13787.0</v>
      </c>
      <c r="Q257" s="47">
        <v>0.21152129099957873</v>
      </c>
      <c r="R257" s="48">
        <f t="shared" si="3"/>
        <v>0.3862897841</v>
      </c>
      <c r="S257" s="49">
        <f t="shared" si="4"/>
        <v>0</v>
      </c>
      <c r="T257" s="49">
        <f t="shared" si="21"/>
        <v>0.211521291</v>
      </c>
      <c r="U257" s="50" t="str">
        <f t="shared" si="6"/>
        <v>AOP</v>
      </c>
      <c r="V257" s="51">
        <f t="shared" si="28"/>
        <v>2916.244039</v>
      </c>
      <c r="W257" s="52">
        <f t="shared" si="8"/>
        <v>2916.244039</v>
      </c>
      <c r="X257" s="9">
        <f t="shared" si="25"/>
        <v>13787</v>
      </c>
      <c r="Y257" s="8"/>
      <c r="Z257" s="8"/>
      <c r="AA257" s="8"/>
      <c r="AB257" s="8" t="str">
        <f t="shared" si="10"/>
        <v>ATHH41659H3.5UT</v>
      </c>
      <c r="AC257" s="8" t="str">
        <f>IF(AB257='Input - Bookings'!S250,"OK","Check")</f>
        <v>Check</v>
      </c>
      <c r="AD257" s="53"/>
      <c r="AE257" s="54"/>
      <c r="AF257" s="54"/>
      <c r="AG257" s="55"/>
      <c r="AH257" s="55"/>
      <c r="AI257" s="8" t="str">
        <f t="array" ref="AI257">XLOOKUP($J257,'AP Plants'!D:D,'AP Plants'!B:B)</f>
        <v>Class 5 NOT BT</v>
      </c>
      <c r="AJ257" s="56"/>
      <c r="AK257" s="56"/>
      <c r="AL257" s="49">
        <v>0.015</v>
      </c>
      <c r="AM257" s="49">
        <f t="array" ref="AM257">XLOOKUP($AI257,Warranty!B:B,Warranty!E:E)</f>
        <v>0.005</v>
      </c>
      <c r="AN257" s="8">
        <f>IF($L257="AUD",VLOOKUP(RIGHT('Wk - Margins'!$J257,3),'AU Freight'!C:G,5,0),0)</f>
        <v>0</v>
      </c>
      <c r="AO257" s="49">
        <f t="shared" si="11"/>
        <v>0</v>
      </c>
      <c r="AP257" s="57">
        <f t="shared" si="12"/>
        <v>0</v>
      </c>
      <c r="AQ257" s="58">
        <f t="shared" si="13"/>
        <v>1</v>
      </c>
      <c r="AR257" s="59">
        <f>IF(L257="AUD",O257*'Currency &amp; Conversion'!$L$7,'Wk - Margins'!O257)</f>
        <v>22465</v>
      </c>
      <c r="AS257" s="59">
        <f>IF(L257="AUD",P257*'Currency &amp; Conversion'!$L$7,'Wk - Margins'!P257)</f>
        <v>13787</v>
      </c>
    </row>
    <row r="258" ht="12.75" hidden="1" customHeight="1">
      <c r="A258" s="42" t="str">
        <f>'Input - Bookings'!A258</f>
        <v>30/06/2023</v>
      </c>
      <c r="B258" s="43" t="str">
        <f t="shared" si="1"/>
        <v>India</v>
      </c>
      <c r="C258" s="43" t="str">
        <f t="shared" si="2"/>
        <v>AIN</v>
      </c>
      <c r="D258" s="43" t="str">
        <f>'Input - Bookings'!D258</f>
        <v>A</v>
      </c>
      <c r="E258" s="43" t="str">
        <f>'Input - Bookings'!J258</f>
        <v>IN</v>
      </c>
      <c r="F258" s="44" t="str">
        <f>'Input - Bookings'!F258</f>
        <v>067</v>
      </c>
      <c r="G258" s="44" t="str">
        <f>'Input - Bookings'!I258</f>
        <v>ELECTROMECH LIFT TRUCKS</v>
      </c>
      <c r="H258" s="44" t="str">
        <f>'Input - Bookings'!K258</f>
        <v>H41693</v>
      </c>
      <c r="I258" s="45" t="str">
        <f>VLOOKUP(H258,'Input - Bookings'!$G$2:$H$611,2,0)</f>
        <v>880805</v>
      </c>
      <c r="J258" s="44" t="str">
        <f>'Input - Bookings'!N258</f>
        <v>A7S5</v>
      </c>
      <c r="K258" s="44" t="str">
        <f>'Input - Bookings'!O258</f>
        <v>ERP16UXT</v>
      </c>
      <c r="L258" s="44" t="str">
        <f>'Input - Bookings'!C258</f>
        <v>USD</v>
      </c>
      <c r="M258" s="46" t="str">
        <f t="array" ref="M258">IF(L258="USD",INDEX('AP Plants'!A:A,MATCH(J258,'AP Plants'!D:D,0)),INDEX('Australia Plants'!A:A,MATCH(J258,'Australia Plants'!D:D,0)))</f>
        <v>Maximal</v>
      </c>
      <c r="N258" s="10">
        <v>1.0</v>
      </c>
      <c r="O258" s="9">
        <v>17085.0</v>
      </c>
      <c r="P258" s="9">
        <v>9507.2</v>
      </c>
      <c r="Q258" s="66">
        <v>-0.038319343664926286</v>
      </c>
      <c r="R258" s="48">
        <f t="shared" si="3"/>
        <v>0.4435352649</v>
      </c>
      <c r="S258" s="49">
        <f t="shared" si="4"/>
        <v>0</v>
      </c>
      <c r="T258" s="49">
        <f t="shared" si="21"/>
        <v>-0.03831934366</v>
      </c>
      <c r="U258" s="50" t="str">
        <f t="shared" si="6"/>
        <v>MD</v>
      </c>
      <c r="V258" s="51">
        <f t="shared" si="28"/>
        <v>-364.3096641</v>
      </c>
      <c r="W258" s="52">
        <f t="shared" si="8"/>
        <v>-364.3096641</v>
      </c>
      <c r="X258" s="9">
        <f t="shared" si="25"/>
        <v>9507.2</v>
      </c>
      <c r="Y258" s="8"/>
      <c r="Z258" s="8"/>
      <c r="AA258" s="8"/>
      <c r="AB258" s="8" t="str">
        <f t="shared" si="10"/>
        <v>AINH41693ERP16UXT</v>
      </c>
      <c r="AC258" s="8" t="str">
        <f>IF(AB258='Input - Bookings'!S251,"OK","Check")</f>
        <v>Check</v>
      </c>
      <c r="AD258" s="53"/>
      <c r="AE258" s="54"/>
      <c r="AF258" s="54"/>
      <c r="AG258" s="55"/>
      <c r="AH258" s="55"/>
      <c r="AI258" s="8" t="str">
        <f t="array" ref="AI258">XLOOKUP($J258,'AP Plants'!D:D,'AP Plants'!B:B)</f>
        <v>Class 1</v>
      </c>
      <c r="AJ258" s="56"/>
      <c r="AK258" s="56"/>
      <c r="AL258" s="49">
        <v>0.015</v>
      </c>
      <c r="AM258" s="49">
        <f t="array" ref="AM258">XLOOKUP($AI258,Warranty!B:B,Warranty!E:E)</f>
        <v>0.005</v>
      </c>
      <c r="AN258" s="8">
        <f>IF($L258="AUD",VLOOKUP(RIGHT('Wk - Margins'!$J258,3),'AU Freight'!C:G,5,0),0)</f>
        <v>0</v>
      </c>
      <c r="AO258" s="49">
        <f t="shared" si="11"/>
        <v>0</v>
      </c>
      <c r="AP258" s="57">
        <f t="shared" si="12"/>
        <v>0</v>
      </c>
      <c r="AQ258" s="58">
        <f t="shared" si="13"/>
        <v>1</v>
      </c>
      <c r="AR258" s="59">
        <f>IF(L258="AUD",O258*'Currency &amp; Conversion'!$L$7,'Wk - Margins'!O258)</f>
        <v>17085</v>
      </c>
      <c r="AS258" s="59">
        <f>IF(L258="AUD",P258*'Currency &amp; Conversion'!$L$7,'Wk - Margins'!P258)</f>
        <v>9507.2</v>
      </c>
    </row>
    <row r="259" ht="12.75" hidden="1" customHeight="1">
      <c r="A259" s="42" t="str">
        <f>'Input - Bookings'!A259</f>
        <v>30/06/2023</v>
      </c>
      <c r="B259" s="43" t="str">
        <f t="shared" si="1"/>
        <v>India</v>
      </c>
      <c r="C259" s="43" t="str">
        <f t="shared" si="2"/>
        <v>AIN</v>
      </c>
      <c r="D259" s="43" t="str">
        <f>'Input - Bookings'!D259</f>
        <v>A</v>
      </c>
      <c r="E259" s="43" t="str">
        <f>'Input - Bookings'!J259</f>
        <v>IN</v>
      </c>
      <c r="F259" s="44" t="str">
        <f>'Input - Bookings'!F259</f>
        <v>067</v>
      </c>
      <c r="G259" s="44" t="str">
        <f>'Input - Bookings'!I259</f>
        <v>ELECTROMECH LIFT TRUCKS</v>
      </c>
      <c r="H259" s="44" t="str">
        <f>'Input - Bookings'!K259</f>
        <v>H41694</v>
      </c>
      <c r="I259" s="45" t="str">
        <f>VLOOKUP(H259,'Input - Bookings'!$G$2:$H$611,2,0)</f>
        <v>880805</v>
      </c>
      <c r="J259" s="44" t="str">
        <f>'Input - Bookings'!N259</f>
        <v>A7S5</v>
      </c>
      <c r="K259" s="44" t="str">
        <f>'Input - Bookings'!O259</f>
        <v>ERP16UXT</v>
      </c>
      <c r="L259" s="44" t="str">
        <f>'Input - Bookings'!C259</f>
        <v>USD</v>
      </c>
      <c r="M259" s="46" t="str">
        <f t="array" ref="M259">IF(L259="USD",INDEX('AP Plants'!A:A,MATCH(J259,'AP Plants'!D:D,0)),INDEX('Australia Plants'!A:A,MATCH(J259,'Australia Plants'!D:D,0)))</f>
        <v>Maximal</v>
      </c>
      <c r="N259" s="10">
        <v>1.0</v>
      </c>
      <c r="O259" s="9">
        <v>16805.0</v>
      </c>
      <c r="P259" s="9">
        <v>9283.2</v>
      </c>
      <c r="Q259" s="66">
        <v>-0.046418985248667166</v>
      </c>
      <c r="R259" s="48">
        <f t="shared" si="3"/>
        <v>0.4475929783</v>
      </c>
      <c r="S259" s="49">
        <f t="shared" si="4"/>
        <v>0</v>
      </c>
      <c r="T259" s="49">
        <f t="shared" si="21"/>
        <v>-0.04641898525</v>
      </c>
      <c r="U259" s="50" t="str">
        <f t="shared" si="6"/>
        <v>MD</v>
      </c>
      <c r="V259" s="51">
        <f t="shared" si="28"/>
        <v>-430.9167239</v>
      </c>
      <c r="W259" s="52">
        <f t="shared" si="8"/>
        <v>-430.9167239</v>
      </c>
      <c r="X259" s="9">
        <f t="shared" si="25"/>
        <v>9283.2</v>
      </c>
      <c r="Y259" s="8"/>
      <c r="Z259" s="8"/>
      <c r="AA259" s="8"/>
      <c r="AB259" s="8" t="str">
        <f t="shared" si="10"/>
        <v>AINH41694ERP16UXT</v>
      </c>
      <c r="AC259" s="8" t="str">
        <f>IF(AB259='Input - Bookings'!S252,"OK","Check")</f>
        <v>Check</v>
      </c>
      <c r="AD259" s="53"/>
      <c r="AE259" s="54"/>
      <c r="AF259" s="54"/>
      <c r="AG259" s="55"/>
      <c r="AH259" s="55"/>
      <c r="AI259" s="8" t="str">
        <f t="array" ref="AI259">XLOOKUP($J259,'AP Plants'!D:D,'AP Plants'!B:B)</f>
        <v>Class 1</v>
      </c>
      <c r="AJ259" s="56"/>
      <c r="AK259" s="56"/>
      <c r="AL259" s="49">
        <v>0.015</v>
      </c>
      <c r="AM259" s="49">
        <f t="array" ref="AM259">XLOOKUP($AI259,Warranty!B:B,Warranty!E:E)</f>
        <v>0.005</v>
      </c>
      <c r="AN259" s="8">
        <f>IF($L259="AUD",VLOOKUP(RIGHT('Wk - Margins'!$J259,3),'AU Freight'!C:G,5,0),0)</f>
        <v>0</v>
      </c>
      <c r="AO259" s="49">
        <f t="shared" si="11"/>
        <v>0</v>
      </c>
      <c r="AP259" s="57">
        <f t="shared" si="12"/>
        <v>0</v>
      </c>
      <c r="AQ259" s="58">
        <f t="shared" si="13"/>
        <v>1</v>
      </c>
      <c r="AR259" s="59">
        <f>IF(L259="AUD",O259*'Currency &amp; Conversion'!$L$7,'Wk - Margins'!O259)</f>
        <v>16805</v>
      </c>
      <c r="AS259" s="59">
        <f>IF(L259="AUD",P259*'Currency &amp; Conversion'!$L$7,'Wk - Margins'!P259)</f>
        <v>9283.2</v>
      </c>
    </row>
    <row r="260" ht="12.75" hidden="1" customHeight="1">
      <c r="A260" s="42" t="str">
        <f>'Input - Bookings'!A260</f>
        <v>30/06/2023</v>
      </c>
      <c r="B260" s="43" t="str">
        <f t="shared" si="1"/>
        <v>Asia</v>
      </c>
      <c r="C260" s="43" t="str">
        <f t="shared" si="2"/>
        <v>AID</v>
      </c>
      <c r="D260" s="43" t="str">
        <f>'Input - Bookings'!D260</f>
        <v>A</v>
      </c>
      <c r="E260" s="43" t="str">
        <f>'Input - Bookings'!J260</f>
        <v>ID</v>
      </c>
      <c r="F260" s="44" t="str">
        <f>'Input - Bookings'!F260</f>
        <v>067</v>
      </c>
      <c r="G260" s="44" t="str">
        <f>'Input - Bookings'!I260</f>
        <v>PT UNIVERSAL TRAKTOR</v>
      </c>
      <c r="H260" s="45" t="str">
        <f>'Input - Bookings'!K260</f>
        <v>H42189</v>
      </c>
      <c r="I260" s="45" t="str">
        <f>VLOOKUP(H260,'Input - Bookings'!$G$2:$H$611,2,0)</f>
        <v>804105</v>
      </c>
      <c r="J260" s="44" t="str">
        <f>'Input - Bookings'!N260</f>
        <v>A7R0</v>
      </c>
      <c r="K260" s="44" t="str">
        <f>'Input - Bookings'!O260</f>
        <v>MP20KUX</v>
      </c>
      <c r="L260" s="44" t="str">
        <f>'Input - Bookings'!C260</f>
        <v>USD</v>
      </c>
      <c r="M260" s="46" t="str">
        <f t="array" ref="M260">IF(L260="USD",INDEX('AP Plants'!A:A,MATCH(J260,'AP Plants'!D:D,0)),INDEX('Australia Plants'!A:A,MATCH(J260,'Australia Plants'!D:D,0)))</f>
        <v>Ruyi</v>
      </c>
      <c r="N260" s="10">
        <v>1.0</v>
      </c>
      <c r="O260" s="9">
        <v>8570.0</v>
      </c>
      <c r="P260" s="9">
        <v>6600.4</v>
      </c>
      <c r="Q260" s="47">
        <v>0.3801863731719397</v>
      </c>
      <c r="R260" s="48">
        <f t="shared" si="3"/>
        <v>0.2298249708</v>
      </c>
      <c r="S260" s="49">
        <f t="shared" si="4"/>
        <v>0</v>
      </c>
      <c r="T260" s="49">
        <f t="shared" si="21"/>
        <v>0.3801863732</v>
      </c>
      <c r="U260" s="50" t="str">
        <f t="shared" si="6"/>
        <v>AOP</v>
      </c>
      <c r="V260" s="51">
        <f t="shared" si="28"/>
        <v>2509.382137</v>
      </c>
      <c r="W260" s="52">
        <f t="shared" si="8"/>
        <v>2509.382137</v>
      </c>
      <c r="X260" s="9">
        <f t="shared" si="25"/>
        <v>6600.4</v>
      </c>
      <c r="Y260" s="8"/>
      <c r="Z260" s="8"/>
      <c r="AA260" s="8"/>
      <c r="AB260" s="8" t="str">
        <f t="shared" si="10"/>
        <v>AIDH42189MP20KUX</v>
      </c>
      <c r="AC260" s="8" t="str">
        <f>IF(AB260='Input - Bookings'!S253,"OK","Check")</f>
        <v>Check</v>
      </c>
      <c r="AD260" s="53"/>
      <c r="AE260" s="54"/>
      <c r="AF260" s="54"/>
      <c r="AG260" s="55"/>
      <c r="AH260" s="55"/>
      <c r="AI260" s="8" t="str">
        <f t="array" ref="AI260">XLOOKUP($J260,'AP Plants'!D:D,'AP Plants'!B:B)</f>
        <v>Class 3</v>
      </c>
      <c r="AJ260" s="56"/>
      <c r="AK260" s="56"/>
      <c r="AL260" s="49">
        <v>0.015</v>
      </c>
      <c r="AM260" s="49">
        <f t="array" ref="AM260">XLOOKUP($AI260,Warranty!B:B,Warranty!E:E)</f>
        <v>0.015</v>
      </c>
      <c r="AN260" s="8">
        <f>IF($L260="AUD",VLOOKUP(RIGHT('Wk - Margins'!$J260,3),'AU Freight'!C:G,5,0),0)</f>
        <v>0</v>
      </c>
      <c r="AO260" s="49">
        <f t="shared" si="11"/>
        <v>0</v>
      </c>
      <c r="AP260" s="57">
        <f t="shared" si="12"/>
        <v>0</v>
      </c>
      <c r="AQ260" s="58">
        <f t="shared" si="13"/>
        <v>1</v>
      </c>
      <c r="AR260" s="59">
        <f>IF(L260="AUD",O260*'Currency &amp; Conversion'!$L$7,'Wk - Margins'!O260)</f>
        <v>8570</v>
      </c>
      <c r="AS260" s="59">
        <f>IF(L260="AUD",P260*'Currency &amp; Conversion'!$L$7,'Wk - Margins'!P260)</f>
        <v>6600.4</v>
      </c>
    </row>
    <row r="261" ht="12.75" hidden="1" customHeight="1">
      <c r="A261" s="42" t="str">
        <f>'Input - Bookings'!A261</f>
        <v>30/06/2023</v>
      </c>
      <c r="B261" s="43" t="str">
        <f t="shared" si="1"/>
        <v>Asia</v>
      </c>
      <c r="C261" s="43" t="str">
        <f t="shared" si="2"/>
        <v>AID</v>
      </c>
      <c r="D261" s="43" t="str">
        <f>'Input - Bookings'!D261</f>
        <v>A</v>
      </c>
      <c r="E261" s="43" t="str">
        <f>'Input - Bookings'!J261</f>
        <v>ID</v>
      </c>
      <c r="F261" s="44" t="str">
        <f>'Input - Bookings'!F261</f>
        <v>067</v>
      </c>
      <c r="G261" s="44" t="str">
        <f>'Input - Bookings'!I261</f>
        <v>PT UNIVERSAL TRAKTOR</v>
      </c>
      <c r="H261" s="45" t="str">
        <f>'Input - Bookings'!K261</f>
        <v>H42212</v>
      </c>
      <c r="I261" s="45" t="str">
        <f>VLOOKUP(H261,'Input - Bookings'!$G$2:$H$611,2,0)</f>
        <v>804105</v>
      </c>
      <c r="J261" s="44" t="str">
        <f>'Input - Bookings'!N261</f>
        <v>A7R0</v>
      </c>
      <c r="K261" s="44" t="str">
        <f>'Input - Bookings'!O261</f>
        <v>MP20KUX</v>
      </c>
      <c r="L261" s="44" t="str">
        <f>'Input - Bookings'!C261</f>
        <v>USD</v>
      </c>
      <c r="M261" s="46" t="str">
        <f t="array" ref="M261">IF(L261="USD",INDEX('AP Plants'!A:A,MATCH(J261,'AP Plants'!D:D,0)),INDEX('Australia Plants'!A:A,MATCH(J261,'Australia Plants'!D:D,0)))</f>
        <v>Ruyi</v>
      </c>
      <c r="N261" s="10">
        <v>1.0</v>
      </c>
      <c r="O261" s="9">
        <v>8570.0</v>
      </c>
      <c r="P261" s="9">
        <v>6600.4</v>
      </c>
      <c r="Q261" s="47">
        <v>0.3801863731719397</v>
      </c>
      <c r="R261" s="48">
        <f t="shared" si="3"/>
        <v>0.2298249708</v>
      </c>
      <c r="S261" s="49">
        <f t="shared" si="4"/>
        <v>0</v>
      </c>
      <c r="T261" s="49">
        <f t="shared" si="21"/>
        <v>0.3801863732</v>
      </c>
      <c r="U261" s="50" t="str">
        <f t="shared" si="6"/>
        <v>AOP</v>
      </c>
      <c r="V261" s="51">
        <f t="shared" si="28"/>
        <v>2509.382137</v>
      </c>
      <c r="W261" s="52">
        <f t="shared" si="8"/>
        <v>2509.382137</v>
      </c>
      <c r="X261" s="9">
        <f t="shared" si="25"/>
        <v>6600.4</v>
      </c>
      <c r="Y261" s="8"/>
      <c r="Z261" s="8"/>
      <c r="AA261" s="8"/>
      <c r="AB261" s="8" t="str">
        <f t="shared" si="10"/>
        <v>AIDH42212MP20KUX</v>
      </c>
      <c r="AC261" s="8" t="str">
        <f>IF(AB261='Input - Bookings'!S254,"OK","Check")</f>
        <v>Check</v>
      </c>
      <c r="AD261" s="53"/>
      <c r="AE261" s="54"/>
      <c r="AF261" s="54"/>
      <c r="AG261" s="55"/>
      <c r="AH261" s="55"/>
      <c r="AI261" s="8" t="str">
        <f t="array" ref="AI261">XLOOKUP($J261,'AP Plants'!D:D,'AP Plants'!B:B)</f>
        <v>Class 3</v>
      </c>
      <c r="AJ261" s="56"/>
      <c r="AK261" s="56"/>
      <c r="AL261" s="49">
        <v>0.015</v>
      </c>
      <c r="AM261" s="49">
        <f t="array" ref="AM261">XLOOKUP($AI261,Warranty!B:B,Warranty!E:E)</f>
        <v>0.015</v>
      </c>
      <c r="AN261" s="8">
        <f>IF($L261="AUD",VLOOKUP(RIGHT('Wk - Margins'!$J261,3),'AU Freight'!C:G,5,0),0)</f>
        <v>0</v>
      </c>
      <c r="AO261" s="49">
        <f t="shared" si="11"/>
        <v>0</v>
      </c>
      <c r="AP261" s="57">
        <f t="shared" si="12"/>
        <v>0</v>
      </c>
      <c r="AQ261" s="58">
        <f t="shared" si="13"/>
        <v>1</v>
      </c>
      <c r="AR261" s="59">
        <f>IF(L261="AUD",O261*'Currency &amp; Conversion'!$L$7,'Wk - Margins'!O261)</f>
        <v>8570</v>
      </c>
      <c r="AS261" s="59">
        <f>IF(L261="AUD",P261*'Currency &amp; Conversion'!$L$7,'Wk - Margins'!P261)</f>
        <v>6600.4</v>
      </c>
    </row>
    <row r="262" ht="12.75" hidden="1" customHeight="1">
      <c r="A262" s="42" t="str">
        <f>'Input - Bookings'!A262</f>
        <v>30/06/2023</v>
      </c>
      <c r="B262" s="43" t="str">
        <f t="shared" si="1"/>
        <v>Asia</v>
      </c>
      <c r="C262" s="43" t="str">
        <f t="shared" si="2"/>
        <v>AID</v>
      </c>
      <c r="D262" s="43" t="str">
        <f>'Input - Bookings'!D262</f>
        <v>A</v>
      </c>
      <c r="E262" s="43" t="str">
        <f>'Input - Bookings'!J262</f>
        <v>ID</v>
      </c>
      <c r="F262" s="44" t="str">
        <f>'Input - Bookings'!F262</f>
        <v>067</v>
      </c>
      <c r="G262" s="44" t="str">
        <f>'Input - Bookings'!I262</f>
        <v>PT UNIVERSAL TRAKTOR</v>
      </c>
      <c r="H262" s="45" t="str">
        <f>'Input - Bookings'!K262</f>
        <v>H42185</v>
      </c>
      <c r="I262" s="45" t="str">
        <f>VLOOKUP(H262,'Input - Bookings'!$G$2:$H$611,2,0)</f>
        <v>804105</v>
      </c>
      <c r="J262" s="44" t="str">
        <f>'Input - Bookings'!N262</f>
        <v>A7R5</v>
      </c>
      <c r="K262" s="44" t="str">
        <f>'Input - Bookings'!O262</f>
        <v>MP20UX</v>
      </c>
      <c r="L262" s="44" t="str">
        <f>'Input - Bookings'!C262</f>
        <v>USD</v>
      </c>
      <c r="M262" s="46" t="str">
        <f t="array" ref="M262">IF(L262="USD",INDEX('AP Plants'!A:A,MATCH(J262,'AP Plants'!D:D,0)),INDEX('Australia Plants'!A:A,MATCH(J262,'Australia Plants'!D:D,0)))</f>
        <v>Ruyi</v>
      </c>
      <c r="N262" s="10">
        <v>1.0</v>
      </c>
      <c r="O262" s="9">
        <v>2975.0</v>
      </c>
      <c r="P262" s="9">
        <v>2212.0</v>
      </c>
      <c r="Q262" s="47">
        <v>0.18161373240086987</v>
      </c>
      <c r="R262" s="48">
        <f t="shared" si="3"/>
        <v>0.2564705882</v>
      </c>
      <c r="S262" s="49">
        <f t="shared" si="4"/>
        <v>0</v>
      </c>
      <c r="T262" s="49">
        <f t="shared" si="21"/>
        <v>0.1816137324</v>
      </c>
      <c r="U262" s="50" t="str">
        <f t="shared" si="6"/>
        <v>AOP</v>
      </c>
      <c r="V262" s="51">
        <f t="shared" si="28"/>
        <v>401.7295761</v>
      </c>
      <c r="W262" s="52">
        <f t="shared" si="8"/>
        <v>401.7295761</v>
      </c>
      <c r="X262" s="9">
        <f t="shared" si="25"/>
        <v>2212</v>
      </c>
      <c r="Y262" s="8"/>
      <c r="Z262" s="8"/>
      <c r="AA262" s="8"/>
      <c r="AB262" s="8" t="str">
        <f t="shared" si="10"/>
        <v>AIDH42185MP20UX</v>
      </c>
      <c r="AC262" s="8" t="str">
        <f>IF(AB262='Input - Bookings'!S255,"OK","Check")</f>
        <v>Check</v>
      </c>
      <c r="AD262" s="53"/>
      <c r="AE262" s="54"/>
      <c r="AF262" s="54"/>
      <c r="AG262" s="55"/>
      <c r="AH262" s="55"/>
      <c r="AI262" s="8" t="str">
        <f t="array" ref="AI262">XLOOKUP($J262,'AP Plants'!D:D,'AP Plants'!B:B)</f>
        <v>Class 3</v>
      </c>
      <c r="AJ262" s="56"/>
      <c r="AK262" s="56"/>
      <c r="AL262" s="49">
        <v>0.015</v>
      </c>
      <c r="AM262" s="49">
        <f t="array" ref="AM262">XLOOKUP($AI262,Warranty!B:B,Warranty!E:E)</f>
        <v>0.015</v>
      </c>
      <c r="AN262" s="8">
        <f>IF($L262="AUD",VLOOKUP(RIGHT('Wk - Margins'!$J262,3),'AU Freight'!C:G,5,0),0)</f>
        <v>0</v>
      </c>
      <c r="AO262" s="49">
        <f t="shared" si="11"/>
        <v>0</v>
      </c>
      <c r="AP262" s="57">
        <f t="shared" si="12"/>
        <v>0</v>
      </c>
      <c r="AQ262" s="58">
        <f t="shared" si="13"/>
        <v>1</v>
      </c>
      <c r="AR262" s="59">
        <f>IF(L262="AUD",O262*'Currency &amp; Conversion'!$L$7,'Wk - Margins'!O262)</f>
        <v>2975</v>
      </c>
      <c r="AS262" s="59">
        <f>IF(L262="AUD",P262*'Currency &amp; Conversion'!$L$7,'Wk - Margins'!P262)</f>
        <v>2212</v>
      </c>
    </row>
    <row r="263" ht="12.75" hidden="1" customHeight="1">
      <c r="A263" s="42" t="str">
        <f>'Input - Bookings'!A263</f>
        <v>30/06/2023</v>
      </c>
      <c r="B263" s="43" t="str">
        <f t="shared" si="1"/>
        <v>Asia</v>
      </c>
      <c r="C263" s="43" t="str">
        <f t="shared" si="2"/>
        <v>AID</v>
      </c>
      <c r="D263" s="43" t="str">
        <f>'Input - Bookings'!D263</f>
        <v>A</v>
      </c>
      <c r="E263" s="43" t="str">
        <f>'Input - Bookings'!J263</f>
        <v>ID</v>
      </c>
      <c r="F263" s="44" t="str">
        <f>'Input - Bookings'!F263</f>
        <v>067</v>
      </c>
      <c r="G263" s="44" t="str">
        <f>'Input - Bookings'!I263</f>
        <v>PT UNIVERSAL TRAKTOR</v>
      </c>
      <c r="H263" s="45" t="str">
        <f>'Input - Bookings'!K263</f>
        <v>H42190</v>
      </c>
      <c r="I263" s="45" t="str">
        <f>VLOOKUP(H263,'Input - Bookings'!$G$2:$H$611,2,0)</f>
        <v>804105</v>
      </c>
      <c r="J263" s="44" t="str">
        <f>'Input - Bookings'!N263</f>
        <v>A7R5</v>
      </c>
      <c r="K263" s="44" t="str">
        <f>'Input - Bookings'!O263</f>
        <v>MP20UX</v>
      </c>
      <c r="L263" s="44" t="str">
        <f>'Input - Bookings'!C263</f>
        <v>USD</v>
      </c>
      <c r="M263" s="46" t="str">
        <f t="array" ref="M263">IF(L263="USD",INDEX('AP Plants'!A:A,MATCH(J263,'AP Plants'!D:D,0)),INDEX('Australia Plants'!A:A,MATCH(J263,'Australia Plants'!D:D,0)))</f>
        <v>Ruyi</v>
      </c>
      <c r="N263" s="10">
        <v>1.0</v>
      </c>
      <c r="O263" s="9">
        <v>2975.0</v>
      </c>
      <c r="P263" s="9">
        <v>2212.0</v>
      </c>
      <c r="Q263" s="47">
        <v>0.18161373240086987</v>
      </c>
      <c r="R263" s="48">
        <f t="shared" si="3"/>
        <v>0.2564705882</v>
      </c>
      <c r="S263" s="49">
        <f t="shared" si="4"/>
        <v>0</v>
      </c>
      <c r="T263" s="49">
        <f t="shared" si="21"/>
        <v>0.1816137324</v>
      </c>
      <c r="U263" s="50" t="str">
        <f t="shared" si="6"/>
        <v>AOP</v>
      </c>
      <c r="V263" s="51">
        <f t="shared" si="28"/>
        <v>401.7295761</v>
      </c>
      <c r="W263" s="52">
        <f t="shared" si="8"/>
        <v>401.7295761</v>
      </c>
      <c r="X263" s="9">
        <f t="shared" si="25"/>
        <v>2212</v>
      </c>
      <c r="Y263" s="8"/>
      <c r="Z263" s="8"/>
      <c r="AA263" s="8"/>
      <c r="AB263" s="8" t="str">
        <f t="shared" si="10"/>
        <v>AIDH42190MP20UX</v>
      </c>
      <c r="AC263" s="8" t="str">
        <f>IF(AB263='Input - Bookings'!S256,"OK","Check")</f>
        <v>Check</v>
      </c>
      <c r="AD263" s="53"/>
      <c r="AE263" s="54"/>
      <c r="AF263" s="54"/>
      <c r="AG263" s="55"/>
      <c r="AH263" s="55"/>
      <c r="AI263" s="8" t="str">
        <f t="array" ref="AI263">XLOOKUP($J263,'AP Plants'!D:D,'AP Plants'!B:B)</f>
        <v>Class 3</v>
      </c>
      <c r="AJ263" s="56"/>
      <c r="AK263" s="56"/>
      <c r="AL263" s="49">
        <v>0.015</v>
      </c>
      <c r="AM263" s="49">
        <f t="array" ref="AM263">XLOOKUP($AI263,Warranty!B:B,Warranty!E:E)</f>
        <v>0.015</v>
      </c>
      <c r="AN263" s="8">
        <f>IF($L263="AUD",VLOOKUP(RIGHT('Wk - Margins'!$J263,3),'AU Freight'!C:G,5,0),0)</f>
        <v>0</v>
      </c>
      <c r="AO263" s="49">
        <f t="shared" si="11"/>
        <v>0</v>
      </c>
      <c r="AP263" s="57">
        <f t="shared" si="12"/>
        <v>0</v>
      </c>
      <c r="AQ263" s="58">
        <f t="shared" si="13"/>
        <v>1</v>
      </c>
      <c r="AR263" s="59">
        <f>IF(L263="AUD",O263*'Currency &amp; Conversion'!$L$7,'Wk - Margins'!O263)</f>
        <v>2975</v>
      </c>
      <c r="AS263" s="59">
        <f>IF(L263="AUD",P263*'Currency &amp; Conversion'!$L$7,'Wk - Margins'!P263)</f>
        <v>2212</v>
      </c>
    </row>
    <row r="264" ht="12.75" hidden="1" customHeight="1">
      <c r="A264" s="42" t="str">
        <f>'Input - Bookings'!A264</f>
        <v>30/06/2023</v>
      </c>
      <c r="B264" s="43" t="str">
        <f t="shared" si="1"/>
        <v>Asia</v>
      </c>
      <c r="C264" s="43" t="str">
        <f t="shared" si="2"/>
        <v>AID</v>
      </c>
      <c r="D264" s="43" t="str">
        <f>'Input - Bookings'!D264</f>
        <v>A</v>
      </c>
      <c r="E264" s="43" t="str">
        <f>'Input - Bookings'!J264</f>
        <v>ID</v>
      </c>
      <c r="F264" s="44" t="str">
        <f>'Input - Bookings'!F264</f>
        <v>067</v>
      </c>
      <c r="G264" s="44" t="str">
        <f>'Input - Bookings'!I264</f>
        <v>PT UNIVERSAL TRAKTOR</v>
      </c>
      <c r="H264" s="45" t="str">
        <f>'Input - Bookings'!K264</f>
        <v>H42187</v>
      </c>
      <c r="I264" s="45" t="str">
        <f>VLOOKUP(H264,'Input - Bookings'!$G$2:$H$611,2,0)</f>
        <v>804105</v>
      </c>
      <c r="J264" s="44" t="str">
        <f>'Input - Bookings'!N264</f>
        <v>A3D4</v>
      </c>
      <c r="K264" s="44" t="str">
        <f>'Input - Bookings'!O264</f>
        <v>MPC15</v>
      </c>
      <c r="L264" s="44" t="str">
        <f>'Input - Bookings'!C264</f>
        <v>USD</v>
      </c>
      <c r="M264" s="46" t="str">
        <f t="array" ref="M264">IF(L264="USD",INDEX('AP Plants'!A:A,MATCH(J264,'AP Plants'!D:D,0)),INDEX('Australia Plants'!A:A,MATCH(J264,'Australia Plants'!D:D,0)))</f>
        <v>Staxx</v>
      </c>
      <c r="N264" s="10">
        <v>1.0</v>
      </c>
      <c r="O264" s="9">
        <v>1475.0</v>
      </c>
      <c r="P264" s="9">
        <v>1051.2</v>
      </c>
      <c r="Q264" s="47">
        <v>0.34587216929223963</v>
      </c>
      <c r="R264" s="48">
        <f t="shared" si="3"/>
        <v>0.2873220339</v>
      </c>
      <c r="S264" s="49">
        <f t="shared" si="4"/>
        <v>0</v>
      </c>
      <c r="T264" s="49">
        <f t="shared" si="21"/>
        <v>0.3458721693</v>
      </c>
      <c r="U264" s="50" t="str">
        <f t="shared" si="6"/>
        <v>AOP</v>
      </c>
      <c r="V264" s="51">
        <f t="shared" si="28"/>
        <v>363.5808244</v>
      </c>
      <c r="W264" s="52">
        <f t="shared" si="8"/>
        <v>363.5808244</v>
      </c>
      <c r="X264" s="9">
        <f t="shared" si="25"/>
        <v>1051.2</v>
      </c>
      <c r="Y264" s="8"/>
      <c r="Z264" s="8"/>
      <c r="AA264" s="8"/>
      <c r="AB264" s="8" t="str">
        <f t="shared" si="10"/>
        <v>AIDH42187MPC15</v>
      </c>
      <c r="AC264" s="8" t="str">
        <f>IF(AB264='Input - Bookings'!S257,"OK","Check")</f>
        <v>Check</v>
      </c>
      <c r="AD264" s="53"/>
      <c r="AE264" s="54"/>
      <c r="AF264" s="54"/>
      <c r="AG264" s="55">
        <f t="shared" ref="AG264:AG283" si="38">657.591432660192+10</f>
        <v>667.5914327</v>
      </c>
      <c r="AH264" s="55"/>
      <c r="AI264" s="8" t="str">
        <f t="array" ref="AI264">XLOOKUP($J264,'AP Plants'!D:D,'AP Plants'!B:B)</f>
        <v>Class 3</v>
      </c>
      <c r="AJ264" s="56"/>
      <c r="AK264" s="56">
        <f t="shared" ref="AK264:AK283" si="39">AG264</f>
        <v>667.5914327</v>
      </c>
      <c r="AL264" s="49">
        <v>0.015</v>
      </c>
      <c r="AM264" s="49">
        <f t="array" ref="AM264">XLOOKUP($AI264,Warranty!B:B,Warranty!E:E)</f>
        <v>0.015</v>
      </c>
      <c r="AN264" s="8">
        <f>IF($L264="AUD",VLOOKUP(RIGHT('Wk - Margins'!$J264,3),'AU Freight'!C:G,5,0),0)</f>
        <v>0</v>
      </c>
      <c r="AO264" s="49">
        <f t="shared" si="11"/>
        <v>0</v>
      </c>
      <c r="AP264" s="63">
        <f t="shared" si="12"/>
        <v>687.6191756</v>
      </c>
      <c r="AQ264" s="58">
        <f t="shared" si="13"/>
        <v>0.3458721693</v>
      </c>
      <c r="AR264" s="59">
        <f>IF(L264="AUD",O264*'Currency &amp; Conversion'!$L$7,'Wk - Margins'!O264)</f>
        <v>1475</v>
      </c>
      <c r="AS264" s="59">
        <f>IF(L264="AUD",P264*'Currency &amp; Conversion'!$L$7,'Wk - Margins'!P264)</f>
        <v>1051.2</v>
      </c>
    </row>
    <row r="265" ht="12.75" hidden="1" customHeight="1">
      <c r="A265" s="42" t="str">
        <f>'Input - Bookings'!A265</f>
        <v>30/06/2023</v>
      </c>
      <c r="B265" s="43" t="str">
        <f t="shared" si="1"/>
        <v>Asia</v>
      </c>
      <c r="C265" s="43" t="str">
        <f t="shared" si="2"/>
        <v>AID</v>
      </c>
      <c r="D265" s="43" t="str">
        <f>'Input - Bookings'!D265</f>
        <v>A</v>
      </c>
      <c r="E265" s="43" t="str">
        <f>'Input - Bookings'!J265</f>
        <v>ID</v>
      </c>
      <c r="F265" s="44" t="str">
        <f>'Input - Bookings'!F265</f>
        <v>067</v>
      </c>
      <c r="G265" s="44" t="str">
        <f>'Input - Bookings'!I265</f>
        <v>PT UNIVERSAL TRAKTOR</v>
      </c>
      <c r="H265" s="45" t="str">
        <f>'Input - Bookings'!K265</f>
        <v>H42192</v>
      </c>
      <c r="I265" s="45" t="str">
        <f>VLOOKUP(H265,'Input - Bookings'!$G$2:$H$611,2,0)</f>
        <v>804105</v>
      </c>
      <c r="J265" s="44" t="str">
        <f>'Input - Bookings'!N265</f>
        <v>A3D4</v>
      </c>
      <c r="K265" s="44" t="str">
        <f>'Input - Bookings'!O265</f>
        <v>MPC15</v>
      </c>
      <c r="L265" s="44" t="str">
        <f>'Input - Bookings'!C265</f>
        <v>USD</v>
      </c>
      <c r="M265" s="46" t="str">
        <f t="array" ref="M265">IF(L265="USD",INDEX('AP Plants'!A:A,MATCH(J265,'AP Plants'!D:D,0)),INDEX('Australia Plants'!A:A,MATCH(J265,'Australia Plants'!D:D,0)))</f>
        <v>Staxx</v>
      </c>
      <c r="N265" s="10">
        <v>1.0</v>
      </c>
      <c r="O265" s="9">
        <v>1475.0</v>
      </c>
      <c r="P265" s="9">
        <v>1051.2</v>
      </c>
      <c r="Q265" s="47">
        <v>0.34587216929223963</v>
      </c>
      <c r="R265" s="48">
        <f t="shared" si="3"/>
        <v>0.2873220339</v>
      </c>
      <c r="S265" s="49">
        <f t="shared" si="4"/>
        <v>0</v>
      </c>
      <c r="T265" s="49">
        <f t="shared" si="21"/>
        <v>0.3458721693</v>
      </c>
      <c r="U265" s="50" t="str">
        <f t="shared" si="6"/>
        <v>AOP</v>
      </c>
      <c r="V265" s="51">
        <f t="shared" si="28"/>
        <v>363.5808244</v>
      </c>
      <c r="W265" s="52">
        <f t="shared" si="8"/>
        <v>363.5808244</v>
      </c>
      <c r="X265" s="9">
        <f t="shared" si="25"/>
        <v>1051.2</v>
      </c>
      <c r="Y265" s="8"/>
      <c r="Z265" s="8"/>
      <c r="AA265" s="8"/>
      <c r="AB265" s="8" t="str">
        <f t="shared" si="10"/>
        <v>AIDH42192MPC15</v>
      </c>
      <c r="AC265" s="8" t="str">
        <f>IF(AB265='Input - Bookings'!S258,"OK","Check")</f>
        <v>Check</v>
      </c>
      <c r="AD265" s="53"/>
      <c r="AE265" s="54"/>
      <c r="AF265" s="54"/>
      <c r="AG265" s="55">
        <f t="shared" si="38"/>
        <v>667.5914327</v>
      </c>
      <c r="AH265" s="55"/>
      <c r="AI265" s="8" t="str">
        <f t="array" ref="AI265">XLOOKUP($J265,'AP Plants'!D:D,'AP Plants'!B:B)</f>
        <v>Class 3</v>
      </c>
      <c r="AJ265" s="56"/>
      <c r="AK265" s="56">
        <f t="shared" si="39"/>
        <v>667.5914327</v>
      </c>
      <c r="AL265" s="49">
        <v>0.015</v>
      </c>
      <c r="AM265" s="49">
        <f t="array" ref="AM265">XLOOKUP($AI265,Warranty!B:B,Warranty!E:E)</f>
        <v>0.015</v>
      </c>
      <c r="AN265" s="8">
        <f>IF($L265="AUD",VLOOKUP(RIGHT('Wk - Margins'!$J265,3),'AU Freight'!C:G,5,0),0)</f>
        <v>0</v>
      </c>
      <c r="AO265" s="49">
        <f t="shared" si="11"/>
        <v>0</v>
      </c>
      <c r="AP265" s="63">
        <f t="shared" si="12"/>
        <v>687.6191756</v>
      </c>
      <c r="AQ265" s="58">
        <f t="shared" si="13"/>
        <v>0.3458721693</v>
      </c>
      <c r="AR265" s="59">
        <f>IF(L265="AUD",O265*'Currency &amp; Conversion'!$L$7,'Wk - Margins'!O265)</f>
        <v>1475</v>
      </c>
      <c r="AS265" s="59">
        <f>IF(L265="AUD",P265*'Currency &amp; Conversion'!$L$7,'Wk - Margins'!P265)</f>
        <v>1051.2</v>
      </c>
    </row>
    <row r="266" ht="12.75" hidden="1" customHeight="1">
      <c r="A266" s="42" t="str">
        <f>'Input - Bookings'!A266</f>
        <v>30/06/2023</v>
      </c>
      <c r="B266" s="43" t="str">
        <f t="shared" si="1"/>
        <v>Asia</v>
      </c>
      <c r="C266" s="43" t="str">
        <f t="shared" si="2"/>
        <v>AID</v>
      </c>
      <c r="D266" s="43" t="str">
        <f>'Input - Bookings'!D266</f>
        <v>A</v>
      </c>
      <c r="E266" s="43" t="str">
        <f>'Input - Bookings'!J266</f>
        <v>ID</v>
      </c>
      <c r="F266" s="44" t="str">
        <f>'Input - Bookings'!F266</f>
        <v>067</v>
      </c>
      <c r="G266" s="44" t="str">
        <f>'Input - Bookings'!I266</f>
        <v>PT UNIVERSAL TRAKTOR</v>
      </c>
      <c r="H266" s="45" t="str">
        <f>'Input - Bookings'!K266</f>
        <v>H42193</v>
      </c>
      <c r="I266" s="45" t="str">
        <f>VLOOKUP(H266,'Input - Bookings'!$G$2:$H$611,2,0)</f>
        <v>804105</v>
      </c>
      <c r="J266" s="44" t="str">
        <f>'Input - Bookings'!N266</f>
        <v>A3D4</v>
      </c>
      <c r="K266" s="44" t="str">
        <f>'Input - Bookings'!O266</f>
        <v>MPC15</v>
      </c>
      <c r="L266" s="44" t="str">
        <f>'Input - Bookings'!C266</f>
        <v>USD</v>
      </c>
      <c r="M266" s="46" t="str">
        <f t="array" ref="M266">IF(L266="USD",INDEX('AP Plants'!A:A,MATCH(J266,'AP Plants'!D:D,0)),INDEX('Australia Plants'!A:A,MATCH(J266,'Australia Plants'!D:D,0)))</f>
        <v>Staxx</v>
      </c>
      <c r="N266" s="10">
        <v>1.0</v>
      </c>
      <c r="O266" s="9">
        <v>1475.0</v>
      </c>
      <c r="P266" s="9">
        <v>1051.2</v>
      </c>
      <c r="Q266" s="47">
        <v>0.34587216929223963</v>
      </c>
      <c r="R266" s="48">
        <f t="shared" si="3"/>
        <v>0.2873220339</v>
      </c>
      <c r="S266" s="49">
        <f t="shared" si="4"/>
        <v>0</v>
      </c>
      <c r="T266" s="49">
        <f t="shared" si="21"/>
        <v>0.3458721693</v>
      </c>
      <c r="U266" s="50" t="str">
        <f t="shared" si="6"/>
        <v>AOP</v>
      </c>
      <c r="V266" s="51">
        <f t="shared" si="28"/>
        <v>363.5808244</v>
      </c>
      <c r="W266" s="52">
        <f t="shared" si="8"/>
        <v>363.5808244</v>
      </c>
      <c r="X266" s="9">
        <f t="shared" si="25"/>
        <v>1051.2</v>
      </c>
      <c r="Y266" s="8"/>
      <c r="Z266" s="8"/>
      <c r="AA266" s="8"/>
      <c r="AB266" s="8" t="str">
        <f t="shared" si="10"/>
        <v>AIDH42193MPC15</v>
      </c>
      <c r="AC266" s="8" t="str">
        <f>IF(AB266='Input - Bookings'!S263,"OK","Check")</f>
        <v>Check</v>
      </c>
      <c r="AD266" s="53"/>
      <c r="AE266" s="54"/>
      <c r="AF266" s="54"/>
      <c r="AG266" s="55">
        <f t="shared" si="38"/>
        <v>667.5914327</v>
      </c>
      <c r="AH266" s="62"/>
      <c r="AI266" s="8" t="str">
        <f t="array" ref="AI266">XLOOKUP($J266,'AP Plants'!D:D,'AP Plants'!B:B)</f>
        <v>Class 3</v>
      </c>
      <c r="AJ266" s="56"/>
      <c r="AK266" s="56">
        <f t="shared" si="39"/>
        <v>667.5914327</v>
      </c>
      <c r="AL266" s="49">
        <v>0.015</v>
      </c>
      <c r="AM266" s="49">
        <f t="array" ref="AM266">XLOOKUP($AI266,Warranty!B:B,Warranty!E:E)</f>
        <v>0.015</v>
      </c>
      <c r="AN266" s="8">
        <f>IF($L266="AUD",VLOOKUP(RIGHT('Wk - Margins'!$J266,3),'AU Freight'!C:G,5,0),0)</f>
        <v>0</v>
      </c>
      <c r="AO266" s="49">
        <f t="shared" si="11"/>
        <v>0</v>
      </c>
      <c r="AP266" s="63">
        <f t="shared" si="12"/>
        <v>687.6191756</v>
      </c>
      <c r="AQ266" s="58">
        <f t="shared" si="13"/>
        <v>0.3458721693</v>
      </c>
      <c r="AR266" s="59">
        <f>IF(L266="AUD",O266*'Currency &amp; Conversion'!$L$7,'Wk - Margins'!O266)</f>
        <v>1475</v>
      </c>
      <c r="AS266" s="59">
        <f>IF(L266="AUD",P266*'Currency &amp; Conversion'!$L$7,'Wk - Margins'!P266)</f>
        <v>1051.2</v>
      </c>
    </row>
    <row r="267" ht="12.75" hidden="1" customHeight="1">
      <c r="A267" s="42" t="str">
        <f>'Input - Bookings'!A267</f>
        <v>30/06/2023</v>
      </c>
      <c r="B267" s="43" t="str">
        <f t="shared" si="1"/>
        <v>Asia</v>
      </c>
      <c r="C267" s="43" t="str">
        <f t="shared" si="2"/>
        <v>AID</v>
      </c>
      <c r="D267" s="43" t="str">
        <f>'Input - Bookings'!D267</f>
        <v>A</v>
      </c>
      <c r="E267" s="43" t="str">
        <f>'Input - Bookings'!J267</f>
        <v>ID</v>
      </c>
      <c r="F267" s="44" t="str">
        <f>'Input - Bookings'!F267</f>
        <v>067</v>
      </c>
      <c r="G267" s="44" t="str">
        <f>'Input - Bookings'!I267</f>
        <v>PT UNIVERSAL TRAKTOR</v>
      </c>
      <c r="H267" s="45" t="str">
        <f>'Input - Bookings'!K267</f>
        <v>H42194</v>
      </c>
      <c r="I267" s="45" t="str">
        <f>VLOOKUP(H267,'Input - Bookings'!$G$2:$H$611,2,0)</f>
        <v>804105</v>
      </c>
      <c r="J267" s="44" t="str">
        <f>'Input - Bookings'!N267</f>
        <v>A3D4</v>
      </c>
      <c r="K267" s="44" t="str">
        <f>'Input - Bookings'!O267</f>
        <v>MPC15</v>
      </c>
      <c r="L267" s="44" t="str">
        <f>'Input - Bookings'!C267</f>
        <v>USD</v>
      </c>
      <c r="M267" s="46" t="str">
        <f t="array" ref="M267">IF(L267="USD",INDEX('AP Plants'!A:A,MATCH(J267,'AP Plants'!D:D,0)),INDEX('Australia Plants'!A:A,MATCH(J267,'Australia Plants'!D:D,0)))</f>
        <v>Staxx</v>
      </c>
      <c r="N267" s="10">
        <v>1.0</v>
      </c>
      <c r="O267" s="9">
        <v>1475.0</v>
      </c>
      <c r="P267" s="9">
        <v>1051.2</v>
      </c>
      <c r="Q267" s="47">
        <v>0.34587216929223963</v>
      </c>
      <c r="R267" s="48">
        <f t="shared" si="3"/>
        <v>0.2873220339</v>
      </c>
      <c r="S267" s="49">
        <f t="shared" si="4"/>
        <v>0</v>
      </c>
      <c r="T267" s="49">
        <f t="shared" si="21"/>
        <v>0.3458721693</v>
      </c>
      <c r="U267" s="50" t="str">
        <f t="shared" si="6"/>
        <v>AOP</v>
      </c>
      <c r="V267" s="51">
        <f t="shared" si="28"/>
        <v>363.5808244</v>
      </c>
      <c r="W267" s="52">
        <f t="shared" si="8"/>
        <v>363.5808244</v>
      </c>
      <c r="X267" s="9">
        <f t="shared" si="25"/>
        <v>1051.2</v>
      </c>
      <c r="Y267" s="8"/>
      <c r="Z267" s="8"/>
      <c r="AA267" s="8"/>
      <c r="AB267" s="8" t="str">
        <f t="shared" si="10"/>
        <v>AIDH42194MPC15</v>
      </c>
      <c r="AC267" s="8" t="str">
        <f>IF(AB267='Input - Bookings'!S264,"OK","Check")</f>
        <v>Check</v>
      </c>
      <c r="AD267" s="53"/>
      <c r="AE267" s="54"/>
      <c r="AF267" s="54"/>
      <c r="AG267" s="55">
        <f t="shared" si="38"/>
        <v>667.5914327</v>
      </c>
      <c r="AH267" s="62"/>
      <c r="AI267" s="8" t="str">
        <f t="array" ref="AI267">XLOOKUP($J267,'AP Plants'!D:D,'AP Plants'!B:B)</f>
        <v>Class 3</v>
      </c>
      <c r="AJ267" s="56"/>
      <c r="AK267" s="56">
        <f t="shared" si="39"/>
        <v>667.5914327</v>
      </c>
      <c r="AL267" s="49">
        <v>0.015</v>
      </c>
      <c r="AM267" s="49">
        <f t="array" ref="AM267">XLOOKUP($AI267,Warranty!B:B,Warranty!E:E)</f>
        <v>0.015</v>
      </c>
      <c r="AN267" s="8">
        <f>IF($L267="AUD",VLOOKUP(RIGHT('Wk - Margins'!$J267,3),'AU Freight'!C:G,5,0),0)</f>
        <v>0</v>
      </c>
      <c r="AO267" s="49">
        <f t="shared" si="11"/>
        <v>0</v>
      </c>
      <c r="AP267" s="63">
        <f t="shared" si="12"/>
        <v>687.6191756</v>
      </c>
      <c r="AQ267" s="58">
        <f t="shared" si="13"/>
        <v>0.3458721693</v>
      </c>
      <c r="AR267" s="59">
        <f>IF(L267="AUD",O267*'Currency &amp; Conversion'!$L$7,'Wk - Margins'!O267)</f>
        <v>1475</v>
      </c>
      <c r="AS267" s="59">
        <f>IF(L267="AUD",P267*'Currency &amp; Conversion'!$L$7,'Wk - Margins'!P267)</f>
        <v>1051.2</v>
      </c>
    </row>
    <row r="268" ht="12.75" hidden="1" customHeight="1">
      <c r="A268" s="42" t="str">
        <f>'Input - Bookings'!A268</f>
        <v>30/06/2023</v>
      </c>
      <c r="B268" s="43" t="str">
        <f t="shared" si="1"/>
        <v>Asia</v>
      </c>
      <c r="C268" s="43" t="str">
        <f t="shared" si="2"/>
        <v>AID</v>
      </c>
      <c r="D268" s="43" t="str">
        <f>'Input - Bookings'!D268</f>
        <v>A</v>
      </c>
      <c r="E268" s="43" t="str">
        <f>'Input - Bookings'!J268</f>
        <v>ID</v>
      </c>
      <c r="F268" s="44" t="str">
        <f>'Input - Bookings'!F268</f>
        <v>067</v>
      </c>
      <c r="G268" s="44" t="str">
        <f>'Input - Bookings'!I268</f>
        <v>PT UNIVERSAL TRAKTOR</v>
      </c>
      <c r="H268" s="45" t="str">
        <f>'Input - Bookings'!K268</f>
        <v>H42195</v>
      </c>
      <c r="I268" s="45" t="str">
        <f>VLOOKUP(H268,'Input - Bookings'!$G$2:$H$611,2,0)</f>
        <v>804105</v>
      </c>
      <c r="J268" s="44" t="str">
        <f>'Input - Bookings'!N268</f>
        <v>A3D4</v>
      </c>
      <c r="K268" s="44" t="str">
        <f>'Input - Bookings'!O268</f>
        <v>MPC15</v>
      </c>
      <c r="L268" s="44" t="str">
        <f>'Input - Bookings'!C268</f>
        <v>USD</v>
      </c>
      <c r="M268" s="46" t="str">
        <f t="array" ref="M268">IF(L268="USD",INDEX('AP Plants'!A:A,MATCH(J268,'AP Plants'!D:D,0)),INDEX('Australia Plants'!A:A,MATCH(J268,'Australia Plants'!D:D,0)))</f>
        <v>Staxx</v>
      </c>
      <c r="N268" s="10">
        <v>1.0</v>
      </c>
      <c r="O268" s="9">
        <v>1475.0</v>
      </c>
      <c r="P268" s="9">
        <v>1051.2</v>
      </c>
      <c r="Q268" s="47">
        <v>0.34587216929223963</v>
      </c>
      <c r="R268" s="48">
        <f t="shared" si="3"/>
        <v>0.2873220339</v>
      </c>
      <c r="S268" s="49">
        <f t="shared" si="4"/>
        <v>0</v>
      </c>
      <c r="T268" s="49">
        <f t="shared" si="21"/>
        <v>0.3458721693</v>
      </c>
      <c r="U268" s="50" t="str">
        <f t="shared" si="6"/>
        <v>AOP</v>
      </c>
      <c r="V268" s="51">
        <f t="shared" si="28"/>
        <v>363.5808244</v>
      </c>
      <c r="W268" s="52">
        <f t="shared" si="8"/>
        <v>363.5808244</v>
      </c>
      <c r="X268" s="9">
        <f t="shared" si="25"/>
        <v>1051.2</v>
      </c>
      <c r="Y268" s="8"/>
      <c r="Z268" s="8"/>
      <c r="AA268" s="8"/>
      <c r="AB268" s="8" t="str">
        <f t="shared" si="10"/>
        <v>AIDH42195MPC15</v>
      </c>
      <c r="AC268" s="8" t="str">
        <f>IF(AB268='Input - Bookings'!S265,"OK","Check")</f>
        <v>Check</v>
      </c>
      <c r="AD268" s="60"/>
      <c r="AE268" s="54"/>
      <c r="AF268" s="54"/>
      <c r="AG268" s="55">
        <f t="shared" si="38"/>
        <v>667.5914327</v>
      </c>
      <c r="AH268" s="62"/>
      <c r="AI268" s="8" t="str">
        <f t="array" ref="AI268">XLOOKUP($J268,'AP Plants'!D:D,'AP Plants'!B:B)</f>
        <v>Class 3</v>
      </c>
      <c r="AJ268" s="56"/>
      <c r="AK268" s="56">
        <f t="shared" si="39"/>
        <v>667.5914327</v>
      </c>
      <c r="AL268" s="49">
        <v>0.015</v>
      </c>
      <c r="AM268" s="49">
        <f t="array" ref="AM268">XLOOKUP($AI268,Warranty!B:B,Warranty!E:E)</f>
        <v>0.015</v>
      </c>
      <c r="AN268" s="8">
        <f>IF($L268="AUD",VLOOKUP(RIGHT('Wk - Margins'!$J268,3),'AU Freight'!C:G,5,0),0)</f>
        <v>0</v>
      </c>
      <c r="AO268" s="49">
        <f t="shared" si="11"/>
        <v>0</v>
      </c>
      <c r="AP268" s="63">
        <f t="shared" si="12"/>
        <v>687.6191756</v>
      </c>
      <c r="AQ268" s="58">
        <f t="shared" si="13"/>
        <v>0.3458721693</v>
      </c>
      <c r="AR268" s="59">
        <f>IF(L268="AUD",O268*'Currency &amp; Conversion'!$L$7,'Wk - Margins'!O268)</f>
        <v>1475</v>
      </c>
      <c r="AS268" s="59">
        <f>IF(L268="AUD",P268*'Currency &amp; Conversion'!$L$7,'Wk - Margins'!P268)</f>
        <v>1051.2</v>
      </c>
    </row>
    <row r="269" ht="12.75" hidden="1" customHeight="1">
      <c r="A269" s="42" t="str">
        <f>'Input - Bookings'!A269</f>
        <v>30/06/2023</v>
      </c>
      <c r="B269" s="43" t="str">
        <f t="shared" si="1"/>
        <v>Asia</v>
      </c>
      <c r="C269" s="43" t="str">
        <f t="shared" si="2"/>
        <v>AID</v>
      </c>
      <c r="D269" s="43" t="str">
        <f>'Input - Bookings'!D269</f>
        <v>A</v>
      </c>
      <c r="E269" s="43" t="str">
        <f>'Input - Bookings'!J269</f>
        <v>ID</v>
      </c>
      <c r="F269" s="44" t="str">
        <f>'Input - Bookings'!F269</f>
        <v>067</v>
      </c>
      <c r="G269" s="44" t="str">
        <f>'Input - Bookings'!I269</f>
        <v>PT UNIVERSAL TRAKTOR</v>
      </c>
      <c r="H269" s="45" t="str">
        <f>'Input - Bookings'!K269</f>
        <v>H42196</v>
      </c>
      <c r="I269" s="45" t="str">
        <f>VLOOKUP(H269,'Input - Bookings'!$G$2:$H$611,2,0)</f>
        <v>804105</v>
      </c>
      <c r="J269" s="44" t="str">
        <f>'Input - Bookings'!N269</f>
        <v>A3D4</v>
      </c>
      <c r="K269" s="44" t="str">
        <f>'Input - Bookings'!O269</f>
        <v>MPC15</v>
      </c>
      <c r="L269" s="44" t="str">
        <f>'Input - Bookings'!C269</f>
        <v>USD</v>
      </c>
      <c r="M269" s="46" t="str">
        <f t="array" ref="M269">IF(L269="USD",INDEX('AP Plants'!A:A,MATCH(J269,'AP Plants'!D:D,0)),INDEX('Australia Plants'!A:A,MATCH(J269,'Australia Plants'!D:D,0)))</f>
        <v>Staxx</v>
      </c>
      <c r="N269" s="10">
        <v>1.0</v>
      </c>
      <c r="O269" s="9">
        <v>1475.0</v>
      </c>
      <c r="P269" s="9">
        <v>1051.2</v>
      </c>
      <c r="Q269" s="47">
        <v>0.34587216929223963</v>
      </c>
      <c r="R269" s="48">
        <f t="shared" si="3"/>
        <v>0.2873220339</v>
      </c>
      <c r="S269" s="49">
        <f t="shared" si="4"/>
        <v>0</v>
      </c>
      <c r="T269" s="49">
        <f t="shared" si="21"/>
        <v>0.3458721693</v>
      </c>
      <c r="U269" s="50" t="str">
        <f t="shared" si="6"/>
        <v>AOP</v>
      </c>
      <c r="V269" s="51">
        <f t="shared" si="28"/>
        <v>363.5808244</v>
      </c>
      <c r="W269" s="52">
        <f t="shared" si="8"/>
        <v>363.5808244</v>
      </c>
      <c r="X269" s="9">
        <f t="shared" si="25"/>
        <v>1051.2</v>
      </c>
      <c r="Y269" s="8"/>
      <c r="Z269" s="8"/>
      <c r="AA269" s="8"/>
      <c r="AB269" s="8" t="str">
        <f t="shared" si="10"/>
        <v>AIDH42196MPC15</v>
      </c>
      <c r="AC269" s="8" t="str">
        <f>IF(AB269='Input - Bookings'!S266,"OK","Check")</f>
        <v>Check</v>
      </c>
      <c r="AD269" s="60"/>
      <c r="AE269" s="54"/>
      <c r="AF269" s="54"/>
      <c r="AG269" s="55">
        <f t="shared" si="38"/>
        <v>667.5914327</v>
      </c>
      <c r="AH269" s="62"/>
      <c r="AI269" s="8" t="str">
        <f t="array" ref="AI269">XLOOKUP($J269,'AP Plants'!D:D,'AP Plants'!B:B)</f>
        <v>Class 3</v>
      </c>
      <c r="AJ269" s="56"/>
      <c r="AK269" s="56">
        <f t="shared" si="39"/>
        <v>667.5914327</v>
      </c>
      <c r="AL269" s="49">
        <v>0.015</v>
      </c>
      <c r="AM269" s="49">
        <f t="array" ref="AM269">XLOOKUP($AI269,Warranty!B:B,Warranty!E:E)</f>
        <v>0.015</v>
      </c>
      <c r="AN269" s="8">
        <f>IF($L269="AUD",VLOOKUP(RIGHT('Wk - Margins'!$J269,3),'AU Freight'!C:G,5,0),0)</f>
        <v>0</v>
      </c>
      <c r="AO269" s="49">
        <f t="shared" si="11"/>
        <v>0</v>
      </c>
      <c r="AP269" s="63">
        <f t="shared" si="12"/>
        <v>687.6191756</v>
      </c>
      <c r="AQ269" s="58">
        <f t="shared" si="13"/>
        <v>0.3458721693</v>
      </c>
      <c r="AR269" s="59">
        <f>IF(L269="AUD",O269*'Currency &amp; Conversion'!$L$7,'Wk - Margins'!O269)</f>
        <v>1475</v>
      </c>
      <c r="AS269" s="59">
        <f>IF(L269="AUD",P269*'Currency &amp; Conversion'!$L$7,'Wk - Margins'!P269)</f>
        <v>1051.2</v>
      </c>
    </row>
    <row r="270" ht="12.75" hidden="1" customHeight="1">
      <c r="A270" s="42" t="str">
        <f>'Input - Bookings'!A270</f>
        <v>30/06/2023</v>
      </c>
      <c r="B270" s="43" t="str">
        <f t="shared" si="1"/>
        <v>Asia</v>
      </c>
      <c r="C270" s="43" t="str">
        <f t="shared" si="2"/>
        <v>AID</v>
      </c>
      <c r="D270" s="43" t="str">
        <f>'Input - Bookings'!D270</f>
        <v>A</v>
      </c>
      <c r="E270" s="43" t="str">
        <f>'Input - Bookings'!J270</f>
        <v>ID</v>
      </c>
      <c r="F270" s="44" t="str">
        <f>'Input - Bookings'!F270</f>
        <v>067</v>
      </c>
      <c r="G270" s="44" t="str">
        <f>'Input - Bookings'!I270</f>
        <v>PT UNIVERSAL TRAKTOR</v>
      </c>
      <c r="H270" s="45" t="str">
        <f>'Input - Bookings'!K270</f>
        <v>H42197</v>
      </c>
      <c r="I270" s="45" t="str">
        <f>VLOOKUP(H270,'Input - Bookings'!$G$2:$H$611,2,0)</f>
        <v>804105</v>
      </c>
      <c r="J270" s="44" t="str">
        <f>'Input - Bookings'!N270</f>
        <v>A3D4</v>
      </c>
      <c r="K270" s="44" t="str">
        <f>'Input - Bookings'!O270</f>
        <v>MPC15</v>
      </c>
      <c r="L270" s="44" t="str">
        <f>'Input - Bookings'!C270</f>
        <v>USD</v>
      </c>
      <c r="M270" s="46" t="str">
        <f t="array" ref="M270">IF(L270="USD",INDEX('AP Plants'!A:A,MATCH(J270,'AP Plants'!D:D,0)),INDEX('Australia Plants'!A:A,MATCH(J270,'Australia Plants'!D:D,0)))</f>
        <v>Staxx</v>
      </c>
      <c r="N270" s="10">
        <v>1.0</v>
      </c>
      <c r="O270" s="9">
        <v>1475.0</v>
      </c>
      <c r="P270" s="9">
        <v>1051.2</v>
      </c>
      <c r="Q270" s="47">
        <v>0.34587216929223963</v>
      </c>
      <c r="R270" s="48">
        <f t="shared" si="3"/>
        <v>0.2873220339</v>
      </c>
      <c r="S270" s="49">
        <f t="shared" si="4"/>
        <v>0</v>
      </c>
      <c r="T270" s="49">
        <f t="shared" si="21"/>
        <v>0.3458721693</v>
      </c>
      <c r="U270" s="50" t="str">
        <f t="shared" si="6"/>
        <v>AOP</v>
      </c>
      <c r="V270" s="51">
        <f t="shared" si="28"/>
        <v>363.5808244</v>
      </c>
      <c r="W270" s="52">
        <f t="shared" si="8"/>
        <v>363.5808244</v>
      </c>
      <c r="X270" s="9">
        <f t="shared" si="25"/>
        <v>1051.2</v>
      </c>
      <c r="Y270" s="8"/>
      <c r="Z270" s="8"/>
      <c r="AA270" s="8"/>
      <c r="AB270" s="8" t="str">
        <f t="shared" si="10"/>
        <v>AIDH42197MPC15</v>
      </c>
      <c r="AC270" s="8" t="str">
        <f>IF(AB270='Input - Bookings'!S267,"OK","Check")</f>
        <v>Check</v>
      </c>
      <c r="AD270" s="60"/>
      <c r="AE270" s="54"/>
      <c r="AF270" s="54"/>
      <c r="AG270" s="55">
        <f t="shared" si="38"/>
        <v>667.5914327</v>
      </c>
      <c r="AH270" s="62"/>
      <c r="AI270" s="8" t="str">
        <f t="array" ref="AI270">XLOOKUP($J270,'AP Plants'!D:D,'AP Plants'!B:B)</f>
        <v>Class 3</v>
      </c>
      <c r="AJ270" s="56"/>
      <c r="AK270" s="56">
        <f t="shared" si="39"/>
        <v>667.5914327</v>
      </c>
      <c r="AL270" s="49">
        <v>0.015</v>
      </c>
      <c r="AM270" s="49">
        <f t="array" ref="AM270">XLOOKUP($AI270,Warranty!B:B,Warranty!E:E)</f>
        <v>0.015</v>
      </c>
      <c r="AN270" s="8">
        <f>IF($L270="AUD",VLOOKUP(RIGHT('Wk - Margins'!$J270,3),'AU Freight'!C:G,5,0),0)</f>
        <v>0</v>
      </c>
      <c r="AO270" s="49">
        <f t="shared" si="11"/>
        <v>0</v>
      </c>
      <c r="AP270" s="63">
        <f t="shared" si="12"/>
        <v>687.6191756</v>
      </c>
      <c r="AQ270" s="58">
        <f t="shared" si="13"/>
        <v>0.3458721693</v>
      </c>
      <c r="AR270" s="59">
        <f>IF(L270="AUD",O270*'Currency &amp; Conversion'!$L$7,'Wk - Margins'!O270)</f>
        <v>1475</v>
      </c>
      <c r="AS270" s="59">
        <f>IF(L270="AUD",P270*'Currency &amp; Conversion'!$L$7,'Wk - Margins'!P270)</f>
        <v>1051.2</v>
      </c>
    </row>
    <row r="271" ht="12.75" hidden="1" customHeight="1">
      <c r="A271" s="42" t="str">
        <f>'Input - Bookings'!A271</f>
        <v>30/06/2023</v>
      </c>
      <c r="B271" s="43" t="str">
        <f t="shared" si="1"/>
        <v>Asia</v>
      </c>
      <c r="C271" s="43" t="str">
        <f t="shared" si="2"/>
        <v>AID</v>
      </c>
      <c r="D271" s="43" t="str">
        <f>'Input - Bookings'!D271</f>
        <v>A</v>
      </c>
      <c r="E271" s="43" t="str">
        <f>'Input - Bookings'!J271</f>
        <v>ID</v>
      </c>
      <c r="F271" s="44" t="str">
        <f>'Input - Bookings'!F271</f>
        <v>067</v>
      </c>
      <c r="G271" s="44" t="str">
        <f>'Input - Bookings'!I271</f>
        <v>PT UNIVERSAL TRAKTOR</v>
      </c>
      <c r="H271" s="45" t="str">
        <f>'Input - Bookings'!K271</f>
        <v>H42198</v>
      </c>
      <c r="I271" s="45" t="str">
        <f>VLOOKUP(H271,'Input - Bookings'!$G$2:$H$611,2,0)</f>
        <v>804105</v>
      </c>
      <c r="J271" s="44" t="str">
        <f>'Input - Bookings'!N271</f>
        <v>A3D4</v>
      </c>
      <c r="K271" s="44" t="str">
        <f>'Input - Bookings'!O271</f>
        <v>MPC15</v>
      </c>
      <c r="L271" s="44" t="str">
        <f>'Input - Bookings'!C271</f>
        <v>USD</v>
      </c>
      <c r="M271" s="46" t="str">
        <f t="array" ref="M271">IF(L271="USD",INDEX('AP Plants'!A:A,MATCH(J271,'AP Plants'!D:D,0)),INDEX('Australia Plants'!A:A,MATCH(J271,'Australia Plants'!D:D,0)))</f>
        <v>Staxx</v>
      </c>
      <c r="N271" s="10">
        <v>1.0</v>
      </c>
      <c r="O271" s="9">
        <v>1475.0</v>
      </c>
      <c r="P271" s="9">
        <v>1051.2</v>
      </c>
      <c r="Q271" s="47">
        <v>0.34587216929223963</v>
      </c>
      <c r="R271" s="48">
        <f t="shared" si="3"/>
        <v>0.2873220339</v>
      </c>
      <c r="S271" s="49">
        <f t="shared" si="4"/>
        <v>0</v>
      </c>
      <c r="T271" s="49">
        <f t="shared" si="21"/>
        <v>0.3458721693</v>
      </c>
      <c r="U271" s="50" t="str">
        <f t="shared" si="6"/>
        <v>AOP</v>
      </c>
      <c r="V271" s="51">
        <f t="shared" si="28"/>
        <v>363.5808244</v>
      </c>
      <c r="W271" s="52">
        <f t="shared" si="8"/>
        <v>363.5808244</v>
      </c>
      <c r="X271" s="9">
        <f t="shared" si="25"/>
        <v>1051.2</v>
      </c>
      <c r="Y271" s="8"/>
      <c r="Z271" s="8"/>
      <c r="AA271" s="8"/>
      <c r="AB271" s="8" t="str">
        <f t="shared" si="10"/>
        <v>AIDH42198MPC15</v>
      </c>
      <c r="AC271" s="8" t="str">
        <f>IF(AB271='Input - Bookings'!S268,"OK","Check")</f>
        <v>Check</v>
      </c>
      <c r="AD271" s="60"/>
      <c r="AE271" s="54"/>
      <c r="AF271" s="54"/>
      <c r="AG271" s="55">
        <f t="shared" si="38"/>
        <v>667.5914327</v>
      </c>
      <c r="AH271" s="62"/>
      <c r="AI271" s="8" t="str">
        <f t="array" ref="AI271">XLOOKUP($J271,'AP Plants'!D:D,'AP Plants'!B:B)</f>
        <v>Class 3</v>
      </c>
      <c r="AJ271" s="56"/>
      <c r="AK271" s="56">
        <f t="shared" si="39"/>
        <v>667.5914327</v>
      </c>
      <c r="AL271" s="49">
        <v>0.015</v>
      </c>
      <c r="AM271" s="49">
        <f t="array" ref="AM271">XLOOKUP($AI271,Warranty!B:B,Warranty!E:E)</f>
        <v>0.015</v>
      </c>
      <c r="AN271" s="8">
        <f>IF($L271="AUD",VLOOKUP(RIGHT('Wk - Margins'!$J271,3),'AU Freight'!C:G,5,0),0)</f>
        <v>0</v>
      </c>
      <c r="AO271" s="49">
        <f t="shared" si="11"/>
        <v>0</v>
      </c>
      <c r="AP271" s="63">
        <f t="shared" si="12"/>
        <v>687.6191756</v>
      </c>
      <c r="AQ271" s="58">
        <f t="shared" si="13"/>
        <v>0.3458721693</v>
      </c>
      <c r="AR271" s="59">
        <f>IF(L271="AUD",O271*'Currency &amp; Conversion'!$L$7,'Wk - Margins'!O271)</f>
        <v>1475</v>
      </c>
      <c r="AS271" s="59">
        <f>IF(L271="AUD",P271*'Currency &amp; Conversion'!$L$7,'Wk - Margins'!P271)</f>
        <v>1051.2</v>
      </c>
    </row>
    <row r="272" ht="12.75" hidden="1" customHeight="1">
      <c r="A272" s="42" t="str">
        <f>'Input - Bookings'!A272</f>
        <v>30/06/2023</v>
      </c>
      <c r="B272" s="43" t="str">
        <f t="shared" si="1"/>
        <v>Asia</v>
      </c>
      <c r="C272" s="43" t="str">
        <f t="shared" si="2"/>
        <v>AID</v>
      </c>
      <c r="D272" s="43" t="str">
        <f>'Input - Bookings'!D272</f>
        <v>A</v>
      </c>
      <c r="E272" s="43" t="str">
        <f>'Input - Bookings'!J272</f>
        <v>ID</v>
      </c>
      <c r="F272" s="44" t="str">
        <f>'Input - Bookings'!F272</f>
        <v>067</v>
      </c>
      <c r="G272" s="44" t="str">
        <f>'Input - Bookings'!I272</f>
        <v>PT UNIVERSAL TRAKTOR</v>
      </c>
      <c r="H272" s="45" t="str">
        <f>'Input - Bookings'!K272</f>
        <v>H42199</v>
      </c>
      <c r="I272" s="45" t="str">
        <f>VLOOKUP(H272,'Input - Bookings'!$G$2:$H$611,2,0)</f>
        <v>804105</v>
      </c>
      <c r="J272" s="44" t="str">
        <f>'Input - Bookings'!N272</f>
        <v>A3D4</v>
      </c>
      <c r="K272" s="44" t="str">
        <f>'Input - Bookings'!O272</f>
        <v>MPC15</v>
      </c>
      <c r="L272" s="44" t="str">
        <f>'Input - Bookings'!C272</f>
        <v>USD</v>
      </c>
      <c r="M272" s="46" t="str">
        <f t="array" ref="M272">IF(L272="USD",INDEX('AP Plants'!A:A,MATCH(J272,'AP Plants'!D:D,0)),INDEX('Australia Plants'!A:A,MATCH(J272,'Australia Plants'!D:D,0)))</f>
        <v>Staxx</v>
      </c>
      <c r="N272" s="10">
        <v>1.0</v>
      </c>
      <c r="O272" s="9">
        <v>1475.0</v>
      </c>
      <c r="P272" s="9">
        <v>1051.2</v>
      </c>
      <c r="Q272" s="47">
        <v>0.34587216929223963</v>
      </c>
      <c r="R272" s="48">
        <f t="shared" si="3"/>
        <v>0.2873220339</v>
      </c>
      <c r="S272" s="49">
        <f t="shared" si="4"/>
        <v>0</v>
      </c>
      <c r="T272" s="49">
        <f t="shared" si="21"/>
        <v>0.3458721693</v>
      </c>
      <c r="U272" s="50" t="str">
        <f t="shared" si="6"/>
        <v>AOP</v>
      </c>
      <c r="V272" s="51">
        <f t="shared" si="28"/>
        <v>363.5808244</v>
      </c>
      <c r="W272" s="52">
        <f t="shared" si="8"/>
        <v>363.5808244</v>
      </c>
      <c r="X272" s="9">
        <f t="shared" si="25"/>
        <v>1051.2</v>
      </c>
      <c r="Y272" s="8"/>
      <c r="Z272" s="8"/>
      <c r="AA272" s="8"/>
      <c r="AB272" s="8" t="str">
        <f t="shared" si="10"/>
        <v>AIDH42199MPC15</v>
      </c>
      <c r="AC272" s="8" t="str">
        <f>IF(AB272='Input - Bookings'!S269,"OK","Check")</f>
        <v>Check</v>
      </c>
      <c r="AD272" s="60"/>
      <c r="AE272" s="54"/>
      <c r="AF272" s="54"/>
      <c r="AG272" s="55">
        <f t="shared" si="38"/>
        <v>667.5914327</v>
      </c>
      <c r="AH272" s="62"/>
      <c r="AI272" s="8" t="str">
        <f t="array" ref="AI272">XLOOKUP($J272,'AP Plants'!D:D,'AP Plants'!B:B)</f>
        <v>Class 3</v>
      </c>
      <c r="AJ272" s="56"/>
      <c r="AK272" s="56">
        <f t="shared" si="39"/>
        <v>667.5914327</v>
      </c>
      <c r="AL272" s="49">
        <v>0.015</v>
      </c>
      <c r="AM272" s="49">
        <f t="array" ref="AM272">XLOOKUP($AI272,Warranty!B:B,Warranty!E:E)</f>
        <v>0.015</v>
      </c>
      <c r="AN272" s="8">
        <f>IF($L272="AUD",VLOOKUP(RIGHT('Wk - Margins'!$J272,3),'AU Freight'!C:G,5,0),0)</f>
        <v>0</v>
      </c>
      <c r="AO272" s="49">
        <f t="shared" si="11"/>
        <v>0</v>
      </c>
      <c r="AP272" s="63">
        <f t="shared" si="12"/>
        <v>687.6191756</v>
      </c>
      <c r="AQ272" s="58">
        <f t="shared" si="13"/>
        <v>0.3458721693</v>
      </c>
      <c r="AR272" s="59">
        <f>IF(L272="AUD",O272*'Currency &amp; Conversion'!$L$7,'Wk - Margins'!O272)</f>
        <v>1475</v>
      </c>
      <c r="AS272" s="59">
        <f>IF(L272="AUD",P272*'Currency &amp; Conversion'!$L$7,'Wk - Margins'!P272)</f>
        <v>1051.2</v>
      </c>
    </row>
    <row r="273" ht="12.75" hidden="1" customHeight="1">
      <c r="A273" s="42" t="str">
        <f>'Input - Bookings'!A273</f>
        <v>30/06/2023</v>
      </c>
      <c r="B273" s="43" t="str">
        <f t="shared" si="1"/>
        <v>Asia</v>
      </c>
      <c r="C273" s="43" t="str">
        <f t="shared" si="2"/>
        <v>AID</v>
      </c>
      <c r="D273" s="43" t="str">
        <f>'Input - Bookings'!D273</f>
        <v>A</v>
      </c>
      <c r="E273" s="43" t="str">
        <f>'Input - Bookings'!J273</f>
        <v>ID</v>
      </c>
      <c r="F273" s="44" t="str">
        <f>'Input - Bookings'!F273</f>
        <v>067</v>
      </c>
      <c r="G273" s="44" t="str">
        <f>'Input - Bookings'!I273</f>
        <v>PT UNIVERSAL TRAKTOR</v>
      </c>
      <c r="H273" s="45" t="str">
        <f>'Input - Bookings'!K273</f>
        <v>H42200</v>
      </c>
      <c r="I273" s="45" t="str">
        <f>VLOOKUP(H273,'Input - Bookings'!$G$2:$H$611,2,0)</f>
        <v>804105</v>
      </c>
      <c r="J273" s="44" t="str">
        <f>'Input - Bookings'!N273</f>
        <v>A3D4</v>
      </c>
      <c r="K273" s="44" t="str">
        <f>'Input - Bookings'!O273</f>
        <v>MPC15</v>
      </c>
      <c r="L273" s="44" t="str">
        <f>'Input - Bookings'!C273</f>
        <v>USD</v>
      </c>
      <c r="M273" s="46" t="str">
        <f t="array" ref="M273">IF(L273="USD",INDEX('AP Plants'!A:A,MATCH(J273,'AP Plants'!D:D,0)),INDEX('Australia Plants'!A:A,MATCH(J273,'Australia Plants'!D:D,0)))</f>
        <v>Staxx</v>
      </c>
      <c r="N273" s="10">
        <v>1.0</v>
      </c>
      <c r="O273" s="9">
        <v>1475.0</v>
      </c>
      <c r="P273" s="9">
        <v>1051.2</v>
      </c>
      <c r="Q273" s="47">
        <v>0.34587216929223963</v>
      </c>
      <c r="R273" s="48">
        <f t="shared" si="3"/>
        <v>0.2873220339</v>
      </c>
      <c r="S273" s="49">
        <f t="shared" si="4"/>
        <v>0</v>
      </c>
      <c r="T273" s="49">
        <f t="shared" si="21"/>
        <v>0.3458721693</v>
      </c>
      <c r="U273" s="50" t="str">
        <f t="shared" si="6"/>
        <v>AOP</v>
      </c>
      <c r="V273" s="51">
        <f t="shared" si="28"/>
        <v>363.5808244</v>
      </c>
      <c r="W273" s="52">
        <f t="shared" si="8"/>
        <v>363.5808244</v>
      </c>
      <c r="X273" s="9">
        <f t="shared" si="25"/>
        <v>1051.2</v>
      </c>
      <c r="Y273" s="8"/>
      <c r="Z273" s="8"/>
      <c r="AA273" s="8"/>
      <c r="AB273" s="8" t="str">
        <f t="shared" si="10"/>
        <v>AIDH42200MPC15</v>
      </c>
      <c r="AC273" s="8" t="str">
        <f>IF(AB273='Input - Bookings'!S270,"OK","Check")</f>
        <v>Check</v>
      </c>
      <c r="AD273" s="60"/>
      <c r="AE273" s="54"/>
      <c r="AF273" s="54"/>
      <c r="AG273" s="55">
        <f t="shared" si="38"/>
        <v>667.5914327</v>
      </c>
      <c r="AH273" s="62"/>
      <c r="AI273" s="8" t="str">
        <f t="array" ref="AI273">XLOOKUP($J273,'AP Plants'!D:D,'AP Plants'!B:B)</f>
        <v>Class 3</v>
      </c>
      <c r="AJ273" s="56"/>
      <c r="AK273" s="56">
        <f t="shared" si="39"/>
        <v>667.5914327</v>
      </c>
      <c r="AL273" s="49">
        <v>0.015</v>
      </c>
      <c r="AM273" s="49">
        <f t="array" ref="AM273">XLOOKUP($AI273,Warranty!B:B,Warranty!E:E)</f>
        <v>0.015</v>
      </c>
      <c r="AN273" s="8">
        <f>IF($L273="AUD",VLOOKUP(RIGHT('Wk - Margins'!$J273,3),'AU Freight'!C:G,5,0),0)</f>
        <v>0</v>
      </c>
      <c r="AO273" s="49">
        <f t="shared" si="11"/>
        <v>0</v>
      </c>
      <c r="AP273" s="63">
        <f t="shared" si="12"/>
        <v>687.6191756</v>
      </c>
      <c r="AQ273" s="58">
        <f t="shared" si="13"/>
        <v>0.3458721693</v>
      </c>
      <c r="AR273" s="59">
        <f>IF(L273="AUD",O273*'Currency &amp; Conversion'!$L$7,'Wk - Margins'!O273)</f>
        <v>1475</v>
      </c>
      <c r="AS273" s="59">
        <f>IF(L273="AUD",P273*'Currency &amp; Conversion'!$L$7,'Wk - Margins'!P273)</f>
        <v>1051.2</v>
      </c>
    </row>
    <row r="274" ht="12.75" hidden="1" customHeight="1">
      <c r="A274" s="42" t="str">
        <f>'Input - Bookings'!A274</f>
        <v>30/06/2023</v>
      </c>
      <c r="B274" s="43" t="str">
        <f t="shared" si="1"/>
        <v>Asia</v>
      </c>
      <c r="C274" s="43" t="str">
        <f t="shared" si="2"/>
        <v>AID</v>
      </c>
      <c r="D274" s="43" t="str">
        <f>'Input - Bookings'!D274</f>
        <v>A</v>
      </c>
      <c r="E274" s="43" t="str">
        <f>'Input - Bookings'!J274</f>
        <v>ID</v>
      </c>
      <c r="F274" s="44" t="str">
        <f>'Input - Bookings'!F274</f>
        <v>067</v>
      </c>
      <c r="G274" s="44" t="str">
        <f>'Input - Bookings'!I274</f>
        <v>PT UNIVERSAL TRAKTOR</v>
      </c>
      <c r="H274" s="45" t="str">
        <f>'Input - Bookings'!K274</f>
        <v>H42201</v>
      </c>
      <c r="I274" s="45" t="str">
        <f>VLOOKUP(H274,'Input - Bookings'!$G$2:$H$611,2,0)</f>
        <v>804105</v>
      </c>
      <c r="J274" s="44" t="str">
        <f>'Input - Bookings'!N274</f>
        <v>A3D4</v>
      </c>
      <c r="K274" s="44" t="str">
        <f>'Input - Bookings'!O274</f>
        <v>MPC15</v>
      </c>
      <c r="L274" s="44" t="str">
        <f>'Input - Bookings'!C274</f>
        <v>USD</v>
      </c>
      <c r="M274" s="46" t="str">
        <f t="array" ref="M274">IF(L274="USD",INDEX('AP Plants'!A:A,MATCH(J274,'AP Plants'!D:D,0)),INDEX('Australia Plants'!A:A,MATCH(J274,'Australia Plants'!D:D,0)))</f>
        <v>Staxx</v>
      </c>
      <c r="N274" s="10">
        <v>1.0</v>
      </c>
      <c r="O274" s="9">
        <v>1475.0</v>
      </c>
      <c r="P274" s="9">
        <v>1051.2</v>
      </c>
      <c r="Q274" s="47">
        <v>0.34587216929223963</v>
      </c>
      <c r="R274" s="48">
        <f t="shared" si="3"/>
        <v>0.2873220339</v>
      </c>
      <c r="S274" s="49">
        <f t="shared" si="4"/>
        <v>0</v>
      </c>
      <c r="T274" s="49">
        <f t="shared" si="21"/>
        <v>0.3458721693</v>
      </c>
      <c r="U274" s="50" t="str">
        <f t="shared" si="6"/>
        <v>AOP</v>
      </c>
      <c r="V274" s="51">
        <f t="shared" si="28"/>
        <v>363.5808244</v>
      </c>
      <c r="W274" s="52">
        <f t="shared" si="8"/>
        <v>363.5808244</v>
      </c>
      <c r="X274" s="9">
        <f t="shared" si="25"/>
        <v>1051.2</v>
      </c>
      <c r="Y274" s="8"/>
      <c r="Z274" s="8"/>
      <c r="AA274" s="8"/>
      <c r="AB274" s="8" t="str">
        <f t="shared" si="10"/>
        <v>AIDH42201MPC15</v>
      </c>
      <c r="AC274" s="8" t="str">
        <f>IF(AB274='Input - Bookings'!S271,"OK","Check")</f>
        <v>Check</v>
      </c>
      <c r="AD274" s="60"/>
      <c r="AE274" s="54"/>
      <c r="AF274" s="54"/>
      <c r="AG274" s="55">
        <f t="shared" si="38"/>
        <v>667.5914327</v>
      </c>
      <c r="AH274" s="55"/>
      <c r="AI274" s="8" t="str">
        <f t="array" ref="AI274">XLOOKUP($J274,'AP Plants'!D:D,'AP Plants'!B:B)</f>
        <v>Class 3</v>
      </c>
      <c r="AJ274" s="56"/>
      <c r="AK274" s="56">
        <f t="shared" si="39"/>
        <v>667.5914327</v>
      </c>
      <c r="AL274" s="49">
        <v>0.015</v>
      </c>
      <c r="AM274" s="49">
        <f t="array" ref="AM274">XLOOKUP($AI274,Warranty!B:B,Warranty!E:E)</f>
        <v>0.015</v>
      </c>
      <c r="AN274" s="8">
        <f>IF($L274="AUD",VLOOKUP(RIGHT('Wk - Margins'!$J274,3),'AU Freight'!C:G,5,0),0)</f>
        <v>0</v>
      </c>
      <c r="AO274" s="49">
        <f t="shared" si="11"/>
        <v>0</v>
      </c>
      <c r="AP274" s="63">
        <f t="shared" si="12"/>
        <v>687.6191756</v>
      </c>
      <c r="AQ274" s="58">
        <f t="shared" si="13"/>
        <v>0.3458721693</v>
      </c>
      <c r="AR274" s="59">
        <f>IF(L274="AUD",O274*'Currency &amp; Conversion'!$L$7,'Wk - Margins'!O274)</f>
        <v>1475</v>
      </c>
      <c r="AS274" s="59">
        <f>IF(L274="AUD",P274*'Currency &amp; Conversion'!$L$7,'Wk - Margins'!P274)</f>
        <v>1051.2</v>
      </c>
    </row>
    <row r="275" ht="12.75" hidden="1" customHeight="1">
      <c r="A275" s="42" t="str">
        <f>'Input - Bookings'!A275</f>
        <v>30/06/2023</v>
      </c>
      <c r="B275" s="43" t="str">
        <f t="shared" si="1"/>
        <v>Asia</v>
      </c>
      <c r="C275" s="43" t="str">
        <f t="shared" si="2"/>
        <v>AID</v>
      </c>
      <c r="D275" s="43" t="str">
        <f>'Input - Bookings'!D275</f>
        <v>A</v>
      </c>
      <c r="E275" s="43" t="str">
        <f>'Input - Bookings'!J275</f>
        <v>ID</v>
      </c>
      <c r="F275" s="44" t="str">
        <f>'Input - Bookings'!F275</f>
        <v>067</v>
      </c>
      <c r="G275" s="44" t="str">
        <f>'Input - Bookings'!I275</f>
        <v>PT UNIVERSAL TRAKTOR</v>
      </c>
      <c r="H275" s="45" t="str">
        <f>'Input - Bookings'!K275</f>
        <v>H42202</v>
      </c>
      <c r="I275" s="45" t="str">
        <f>VLOOKUP(H275,'Input - Bookings'!$G$2:$H$611,2,0)</f>
        <v>804105</v>
      </c>
      <c r="J275" s="44" t="str">
        <f>'Input - Bookings'!N275</f>
        <v>A3D4</v>
      </c>
      <c r="K275" s="44" t="str">
        <f>'Input - Bookings'!O275</f>
        <v>MPC15</v>
      </c>
      <c r="L275" s="44" t="str">
        <f>'Input - Bookings'!C275</f>
        <v>USD</v>
      </c>
      <c r="M275" s="46" t="str">
        <f t="array" ref="M275">IF(L275="USD",INDEX('AP Plants'!A:A,MATCH(J275,'AP Plants'!D:D,0)),INDEX('Australia Plants'!A:A,MATCH(J275,'Australia Plants'!D:D,0)))</f>
        <v>Staxx</v>
      </c>
      <c r="N275" s="10">
        <v>1.0</v>
      </c>
      <c r="O275" s="9">
        <v>1475.0</v>
      </c>
      <c r="P275" s="9">
        <v>1051.2</v>
      </c>
      <c r="Q275" s="47">
        <v>0.34587216929223963</v>
      </c>
      <c r="R275" s="48">
        <f t="shared" si="3"/>
        <v>0.2873220339</v>
      </c>
      <c r="S275" s="49">
        <f t="shared" si="4"/>
        <v>0</v>
      </c>
      <c r="T275" s="49">
        <f t="shared" si="21"/>
        <v>0.3458721693</v>
      </c>
      <c r="U275" s="50" t="str">
        <f t="shared" si="6"/>
        <v>AOP</v>
      </c>
      <c r="V275" s="51">
        <f t="shared" si="28"/>
        <v>363.5808244</v>
      </c>
      <c r="W275" s="52">
        <f t="shared" si="8"/>
        <v>363.5808244</v>
      </c>
      <c r="X275" s="9">
        <f t="shared" si="25"/>
        <v>1051.2</v>
      </c>
      <c r="Y275" s="8"/>
      <c r="Z275" s="8"/>
      <c r="AA275" s="8"/>
      <c r="AB275" s="8" t="str">
        <f t="shared" si="10"/>
        <v>AIDH42202MPC15</v>
      </c>
      <c r="AC275" s="8" t="str">
        <f>IF(AB275='Input - Bookings'!S272,"OK","Check")</f>
        <v>Check</v>
      </c>
      <c r="AD275" s="60"/>
      <c r="AE275" s="54"/>
      <c r="AF275" s="54"/>
      <c r="AG275" s="55">
        <f t="shared" si="38"/>
        <v>667.5914327</v>
      </c>
      <c r="AH275" s="55"/>
      <c r="AI275" s="8" t="str">
        <f t="array" ref="AI275">XLOOKUP($J275,'AP Plants'!D:D,'AP Plants'!B:B)</f>
        <v>Class 3</v>
      </c>
      <c r="AJ275" s="56"/>
      <c r="AK275" s="56">
        <f t="shared" si="39"/>
        <v>667.5914327</v>
      </c>
      <c r="AL275" s="49">
        <v>0.015</v>
      </c>
      <c r="AM275" s="49">
        <f t="array" ref="AM275">XLOOKUP($AI275,Warranty!B:B,Warranty!E:E)</f>
        <v>0.015</v>
      </c>
      <c r="AN275" s="8">
        <f>IF($L275="AUD",VLOOKUP(RIGHT('Wk - Margins'!$J275,3),'AU Freight'!C:G,5,0),0)</f>
        <v>0</v>
      </c>
      <c r="AO275" s="49">
        <f t="shared" si="11"/>
        <v>0</v>
      </c>
      <c r="AP275" s="63">
        <f t="shared" si="12"/>
        <v>687.6191756</v>
      </c>
      <c r="AQ275" s="58">
        <f t="shared" si="13"/>
        <v>0.3458721693</v>
      </c>
      <c r="AR275" s="59">
        <f>IF(L275="AUD",O275*'Currency &amp; Conversion'!$L$7,'Wk - Margins'!O275)</f>
        <v>1475</v>
      </c>
      <c r="AS275" s="59">
        <f>IF(L275="AUD",P275*'Currency &amp; Conversion'!$L$7,'Wk - Margins'!P275)</f>
        <v>1051.2</v>
      </c>
    </row>
    <row r="276" ht="12.75" hidden="1" customHeight="1">
      <c r="A276" s="42" t="str">
        <f>'Input - Bookings'!A276</f>
        <v>30/06/2023</v>
      </c>
      <c r="B276" s="43" t="str">
        <f t="shared" si="1"/>
        <v>Asia</v>
      </c>
      <c r="C276" s="43" t="str">
        <f t="shared" si="2"/>
        <v>AID</v>
      </c>
      <c r="D276" s="43" t="str">
        <f>'Input - Bookings'!D276</f>
        <v>A</v>
      </c>
      <c r="E276" s="43" t="str">
        <f>'Input - Bookings'!J276</f>
        <v>ID</v>
      </c>
      <c r="F276" s="44" t="str">
        <f>'Input - Bookings'!F276</f>
        <v>067</v>
      </c>
      <c r="G276" s="44" t="str">
        <f>'Input - Bookings'!I276</f>
        <v>PT UNIVERSAL TRAKTOR</v>
      </c>
      <c r="H276" s="45" t="str">
        <f>'Input - Bookings'!K276</f>
        <v>H42203</v>
      </c>
      <c r="I276" s="45" t="str">
        <f>VLOOKUP(H276,'Input - Bookings'!$G$2:$H$611,2,0)</f>
        <v>804105</v>
      </c>
      <c r="J276" s="44" t="str">
        <f>'Input - Bookings'!N276</f>
        <v>A3D4</v>
      </c>
      <c r="K276" s="44" t="str">
        <f>'Input - Bookings'!O276</f>
        <v>MPC15</v>
      </c>
      <c r="L276" s="44" t="str">
        <f>'Input - Bookings'!C276</f>
        <v>USD</v>
      </c>
      <c r="M276" s="46" t="str">
        <f t="array" ref="M276">IF(L276="USD",INDEX('AP Plants'!A:A,MATCH(J276,'AP Plants'!D:D,0)),INDEX('Australia Plants'!A:A,MATCH(J276,'Australia Plants'!D:D,0)))</f>
        <v>Staxx</v>
      </c>
      <c r="N276" s="10">
        <v>1.0</v>
      </c>
      <c r="O276" s="9">
        <v>1475.0</v>
      </c>
      <c r="P276" s="9">
        <v>1051.2</v>
      </c>
      <c r="Q276" s="47">
        <v>0.34587216929223963</v>
      </c>
      <c r="R276" s="48">
        <f t="shared" si="3"/>
        <v>0.2873220339</v>
      </c>
      <c r="S276" s="49">
        <f t="shared" si="4"/>
        <v>0</v>
      </c>
      <c r="T276" s="49">
        <f t="shared" si="21"/>
        <v>0.3458721693</v>
      </c>
      <c r="U276" s="50" t="str">
        <f t="shared" si="6"/>
        <v>AOP</v>
      </c>
      <c r="V276" s="51">
        <f t="shared" si="28"/>
        <v>363.5808244</v>
      </c>
      <c r="W276" s="52">
        <f t="shared" si="8"/>
        <v>363.5808244</v>
      </c>
      <c r="X276" s="9">
        <f t="shared" si="25"/>
        <v>1051.2</v>
      </c>
      <c r="Y276" s="8"/>
      <c r="Z276" s="8"/>
      <c r="AA276" s="8"/>
      <c r="AB276" s="8" t="str">
        <f t="shared" si="10"/>
        <v>AIDH42203MPC15</v>
      </c>
      <c r="AC276" s="8" t="str">
        <f>IF(AB276='Input - Bookings'!S273,"OK","Check")</f>
        <v>Check</v>
      </c>
      <c r="AD276" s="60"/>
      <c r="AE276" s="54"/>
      <c r="AF276" s="54"/>
      <c r="AG276" s="55">
        <f t="shared" si="38"/>
        <v>667.5914327</v>
      </c>
      <c r="AH276" s="55"/>
      <c r="AI276" s="8" t="str">
        <f t="array" ref="AI276">XLOOKUP($J276,'AP Plants'!D:D,'AP Plants'!B:B)</f>
        <v>Class 3</v>
      </c>
      <c r="AJ276" s="56"/>
      <c r="AK276" s="56">
        <f t="shared" si="39"/>
        <v>667.5914327</v>
      </c>
      <c r="AL276" s="49">
        <v>0.015</v>
      </c>
      <c r="AM276" s="49">
        <f t="array" ref="AM276">XLOOKUP($AI276,Warranty!B:B,Warranty!E:E)</f>
        <v>0.015</v>
      </c>
      <c r="AN276" s="8">
        <f>IF($L276="AUD",VLOOKUP(RIGHT('Wk - Margins'!$J276,3),'AU Freight'!C:G,5,0),0)</f>
        <v>0</v>
      </c>
      <c r="AO276" s="49">
        <f t="shared" si="11"/>
        <v>0</v>
      </c>
      <c r="AP276" s="63">
        <f t="shared" si="12"/>
        <v>687.6191756</v>
      </c>
      <c r="AQ276" s="58">
        <f t="shared" si="13"/>
        <v>0.3458721693</v>
      </c>
      <c r="AR276" s="59">
        <f>IF(L276="AUD",O276*'Currency &amp; Conversion'!$L$7,'Wk - Margins'!O276)</f>
        <v>1475</v>
      </c>
      <c r="AS276" s="59">
        <f>IF(L276="AUD",P276*'Currency &amp; Conversion'!$L$7,'Wk - Margins'!P276)</f>
        <v>1051.2</v>
      </c>
    </row>
    <row r="277" ht="12.75" hidden="1" customHeight="1">
      <c r="A277" s="42" t="str">
        <f>'Input - Bookings'!A277</f>
        <v>30/06/2023</v>
      </c>
      <c r="B277" s="43" t="str">
        <f t="shared" si="1"/>
        <v>Asia</v>
      </c>
      <c r="C277" s="43" t="str">
        <f t="shared" si="2"/>
        <v>AID</v>
      </c>
      <c r="D277" s="43" t="str">
        <f>'Input - Bookings'!D277</f>
        <v>A</v>
      </c>
      <c r="E277" s="43" t="str">
        <f>'Input - Bookings'!J277</f>
        <v>ID</v>
      </c>
      <c r="F277" s="44" t="str">
        <f>'Input - Bookings'!F277</f>
        <v>067</v>
      </c>
      <c r="G277" s="44" t="str">
        <f>'Input - Bookings'!I277</f>
        <v>PT UNIVERSAL TRAKTOR</v>
      </c>
      <c r="H277" s="45" t="str">
        <f>'Input - Bookings'!K277</f>
        <v>H42204</v>
      </c>
      <c r="I277" s="45" t="str">
        <f>VLOOKUP(H277,'Input - Bookings'!$G$2:$H$611,2,0)</f>
        <v>804105</v>
      </c>
      <c r="J277" s="44" t="str">
        <f>'Input - Bookings'!N277</f>
        <v>A3D4</v>
      </c>
      <c r="K277" s="44" t="str">
        <f>'Input - Bookings'!O277</f>
        <v>MPC15</v>
      </c>
      <c r="L277" s="44" t="str">
        <f>'Input - Bookings'!C277</f>
        <v>USD</v>
      </c>
      <c r="M277" s="46" t="str">
        <f t="array" ref="M277">IF(L277="USD",INDEX('AP Plants'!A:A,MATCH(J277,'AP Plants'!D:D,0)),INDEX('Australia Plants'!A:A,MATCH(J277,'Australia Plants'!D:D,0)))</f>
        <v>Staxx</v>
      </c>
      <c r="N277" s="10">
        <v>1.0</v>
      </c>
      <c r="O277" s="9">
        <v>1475.0</v>
      </c>
      <c r="P277" s="9">
        <v>1051.2</v>
      </c>
      <c r="Q277" s="47">
        <v>0.34587216929223963</v>
      </c>
      <c r="R277" s="48">
        <f t="shared" si="3"/>
        <v>0.2873220339</v>
      </c>
      <c r="S277" s="49">
        <f t="shared" si="4"/>
        <v>0</v>
      </c>
      <c r="T277" s="49">
        <f t="shared" si="21"/>
        <v>0.3458721693</v>
      </c>
      <c r="U277" s="50" t="str">
        <f t="shared" si="6"/>
        <v>AOP</v>
      </c>
      <c r="V277" s="51">
        <f t="shared" si="28"/>
        <v>363.5808244</v>
      </c>
      <c r="W277" s="52">
        <f t="shared" si="8"/>
        <v>363.5808244</v>
      </c>
      <c r="X277" s="9">
        <f t="shared" si="25"/>
        <v>1051.2</v>
      </c>
      <c r="Y277" s="8"/>
      <c r="Z277" s="8"/>
      <c r="AA277" s="8"/>
      <c r="AB277" s="8" t="str">
        <f t="shared" si="10"/>
        <v>AIDH42204MPC15</v>
      </c>
      <c r="AC277" s="8" t="str">
        <f>IF(AB277='Input - Bookings'!S274,"OK","Check")</f>
        <v>Check</v>
      </c>
      <c r="AD277" s="60"/>
      <c r="AE277" s="54"/>
      <c r="AF277" s="54"/>
      <c r="AG277" s="55">
        <f t="shared" si="38"/>
        <v>667.5914327</v>
      </c>
      <c r="AH277" s="55"/>
      <c r="AI277" s="8" t="str">
        <f t="array" ref="AI277">XLOOKUP($J277,'AP Plants'!D:D,'AP Plants'!B:B)</f>
        <v>Class 3</v>
      </c>
      <c r="AJ277" s="56"/>
      <c r="AK277" s="56">
        <f t="shared" si="39"/>
        <v>667.5914327</v>
      </c>
      <c r="AL277" s="49">
        <v>0.015</v>
      </c>
      <c r="AM277" s="49">
        <f t="array" ref="AM277">XLOOKUP($AI277,Warranty!B:B,Warranty!E:E)</f>
        <v>0.015</v>
      </c>
      <c r="AN277" s="8">
        <f>IF($L277="AUD",VLOOKUP(RIGHT('Wk - Margins'!$J277,3),'AU Freight'!C:G,5,0),0)</f>
        <v>0</v>
      </c>
      <c r="AO277" s="49">
        <f t="shared" si="11"/>
        <v>0</v>
      </c>
      <c r="AP277" s="63">
        <f t="shared" si="12"/>
        <v>687.6191756</v>
      </c>
      <c r="AQ277" s="58">
        <f t="shared" si="13"/>
        <v>0.3458721693</v>
      </c>
      <c r="AR277" s="59">
        <f>IF(L277="AUD",O277*'Currency &amp; Conversion'!$L$7,'Wk - Margins'!O277)</f>
        <v>1475</v>
      </c>
      <c r="AS277" s="59">
        <f>IF(L277="AUD",P277*'Currency &amp; Conversion'!$L$7,'Wk - Margins'!P277)</f>
        <v>1051.2</v>
      </c>
    </row>
    <row r="278" ht="12.75" hidden="1" customHeight="1">
      <c r="A278" s="42" t="str">
        <f>'Input - Bookings'!A278</f>
        <v>30/06/2023</v>
      </c>
      <c r="B278" s="43" t="str">
        <f t="shared" si="1"/>
        <v>Asia</v>
      </c>
      <c r="C278" s="43" t="str">
        <f t="shared" si="2"/>
        <v>AID</v>
      </c>
      <c r="D278" s="43" t="str">
        <f>'Input - Bookings'!D278</f>
        <v>A</v>
      </c>
      <c r="E278" s="43" t="str">
        <f>'Input - Bookings'!J278</f>
        <v>ID</v>
      </c>
      <c r="F278" s="44" t="str">
        <f>'Input - Bookings'!F278</f>
        <v>067</v>
      </c>
      <c r="G278" s="44" t="str">
        <f>'Input - Bookings'!I278</f>
        <v>PT UNIVERSAL TRAKTOR</v>
      </c>
      <c r="H278" s="45" t="str">
        <f>'Input - Bookings'!K278</f>
        <v>H42205</v>
      </c>
      <c r="I278" s="45" t="str">
        <f>VLOOKUP(H278,'Input - Bookings'!$G$2:$H$611,2,0)</f>
        <v>804105</v>
      </c>
      <c r="J278" s="44" t="str">
        <f>'Input - Bookings'!N278</f>
        <v>A3D4</v>
      </c>
      <c r="K278" s="44" t="str">
        <f>'Input - Bookings'!O278</f>
        <v>MPC15</v>
      </c>
      <c r="L278" s="44" t="str">
        <f>'Input - Bookings'!C278</f>
        <v>USD</v>
      </c>
      <c r="M278" s="46" t="str">
        <f t="array" ref="M278">IF(L278="USD",INDEX('AP Plants'!A:A,MATCH(J278,'AP Plants'!D:D,0)),INDEX('Australia Plants'!A:A,MATCH(J278,'Australia Plants'!D:D,0)))</f>
        <v>Staxx</v>
      </c>
      <c r="N278" s="10">
        <v>1.0</v>
      </c>
      <c r="O278" s="9">
        <v>1475.0</v>
      </c>
      <c r="P278" s="9">
        <v>1051.2</v>
      </c>
      <c r="Q278" s="47">
        <v>0.34587216929223963</v>
      </c>
      <c r="R278" s="48">
        <f t="shared" si="3"/>
        <v>0.2873220339</v>
      </c>
      <c r="S278" s="49">
        <f t="shared" si="4"/>
        <v>0</v>
      </c>
      <c r="T278" s="49">
        <f t="shared" si="21"/>
        <v>0.3458721693</v>
      </c>
      <c r="U278" s="50" t="str">
        <f t="shared" si="6"/>
        <v>AOP</v>
      </c>
      <c r="V278" s="51">
        <f t="shared" si="28"/>
        <v>363.5808244</v>
      </c>
      <c r="W278" s="52">
        <f t="shared" si="8"/>
        <v>363.5808244</v>
      </c>
      <c r="X278" s="9">
        <f t="shared" si="25"/>
        <v>1051.2</v>
      </c>
      <c r="Y278" s="8"/>
      <c r="Z278" s="8"/>
      <c r="AA278" s="8"/>
      <c r="AB278" s="8" t="str">
        <f t="shared" si="10"/>
        <v>AIDH42205MPC15</v>
      </c>
      <c r="AC278" s="8" t="str">
        <f>IF(AB278='Input - Bookings'!S275,"OK","Check")</f>
        <v>Check</v>
      </c>
      <c r="AD278" s="60"/>
      <c r="AE278" s="54"/>
      <c r="AF278" s="54"/>
      <c r="AG278" s="55">
        <f t="shared" si="38"/>
        <v>667.5914327</v>
      </c>
      <c r="AH278" s="62"/>
      <c r="AI278" s="8" t="str">
        <f t="array" ref="AI278">XLOOKUP($J278,'AP Plants'!D:D,'AP Plants'!B:B)</f>
        <v>Class 3</v>
      </c>
      <c r="AJ278" s="56"/>
      <c r="AK278" s="56">
        <f t="shared" si="39"/>
        <v>667.5914327</v>
      </c>
      <c r="AL278" s="49">
        <v>0.015</v>
      </c>
      <c r="AM278" s="49">
        <f t="array" ref="AM278">XLOOKUP($AI278,Warranty!B:B,Warranty!E:E)</f>
        <v>0.015</v>
      </c>
      <c r="AN278" s="8">
        <f>IF($L278="AUD",VLOOKUP(RIGHT('Wk - Margins'!$J278,3),'AU Freight'!C:G,5,0),0)</f>
        <v>0</v>
      </c>
      <c r="AO278" s="49">
        <f t="shared" si="11"/>
        <v>0</v>
      </c>
      <c r="AP278" s="63">
        <f t="shared" si="12"/>
        <v>687.6191756</v>
      </c>
      <c r="AQ278" s="58">
        <f t="shared" si="13"/>
        <v>0.3458721693</v>
      </c>
      <c r="AR278" s="59">
        <f>IF(L278="AUD",O278*'Currency &amp; Conversion'!$L$7,'Wk - Margins'!O278)</f>
        <v>1475</v>
      </c>
      <c r="AS278" s="59">
        <f>IF(L278="AUD",P278*'Currency &amp; Conversion'!$L$7,'Wk - Margins'!P278)</f>
        <v>1051.2</v>
      </c>
    </row>
    <row r="279" ht="12.75" hidden="1" customHeight="1">
      <c r="A279" s="42" t="str">
        <f>'Input - Bookings'!A279</f>
        <v>30/06/2023</v>
      </c>
      <c r="B279" s="43" t="str">
        <f t="shared" si="1"/>
        <v>Asia</v>
      </c>
      <c r="C279" s="43" t="str">
        <f t="shared" si="2"/>
        <v>AID</v>
      </c>
      <c r="D279" s="43" t="str">
        <f>'Input - Bookings'!D279</f>
        <v>A</v>
      </c>
      <c r="E279" s="43" t="str">
        <f>'Input - Bookings'!J279</f>
        <v>ID</v>
      </c>
      <c r="F279" s="44" t="str">
        <f>'Input - Bookings'!F279</f>
        <v>067</v>
      </c>
      <c r="G279" s="44" t="str">
        <f>'Input - Bookings'!I279</f>
        <v>PT UNIVERSAL TRAKTOR</v>
      </c>
      <c r="H279" s="45" t="str">
        <f>'Input - Bookings'!K279</f>
        <v>H42206</v>
      </c>
      <c r="I279" s="45" t="str">
        <f>VLOOKUP(H279,'Input - Bookings'!$G$2:$H$611,2,0)</f>
        <v>804105</v>
      </c>
      <c r="J279" s="44" t="str">
        <f>'Input - Bookings'!N279</f>
        <v>A3D4</v>
      </c>
      <c r="K279" s="44" t="str">
        <f>'Input - Bookings'!O279</f>
        <v>MPC15</v>
      </c>
      <c r="L279" s="44" t="str">
        <f>'Input - Bookings'!C279</f>
        <v>USD</v>
      </c>
      <c r="M279" s="46" t="str">
        <f t="array" ref="M279">IF(L279="USD",INDEX('AP Plants'!A:A,MATCH(J279,'AP Plants'!D:D,0)),INDEX('Australia Plants'!A:A,MATCH(J279,'Australia Plants'!D:D,0)))</f>
        <v>Staxx</v>
      </c>
      <c r="N279" s="10">
        <v>1.0</v>
      </c>
      <c r="O279" s="9">
        <v>1475.0</v>
      </c>
      <c r="P279" s="9">
        <v>1051.2</v>
      </c>
      <c r="Q279" s="47">
        <v>0.34587216929223963</v>
      </c>
      <c r="R279" s="48">
        <f t="shared" si="3"/>
        <v>0.2873220339</v>
      </c>
      <c r="S279" s="49">
        <f t="shared" si="4"/>
        <v>0</v>
      </c>
      <c r="T279" s="49">
        <f t="shared" si="21"/>
        <v>0.3458721693</v>
      </c>
      <c r="U279" s="50" t="str">
        <f t="shared" si="6"/>
        <v>AOP</v>
      </c>
      <c r="V279" s="51">
        <f t="shared" si="28"/>
        <v>363.5808244</v>
      </c>
      <c r="W279" s="52">
        <f t="shared" si="8"/>
        <v>363.5808244</v>
      </c>
      <c r="X279" s="9">
        <f t="shared" si="25"/>
        <v>1051.2</v>
      </c>
      <c r="Y279" s="8"/>
      <c r="Z279" s="8"/>
      <c r="AA279" s="8"/>
      <c r="AB279" s="8" t="str">
        <f t="shared" si="10"/>
        <v>AIDH42206MPC15</v>
      </c>
      <c r="AC279" s="8" t="str">
        <f>IF(AB279='Input - Bookings'!S276,"OK","Check")</f>
        <v>Check</v>
      </c>
      <c r="AD279" s="60"/>
      <c r="AE279" s="54"/>
      <c r="AF279" s="54"/>
      <c r="AG279" s="55">
        <f t="shared" si="38"/>
        <v>667.5914327</v>
      </c>
      <c r="AH279" s="62"/>
      <c r="AI279" s="8" t="str">
        <f t="array" ref="AI279">XLOOKUP($J279,'AP Plants'!D:D,'AP Plants'!B:B)</f>
        <v>Class 3</v>
      </c>
      <c r="AJ279" s="56"/>
      <c r="AK279" s="56">
        <f t="shared" si="39"/>
        <v>667.5914327</v>
      </c>
      <c r="AL279" s="49">
        <v>0.015</v>
      </c>
      <c r="AM279" s="49">
        <f t="array" ref="AM279">XLOOKUP($AI279,Warranty!B:B,Warranty!E:E)</f>
        <v>0.015</v>
      </c>
      <c r="AN279" s="8">
        <f>IF($L279="AUD",VLOOKUP(RIGHT('Wk - Margins'!$J279,3),'AU Freight'!C:G,5,0),0)</f>
        <v>0</v>
      </c>
      <c r="AO279" s="49">
        <f t="shared" si="11"/>
        <v>0</v>
      </c>
      <c r="AP279" s="63">
        <f t="shared" si="12"/>
        <v>687.6191756</v>
      </c>
      <c r="AQ279" s="58">
        <f t="shared" si="13"/>
        <v>0.3458721693</v>
      </c>
      <c r="AR279" s="59">
        <f>IF(L279="AUD",O279*'Currency &amp; Conversion'!$L$7,'Wk - Margins'!O279)</f>
        <v>1475</v>
      </c>
      <c r="AS279" s="59">
        <f>IF(L279="AUD",P279*'Currency &amp; Conversion'!$L$7,'Wk - Margins'!P279)</f>
        <v>1051.2</v>
      </c>
    </row>
    <row r="280" ht="12.75" hidden="1" customHeight="1">
      <c r="A280" s="42" t="str">
        <f>'Input - Bookings'!A280</f>
        <v>30/06/2023</v>
      </c>
      <c r="B280" s="43" t="str">
        <f t="shared" si="1"/>
        <v>Asia</v>
      </c>
      <c r="C280" s="43" t="str">
        <f t="shared" si="2"/>
        <v>AID</v>
      </c>
      <c r="D280" s="43" t="str">
        <f>'Input - Bookings'!D280</f>
        <v>A</v>
      </c>
      <c r="E280" s="43" t="str">
        <f>'Input - Bookings'!J280</f>
        <v>ID</v>
      </c>
      <c r="F280" s="44" t="str">
        <f>'Input - Bookings'!F280</f>
        <v>067</v>
      </c>
      <c r="G280" s="44" t="str">
        <f>'Input - Bookings'!I280</f>
        <v>PT UNIVERSAL TRAKTOR</v>
      </c>
      <c r="H280" s="45" t="str">
        <f>'Input - Bookings'!K280</f>
        <v>H42207</v>
      </c>
      <c r="I280" s="45" t="str">
        <f>VLOOKUP(H280,'Input - Bookings'!$G$2:$H$611,2,0)</f>
        <v>804105</v>
      </c>
      <c r="J280" s="44" t="str">
        <f>'Input - Bookings'!N280</f>
        <v>A3D4</v>
      </c>
      <c r="K280" s="44" t="str">
        <f>'Input - Bookings'!O280</f>
        <v>MPC15</v>
      </c>
      <c r="L280" s="44" t="str">
        <f>'Input - Bookings'!C280</f>
        <v>USD</v>
      </c>
      <c r="M280" s="46" t="str">
        <f t="array" ref="M280">IF(L280="USD",INDEX('AP Plants'!A:A,MATCH(J280,'AP Plants'!D:D,0)),INDEX('Australia Plants'!A:A,MATCH(J280,'Australia Plants'!D:D,0)))</f>
        <v>Staxx</v>
      </c>
      <c r="N280" s="10">
        <v>1.0</v>
      </c>
      <c r="O280" s="9">
        <v>1475.0</v>
      </c>
      <c r="P280" s="9">
        <v>1051.2</v>
      </c>
      <c r="Q280" s="47">
        <v>0.34587216929223963</v>
      </c>
      <c r="R280" s="48">
        <f t="shared" si="3"/>
        <v>0.2873220339</v>
      </c>
      <c r="S280" s="49">
        <f t="shared" si="4"/>
        <v>0</v>
      </c>
      <c r="T280" s="49">
        <f t="shared" si="21"/>
        <v>0.3458721693</v>
      </c>
      <c r="U280" s="50" t="str">
        <f t="shared" si="6"/>
        <v>AOP</v>
      </c>
      <c r="V280" s="51">
        <f t="shared" si="28"/>
        <v>363.5808244</v>
      </c>
      <c r="W280" s="52">
        <f t="shared" si="8"/>
        <v>363.5808244</v>
      </c>
      <c r="X280" s="9">
        <f t="shared" si="25"/>
        <v>1051.2</v>
      </c>
      <c r="Y280" s="8"/>
      <c r="Z280" s="8"/>
      <c r="AA280" s="8"/>
      <c r="AB280" s="8" t="str">
        <f t="shared" si="10"/>
        <v>AIDH42207MPC15</v>
      </c>
      <c r="AC280" s="8" t="str">
        <f>IF(AB280='Input - Bookings'!S277,"OK","Check")</f>
        <v>Check</v>
      </c>
      <c r="AD280" s="60"/>
      <c r="AE280" s="54"/>
      <c r="AF280" s="54"/>
      <c r="AG280" s="55">
        <f t="shared" si="38"/>
        <v>667.5914327</v>
      </c>
      <c r="AH280" s="62"/>
      <c r="AI280" s="8" t="str">
        <f t="array" ref="AI280">XLOOKUP($J280,'AP Plants'!D:D,'AP Plants'!B:B)</f>
        <v>Class 3</v>
      </c>
      <c r="AJ280" s="56"/>
      <c r="AK280" s="56">
        <f t="shared" si="39"/>
        <v>667.5914327</v>
      </c>
      <c r="AL280" s="49">
        <v>0.015</v>
      </c>
      <c r="AM280" s="49">
        <f t="array" ref="AM280">XLOOKUP($AI280,Warranty!B:B,Warranty!E:E)</f>
        <v>0.015</v>
      </c>
      <c r="AN280" s="8">
        <f>IF($L280="AUD",VLOOKUP(RIGHT('Wk - Margins'!$J280,3),'AU Freight'!C:G,5,0),0)</f>
        <v>0</v>
      </c>
      <c r="AO280" s="49">
        <f t="shared" si="11"/>
        <v>0</v>
      </c>
      <c r="AP280" s="63">
        <f t="shared" si="12"/>
        <v>687.6191756</v>
      </c>
      <c r="AQ280" s="58">
        <f t="shared" si="13"/>
        <v>0.3458721693</v>
      </c>
      <c r="AR280" s="59">
        <f>IF(L280="AUD",O280*'Currency &amp; Conversion'!$L$7,'Wk - Margins'!O280)</f>
        <v>1475</v>
      </c>
      <c r="AS280" s="59">
        <f>IF(L280="AUD",P280*'Currency &amp; Conversion'!$L$7,'Wk - Margins'!P280)</f>
        <v>1051.2</v>
      </c>
    </row>
    <row r="281" ht="12.75" hidden="1" customHeight="1">
      <c r="A281" s="42" t="str">
        <f>'Input - Bookings'!A281</f>
        <v>30/06/2023</v>
      </c>
      <c r="B281" s="43" t="str">
        <f t="shared" si="1"/>
        <v>Asia</v>
      </c>
      <c r="C281" s="43" t="str">
        <f t="shared" si="2"/>
        <v>AID</v>
      </c>
      <c r="D281" s="43" t="str">
        <f>'Input - Bookings'!D281</f>
        <v>A</v>
      </c>
      <c r="E281" s="43" t="str">
        <f>'Input - Bookings'!J281</f>
        <v>ID</v>
      </c>
      <c r="F281" s="44" t="str">
        <f>'Input - Bookings'!F281</f>
        <v>067</v>
      </c>
      <c r="G281" s="44" t="str">
        <f>'Input - Bookings'!I281</f>
        <v>PT UNIVERSAL TRAKTOR</v>
      </c>
      <c r="H281" s="45" t="str">
        <f>'Input - Bookings'!K281</f>
        <v>H42209</v>
      </c>
      <c r="I281" s="45" t="str">
        <f>VLOOKUP(H281,'Input - Bookings'!$G$2:$H$611,2,0)</f>
        <v>804105</v>
      </c>
      <c r="J281" s="44" t="str">
        <f>'Input - Bookings'!N281</f>
        <v>A3D4</v>
      </c>
      <c r="K281" s="44" t="str">
        <f>'Input - Bookings'!O281</f>
        <v>MPC15</v>
      </c>
      <c r="L281" s="44" t="str">
        <f>'Input - Bookings'!C281</f>
        <v>USD</v>
      </c>
      <c r="M281" s="46" t="str">
        <f t="array" ref="M281">IF(L281="USD",INDEX('AP Plants'!A:A,MATCH(J281,'AP Plants'!D:D,0)),INDEX('Australia Plants'!A:A,MATCH(J281,'Australia Plants'!D:D,0)))</f>
        <v>Staxx</v>
      </c>
      <c r="N281" s="10">
        <v>1.0</v>
      </c>
      <c r="O281" s="9">
        <v>1475.0</v>
      </c>
      <c r="P281" s="9">
        <v>1051.2</v>
      </c>
      <c r="Q281" s="47">
        <v>0.34587216929223963</v>
      </c>
      <c r="R281" s="48">
        <f t="shared" si="3"/>
        <v>0.2873220339</v>
      </c>
      <c r="S281" s="49">
        <f t="shared" si="4"/>
        <v>0</v>
      </c>
      <c r="T281" s="49">
        <f t="shared" si="21"/>
        <v>0.3458721693</v>
      </c>
      <c r="U281" s="50" t="str">
        <f t="shared" si="6"/>
        <v>AOP</v>
      </c>
      <c r="V281" s="51">
        <f t="shared" si="28"/>
        <v>363.5808244</v>
      </c>
      <c r="W281" s="52">
        <f t="shared" si="8"/>
        <v>363.5808244</v>
      </c>
      <c r="X281" s="9">
        <f t="shared" si="25"/>
        <v>1051.2</v>
      </c>
      <c r="Y281" s="8"/>
      <c r="Z281" s="8"/>
      <c r="AA281" s="8"/>
      <c r="AB281" s="8" t="str">
        <f t="shared" si="10"/>
        <v>AIDH42209MPC15</v>
      </c>
      <c r="AC281" s="8" t="str">
        <f>IF(AB281='Input - Bookings'!S278,"OK","Check")</f>
        <v>Check</v>
      </c>
      <c r="AD281" s="60"/>
      <c r="AE281" s="54"/>
      <c r="AF281" s="54"/>
      <c r="AG281" s="55">
        <f t="shared" si="38"/>
        <v>667.5914327</v>
      </c>
      <c r="AH281" s="62"/>
      <c r="AI281" s="8" t="str">
        <f t="array" ref="AI281">XLOOKUP($J281,'AP Plants'!D:D,'AP Plants'!B:B)</f>
        <v>Class 3</v>
      </c>
      <c r="AJ281" s="56"/>
      <c r="AK281" s="56">
        <f t="shared" si="39"/>
        <v>667.5914327</v>
      </c>
      <c r="AL281" s="49">
        <v>0.015</v>
      </c>
      <c r="AM281" s="49">
        <f t="array" ref="AM281">XLOOKUP($AI281,Warranty!B:B,Warranty!E:E)</f>
        <v>0.015</v>
      </c>
      <c r="AN281" s="8">
        <f>IF($L281="AUD",VLOOKUP(RIGHT('Wk - Margins'!$J281,3),'AU Freight'!C:G,5,0),0)</f>
        <v>0</v>
      </c>
      <c r="AO281" s="49">
        <f t="shared" si="11"/>
        <v>0</v>
      </c>
      <c r="AP281" s="63">
        <f t="shared" si="12"/>
        <v>687.6191756</v>
      </c>
      <c r="AQ281" s="58">
        <f t="shared" si="13"/>
        <v>0.3458721693</v>
      </c>
      <c r="AR281" s="59">
        <f>IF(L281="AUD",O281*'Currency &amp; Conversion'!$L$7,'Wk - Margins'!O281)</f>
        <v>1475</v>
      </c>
      <c r="AS281" s="59">
        <f>IF(L281="AUD",P281*'Currency &amp; Conversion'!$L$7,'Wk - Margins'!P281)</f>
        <v>1051.2</v>
      </c>
    </row>
    <row r="282" ht="12.75" hidden="1" customHeight="1">
      <c r="A282" s="42" t="str">
        <f>'Input - Bookings'!A282</f>
        <v>30/06/2023</v>
      </c>
      <c r="B282" s="43" t="str">
        <f t="shared" si="1"/>
        <v>Asia</v>
      </c>
      <c r="C282" s="43" t="str">
        <f t="shared" si="2"/>
        <v>AID</v>
      </c>
      <c r="D282" s="43" t="str">
        <f>'Input - Bookings'!D282</f>
        <v>A</v>
      </c>
      <c r="E282" s="43" t="str">
        <f>'Input - Bookings'!J282</f>
        <v>ID</v>
      </c>
      <c r="F282" s="44" t="str">
        <f>'Input - Bookings'!F282</f>
        <v>067</v>
      </c>
      <c r="G282" s="44" t="str">
        <f>'Input - Bookings'!I282</f>
        <v>PT UNIVERSAL TRAKTOR</v>
      </c>
      <c r="H282" s="45" t="str">
        <f>'Input - Bookings'!K282</f>
        <v>H42210</v>
      </c>
      <c r="I282" s="45" t="str">
        <f>VLOOKUP(H282,'Input - Bookings'!$G$2:$H$611,2,0)</f>
        <v>804105</v>
      </c>
      <c r="J282" s="44" t="str">
        <f>'Input - Bookings'!N282</f>
        <v>A3D4</v>
      </c>
      <c r="K282" s="44" t="str">
        <f>'Input - Bookings'!O282</f>
        <v>MPC15</v>
      </c>
      <c r="L282" s="44" t="str">
        <f>'Input - Bookings'!C282</f>
        <v>USD</v>
      </c>
      <c r="M282" s="46" t="str">
        <f t="array" ref="M282">IF(L282="USD",INDEX('AP Plants'!A:A,MATCH(J282,'AP Plants'!D:D,0)),INDEX('Australia Plants'!A:A,MATCH(J282,'Australia Plants'!D:D,0)))</f>
        <v>Staxx</v>
      </c>
      <c r="N282" s="10">
        <v>1.0</v>
      </c>
      <c r="O282" s="9">
        <v>1475.0</v>
      </c>
      <c r="P282" s="9">
        <v>1051.2</v>
      </c>
      <c r="Q282" s="47">
        <v>0.34587216929223963</v>
      </c>
      <c r="R282" s="48">
        <f t="shared" si="3"/>
        <v>0.2873220339</v>
      </c>
      <c r="S282" s="49">
        <f t="shared" si="4"/>
        <v>0</v>
      </c>
      <c r="T282" s="49">
        <f t="shared" si="21"/>
        <v>0.3458721693</v>
      </c>
      <c r="U282" s="50" t="str">
        <f t="shared" si="6"/>
        <v>AOP</v>
      </c>
      <c r="V282" s="51">
        <f t="shared" si="28"/>
        <v>363.5808244</v>
      </c>
      <c r="W282" s="52">
        <f t="shared" si="8"/>
        <v>363.5808244</v>
      </c>
      <c r="X282" s="9">
        <f t="shared" si="25"/>
        <v>1051.2</v>
      </c>
      <c r="Y282" s="8"/>
      <c r="Z282" s="8"/>
      <c r="AA282" s="8"/>
      <c r="AB282" s="8" t="str">
        <f t="shared" si="10"/>
        <v>AIDH42210MPC15</v>
      </c>
      <c r="AC282" s="8" t="str">
        <f>IF(AB282='Input - Bookings'!S279,"OK","Check")</f>
        <v>Check</v>
      </c>
      <c r="AD282" s="60"/>
      <c r="AE282" s="54"/>
      <c r="AF282" s="54"/>
      <c r="AG282" s="55">
        <f t="shared" si="38"/>
        <v>667.5914327</v>
      </c>
      <c r="AH282" s="62"/>
      <c r="AI282" s="8" t="str">
        <f t="array" ref="AI282">XLOOKUP($J282,'AP Plants'!D:D,'AP Plants'!B:B)</f>
        <v>Class 3</v>
      </c>
      <c r="AJ282" s="56"/>
      <c r="AK282" s="56">
        <f t="shared" si="39"/>
        <v>667.5914327</v>
      </c>
      <c r="AL282" s="49">
        <v>0.015</v>
      </c>
      <c r="AM282" s="49">
        <f t="array" ref="AM282">XLOOKUP($AI282,Warranty!B:B,Warranty!E:E)</f>
        <v>0.015</v>
      </c>
      <c r="AN282" s="8">
        <f>IF($L282="AUD",VLOOKUP(RIGHT('Wk - Margins'!$J282,3),'AU Freight'!C:G,5,0),0)</f>
        <v>0</v>
      </c>
      <c r="AO282" s="49">
        <f t="shared" si="11"/>
        <v>0</v>
      </c>
      <c r="AP282" s="63">
        <f t="shared" si="12"/>
        <v>687.6191756</v>
      </c>
      <c r="AQ282" s="58">
        <f t="shared" si="13"/>
        <v>0.3458721693</v>
      </c>
      <c r="AR282" s="59">
        <f>IF(L282="AUD",O282*'Currency &amp; Conversion'!$L$7,'Wk - Margins'!O282)</f>
        <v>1475</v>
      </c>
      <c r="AS282" s="59">
        <f>IF(L282="AUD",P282*'Currency &amp; Conversion'!$L$7,'Wk - Margins'!P282)</f>
        <v>1051.2</v>
      </c>
    </row>
    <row r="283" ht="12.75" hidden="1" customHeight="1">
      <c r="A283" s="42" t="str">
        <f>'Input - Bookings'!A283</f>
        <v>30/06/2023</v>
      </c>
      <c r="B283" s="43" t="str">
        <f t="shared" si="1"/>
        <v>Asia</v>
      </c>
      <c r="C283" s="43" t="str">
        <f t="shared" si="2"/>
        <v>AID</v>
      </c>
      <c r="D283" s="43" t="str">
        <f>'Input - Bookings'!D283</f>
        <v>A</v>
      </c>
      <c r="E283" s="43" t="str">
        <f>'Input - Bookings'!J283</f>
        <v>ID</v>
      </c>
      <c r="F283" s="44" t="str">
        <f>'Input - Bookings'!F283</f>
        <v>067</v>
      </c>
      <c r="G283" s="44" t="str">
        <f>'Input - Bookings'!I283</f>
        <v>PT UNIVERSAL TRAKTOR</v>
      </c>
      <c r="H283" s="45" t="str">
        <f>'Input - Bookings'!K283</f>
        <v>H42211</v>
      </c>
      <c r="I283" s="45" t="str">
        <f>VLOOKUP(H283,'Input - Bookings'!$G$2:$H$611,2,0)</f>
        <v>804105</v>
      </c>
      <c r="J283" s="44" t="str">
        <f>'Input - Bookings'!N283</f>
        <v>A3D4</v>
      </c>
      <c r="K283" s="44" t="str">
        <f>'Input - Bookings'!O283</f>
        <v>MPC15</v>
      </c>
      <c r="L283" s="44" t="str">
        <f>'Input - Bookings'!C283</f>
        <v>USD</v>
      </c>
      <c r="M283" s="46" t="str">
        <f t="array" ref="M283">IF(L283="USD",INDEX('AP Plants'!A:A,MATCH(J283,'AP Plants'!D:D,0)),INDEX('Australia Plants'!A:A,MATCH(J283,'Australia Plants'!D:D,0)))</f>
        <v>Staxx</v>
      </c>
      <c r="N283" s="10">
        <v>1.0</v>
      </c>
      <c r="O283" s="9">
        <v>1475.0</v>
      </c>
      <c r="P283" s="9">
        <v>1051.2</v>
      </c>
      <c r="Q283" s="47">
        <v>0.34587216929223963</v>
      </c>
      <c r="R283" s="48">
        <f t="shared" si="3"/>
        <v>0.2873220339</v>
      </c>
      <c r="S283" s="49">
        <f t="shared" si="4"/>
        <v>0</v>
      </c>
      <c r="T283" s="49">
        <f t="shared" si="21"/>
        <v>0.3458721693</v>
      </c>
      <c r="U283" s="50" t="str">
        <f t="shared" si="6"/>
        <v>AOP</v>
      </c>
      <c r="V283" s="51">
        <f t="shared" si="28"/>
        <v>363.5808244</v>
      </c>
      <c r="W283" s="52">
        <f t="shared" si="8"/>
        <v>363.5808244</v>
      </c>
      <c r="X283" s="9">
        <f t="shared" si="25"/>
        <v>1051.2</v>
      </c>
      <c r="Y283" s="8"/>
      <c r="Z283" s="8"/>
      <c r="AA283" s="8"/>
      <c r="AB283" s="8" t="str">
        <f t="shared" si="10"/>
        <v>AIDH42211MPC15</v>
      </c>
      <c r="AC283" s="8" t="str">
        <f>IF(AB283='Input - Bookings'!S280,"OK","Check")</f>
        <v>Check</v>
      </c>
      <c r="AD283" s="60"/>
      <c r="AE283" s="54"/>
      <c r="AF283" s="54"/>
      <c r="AG283" s="55">
        <f t="shared" si="38"/>
        <v>667.5914327</v>
      </c>
      <c r="AH283" s="62"/>
      <c r="AI283" s="8" t="str">
        <f t="array" ref="AI283">XLOOKUP($J283,'AP Plants'!D:D,'AP Plants'!B:B)</f>
        <v>Class 3</v>
      </c>
      <c r="AJ283" s="56"/>
      <c r="AK283" s="56">
        <f t="shared" si="39"/>
        <v>667.5914327</v>
      </c>
      <c r="AL283" s="49">
        <v>0.015</v>
      </c>
      <c r="AM283" s="49">
        <f t="array" ref="AM283">XLOOKUP($AI283,Warranty!B:B,Warranty!E:E)</f>
        <v>0.015</v>
      </c>
      <c r="AN283" s="8">
        <f>IF($L283="AUD",VLOOKUP(RIGHT('Wk - Margins'!$J283,3),'AU Freight'!C:G,5,0),0)</f>
        <v>0</v>
      </c>
      <c r="AO283" s="49">
        <f t="shared" si="11"/>
        <v>0</v>
      </c>
      <c r="AP283" s="63">
        <f t="shared" si="12"/>
        <v>687.6191756</v>
      </c>
      <c r="AQ283" s="58">
        <f t="shared" si="13"/>
        <v>0.3458721693</v>
      </c>
      <c r="AR283" s="59">
        <f>IF(L283="AUD",O283*'Currency &amp; Conversion'!$L$7,'Wk - Margins'!O283)</f>
        <v>1475</v>
      </c>
      <c r="AS283" s="59">
        <f>IF(L283="AUD",P283*'Currency &amp; Conversion'!$L$7,'Wk - Margins'!P283)</f>
        <v>1051.2</v>
      </c>
    </row>
    <row r="284" ht="12.75" customHeight="1">
      <c r="A284" s="42" t="str">
        <f>'Input - Bookings'!A284</f>
        <v>05/06/2023</v>
      </c>
      <c r="B284" s="43" t="str">
        <f t="shared" si="1"/>
        <v>Australia</v>
      </c>
      <c r="C284" s="43" t="str">
        <f t="shared" si="2"/>
        <v>PAU</v>
      </c>
      <c r="D284" s="43" t="str">
        <f>'Input - Bookings'!D284</f>
        <v>P</v>
      </c>
      <c r="E284" s="43" t="str">
        <f>'Input - Bookings'!J284</f>
        <v>AU</v>
      </c>
      <c r="F284" s="44" t="str">
        <f>'Input - Bookings'!F284</f>
        <v>065</v>
      </c>
      <c r="G284" s="44" t="str">
        <f>'Input - Bookings'!I284</f>
        <v>ADAPT-A-LIFT GROUP (QLD)</v>
      </c>
      <c r="H284" s="44" t="str">
        <f>'Input - Bookings'!K284</f>
        <v>H34556</v>
      </c>
      <c r="I284" s="45" t="str">
        <f>VLOOKUP(H284,'Input - Bookings'!$G$2:$H$611,2,0)</f>
        <v>087575</v>
      </c>
      <c r="J284" s="44" t="str">
        <f>'Input - Bookings'!N284</f>
        <v>D435</v>
      </c>
      <c r="K284" s="44" t="str">
        <f>'Input - Bookings'!O284</f>
        <v>R1.6</v>
      </c>
      <c r="L284" s="44" t="str">
        <f>'Input - Bookings'!C284</f>
        <v>AUD</v>
      </c>
      <c r="M284" s="46" t="str">
        <f t="array" ref="M284">IF(L284="USD",INDEX('AP Plants'!A:A,MATCH(J284,'AP Plants'!D:D,0)),INDEX('Australia Plants'!A:A,MATCH(J284,'Australia Plants'!D:D,0)))</f>
        <v>Masate</v>
      </c>
      <c r="N284" s="10">
        <v>1.0</v>
      </c>
      <c r="O284" s="9">
        <v>67560.0</v>
      </c>
      <c r="P284" s="9">
        <v>46616.4</v>
      </c>
      <c r="Q284" s="47">
        <f t="shared" ref="Q284:Q285" si="40">AQ284</f>
        <v>0.1860233218</v>
      </c>
      <c r="R284" s="48">
        <f t="shared" si="3"/>
        <v>0.31</v>
      </c>
      <c r="S284" s="49">
        <f t="shared" si="4"/>
        <v>0</v>
      </c>
      <c r="T284" s="49">
        <f t="shared" si="21"/>
        <v>0.1860233218</v>
      </c>
      <c r="U284" s="50" t="str">
        <f t="shared" si="6"/>
        <v>AOP</v>
      </c>
      <c r="V284" s="51">
        <f t="shared" si="28"/>
        <v>8671.737579</v>
      </c>
      <c r="W284" s="52" t="str">
        <f t="shared" si="8"/>
        <v>#DIV/0!</v>
      </c>
      <c r="X284" s="9" t="str">
        <f t="shared" si="25"/>
        <v>#DIV/0!</v>
      </c>
      <c r="Y284" s="8"/>
      <c r="Z284" s="8"/>
      <c r="AA284" s="8"/>
      <c r="AB284" s="8" t="str">
        <f t="shared" si="10"/>
        <v>PAUH34556R1.6</v>
      </c>
      <c r="AC284" s="8" t="str">
        <f>IF(AB284='Input - Bookings'!S281,"OK","Check")</f>
        <v>Check</v>
      </c>
      <c r="AD284" s="53"/>
      <c r="AE284" s="54">
        <v>0.0</v>
      </c>
      <c r="AF284" s="54">
        <v>0.0</v>
      </c>
      <c r="AG284" s="55"/>
      <c r="AH284" s="55">
        <v>21077.88</v>
      </c>
      <c r="AI284" s="8" t="str">
        <f t="array" ref="AI284">XLOOKUP($J284,'AP Plants'!D:D,'AP Plants'!B:B)</f>
        <v>Class 2</v>
      </c>
      <c r="AJ284" s="56">
        <f>(AH284*(1+VLOOKUP(M284,'Currency &amp; Conversion'!$F$13:$H$19,2,0))*'Currency &amp; Conversion'!$L$4)+((AE284+AF284)*90%)</f>
        <v>33460.8373</v>
      </c>
      <c r="AK284" s="56"/>
      <c r="AL284" s="49">
        <v>0.015</v>
      </c>
      <c r="AM284" s="49">
        <f t="array" ref="AM284">XLOOKUP($AI284,Warranty!B:B,Warranty!E:E)</f>
        <v>0.015</v>
      </c>
      <c r="AN284" s="8">
        <f>IF($L284="AUD",VLOOKUP(RIGHT('Wk - Margins'!$J284,3),'AU Freight'!C:G,5,0),0)</f>
        <v>3480</v>
      </c>
      <c r="AO284" s="49">
        <f t="shared" si="11"/>
        <v>0</v>
      </c>
      <c r="AP284" s="63">
        <f t="shared" si="12"/>
        <v>37944.66242</v>
      </c>
      <c r="AQ284" s="64">
        <f t="shared" si="13"/>
        <v>0.1860233218</v>
      </c>
      <c r="AR284" s="59">
        <f>IF(L284="AUD",O284*'Currency &amp; Conversion'!$L$7,'Wk - Margins'!O284)</f>
        <v>45365.18318</v>
      </c>
      <c r="AS284" s="59">
        <f>IF(L284="AUD",P284*'Currency &amp; Conversion'!$L$7,'Wk - Margins'!P284)</f>
        <v>31301.97639</v>
      </c>
    </row>
    <row r="285" ht="12.75" customHeight="1">
      <c r="A285" s="42" t="str">
        <f>'Input - Bookings'!A285</f>
        <v>05/06/2023</v>
      </c>
      <c r="B285" s="43" t="str">
        <f t="shared" si="1"/>
        <v>Australia</v>
      </c>
      <c r="C285" s="43" t="str">
        <f t="shared" si="2"/>
        <v>PAU</v>
      </c>
      <c r="D285" s="43" t="str">
        <f>'Input - Bookings'!D285</f>
        <v>P</v>
      </c>
      <c r="E285" s="43" t="str">
        <f>'Input - Bookings'!J285</f>
        <v>AU</v>
      </c>
      <c r="F285" s="44" t="str">
        <f>'Input - Bookings'!F285</f>
        <v>065</v>
      </c>
      <c r="G285" s="44" t="str">
        <f>'Input - Bookings'!I285</f>
        <v>ADAPT-A-LIFT GROUP (SA)</v>
      </c>
      <c r="H285" s="44" t="str">
        <f>'Input - Bookings'!K285</f>
        <v>H34555</v>
      </c>
      <c r="I285" s="45" t="str">
        <f>VLOOKUP(H285,'Input - Bookings'!$G$2:$H$611,2,0)</f>
        <v>087595</v>
      </c>
      <c r="J285" s="44" t="str">
        <f>'Input - Bookings'!N285</f>
        <v>D435</v>
      </c>
      <c r="K285" s="44" t="str">
        <f>'Input - Bookings'!O285</f>
        <v>R1.6</v>
      </c>
      <c r="L285" s="44" t="str">
        <f>'Input - Bookings'!C285</f>
        <v>AUD</v>
      </c>
      <c r="M285" s="46" t="str">
        <f t="array" ref="M285">IF(L285="USD",INDEX('AP Plants'!A:A,MATCH(J285,'AP Plants'!D:D,0)),INDEX('Australia Plants'!A:A,MATCH(J285,'Australia Plants'!D:D,0)))</f>
        <v>Masate</v>
      </c>
      <c r="N285" s="10">
        <v>1.0</v>
      </c>
      <c r="O285" s="9">
        <v>67560.0</v>
      </c>
      <c r="P285" s="9">
        <v>46616.4</v>
      </c>
      <c r="Q285" s="47">
        <f t="shared" si="40"/>
        <v>0.1860233218</v>
      </c>
      <c r="R285" s="48">
        <f t="shared" si="3"/>
        <v>0.31</v>
      </c>
      <c r="S285" s="49">
        <f t="shared" si="4"/>
        <v>0</v>
      </c>
      <c r="T285" s="49">
        <f t="shared" si="21"/>
        <v>0.1860233218</v>
      </c>
      <c r="U285" s="50" t="str">
        <f t="shared" si="6"/>
        <v>AOP</v>
      </c>
      <c r="V285" s="51">
        <f t="shared" si="28"/>
        <v>8671.737579</v>
      </c>
      <c r="W285" s="52" t="str">
        <f t="shared" si="8"/>
        <v>#DIV/0!</v>
      </c>
      <c r="X285" s="9" t="str">
        <f t="shared" si="25"/>
        <v>#DIV/0!</v>
      </c>
      <c r="Y285" s="8"/>
      <c r="Z285" s="8"/>
      <c r="AA285" s="8"/>
      <c r="AB285" s="8" t="str">
        <f t="shared" si="10"/>
        <v>PAUH34555R1.6</v>
      </c>
      <c r="AC285" s="8" t="str">
        <f>IF(AB285='Input - Bookings'!S282,"OK","Check")</f>
        <v>Check</v>
      </c>
      <c r="AD285" s="53"/>
      <c r="AE285" s="54">
        <v>0.0</v>
      </c>
      <c r="AF285" s="54">
        <v>0.0</v>
      </c>
      <c r="AG285" s="55"/>
      <c r="AH285" s="55">
        <v>21077.88</v>
      </c>
      <c r="AI285" s="8" t="str">
        <f t="array" ref="AI285">XLOOKUP($J285,'AP Plants'!D:D,'AP Plants'!B:B)</f>
        <v>Class 2</v>
      </c>
      <c r="AJ285" s="56">
        <f>(AH285*(1+VLOOKUP(M285,'Currency &amp; Conversion'!$F$13:$H$19,2,0))*'Currency &amp; Conversion'!$L$4)+((AE285+AF285)*90%)</f>
        <v>33460.8373</v>
      </c>
      <c r="AK285" s="56"/>
      <c r="AL285" s="49">
        <v>0.015</v>
      </c>
      <c r="AM285" s="49">
        <f t="array" ref="AM285">XLOOKUP($AI285,Warranty!B:B,Warranty!E:E)</f>
        <v>0.015</v>
      </c>
      <c r="AN285" s="8">
        <f>IF($L285="AUD",VLOOKUP(RIGHT('Wk - Margins'!$J285,3),'AU Freight'!C:G,5,0),0)</f>
        <v>3480</v>
      </c>
      <c r="AO285" s="49">
        <f t="shared" si="11"/>
        <v>0</v>
      </c>
      <c r="AP285" s="63">
        <f t="shared" si="12"/>
        <v>37944.66242</v>
      </c>
      <c r="AQ285" s="64">
        <f t="shared" si="13"/>
        <v>0.1860233218</v>
      </c>
      <c r="AR285" s="59">
        <f>IF(L285="AUD",O285*'Currency &amp; Conversion'!$L$7,'Wk - Margins'!O285)</f>
        <v>45365.18318</v>
      </c>
      <c r="AS285" s="59">
        <f>IF(L285="AUD",P285*'Currency &amp; Conversion'!$L$7,'Wk - Margins'!P285)</f>
        <v>31301.97639</v>
      </c>
    </row>
    <row r="286" ht="12.75" hidden="1" customHeight="1">
      <c r="A286" s="42" t="str">
        <f>'Input - Bookings'!A286</f>
        <v>06/06/2023</v>
      </c>
      <c r="B286" s="43" t="str">
        <f t="shared" si="1"/>
        <v>Australia</v>
      </c>
      <c r="C286" s="43" t="str">
        <f t="shared" si="2"/>
        <v>PAU</v>
      </c>
      <c r="D286" s="43" t="str">
        <f>'Input - Bookings'!D286</f>
        <v>P</v>
      </c>
      <c r="E286" s="43" t="str">
        <f>'Input - Bookings'!J286</f>
        <v>AU</v>
      </c>
      <c r="F286" s="44" t="str">
        <f>'Input - Bookings'!F286</f>
        <v>065</v>
      </c>
      <c r="G286" s="44" t="str">
        <f>'Input - Bookings'!I286</f>
        <v>ADAPT-A-LIFT GROUP (NSW)</v>
      </c>
      <c r="H286" s="44" t="str">
        <f>'Input - Bookings'!K286</f>
        <v>H34919</v>
      </c>
      <c r="I286" s="45" t="str">
        <f>VLOOKUP(H286,'Input - Bookings'!$G$2:$H$611,2,0)</f>
        <v>087585</v>
      </c>
      <c r="J286" s="44" t="str">
        <f>'Input - Bookings'!N286</f>
        <v>A406</v>
      </c>
      <c r="K286" s="44" t="str">
        <f>'Input - Bookings'!O286</f>
        <v>R1.6 406</v>
      </c>
      <c r="L286" s="44" t="str">
        <f>'Input - Bookings'!C286</f>
        <v>AUD</v>
      </c>
      <c r="M286" s="46" t="str">
        <f t="array" ref="M286">IF(L286="USD",INDEX('AP Plants'!A:A,MATCH(J286,'AP Plants'!D:D,0)),INDEX('Australia Plants'!A:A,MATCH(J286,'Australia Plants'!D:D,0)))</f>
        <v>Maximal</v>
      </c>
      <c r="N286" s="10">
        <v>1.0</v>
      </c>
      <c r="O286" s="9">
        <v>50675.0</v>
      </c>
      <c r="P286" s="9">
        <v>35596.2135</v>
      </c>
      <c r="Q286" s="47">
        <v>0.126855410499359</v>
      </c>
      <c r="R286" s="48">
        <f t="shared" si="3"/>
        <v>0.2975586877</v>
      </c>
      <c r="S286" s="49">
        <f t="shared" si="4"/>
        <v>0</v>
      </c>
      <c r="T286" s="49">
        <f t="shared" si="21"/>
        <v>0.1268554105</v>
      </c>
      <c r="U286" s="50" t="str">
        <f t="shared" si="6"/>
        <v>AOP</v>
      </c>
      <c r="V286" s="51">
        <f t="shared" si="28"/>
        <v>4515.572276</v>
      </c>
      <c r="W286" s="52" t="str">
        <f t="shared" si="8"/>
        <v>#DIV/0!</v>
      </c>
      <c r="X286" s="9" t="str">
        <f t="shared" si="25"/>
        <v>#DIV/0!</v>
      </c>
      <c r="Y286" s="8"/>
      <c r="Z286" s="8"/>
      <c r="AA286" s="8"/>
      <c r="AB286" s="8" t="str">
        <f t="shared" si="10"/>
        <v>PAUH34919R1.6 406</v>
      </c>
      <c r="AC286" s="8" t="str">
        <f>IF(AB286='Input - Bookings'!S283,"OK","Check")</f>
        <v>Check</v>
      </c>
      <c r="AD286" s="53"/>
      <c r="AE286" s="54"/>
      <c r="AF286" s="54"/>
      <c r="AG286" s="55"/>
      <c r="AH286" s="55"/>
      <c r="AI286" s="8" t="str">
        <f t="array" ref="AI286">XLOOKUP($J286,'AP Plants'!D:D,'AP Plants'!B:B)</f>
        <v>Class 2</v>
      </c>
      <c r="AJ286" s="56"/>
      <c r="AK286" s="56"/>
      <c r="AL286" s="49">
        <v>0.015</v>
      </c>
      <c r="AM286" s="49">
        <f t="array" ref="AM286">XLOOKUP($AI286,Warranty!B:B,Warranty!E:E)</f>
        <v>0.015</v>
      </c>
      <c r="AN286" s="8">
        <f>IF($L286="AUD",VLOOKUP(RIGHT('Wk - Margins'!$J286,3),'AU Freight'!C:G,5,0),0)</f>
        <v>2000</v>
      </c>
      <c r="AO286" s="49">
        <f t="shared" si="11"/>
        <v>0</v>
      </c>
      <c r="AP286" s="63">
        <f t="shared" si="12"/>
        <v>2000</v>
      </c>
      <c r="AQ286" s="58">
        <f t="shared" si="13"/>
        <v>0.9438142487</v>
      </c>
      <c r="AR286" s="59">
        <f>IF(L286="AUD",O286*'Currency &amp; Conversion'!$L$7,'Wk - Margins'!O286)</f>
        <v>34027.24478</v>
      </c>
      <c r="AS286" s="59">
        <f>IF(L286="AUD",P286*'Currency &amp; Conversion'!$L$7,'Wk - Margins'!P286)</f>
        <v>23902.14248</v>
      </c>
    </row>
    <row r="287" ht="12.75" hidden="1" customHeight="1">
      <c r="A287" s="42" t="str">
        <f>'Input - Bookings'!A287</f>
        <v>12/06/2023</v>
      </c>
      <c r="B287" s="43" t="str">
        <f t="shared" si="1"/>
        <v>Australia</v>
      </c>
      <c r="C287" s="43" t="str">
        <f t="shared" si="2"/>
        <v>PAU</v>
      </c>
      <c r="D287" s="43" t="str">
        <f>'Input - Bookings'!D287</f>
        <v>P</v>
      </c>
      <c r="E287" s="43" t="str">
        <f>'Input - Bookings'!J287</f>
        <v>AU</v>
      </c>
      <c r="F287" s="44" t="str">
        <f>'Input - Bookings'!F287</f>
        <v>067</v>
      </c>
      <c r="G287" s="44" t="str">
        <f>'Input - Bookings'!I287</f>
        <v>RIVERINA L/TRUCKS (YALE)</v>
      </c>
      <c r="H287" s="44" t="str">
        <f>'Input - Bookings'!K287</f>
        <v>H35891</v>
      </c>
      <c r="I287" s="45" t="str">
        <f>VLOOKUP(H287,'Input - Bookings'!$G$2:$H$611,2,0)</f>
        <v>053665</v>
      </c>
      <c r="J287" s="44" t="str">
        <f>'Input - Bookings'!N287</f>
        <v>D871</v>
      </c>
      <c r="K287" s="44" t="str">
        <f>'Input - Bookings'!O287</f>
        <v>GP25MX</v>
      </c>
      <c r="L287" s="44" t="str">
        <f>'Input - Bookings'!C287</f>
        <v>AUD</v>
      </c>
      <c r="M287" s="46" t="str">
        <f t="array" ref="M287">IF(L287="USD",INDEX('AP Plants'!A:A,MATCH(J287,'AP Plants'!D:D,0)),INDEX('Australia Plants'!A:A,MATCH(J287,'Australia Plants'!D:D,0)))</f>
        <v>SN</v>
      </c>
      <c r="N287" s="10">
        <v>1.0</v>
      </c>
      <c r="O287" s="9">
        <v>42960.0</v>
      </c>
      <c r="P287" s="9">
        <v>33041.95</v>
      </c>
      <c r="Q287" s="47">
        <v>0.10469470379217749</v>
      </c>
      <c r="R287" s="48">
        <f t="shared" si="3"/>
        <v>0.2308670857</v>
      </c>
      <c r="S287" s="49">
        <f t="shared" si="4"/>
        <v>0</v>
      </c>
      <c r="T287" s="49">
        <f t="shared" si="21"/>
        <v>0.1046947038</v>
      </c>
      <c r="U287" s="50" t="str">
        <f t="shared" si="6"/>
        <v>AOP</v>
      </c>
      <c r="V287" s="51">
        <f t="shared" si="28"/>
        <v>3459.317168</v>
      </c>
      <c r="W287" s="52" t="str">
        <f t="shared" si="8"/>
        <v>#DIV/0!</v>
      </c>
      <c r="X287" s="9" t="str">
        <f t="shared" si="25"/>
        <v>#DIV/0!</v>
      </c>
      <c r="Y287" s="8"/>
      <c r="Z287" s="8"/>
      <c r="AA287" s="8"/>
      <c r="AB287" s="8" t="str">
        <f t="shared" si="10"/>
        <v>PAUH35891GP25MX</v>
      </c>
      <c r="AC287" s="8" t="str">
        <f>IF(AB287='Input - Bookings'!S284,"OK","Check")</f>
        <v>Check</v>
      </c>
      <c r="AD287" s="53"/>
      <c r="AE287" s="54"/>
      <c r="AF287" s="54"/>
      <c r="AG287" s="55"/>
      <c r="AH287" s="55"/>
      <c r="AI287" s="8" t="str">
        <f t="array" ref="AI287">XLOOKUP($J287,'AP Plants'!D:D,'AP Plants'!B:B)</f>
        <v>Class 5 NOT BT</v>
      </c>
      <c r="AJ287" s="56"/>
      <c r="AK287" s="56"/>
      <c r="AL287" s="49">
        <v>0.015</v>
      </c>
      <c r="AM287" s="49">
        <f t="array" ref="AM287">XLOOKUP($AI287,Warranty!B:B,Warranty!E:E)</f>
        <v>0.005</v>
      </c>
      <c r="AN287" s="8">
        <f>IF($L287="AUD",VLOOKUP(RIGHT('Wk - Margins'!$J287,3),'AU Freight'!C:G,5,0),0)</f>
        <v>2130</v>
      </c>
      <c r="AO287" s="49">
        <f t="shared" si="11"/>
        <v>0</v>
      </c>
      <c r="AP287" s="63">
        <f t="shared" si="12"/>
        <v>2130</v>
      </c>
      <c r="AQ287" s="58">
        <f t="shared" si="13"/>
        <v>0.9355364922</v>
      </c>
      <c r="AR287" s="59">
        <f>IF(L287="AUD",O287*'Currency &amp; Conversion'!$L$7,'Wk - Margins'!O287)</f>
        <v>28846.77722</v>
      </c>
      <c r="AS287" s="59">
        <f>IF(L287="AUD",P287*'Currency &amp; Conversion'!$L$7,'Wk - Margins'!P287)</f>
        <v>22187.00584</v>
      </c>
    </row>
    <row r="288" ht="12.75" hidden="1" customHeight="1">
      <c r="A288" s="42" t="str">
        <f>'Input - Bookings'!A288</f>
        <v>12/06/2023</v>
      </c>
      <c r="B288" s="43" t="str">
        <f t="shared" si="1"/>
        <v>Australia</v>
      </c>
      <c r="C288" s="43" t="str">
        <f t="shared" si="2"/>
        <v>PAU</v>
      </c>
      <c r="D288" s="43" t="str">
        <f>'Input - Bookings'!D288</f>
        <v>P</v>
      </c>
      <c r="E288" s="43" t="str">
        <f>'Input - Bookings'!J288</f>
        <v>AU</v>
      </c>
      <c r="F288" s="44" t="str">
        <f>'Input - Bookings'!F288</f>
        <v>067</v>
      </c>
      <c r="G288" s="44" t="str">
        <f>'Input - Bookings'!I288</f>
        <v>RIVERINA L/TRUCKS (YALE)</v>
      </c>
      <c r="H288" s="44" t="str">
        <f>'Input - Bookings'!K288</f>
        <v>H35892</v>
      </c>
      <c r="I288" s="45" t="str">
        <f>VLOOKUP(H288,'Input - Bookings'!$G$2:$H$611,2,0)</f>
        <v>053665</v>
      </c>
      <c r="J288" s="44" t="str">
        <f>'Input - Bookings'!N288</f>
        <v>D871</v>
      </c>
      <c r="K288" s="44" t="str">
        <f>'Input - Bookings'!O288</f>
        <v>GP25MX</v>
      </c>
      <c r="L288" s="44" t="str">
        <f>'Input - Bookings'!C288</f>
        <v>AUD</v>
      </c>
      <c r="M288" s="46" t="str">
        <f t="array" ref="M288">IF(L288="USD",INDEX('AP Plants'!A:A,MATCH(J288,'AP Plants'!D:D,0)),INDEX('Australia Plants'!A:A,MATCH(J288,'Australia Plants'!D:D,0)))</f>
        <v>SN</v>
      </c>
      <c r="N288" s="10">
        <v>1.0</v>
      </c>
      <c r="O288" s="9">
        <v>42960.0</v>
      </c>
      <c r="P288" s="9">
        <v>33041.95</v>
      </c>
      <c r="Q288" s="47">
        <v>0.10469470379217749</v>
      </c>
      <c r="R288" s="48">
        <f t="shared" si="3"/>
        <v>0.2308670857</v>
      </c>
      <c r="S288" s="49">
        <f t="shared" si="4"/>
        <v>0</v>
      </c>
      <c r="T288" s="49">
        <f t="shared" si="21"/>
        <v>0.1046947038</v>
      </c>
      <c r="U288" s="50" t="str">
        <f t="shared" si="6"/>
        <v>AOP</v>
      </c>
      <c r="V288" s="51">
        <f t="shared" si="28"/>
        <v>3459.317168</v>
      </c>
      <c r="W288" s="52" t="str">
        <f t="shared" si="8"/>
        <v>#DIV/0!</v>
      </c>
      <c r="X288" s="9" t="str">
        <f t="shared" si="25"/>
        <v>#DIV/0!</v>
      </c>
      <c r="Y288" s="8"/>
      <c r="Z288" s="8"/>
      <c r="AA288" s="8"/>
      <c r="AB288" s="8" t="str">
        <f t="shared" si="10"/>
        <v>PAUH35892GP25MX</v>
      </c>
      <c r="AC288" s="8" t="str">
        <f>IF(AB288='Input - Bookings'!S285,"OK","Check")</f>
        <v>Check</v>
      </c>
      <c r="AD288" s="53"/>
      <c r="AE288" s="54"/>
      <c r="AF288" s="54"/>
      <c r="AG288" s="55"/>
      <c r="AH288" s="55"/>
      <c r="AI288" s="8" t="str">
        <f t="array" ref="AI288">XLOOKUP($J288,'AP Plants'!D:D,'AP Plants'!B:B)</f>
        <v>Class 5 NOT BT</v>
      </c>
      <c r="AJ288" s="56"/>
      <c r="AK288" s="56"/>
      <c r="AL288" s="49">
        <v>0.015</v>
      </c>
      <c r="AM288" s="49">
        <f t="array" ref="AM288">XLOOKUP($AI288,Warranty!B:B,Warranty!E:E)</f>
        <v>0.005</v>
      </c>
      <c r="AN288" s="8">
        <f>IF($L288="AUD",VLOOKUP(RIGHT('Wk - Margins'!$J288,3),'AU Freight'!C:G,5,0),0)</f>
        <v>2130</v>
      </c>
      <c r="AO288" s="49">
        <f t="shared" si="11"/>
        <v>0</v>
      </c>
      <c r="AP288" s="63">
        <f t="shared" si="12"/>
        <v>2130</v>
      </c>
      <c r="AQ288" s="58">
        <f t="shared" si="13"/>
        <v>0.9355364922</v>
      </c>
      <c r="AR288" s="59">
        <f>IF(L288="AUD",O288*'Currency &amp; Conversion'!$L$7,'Wk - Margins'!O288)</f>
        <v>28846.77722</v>
      </c>
      <c r="AS288" s="59">
        <f>IF(L288="AUD",P288*'Currency &amp; Conversion'!$L$7,'Wk - Margins'!P288)</f>
        <v>22187.00584</v>
      </c>
    </row>
    <row r="289" ht="12.75" hidden="1" customHeight="1">
      <c r="A289" s="42" t="str">
        <f>'Input - Bookings'!A289</f>
        <v>12/06/2023</v>
      </c>
      <c r="B289" s="43" t="str">
        <f t="shared" si="1"/>
        <v>Australia</v>
      </c>
      <c r="C289" s="43" t="str">
        <f t="shared" si="2"/>
        <v>PAU</v>
      </c>
      <c r="D289" s="43" t="str">
        <f>'Input - Bookings'!D289</f>
        <v>P</v>
      </c>
      <c r="E289" s="43" t="str">
        <f>'Input - Bookings'!J289</f>
        <v>AU</v>
      </c>
      <c r="F289" s="44" t="str">
        <f>'Input - Bookings'!F289</f>
        <v>067</v>
      </c>
      <c r="G289" s="44" t="str">
        <f>'Input - Bookings'!I289</f>
        <v>RIVERINA L/TRUCKS (YALE)</v>
      </c>
      <c r="H289" s="44" t="str">
        <f>'Input - Bookings'!K289</f>
        <v>H35893</v>
      </c>
      <c r="I289" s="45" t="str">
        <f>VLOOKUP(H289,'Input - Bookings'!$G$2:$H$611,2,0)</f>
        <v>053665</v>
      </c>
      <c r="J289" s="44" t="str">
        <f>'Input - Bookings'!N289</f>
        <v>D871</v>
      </c>
      <c r="K289" s="44" t="str">
        <f>'Input - Bookings'!O289</f>
        <v>GP25MX</v>
      </c>
      <c r="L289" s="44" t="str">
        <f>'Input - Bookings'!C289</f>
        <v>AUD</v>
      </c>
      <c r="M289" s="46" t="str">
        <f t="array" ref="M289">IF(L289="USD",INDEX('AP Plants'!A:A,MATCH(J289,'AP Plants'!D:D,0)),INDEX('Australia Plants'!A:A,MATCH(J289,'Australia Plants'!D:D,0)))</f>
        <v>SN</v>
      </c>
      <c r="N289" s="10">
        <v>1.0</v>
      </c>
      <c r="O289" s="9">
        <v>42960.0</v>
      </c>
      <c r="P289" s="9">
        <v>33041.95</v>
      </c>
      <c r="Q289" s="47">
        <v>0.10469470379217749</v>
      </c>
      <c r="R289" s="48">
        <f t="shared" si="3"/>
        <v>0.2308670857</v>
      </c>
      <c r="S289" s="49">
        <f t="shared" si="4"/>
        <v>0</v>
      </c>
      <c r="T289" s="49">
        <f t="shared" si="21"/>
        <v>0.1046947038</v>
      </c>
      <c r="U289" s="50" t="str">
        <f t="shared" si="6"/>
        <v>AOP</v>
      </c>
      <c r="V289" s="51">
        <f t="shared" si="28"/>
        <v>3459.317168</v>
      </c>
      <c r="W289" s="52" t="str">
        <f t="shared" si="8"/>
        <v>#DIV/0!</v>
      </c>
      <c r="X289" s="9" t="str">
        <f t="shared" si="25"/>
        <v>#DIV/0!</v>
      </c>
      <c r="Y289" s="8"/>
      <c r="Z289" s="8"/>
      <c r="AA289" s="8"/>
      <c r="AB289" s="8" t="str">
        <f t="shared" si="10"/>
        <v>PAUH35893GP25MX</v>
      </c>
      <c r="AC289" s="8" t="str">
        <f>IF(AB289='Input - Bookings'!S286,"OK","Check")</f>
        <v>Check</v>
      </c>
      <c r="AD289" s="53"/>
      <c r="AE289" s="54"/>
      <c r="AF289" s="54"/>
      <c r="AG289" s="55"/>
      <c r="AH289" s="55"/>
      <c r="AI289" s="8" t="str">
        <f t="array" ref="AI289">XLOOKUP($J289,'AP Plants'!D:D,'AP Plants'!B:B)</f>
        <v>Class 5 NOT BT</v>
      </c>
      <c r="AJ289" s="56"/>
      <c r="AK289" s="56"/>
      <c r="AL289" s="49">
        <v>0.015</v>
      </c>
      <c r="AM289" s="49">
        <f t="array" ref="AM289">XLOOKUP($AI289,Warranty!B:B,Warranty!E:E)</f>
        <v>0.005</v>
      </c>
      <c r="AN289" s="8">
        <f>IF($L289="AUD",VLOOKUP(RIGHT('Wk - Margins'!$J289,3),'AU Freight'!C:G,5,0),0)</f>
        <v>2130</v>
      </c>
      <c r="AO289" s="49">
        <f t="shared" si="11"/>
        <v>0</v>
      </c>
      <c r="AP289" s="63">
        <f t="shared" si="12"/>
        <v>2130</v>
      </c>
      <c r="AQ289" s="58">
        <f t="shared" si="13"/>
        <v>0.9355364922</v>
      </c>
      <c r="AR289" s="59">
        <f>IF(L289="AUD",O289*'Currency &amp; Conversion'!$L$7,'Wk - Margins'!O289)</f>
        <v>28846.77722</v>
      </c>
      <c r="AS289" s="59">
        <f>IF(L289="AUD",P289*'Currency &amp; Conversion'!$L$7,'Wk - Margins'!P289)</f>
        <v>22187.00584</v>
      </c>
    </row>
    <row r="290" ht="12.75" hidden="1" customHeight="1">
      <c r="A290" s="42" t="str">
        <f>'Input - Bookings'!A290</f>
        <v>12/06/2023</v>
      </c>
      <c r="B290" s="43" t="str">
        <f t="shared" si="1"/>
        <v>Australia</v>
      </c>
      <c r="C290" s="43" t="str">
        <f t="shared" si="2"/>
        <v>PAU</v>
      </c>
      <c r="D290" s="43" t="str">
        <f>'Input - Bookings'!D290</f>
        <v>P</v>
      </c>
      <c r="E290" s="43" t="str">
        <f>'Input - Bookings'!J290</f>
        <v>AU</v>
      </c>
      <c r="F290" s="44" t="str">
        <f>'Input - Bookings'!F290</f>
        <v>067</v>
      </c>
      <c r="G290" s="44" t="str">
        <f>'Input - Bookings'!I290</f>
        <v>RIVERINA L/TRUCKS (YALE)</v>
      </c>
      <c r="H290" s="44" t="str">
        <f>'Input - Bookings'!K290</f>
        <v>H35894</v>
      </c>
      <c r="I290" s="45" t="str">
        <f>VLOOKUP(H290,'Input - Bookings'!$G$2:$H$611,2,0)</f>
        <v>053665</v>
      </c>
      <c r="J290" s="44" t="str">
        <f>'Input - Bookings'!N290</f>
        <v>D871</v>
      </c>
      <c r="K290" s="44" t="str">
        <f>'Input - Bookings'!O290</f>
        <v>GP25MX</v>
      </c>
      <c r="L290" s="44" t="str">
        <f>'Input - Bookings'!C290</f>
        <v>AUD</v>
      </c>
      <c r="M290" s="46" t="str">
        <f t="array" ref="M290">IF(L290="USD",INDEX('AP Plants'!A:A,MATCH(J290,'AP Plants'!D:D,0)),INDEX('Australia Plants'!A:A,MATCH(J290,'Australia Plants'!D:D,0)))</f>
        <v>SN</v>
      </c>
      <c r="N290" s="10">
        <v>1.0</v>
      </c>
      <c r="O290" s="9">
        <v>40335.0</v>
      </c>
      <c r="P290" s="9">
        <v>31067.624999999996</v>
      </c>
      <c r="Q290" s="47">
        <v>0.08530551880558013</v>
      </c>
      <c r="R290" s="48">
        <f t="shared" si="3"/>
        <v>0.2297601339</v>
      </c>
      <c r="S290" s="49">
        <f t="shared" si="4"/>
        <v>0</v>
      </c>
      <c r="T290" s="49">
        <f t="shared" si="21"/>
        <v>0.08530551881</v>
      </c>
      <c r="U290" s="50" t="str">
        <f t="shared" si="6"/>
        <v>AOP</v>
      </c>
      <c r="V290" s="51">
        <f t="shared" si="28"/>
        <v>2650.239869</v>
      </c>
      <c r="W290" s="52" t="str">
        <f t="shared" si="8"/>
        <v>#DIV/0!</v>
      </c>
      <c r="X290" s="9" t="str">
        <f t="shared" si="25"/>
        <v>#DIV/0!</v>
      </c>
      <c r="Y290" s="8"/>
      <c r="Z290" s="8"/>
      <c r="AA290" s="8"/>
      <c r="AB290" s="8" t="str">
        <f t="shared" si="10"/>
        <v>PAUH35894GP25MX</v>
      </c>
      <c r="AC290" s="8" t="str">
        <f>IF(AB290='Input - Bookings'!S287,"OK","Check")</f>
        <v>Check</v>
      </c>
      <c r="AD290" s="53"/>
      <c r="AE290" s="54"/>
      <c r="AF290" s="54"/>
      <c r="AG290" s="55"/>
      <c r="AH290" s="62"/>
      <c r="AI290" s="8" t="str">
        <f t="array" ref="AI290">XLOOKUP($J290,'AP Plants'!D:D,'AP Plants'!B:B)</f>
        <v>Class 5 NOT BT</v>
      </c>
      <c r="AJ290" s="56"/>
      <c r="AK290" s="56"/>
      <c r="AL290" s="49">
        <v>0.015</v>
      </c>
      <c r="AM290" s="49">
        <f t="array" ref="AM290">XLOOKUP($AI290,Warranty!B:B,Warranty!E:E)</f>
        <v>0.005</v>
      </c>
      <c r="AN290" s="8">
        <f>IF($L290="AUD",VLOOKUP(RIGHT('Wk - Margins'!$J290,3),'AU Freight'!C:G,5,0),0)</f>
        <v>2130</v>
      </c>
      <c r="AO290" s="49">
        <f t="shared" si="11"/>
        <v>0</v>
      </c>
      <c r="AP290" s="63">
        <f t="shared" si="12"/>
        <v>2130</v>
      </c>
      <c r="AQ290" s="58">
        <f t="shared" si="13"/>
        <v>0.9314398832</v>
      </c>
      <c r="AR290" s="59">
        <f>IF(L290="AUD",O290*'Currency &amp; Conversion'!$L$7,'Wk - Margins'!O290)</f>
        <v>27084.14244</v>
      </c>
      <c r="AS290" s="59">
        <f>IF(L290="AUD",P290*'Currency &amp; Conversion'!$L$7,'Wk - Margins'!P290)</f>
        <v>20861.28625</v>
      </c>
    </row>
    <row r="291" ht="12.75" hidden="1" customHeight="1">
      <c r="A291" s="42" t="str">
        <f>'Input - Bookings'!A291</f>
        <v>12/06/2023</v>
      </c>
      <c r="B291" s="43" t="str">
        <f t="shared" si="1"/>
        <v>Australia</v>
      </c>
      <c r="C291" s="43" t="str">
        <f t="shared" si="2"/>
        <v>PAU</v>
      </c>
      <c r="D291" s="43" t="str">
        <f>'Input - Bookings'!D291</f>
        <v>P</v>
      </c>
      <c r="E291" s="43" t="str">
        <f>'Input - Bookings'!J291</f>
        <v>AU</v>
      </c>
      <c r="F291" s="44" t="str">
        <f>'Input - Bookings'!F291</f>
        <v>067</v>
      </c>
      <c r="G291" s="44" t="str">
        <f>'Input - Bookings'!I291</f>
        <v>RIVERINA L/TRUCKS (YALE)</v>
      </c>
      <c r="H291" s="44" t="str">
        <f>'Input - Bookings'!K291</f>
        <v>H35895</v>
      </c>
      <c r="I291" s="45" t="str">
        <f>VLOOKUP(H291,'Input - Bookings'!$G$2:$H$611,2,0)</f>
        <v>053665</v>
      </c>
      <c r="J291" s="44" t="str">
        <f>'Input - Bookings'!N291</f>
        <v>D871</v>
      </c>
      <c r="K291" s="44" t="str">
        <f>'Input - Bookings'!O291</f>
        <v>GP25MX</v>
      </c>
      <c r="L291" s="44" t="str">
        <f>'Input - Bookings'!C291</f>
        <v>AUD</v>
      </c>
      <c r="M291" s="46" t="str">
        <f t="array" ref="M291">IF(L291="USD",INDEX('AP Plants'!A:A,MATCH(J291,'AP Plants'!D:D,0)),INDEX('Australia Plants'!A:A,MATCH(J291,'Australia Plants'!D:D,0)))</f>
        <v>SN</v>
      </c>
      <c r="N291" s="10">
        <v>1.0</v>
      </c>
      <c r="O291" s="9">
        <v>40335.0</v>
      </c>
      <c r="P291" s="9">
        <v>31067.624999999996</v>
      </c>
      <c r="Q291" s="47">
        <v>0.08530551880558013</v>
      </c>
      <c r="R291" s="48">
        <f t="shared" si="3"/>
        <v>0.2297601339</v>
      </c>
      <c r="S291" s="49">
        <f t="shared" si="4"/>
        <v>0</v>
      </c>
      <c r="T291" s="49">
        <f t="shared" si="21"/>
        <v>0.08530551881</v>
      </c>
      <c r="U291" s="50" t="str">
        <f t="shared" si="6"/>
        <v>AOP</v>
      </c>
      <c r="V291" s="51">
        <f t="shared" si="28"/>
        <v>2650.239869</v>
      </c>
      <c r="W291" s="52" t="str">
        <f t="shared" si="8"/>
        <v>#DIV/0!</v>
      </c>
      <c r="X291" s="9" t="str">
        <f t="shared" si="25"/>
        <v>#DIV/0!</v>
      </c>
      <c r="Y291" s="8"/>
      <c r="Z291" s="8"/>
      <c r="AA291" s="8"/>
      <c r="AB291" s="8" t="str">
        <f t="shared" si="10"/>
        <v>PAUH35895GP25MX</v>
      </c>
      <c r="AC291" s="8" t="str">
        <f>IF(AB291='Input - Bookings'!S288,"OK","Check")</f>
        <v>Check</v>
      </c>
      <c r="AD291" s="53"/>
      <c r="AE291" s="54"/>
      <c r="AF291" s="54"/>
      <c r="AG291" s="55"/>
      <c r="AH291" s="62"/>
      <c r="AI291" s="8" t="str">
        <f t="array" ref="AI291">XLOOKUP($J291,'AP Plants'!D:D,'AP Plants'!B:B)</f>
        <v>Class 5 NOT BT</v>
      </c>
      <c r="AJ291" s="56"/>
      <c r="AK291" s="56"/>
      <c r="AL291" s="49">
        <v>0.015</v>
      </c>
      <c r="AM291" s="49">
        <f t="array" ref="AM291">XLOOKUP($AI291,Warranty!B:B,Warranty!E:E)</f>
        <v>0.005</v>
      </c>
      <c r="AN291" s="8">
        <f>IF($L291="AUD",VLOOKUP(RIGHT('Wk - Margins'!$J291,3),'AU Freight'!C:G,5,0),0)</f>
        <v>2130</v>
      </c>
      <c r="AO291" s="49">
        <f t="shared" si="11"/>
        <v>0</v>
      </c>
      <c r="AP291" s="63">
        <f t="shared" si="12"/>
        <v>2130</v>
      </c>
      <c r="AQ291" s="58">
        <f t="shared" si="13"/>
        <v>0.9314398832</v>
      </c>
      <c r="AR291" s="59">
        <f>IF(L291="AUD",O291*'Currency &amp; Conversion'!$L$7,'Wk - Margins'!O291)</f>
        <v>27084.14244</v>
      </c>
      <c r="AS291" s="59">
        <f>IF(L291="AUD",P291*'Currency &amp; Conversion'!$L$7,'Wk - Margins'!P291)</f>
        <v>20861.28625</v>
      </c>
    </row>
    <row r="292" ht="12.75" hidden="1" customHeight="1">
      <c r="A292" s="42" t="str">
        <f>'Input - Bookings'!A292</f>
        <v>13/06/2023</v>
      </c>
      <c r="B292" s="43" t="str">
        <f t="shared" si="1"/>
        <v>Australia</v>
      </c>
      <c r="C292" s="43" t="str">
        <f t="shared" si="2"/>
        <v>PAU</v>
      </c>
      <c r="D292" s="43" t="str">
        <f>'Input - Bookings'!D292</f>
        <v>P</v>
      </c>
      <c r="E292" s="43" t="str">
        <f>'Input - Bookings'!J292</f>
        <v>AU</v>
      </c>
      <c r="F292" s="44" t="str">
        <f>'Input - Bookings'!F292</f>
        <v>065</v>
      </c>
      <c r="G292" s="44" t="str">
        <f>'Input - Bookings'!I292</f>
        <v>COLES SUPERMARKETS</v>
      </c>
      <c r="H292" s="45" t="str">
        <f>'Input - Bookings'!K292</f>
        <v>H35897</v>
      </c>
      <c r="I292" s="45" t="str">
        <f>VLOOKUP(H292,'Input - Bookings'!$G$2:$H$611,2,0)</f>
        <v>065005</v>
      </c>
      <c r="J292" s="44" t="str">
        <f>'Input - Bookings'!N292</f>
        <v>A6W9</v>
      </c>
      <c r="K292" s="44" t="str">
        <f>'Input - Bookings'!O292</f>
        <v>PC1.5</v>
      </c>
      <c r="L292" s="44" t="str">
        <f>'Input - Bookings'!C292</f>
        <v>AUD</v>
      </c>
      <c r="M292" s="46" t="str">
        <f t="array" ref="M292">IF(L292="USD",INDEX('AP Plants'!A:A,MATCH(J292,'AP Plants'!D:D,0)),INDEX('Australia Plants'!A:A,MATCH(J292,'Australia Plants'!D:D,0)))</f>
        <v>Staxx</v>
      </c>
      <c r="N292" s="10">
        <v>1.0</v>
      </c>
      <c r="O292" s="9">
        <v>2140.0</v>
      </c>
      <c r="P292" s="9">
        <v>1712.0</v>
      </c>
      <c r="Q292" s="47">
        <v>0.36725810191223773</v>
      </c>
      <c r="R292" s="48">
        <f t="shared" si="3"/>
        <v>0.2</v>
      </c>
      <c r="S292" s="49">
        <f t="shared" si="4"/>
        <v>0</v>
      </c>
      <c r="T292" s="49">
        <f t="shared" si="21"/>
        <v>0.3672581019</v>
      </c>
      <c r="U292" s="50" t="str">
        <f t="shared" si="6"/>
        <v>AOP</v>
      </c>
      <c r="V292" s="51">
        <f t="shared" si="28"/>
        <v>628.7458705</v>
      </c>
      <c r="W292" s="52" t="str">
        <f t="shared" si="8"/>
        <v>#DIV/0!</v>
      </c>
      <c r="X292" s="9" t="str">
        <f t="shared" si="25"/>
        <v>#DIV/0!</v>
      </c>
      <c r="Y292" s="8"/>
      <c r="Z292" s="8"/>
      <c r="AA292" s="8"/>
      <c r="AB292" s="8" t="str">
        <f t="shared" si="10"/>
        <v>PAUH35897PC1.5</v>
      </c>
      <c r="AC292" s="8" t="str">
        <f>IF(AB292='Input - Bookings'!S289,"OK","Check")</f>
        <v>Check</v>
      </c>
      <c r="AD292" s="60"/>
      <c r="AE292" s="54"/>
      <c r="AF292" s="54"/>
      <c r="AG292" s="55">
        <f t="shared" ref="AG292:AG321" si="41">608.025825768347+33</f>
        <v>641.0258258</v>
      </c>
      <c r="AH292" s="62"/>
      <c r="AI292" s="8" t="str">
        <f t="array" ref="AI292">XLOOKUP($J292,'AP Plants'!D:D,'AP Plants'!B:B)</f>
        <v>Class 3</v>
      </c>
      <c r="AJ292" s="56">
        <f>(AG292*'Currency &amp; Conversion'!$L$6)</f>
        <v>954.6156597</v>
      </c>
      <c r="AK292" s="56"/>
      <c r="AL292" s="49">
        <v>0.015</v>
      </c>
      <c r="AM292" s="49">
        <f t="array" ref="AM292">XLOOKUP($AI292,Warranty!B:B,Warranty!E:E)</f>
        <v>0.015</v>
      </c>
      <c r="AN292" s="8">
        <f>IF($L292="AUD",VLOOKUP(RIGHT('Wk - Margins'!$J292,3),'AU Freight'!C:G,5,0),0)</f>
        <v>100</v>
      </c>
      <c r="AO292" s="49">
        <f t="shared" si="11"/>
        <v>0</v>
      </c>
      <c r="AP292" s="63">
        <f t="shared" si="12"/>
        <v>1083.25413</v>
      </c>
      <c r="AQ292" s="58">
        <f t="shared" si="13"/>
        <v>0.3672581019</v>
      </c>
      <c r="AR292" s="59">
        <f>IF(L292="AUD",O292*'Currency &amp; Conversion'!$L$7,'Wk - Margins'!O292)</f>
        <v>1436.967022</v>
      </c>
      <c r="AS292" s="59">
        <f>IF(L292="AUD",P292*'Currency &amp; Conversion'!$L$7,'Wk - Margins'!P292)</f>
        <v>1149.573618</v>
      </c>
    </row>
    <row r="293" ht="12.75" hidden="1" customHeight="1">
      <c r="A293" s="42" t="str">
        <f>'Input - Bookings'!A293</f>
        <v>13/06/2023</v>
      </c>
      <c r="B293" s="43" t="str">
        <f t="shared" si="1"/>
        <v>Australia</v>
      </c>
      <c r="C293" s="43" t="str">
        <f t="shared" si="2"/>
        <v>PAU</v>
      </c>
      <c r="D293" s="43" t="str">
        <f>'Input - Bookings'!D293</f>
        <v>P</v>
      </c>
      <c r="E293" s="43" t="str">
        <f>'Input - Bookings'!J293</f>
        <v>AU</v>
      </c>
      <c r="F293" s="44" t="str">
        <f>'Input - Bookings'!F293</f>
        <v>065</v>
      </c>
      <c r="G293" s="44" t="str">
        <f>'Input - Bookings'!I293</f>
        <v>COLES SUPERMARKETS</v>
      </c>
      <c r="H293" s="45" t="str">
        <f>'Input - Bookings'!K293</f>
        <v>H35898</v>
      </c>
      <c r="I293" s="45" t="str">
        <f>VLOOKUP(H293,'Input - Bookings'!$G$2:$H$611,2,0)</f>
        <v>065005</v>
      </c>
      <c r="J293" s="44" t="str">
        <f>'Input - Bookings'!N293</f>
        <v>A6W9</v>
      </c>
      <c r="K293" s="44" t="str">
        <f>'Input - Bookings'!O293</f>
        <v>PC1.5</v>
      </c>
      <c r="L293" s="44" t="str">
        <f>'Input - Bookings'!C293</f>
        <v>AUD</v>
      </c>
      <c r="M293" s="46" t="str">
        <f t="array" ref="M293">IF(L293="USD",INDEX('AP Plants'!A:A,MATCH(J293,'AP Plants'!D:D,0)),INDEX('Australia Plants'!A:A,MATCH(J293,'Australia Plants'!D:D,0)))</f>
        <v>Staxx</v>
      </c>
      <c r="N293" s="10">
        <v>1.0</v>
      </c>
      <c r="O293" s="9">
        <v>2140.0</v>
      </c>
      <c r="P293" s="9">
        <v>1712.0</v>
      </c>
      <c r="Q293" s="47">
        <v>0.36725810191223773</v>
      </c>
      <c r="R293" s="48">
        <f t="shared" si="3"/>
        <v>0.2</v>
      </c>
      <c r="S293" s="49">
        <f t="shared" si="4"/>
        <v>0</v>
      </c>
      <c r="T293" s="49">
        <f t="shared" si="21"/>
        <v>0.3672581019</v>
      </c>
      <c r="U293" s="50" t="str">
        <f t="shared" si="6"/>
        <v>AOP</v>
      </c>
      <c r="V293" s="51">
        <f t="shared" si="28"/>
        <v>628.7458705</v>
      </c>
      <c r="W293" s="52" t="str">
        <f t="shared" si="8"/>
        <v>#DIV/0!</v>
      </c>
      <c r="X293" s="9" t="str">
        <f t="shared" si="25"/>
        <v>#DIV/0!</v>
      </c>
      <c r="Y293" s="8"/>
      <c r="Z293" s="8"/>
      <c r="AA293" s="8"/>
      <c r="AB293" s="8" t="str">
        <f t="shared" si="10"/>
        <v>PAUH35898PC1.5</v>
      </c>
      <c r="AC293" s="8" t="str">
        <f>IF(AB293='Input - Bookings'!S290,"OK","Check")</f>
        <v>Check</v>
      </c>
      <c r="AD293" s="60"/>
      <c r="AE293" s="54"/>
      <c r="AF293" s="54"/>
      <c r="AG293" s="55">
        <f t="shared" si="41"/>
        <v>641.0258258</v>
      </c>
      <c r="AH293" s="62"/>
      <c r="AI293" s="8" t="str">
        <f t="array" ref="AI293">XLOOKUP($J293,'AP Plants'!D:D,'AP Plants'!B:B)</f>
        <v>Class 3</v>
      </c>
      <c r="AJ293" s="56">
        <f>(AG293*'Currency &amp; Conversion'!$L$6)</f>
        <v>954.6156597</v>
      </c>
      <c r="AK293" s="56"/>
      <c r="AL293" s="49">
        <v>0.015</v>
      </c>
      <c r="AM293" s="49">
        <f t="array" ref="AM293">XLOOKUP($AI293,Warranty!B:B,Warranty!E:E)</f>
        <v>0.015</v>
      </c>
      <c r="AN293" s="8">
        <f>IF($L293="AUD",VLOOKUP(RIGHT('Wk - Margins'!$J293,3),'AU Freight'!C:G,5,0),0)</f>
        <v>100</v>
      </c>
      <c r="AO293" s="49">
        <f t="shared" si="11"/>
        <v>0</v>
      </c>
      <c r="AP293" s="63">
        <f t="shared" si="12"/>
        <v>1083.25413</v>
      </c>
      <c r="AQ293" s="58">
        <f t="shared" si="13"/>
        <v>0.3672581019</v>
      </c>
      <c r="AR293" s="59">
        <f>IF(L293="AUD",O293*'Currency &amp; Conversion'!$L$7,'Wk - Margins'!O293)</f>
        <v>1436.967022</v>
      </c>
      <c r="AS293" s="59">
        <f>IF(L293="AUD",P293*'Currency &amp; Conversion'!$L$7,'Wk - Margins'!P293)</f>
        <v>1149.573618</v>
      </c>
    </row>
    <row r="294" ht="12.75" hidden="1" customHeight="1">
      <c r="A294" s="42" t="str">
        <f>'Input - Bookings'!A294</f>
        <v>13/06/2023</v>
      </c>
      <c r="B294" s="43" t="str">
        <f t="shared" si="1"/>
        <v>Australia</v>
      </c>
      <c r="C294" s="43" t="str">
        <f t="shared" si="2"/>
        <v>PAU</v>
      </c>
      <c r="D294" s="43" t="str">
        <f>'Input - Bookings'!D294</f>
        <v>P</v>
      </c>
      <c r="E294" s="43" t="str">
        <f>'Input - Bookings'!J294</f>
        <v>AU</v>
      </c>
      <c r="F294" s="44" t="str">
        <f>'Input - Bookings'!F294</f>
        <v>065</v>
      </c>
      <c r="G294" s="44" t="str">
        <f>'Input - Bookings'!I294</f>
        <v>COLES SUPERMARKETS</v>
      </c>
      <c r="H294" s="45" t="str">
        <f>'Input - Bookings'!K294</f>
        <v>H35899</v>
      </c>
      <c r="I294" s="45" t="str">
        <f>VLOOKUP(H294,'Input - Bookings'!$G$2:$H$611,2,0)</f>
        <v>065005</v>
      </c>
      <c r="J294" s="44" t="str">
        <f>'Input - Bookings'!N294</f>
        <v>A6W9</v>
      </c>
      <c r="K294" s="44" t="str">
        <f>'Input - Bookings'!O294</f>
        <v>PC1.5</v>
      </c>
      <c r="L294" s="44" t="str">
        <f>'Input - Bookings'!C294</f>
        <v>AUD</v>
      </c>
      <c r="M294" s="46" t="str">
        <f t="array" ref="M294">IF(L294="USD",INDEX('AP Plants'!A:A,MATCH(J294,'AP Plants'!D:D,0)),INDEX('Australia Plants'!A:A,MATCH(J294,'Australia Plants'!D:D,0)))</f>
        <v>Staxx</v>
      </c>
      <c r="N294" s="10">
        <v>1.0</v>
      </c>
      <c r="O294" s="9">
        <v>2140.0</v>
      </c>
      <c r="P294" s="9">
        <v>1712.0</v>
      </c>
      <c r="Q294" s="47">
        <v>0.36725810191223773</v>
      </c>
      <c r="R294" s="48">
        <f t="shared" si="3"/>
        <v>0.2</v>
      </c>
      <c r="S294" s="49">
        <f t="shared" si="4"/>
        <v>0</v>
      </c>
      <c r="T294" s="49">
        <f t="shared" si="21"/>
        <v>0.3672581019</v>
      </c>
      <c r="U294" s="50" t="str">
        <f t="shared" si="6"/>
        <v>AOP</v>
      </c>
      <c r="V294" s="51">
        <f t="shared" si="28"/>
        <v>628.7458705</v>
      </c>
      <c r="W294" s="52" t="str">
        <f t="shared" si="8"/>
        <v>#DIV/0!</v>
      </c>
      <c r="X294" s="9" t="str">
        <f t="shared" si="25"/>
        <v>#DIV/0!</v>
      </c>
      <c r="Y294" s="8"/>
      <c r="Z294" s="8"/>
      <c r="AA294" s="8"/>
      <c r="AB294" s="8" t="str">
        <f t="shared" si="10"/>
        <v>PAUH35899PC1.5</v>
      </c>
      <c r="AC294" s="8" t="str">
        <f>IF(AB294='Input - Bookings'!S291,"OK","Check")</f>
        <v>Check</v>
      </c>
      <c r="AD294" s="60"/>
      <c r="AE294" s="54"/>
      <c r="AF294" s="54"/>
      <c r="AG294" s="55">
        <f t="shared" si="41"/>
        <v>641.0258258</v>
      </c>
      <c r="AH294" s="62"/>
      <c r="AI294" s="8" t="str">
        <f t="array" ref="AI294">XLOOKUP($J294,'AP Plants'!D:D,'AP Plants'!B:B)</f>
        <v>Class 3</v>
      </c>
      <c r="AJ294" s="56">
        <f>(AG294*'Currency &amp; Conversion'!$L$6)</f>
        <v>954.6156597</v>
      </c>
      <c r="AK294" s="56"/>
      <c r="AL294" s="49">
        <v>0.015</v>
      </c>
      <c r="AM294" s="49">
        <f t="array" ref="AM294">XLOOKUP($AI294,Warranty!B:B,Warranty!E:E)</f>
        <v>0.015</v>
      </c>
      <c r="AN294" s="8">
        <f>IF($L294="AUD",VLOOKUP(RIGHT('Wk - Margins'!$J294,3),'AU Freight'!C:G,5,0),0)</f>
        <v>100</v>
      </c>
      <c r="AO294" s="49">
        <f t="shared" si="11"/>
        <v>0</v>
      </c>
      <c r="AP294" s="63">
        <f t="shared" si="12"/>
        <v>1083.25413</v>
      </c>
      <c r="AQ294" s="58">
        <f t="shared" si="13"/>
        <v>0.3672581019</v>
      </c>
      <c r="AR294" s="59">
        <f>IF(L294="AUD",O294*'Currency &amp; Conversion'!$L$7,'Wk - Margins'!O294)</f>
        <v>1436.967022</v>
      </c>
      <c r="AS294" s="59">
        <f>IF(L294="AUD",P294*'Currency &amp; Conversion'!$L$7,'Wk - Margins'!P294)</f>
        <v>1149.573618</v>
      </c>
    </row>
    <row r="295" ht="12.75" hidden="1" customHeight="1">
      <c r="A295" s="42" t="str">
        <f>'Input - Bookings'!A295</f>
        <v>13/06/2023</v>
      </c>
      <c r="B295" s="43" t="str">
        <f t="shared" si="1"/>
        <v>Australia</v>
      </c>
      <c r="C295" s="43" t="str">
        <f t="shared" si="2"/>
        <v>PAU</v>
      </c>
      <c r="D295" s="43" t="str">
        <f>'Input - Bookings'!D295</f>
        <v>P</v>
      </c>
      <c r="E295" s="43" t="str">
        <f>'Input - Bookings'!J295</f>
        <v>AU</v>
      </c>
      <c r="F295" s="44" t="str">
        <f>'Input - Bookings'!F295</f>
        <v>065</v>
      </c>
      <c r="G295" s="44" t="str">
        <f>'Input - Bookings'!I295</f>
        <v>COLES SUPERMARKETS</v>
      </c>
      <c r="H295" s="45" t="str">
        <f>'Input - Bookings'!K295</f>
        <v>H35900</v>
      </c>
      <c r="I295" s="45" t="str">
        <f>VLOOKUP(H295,'Input - Bookings'!$G$2:$H$611,2,0)</f>
        <v>065005</v>
      </c>
      <c r="J295" s="44" t="str">
        <f>'Input - Bookings'!N295</f>
        <v>A6W9</v>
      </c>
      <c r="K295" s="44" t="str">
        <f>'Input - Bookings'!O295</f>
        <v>PC1.5</v>
      </c>
      <c r="L295" s="44" t="str">
        <f>'Input - Bookings'!C295</f>
        <v>AUD</v>
      </c>
      <c r="M295" s="46" t="str">
        <f t="array" ref="M295">IF(L295="USD",INDEX('AP Plants'!A:A,MATCH(J295,'AP Plants'!D:D,0)),INDEX('Australia Plants'!A:A,MATCH(J295,'Australia Plants'!D:D,0)))</f>
        <v>Staxx</v>
      </c>
      <c r="N295" s="10">
        <v>1.0</v>
      </c>
      <c r="O295" s="9">
        <v>2140.0</v>
      </c>
      <c r="P295" s="9">
        <v>1712.0</v>
      </c>
      <c r="Q295" s="47">
        <v>0.36725810191223773</v>
      </c>
      <c r="R295" s="48">
        <f t="shared" si="3"/>
        <v>0.2</v>
      </c>
      <c r="S295" s="49">
        <f t="shared" si="4"/>
        <v>0</v>
      </c>
      <c r="T295" s="49">
        <f t="shared" si="21"/>
        <v>0.3672581019</v>
      </c>
      <c r="U295" s="50" t="str">
        <f t="shared" si="6"/>
        <v>AOP</v>
      </c>
      <c r="V295" s="51">
        <f t="shared" si="28"/>
        <v>628.7458705</v>
      </c>
      <c r="W295" s="52" t="str">
        <f t="shared" si="8"/>
        <v>#DIV/0!</v>
      </c>
      <c r="X295" s="9" t="str">
        <f t="shared" si="25"/>
        <v>#DIV/0!</v>
      </c>
      <c r="Y295" s="8"/>
      <c r="Z295" s="8"/>
      <c r="AA295" s="8"/>
      <c r="AB295" s="8" t="str">
        <f t="shared" si="10"/>
        <v>PAUH35900PC1.5</v>
      </c>
      <c r="AC295" s="8" t="str">
        <f>IF(AB295='Input - Bookings'!S292,"OK","Check")</f>
        <v>Check</v>
      </c>
      <c r="AD295" s="60"/>
      <c r="AE295" s="54"/>
      <c r="AF295" s="54"/>
      <c r="AG295" s="55">
        <f t="shared" si="41"/>
        <v>641.0258258</v>
      </c>
      <c r="AH295" s="62"/>
      <c r="AI295" s="8" t="str">
        <f t="array" ref="AI295">XLOOKUP($J295,'AP Plants'!D:D,'AP Plants'!B:B)</f>
        <v>Class 3</v>
      </c>
      <c r="AJ295" s="56">
        <f>(AG295*'Currency &amp; Conversion'!$L$6)</f>
        <v>954.6156597</v>
      </c>
      <c r="AK295" s="56"/>
      <c r="AL295" s="49">
        <v>0.015</v>
      </c>
      <c r="AM295" s="49">
        <f t="array" ref="AM295">XLOOKUP($AI295,Warranty!B:B,Warranty!E:E)</f>
        <v>0.015</v>
      </c>
      <c r="AN295" s="8">
        <f>IF($L295="AUD",VLOOKUP(RIGHT('Wk - Margins'!$J295,3),'AU Freight'!C:G,5,0),0)</f>
        <v>100</v>
      </c>
      <c r="AO295" s="49">
        <f t="shared" si="11"/>
        <v>0</v>
      </c>
      <c r="AP295" s="63">
        <f t="shared" si="12"/>
        <v>1083.25413</v>
      </c>
      <c r="AQ295" s="58">
        <f t="shared" si="13"/>
        <v>0.3672581019</v>
      </c>
      <c r="AR295" s="59">
        <f>IF(L295="AUD",O295*'Currency &amp; Conversion'!$L$7,'Wk - Margins'!O295)</f>
        <v>1436.967022</v>
      </c>
      <c r="AS295" s="59">
        <f>IF(L295="AUD",P295*'Currency &amp; Conversion'!$L$7,'Wk - Margins'!P295)</f>
        <v>1149.573618</v>
      </c>
    </row>
    <row r="296" ht="12.75" hidden="1" customHeight="1">
      <c r="A296" s="42" t="str">
        <f>'Input - Bookings'!A296</f>
        <v>13/06/2023</v>
      </c>
      <c r="B296" s="43" t="str">
        <f t="shared" si="1"/>
        <v>Australia</v>
      </c>
      <c r="C296" s="43" t="str">
        <f t="shared" si="2"/>
        <v>PAU</v>
      </c>
      <c r="D296" s="43" t="str">
        <f>'Input - Bookings'!D296</f>
        <v>P</v>
      </c>
      <c r="E296" s="43" t="str">
        <f>'Input - Bookings'!J296</f>
        <v>AU</v>
      </c>
      <c r="F296" s="44" t="str">
        <f>'Input - Bookings'!F296</f>
        <v>065</v>
      </c>
      <c r="G296" s="44" t="str">
        <f>'Input - Bookings'!I296</f>
        <v>COLES SUPERMARKETS</v>
      </c>
      <c r="H296" s="45" t="str">
        <f>'Input - Bookings'!K296</f>
        <v>H35901</v>
      </c>
      <c r="I296" s="45" t="str">
        <f>VLOOKUP(H296,'Input - Bookings'!$G$2:$H$611,2,0)</f>
        <v>065005</v>
      </c>
      <c r="J296" s="44" t="str">
        <f>'Input - Bookings'!N296</f>
        <v>A6W9</v>
      </c>
      <c r="K296" s="44" t="str">
        <f>'Input - Bookings'!O296</f>
        <v>PC1.5</v>
      </c>
      <c r="L296" s="44" t="str">
        <f>'Input - Bookings'!C296</f>
        <v>AUD</v>
      </c>
      <c r="M296" s="46" t="str">
        <f t="array" ref="M296">IF(L296="USD",INDEX('AP Plants'!A:A,MATCH(J296,'AP Plants'!D:D,0)),INDEX('Australia Plants'!A:A,MATCH(J296,'Australia Plants'!D:D,0)))</f>
        <v>Staxx</v>
      </c>
      <c r="N296" s="10">
        <v>1.0</v>
      </c>
      <c r="O296" s="9">
        <v>2140.0</v>
      </c>
      <c r="P296" s="9">
        <v>1712.0</v>
      </c>
      <c r="Q296" s="47">
        <v>0.36725810191223773</v>
      </c>
      <c r="R296" s="48">
        <f t="shared" si="3"/>
        <v>0.2</v>
      </c>
      <c r="S296" s="49">
        <f t="shared" si="4"/>
        <v>0</v>
      </c>
      <c r="T296" s="49">
        <f t="shared" si="21"/>
        <v>0.3672581019</v>
      </c>
      <c r="U296" s="50" t="str">
        <f t="shared" si="6"/>
        <v>AOP</v>
      </c>
      <c r="V296" s="51">
        <f t="shared" si="28"/>
        <v>628.7458705</v>
      </c>
      <c r="W296" s="52" t="str">
        <f t="shared" si="8"/>
        <v>#DIV/0!</v>
      </c>
      <c r="X296" s="9" t="str">
        <f t="shared" si="25"/>
        <v>#DIV/0!</v>
      </c>
      <c r="Y296" s="8"/>
      <c r="Z296" s="8"/>
      <c r="AA296" s="8"/>
      <c r="AB296" s="8" t="str">
        <f t="shared" si="10"/>
        <v>PAUH35901PC1.5</v>
      </c>
      <c r="AC296" s="8" t="str">
        <f>IF(AB296='Input - Bookings'!S293,"OK","Check")</f>
        <v>Check</v>
      </c>
      <c r="AD296" s="60"/>
      <c r="AE296" s="54"/>
      <c r="AF296" s="54"/>
      <c r="AG296" s="55">
        <f t="shared" si="41"/>
        <v>641.0258258</v>
      </c>
      <c r="AH296" s="62"/>
      <c r="AI296" s="8" t="str">
        <f t="array" ref="AI296">XLOOKUP($J296,'AP Plants'!D:D,'AP Plants'!B:B)</f>
        <v>Class 3</v>
      </c>
      <c r="AJ296" s="56">
        <f>(AG296*'Currency &amp; Conversion'!$L$6)</f>
        <v>954.6156597</v>
      </c>
      <c r="AK296" s="56"/>
      <c r="AL296" s="49">
        <v>0.015</v>
      </c>
      <c r="AM296" s="49">
        <f t="array" ref="AM296">XLOOKUP($AI296,Warranty!B:B,Warranty!E:E)</f>
        <v>0.015</v>
      </c>
      <c r="AN296" s="8">
        <f>IF($L296="AUD",VLOOKUP(RIGHT('Wk - Margins'!$J296,3),'AU Freight'!C:G,5,0),0)</f>
        <v>100</v>
      </c>
      <c r="AO296" s="49">
        <f t="shared" si="11"/>
        <v>0</v>
      </c>
      <c r="AP296" s="63">
        <f t="shared" si="12"/>
        <v>1083.25413</v>
      </c>
      <c r="AQ296" s="58">
        <f t="shared" si="13"/>
        <v>0.3672581019</v>
      </c>
      <c r="AR296" s="59">
        <f>IF(L296="AUD",O296*'Currency &amp; Conversion'!$L$7,'Wk - Margins'!O296)</f>
        <v>1436.967022</v>
      </c>
      <c r="AS296" s="59">
        <f>IF(L296="AUD",P296*'Currency &amp; Conversion'!$L$7,'Wk - Margins'!P296)</f>
        <v>1149.573618</v>
      </c>
    </row>
    <row r="297" ht="12.75" hidden="1" customHeight="1">
      <c r="A297" s="42" t="str">
        <f>'Input - Bookings'!A297</f>
        <v>13/06/2023</v>
      </c>
      <c r="B297" s="43" t="str">
        <f t="shared" si="1"/>
        <v>Australia</v>
      </c>
      <c r="C297" s="43" t="str">
        <f t="shared" si="2"/>
        <v>PAU</v>
      </c>
      <c r="D297" s="43" t="str">
        <f>'Input - Bookings'!D297</f>
        <v>P</v>
      </c>
      <c r="E297" s="43" t="str">
        <f>'Input - Bookings'!J297</f>
        <v>AU</v>
      </c>
      <c r="F297" s="44" t="str">
        <f>'Input - Bookings'!F297</f>
        <v>065</v>
      </c>
      <c r="G297" s="44" t="str">
        <f>'Input - Bookings'!I297</f>
        <v>COLES SUPERMARKETS</v>
      </c>
      <c r="H297" s="45" t="str">
        <f>'Input - Bookings'!K297</f>
        <v>H35902</v>
      </c>
      <c r="I297" s="45" t="str">
        <f>VLOOKUP(H297,'Input - Bookings'!$G$2:$H$611,2,0)</f>
        <v>065005</v>
      </c>
      <c r="J297" s="44" t="str">
        <f>'Input - Bookings'!N297</f>
        <v>A6W9</v>
      </c>
      <c r="K297" s="44" t="str">
        <f>'Input - Bookings'!O297</f>
        <v>PC1.5</v>
      </c>
      <c r="L297" s="44" t="str">
        <f>'Input - Bookings'!C297</f>
        <v>AUD</v>
      </c>
      <c r="M297" s="46" t="str">
        <f t="array" ref="M297">IF(L297="USD",INDEX('AP Plants'!A:A,MATCH(J297,'AP Plants'!D:D,0)),INDEX('Australia Plants'!A:A,MATCH(J297,'Australia Plants'!D:D,0)))</f>
        <v>Staxx</v>
      </c>
      <c r="N297" s="10">
        <v>1.0</v>
      </c>
      <c r="O297" s="9">
        <v>2140.0</v>
      </c>
      <c r="P297" s="9">
        <v>1712.0</v>
      </c>
      <c r="Q297" s="47">
        <v>0.36725810191223773</v>
      </c>
      <c r="R297" s="48">
        <f t="shared" si="3"/>
        <v>0.2</v>
      </c>
      <c r="S297" s="49">
        <f t="shared" si="4"/>
        <v>0</v>
      </c>
      <c r="T297" s="49">
        <f t="shared" si="21"/>
        <v>0.3672581019</v>
      </c>
      <c r="U297" s="50" t="str">
        <f t="shared" si="6"/>
        <v>AOP</v>
      </c>
      <c r="V297" s="51">
        <f t="shared" si="28"/>
        <v>628.7458705</v>
      </c>
      <c r="W297" s="52" t="str">
        <f t="shared" si="8"/>
        <v>#DIV/0!</v>
      </c>
      <c r="X297" s="9" t="str">
        <f t="shared" si="25"/>
        <v>#DIV/0!</v>
      </c>
      <c r="Y297" s="8"/>
      <c r="Z297" s="8"/>
      <c r="AA297" s="8"/>
      <c r="AB297" s="8" t="str">
        <f t="shared" si="10"/>
        <v>PAUH35902PC1.5</v>
      </c>
      <c r="AC297" s="8" t="str">
        <f>IF(AB297='Input - Bookings'!S294,"OK","Check")</f>
        <v>Check</v>
      </c>
      <c r="AD297" s="60"/>
      <c r="AE297" s="54"/>
      <c r="AF297" s="54"/>
      <c r="AG297" s="55">
        <f t="shared" si="41"/>
        <v>641.0258258</v>
      </c>
      <c r="AH297" s="62"/>
      <c r="AI297" s="8" t="str">
        <f t="array" ref="AI297">XLOOKUP($J297,'AP Plants'!D:D,'AP Plants'!B:B)</f>
        <v>Class 3</v>
      </c>
      <c r="AJ297" s="56">
        <f>(AG297*'Currency &amp; Conversion'!$L$6)</f>
        <v>954.6156597</v>
      </c>
      <c r="AK297" s="56"/>
      <c r="AL297" s="49">
        <v>0.015</v>
      </c>
      <c r="AM297" s="49">
        <f t="array" ref="AM297">XLOOKUP($AI297,Warranty!B:B,Warranty!E:E)</f>
        <v>0.015</v>
      </c>
      <c r="AN297" s="8">
        <f>IF($L297="AUD",VLOOKUP(RIGHT('Wk - Margins'!$J297,3),'AU Freight'!C:G,5,0),0)</f>
        <v>100</v>
      </c>
      <c r="AO297" s="49">
        <f t="shared" si="11"/>
        <v>0</v>
      </c>
      <c r="AP297" s="63">
        <f t="shared" si="12"/>
        <v>1083.25413</v>
      </c>
      <c r="AQ297" s="58">
        <f t="shared" si="13"/>
        <v>0.3672581019</v>
      </c>
      <c r="AR297" s="59">
        <f>IF(L297="AUD",O297*'Currency &amp; Conversion'!$L$7,'Wk - Margins'!O297)</f>
        <v>1436.967022</v>
      </c>
      <c r="AS297" s="59">
        <f>IF(L297="AUD",P297*'Currency &amp; Conversion'!$L$7,'Wk - Margins'!P297)</f>
        <v>1149.573618</v>
      </c>
    </row>
    <row r="298" ht="12.75" hidden="1" customHeight="1">
      <c r="A298" s="42" t="str">
        <f>'Input - Bookings'!A298</f>
        <v>13/06/2023</v>
      </c>
      <c r="B298" s="43" t="str">
        <f t="shared" si="1"/>
        <v>Australia</v>
      </c>
      <c r="C298" s="43" t="str">
        <f t="shared" si="2"/>
        <v>PAU</v>
      </c>
      <c r="D298" s="43" t="str">
        <f>'Input - Bookings'!D298</f>
        <v>P</v>
      </c>
      <c r="E298" s="43" t="str">
        <f>'Input - Bookings'!J298</f>
        <v>AU</v>
      </c>
      <c r="F298" s="44" t="str">
        <f>'Input - Bookings'!F298</f>
        <v>065</v>
      </c>
      <c r="G298" s="44" t="str">
        <f>'Input - Bookings'!I298</f>
        <v>COLES SUPERMARKETS</v>
      </c>
      <c r="H298" s="45" t="str">
        <f>'Input - Bookings'!K298</f>
        <v>H35903</v>
      </c>
      <c r="I298" s="45" t="str">
        <f>VLOOKUP(H298,'Input - Bookings'!$G$2:$H$611,2,0)</f>
        <v>065005</v>
      </c>
      <c r="J298" s="44" t="str">
        <f>'Input - Bookings'!N298</f>
        <v>A6W9</v>
      </c>
      <c r="K298" s="44" t="str">
        <f>'Input - Bookings'!O298</f>
        <v>PC1.5</v>
      </c>
      <c r="L298" s="44" t="str">
        <f>'Input - Bookings'!C298</f>
        <v>AUD</v>
      </c>
      <c r="M298" s="46" t="str">
        <f t="array" ref="M298">IF(L298="USD",INDEX('AP Plants'!A:A,MATCH(J298,'AP Plants'!D:D,0)),INDEX('Australia Plants'!A:A,MATCH(J298,'Australia Plants'!D:D,0)))</f>
        <v>Staxx</v>
      </c>
      <c r="N298" s="10">
        <v>1.0</v>
      </c>
      <c r="O298" s="9">
        <v>2140.0</v>
      </c>
      <c r="P298" s="9">
        <v>1712.0</v>
      </c>
      <c r="Q298" s="47">
        <v>0.36725810191223773</v>
      </c>
      <c r="R298" s="48">
        <f t="shared" si="3"/>
        <v>0.2</v>
      </c>
      <c r="S298" s="49">
        <f t="shared" si="4"/>
        <v>0</v>
      </c>
      <c r="T298" s="49">
        <f t="shared" si="21"/>
        <v>0.3672581019</v>
      </c>
      <c r="U298" s="50" t="str">
        <f t="shared" si="6"/>
        <v>AOP</v>
      </c>
      <c r="V298" s="51">
        <f t="shared" si="28"/>
        <v>628.7458705</v>
      </c>
      <c r="W298" s="52" t="str">
        <f t="shared" si="8"/>
        <v>#DIV/0!</v>
      </c>
      <c r="X298" s="9" t="str">
        <f t="shared" si="25"/>
        <v>#DIV/0!</v>
      </c>
      <c r="Y298" s="8"/>
      <c r="Z298" s="8"/>
      <c r="AA298" s="8"/>
      <c r="AB298" s="8" t="str">
        <f t="shared" si="10"/>
        <v>PAUH35903PC1.5</v>
      </c>
      <c r="AC298" s="8" t="str">
        <f>IF(AB298='Input - Bookings'!S295,"OK","Check")</f>
        <v>Check</v>
      </c>
      <c r="AD298" s="60"/>
      <c r="AE298" s="54"/>
      <c r="AF298" s="54"/>
      <c r="AG298" s="55">
        <f t="shared" si="41"/>
        <v>641.0258258</v>
      </c>
      <c r="AH298" s="55"/>
      <c r="AI298" s="8" t="str">
        <f t="array" ref="AI298">XLOOKUP($J298,'AP Plants'!D:D,'AP Plants'!B:B)</f>
        <v>Class 3</v>
      </c>
      <c r="AJ298" s="56">
        <f>(AG298*'Currency &amp; Conversion'!$L$6)</f>
        <v>954.6156597</v>
      </c>
      <c r="AK298" s="56"/>
      <c r="AL298" s="49">
        <v>0.015</v>
      </c>
      <c r="AM298" s="49">
        <f t="array" ref="AM298">XLOOKUP($AI298,Warranty!B:B,Warranty!E:E)</f>
        <v>0.015</v>
      </c>
      <c r="AN298" s="8">
        <f>IF($L298="AUD",VLOOKUP(RIGHT('Wk - Margins'!$J298,3),'AU Freight'!C:G,5,0),0)</f>
        <v>100</v>
      </c>
      <c r="AO298" s="49">
        <f t="shared" si="11"/>
        <v>0</v>
      </c>
      <c r="AP298" s="63">
        <f t="shared" si="12"/>
        <v>1083.25413</v>
      </c>
      <c r="AQ298" s="58">
        <f t="shared" si="13"/>
        <v>0.3672581019</v>
      </c>
      <c r="AR298" s="59">
        <f>IF(L298="AUD",O298*'Currency &amp; Conversion'!$L$7,'Wk - Margins'!O298)</f>
        <v>1436.967022</v>
      </c>
      <c r="AS298" s="59">
        <f>IF(L298="AUD",P298*'Currency &amp; Conversion'!$L$7,'Wk - Margins'!P298)</f>
        <v>1149.573618</v>
      </c>
    </row>
    <row r="299" ht="12.75" hidden="1" customHeight="1">
      <c r="A299" s="42" t="str">
        <f>'Input - Bookings'!A299</f>
        <v>13/06/2023</v>
      </c>
      <c r="B299" s="43" t="str">
        <f t="shared" si="1"/>
        <v>Australia</v>
      </c>
      <c r="C299" s="43" t="str">
        <f t="shared" si="2"/>
        <v>PAU</v>
      </c>
      <c r="D299" s="43" t="str">
        <f>'Input - Bookings'!D299</f>
        <v>P</v>
      </c>
      <c r="E299" s="43" t="str">
        <f>'Input - Bookings'!J299</f>
        <v>AU</v>
      </c>
      <c r="F299" s="44" t="str">
        <f>'Input - Bookings'!F299</f>
        <v>065</v>
      </c>
      <c r="G299" s="44" t="str">
        <f>'Input - Bookings'!I299</f>
        <v>COLES SUPERMARKETS</v>
      </c>
      <c r="H299" s="45" t="str">
        <f>'Input - Bookings'!K299</f>
        <v>H35904</v>
      </c>
      <c r="I299" s="45" t="str">
        <f>VLOOKUP(H299,'Input - Bookings'!$G$2:$H$611,2,0)</f>
        <v>065005</v>
      </c>
      <c r="J299" s="44" t="str">
        <f>'Input - Bookings'!N299</f>
        <v>A6W9</v>
      </c>
      <c r="K299" s="44" t="str">
        <f>'Input - Bookings'!O299</f>
        <v>PC1.5</v>
      </c>
      <c r="L299" s="44" t="str">
        <f>'Input - Bookings'!C299</f>
        <v>AUD</v>
      </c>
      <c r="M299" s="46" t="str">
        <f t="array" ref="M299">IF(L299="USD",INDEX('AP Plants'!A:A,MATCH(J299,'AP Plants'!D:D,0)),INDEX('Australia Plants'!A:A,MATCH(J299,'Australia Plants'!D:D,0)))</f>
        <v>Staxx</v>
      </c>
      <c r="N299" s="10">
        <v>1.0</v>
      </c>
      <c r="O299" s="9">
        <v>2140.0</v>
      </c>
      <c r="P299" s="9">
        <v>1712.0</v>
      </c>
      <c r="Q299" s="47">
        <v>0.36725810191223773</v>
      </c>
      <c r="R299" s="48">
        <f t="shared" si="3"/>
        <v>0.2</v>
      </c>
      <c r="S299" s="49">
        <f t="shared" si="4"/>
        <v>0</v>
      </c>
      <c r="T299" s="49">
        <f t="shared" si="21"/>
        <v>0.3672581019</v>
      </c>
      <c r="U299" s="50" t="str">
        <f t="shared" si="6"/>
        <v>AOP</v>
      </c>
      <c r="V299" s="51">
        <f t="shared" si="28"/>
        <v>628.7458705</v>
      </c>
      <c r="W299" s="52" t="str">
        <f t="shared" si="8"/>
        <v>#DIV/0!</v>
      </c>
      <c r="X299" s="9" t="str">
        <f t="shared" si="25"/>
        <v>#DIV/0!</v>
      </c>
      <c r="Y299" s="8"/>
      <c r="Z299" s="8"/>
      <c r="AA299" s="8"/>
      <c r="AB299" s="8" t="str">
        <f t="shared" si="10"/>
        <v>PAUH35904PC1.5</v>
      </c>
      <c r="AC299" s="8" t="str">
        <f>IF(AB299='Input - Bookings'!S296,"OK","Check")</f>
        <v>Check</v>
      </c>
      <c r="AD299" s="60"/>
      <c r="AE299" s="54"/>
      <c r="AF299" s="54"/>
      <c r="AG299" s="55">
        <f t="shared" si="41"/>
        <v>641.0258258</v>
      </c>
      <c r="AH299" s="55"/>
      <c r="AI299" s="8" t="str">
        <f t="array" ref="AI299">XLOOKUP($J299,'AP Plants'!D:D,'AP Plants'!B:B)</f>
        <v>Class 3</v>
      </c>
      <c r="AJ299" s="56">
        <f>(AG299*'Currency &amp; Conversion'!$L$6)</f>
        <v>954.6156597</v>
      </c>
      <c r="AK299" s="56"/>
      <c r="AL299" s="49">
        <v>0.015</v>
      </c>
      <c r="AM299" s="49">
        <f t="array" ref="AM299">XLOOKUP($AI299,Warranty!B:B,Warranty!E:E)</f>
        <v>0.015</v>
      </c>
      <c r="AN299" s="8">
        <f>IF($L299="AUD",VLOOKUP(RIGHT('Wk - Margins'!$J299,3),'AU Freight'!C:G,5,0),0)</f>
        <v>100</v>
      </c>
      <c r="AO299" s="49">
        <f t="shared" si="11"/>
        <v>0</v>
      </c>
      <c r="AP299" s="63">
        <f t="shared" si="12"/>
        <v>1083.25413</v>
      </c>
      <c r="AQ299" s="58">
        <f t="shared" si="13"/>
        <v>0.3672581019</v>
      </c>
      <c r="AR299" s="59">
        <f>IF(L299="AUD",O299*'Currency &amp; Conversion'!$L$7,'Wk - Margins'!O299)</f>
        <v>1436.967022</v>
      </c>
      <c r="AS299" s="59">
        <f>IF(L299="AUD",P299*'Currency &amp; Conversion'!$L$7,'Wk - Margins'!P299)</f>
        <v>1149.573618</v>
      </c>
    </row>
    <row r="300" ht="12.75" hidden="1" customHeight="1">
      <c r="A300" s="42" t="str">
        <f>'Input - Bookings'!A300</f>
        <v>13/06/2023</v>
      </c>
      <c r="B300" s="43" t="str">
        <f t="shared" si="1"/>
        <v>Australia</v>
      </c>
      <c r="C300" s="43" t="str">
        <f t="shared" si="2"/>
        <v>PAU</v>
      </c>
      <c r="D300" s="43" t="str">
        <f>'Input - Bookings'!D300</f>
        <v>P</v>
      </c>
      <c r="E300" s="43" t="str">
        <f>'Input - Bookings'!J300</f>
        <v>AU</v>
      </c>
      <c r="F300" s="44" t="str">
        <f>'Input - Bookings'!F300</f>
        <v>065</v>
      </c>
      <c r="G300" s="44" t="str">
        <f>'Input - Bookings'!I300</f>
        <v>COLES SUPERMARKETS</v>
      </c>
      <c r="H300" s="45" t="str">
        <f>'Input - Bookings'!K300</f>
        <v>H35905</v>
      </c>
      <c r="I300" s="45" t="str">
        <f>VLOOKUP(H300,'Input - Bookings'!$G$2:$H$611,2,0)</f>
        <v>065005</v>
      </c>
      <c r="J300" s="44" t="str">
        <f>'Input - Bookings'!N300</f>
        <v>A6W9</v>
      </c>
      <c r="K300" s="44" t="str">
        <f>'Input - Bookings'!O300</f>
        <v>PC1.5</v>
      </c>
      <c r="L300" s="44" t="str">
        <f>'Input - Bookings'!C300</f>
        <v>AUD</v>
      </c>
      <c r="M300" s="46" t="str">
        <f t="array" ref="M300">IF(L300="USD",INDEX('AP Plants'!A:A,MATCH(J300,'AP Plants'!D:D,0)),INDEX('Australia Plants'!A:A,MATCH(J300,'Australia Plants'!D:D,0)))</f>
        <v>Staxx</v>
      </c>
      <c r="N300" s="10">
        <v>1.0</v>
      </c>
      <c r="O300" s="9">
        <v>2140.0</v>
      </c>
      <c r="P300" s="9">
        <v>1712.0</v>
      </c>
      <c r="Q300" s="47">
        <v>0.36725810191223773</v>
      </c>
      <c r="R300" s="48">
        <f t="shared" si="3"/>
        <v>0.2</v>
      </c>
      <c r="S300" s="49">
        <f t="shared" si="4"/>
        <v>0</v>
      </c>
      <c r="T300" s="49">
        <f t="shared" si="21"/>
        <v>0.3672581019</v>
      </c>
      <c r="U300" s="50" t="str">
        <f t="shared" si="6"/>
        <v>AOP</v>
      </c>
      <c r="V300" s="51">
        <f t="shared" si="28"/>
        <v>628.7458705</v>
      </c>
      <c r="W300" s="52" t="str">
        <f t="shared" si="8"/>
        <v>#DIV/0!</v>
      </c>
      <c r="X300" s="9" t="str">
        <f t="shared" si="25"/>
        <v>#DIV/0!</v>
      </c>
      <c r="Y300" s="8"/>
      <c r="Z300" s="8"/>
      <c r="AA300" s="8"/>
      <c r="AB300" s="8" t="str">
        <f t="shared" si="10"/>
        <v>PAUH35905PC1.5</v>
      </c>
      <c r="AC300" s="8" t="str">
        <f>IF(AB300='Input - Bookings'!S297,"OK","Check")</f>
        <v>Check</v>
      </c>
      <c r="AD300" s="60"/>
      <c r="AE300" s="54"/>
      <c r="AF300" s="54"/>
      <c r="AG300" s="55">
        <f t="shared" si="41"/>
        <v>641.0258258</v>
      </c>
      <c r="AH300" s="55"/>
      <c r="AI300" s="8" t="str">
        <f t="array" ref="AI300">XLOOKUP($J300,'AP Plants'!D:D,'AP Plants'!B:B)</f>
        <v>Class 3</v>
      </c>
      <c r="AJ300" s="56">
        <f>(AG300*'Currency &amp; Conversion'!$L$6)</f>
        <v>954.6156597</v>
      </c>
      <c r="AK300" s="56"/>
      <c r="AL300" s="49">
        <v>0.015</v>
      </c>
      <c r="AM300" s="49">
        <f t="array" ref="AM300">XLOOKUP($AI300,Warranty!B:B,Warranty!E:E)</f>
        <v>0.015</v>
      </c>
      <c r="AN300" s="8">
        <f>IF($L300="AUD",VLOOKUP(RIGHT('Wk - Margins'!$J300,3),'AU Freight'!C:G,5,0),0)</f>
        <v>100</v>
      </c>
      <c r="AO300" s="49">
        <f t="shared" si="11"/>
        <v>0</v>
      </c>
      <c r="AP300" s="63">
        <f t="shared" si="12"/>
        <v>1083.25413</v>
      </c>
      <c r="AQ300" s="58">
        <f t="shared" si="13"/>
        <v>0.3672581019</v>
      </c>
      <c r="AR300" s="59">
        <f>IF(L300="AUD",O300*'Currency &amp; Conversion'!$L$7,'Wk - Margins'!O300)</f>
        <v>1436.967022</v>
      </c>
      <c r="AS300" s="59">
        <f>IF(L300="AUD",P300*'Currency &amp; Conversion'!$L$7,'Wk - Margins'!P300)</f>
        <v>1149.573618</v>
      </c>
    </row>
    <row r="301" ht="12.75" hidden="1" customHeight="1">
      <c r="A301" s="42" t="str">
        <f>'Input - Bookings'!A301</f>
        <v>13/06/2023</v>
      </c>
      <c r="B301" s="43" t="str">
        <f t="shared" si="1"/>
        <v>Australia</v>
      </c>
      <c r="C301" s="43" t="str">
        <f t="shared" si="2"/>
        <v>PAU</v>
      </c>
      <c r="D301" s="43" t="str">
        <f>'Input - Bookings'!D301</f>
        <v>P</v>
      </c>
      <c r="E301" s="43" t="str">
        <f>'Input - Bookings'!J301</f>
        <v>AU</v>
      </c>
      <c r="F301" s="44" t="str">
        <f>'Input - Bookings'!F301</f>
        <v>065</v>
      </c>
      <c r="G301" s="44" t="str">
        <f>'Input - Bookings'!I301</f>
        <v>COLES SUPERMARKETS</v>
      </c>
      <c r="H301" s="45" t="str">
        <f>'Input - Bookings'!K301</f>
        <v>H35906</v>
      </c>
      <c r="I301" s="45" t="str">
        <f>VLOOKUP(H301,'Input - Bookings'!$G$2:$H$611,2,0)</f>
        <v>065005</v>
      </c>
      <c r="J301" s="44" t="str">
        <f>'Input - Bookings'!N301</f>
        <v>A6W9</v>
      </c>
      <c r="K301" s="44" t="str">
        <f>'Input - Bookings'!O301</f>
        <v>PC1.5</v>
      </c>
      <c r="L301" s="44" t="str">
        <f>'Input - Bookings'!C301</f>
        <v>AUD</v>
      </c>
      <c r="M301" s="46" t="str">
        <f t="array" ref="M301">IF(L301="USD",INDEX('AP Plants'!A:A,MATCH(J301,'AP Plants'!D:D,0)),INDEX('Australia Plants'!A:A,MATCH(J301,'Australia Plants'!D:D,0)))</f>
        <v>Staxx</v>
      </c>
      <c r="N301" s="10">
        <v>1.0</v>
      </c>
      <c r="O301" s="9">
        <v>2140.0</v>
      </c>
      <c r="P301" s="9">
        <v>1712.0</v>
      </c>
      <c r="Q301" s="47">
        <v>0.36725810191223773</v>
      </c>
      <c r="R301" s="48">
        <f t="shared" si="3"/>
        <v>0.2</v>
      </c>
      <c r="S301" s="49">
        <f t="shared" si="4"/>
        <v>0</v>
      </c>
      <c r="T301" s="49">
        <f t="shared" si="21"/>
        <v>0.3672581019</v>
      </c>
      <c r="U301" s="50" t="str">
        <f t="shared" si="6"/>
        <v>AOP</v>
      </c>
      <c r="V301" s="51">
        <f t="shared" si="28"/>
        <v>628.7458705</v>
      </c>
      <c r="W301" s="52" t="str">
        <f t="shared" si="8"/>
        <v>#DIV/0!</v>
      </c>
      <c r="X301" s="9" t="str">
        <f t="shared" si="25"/>
        <v>#DIV/0!</v>
      </c>
      <c r="Y301" s="8"/>
      <c r="Z301" s="8"/>
      <c r="AA301" s="8"/>
      <c r="AB301" s="8" t="str">
        <f t="shared" si="10"/>
        <v>PAUH35906PC1.5</v>
      </c>
      <c r="AC301" s="8" t="str">
        <f>IF(AB301='Input - Bookings'!S298,"OK","Check")</f>
        <v>Check</v>
      </c>
      <c r="AD301" s="60"/>
      <c r="AE301" s="54"/>
      <c r="AF301" s="54"/>
      <c r="AG301" s="55">
        <f t="shared" si="41"/>
        <v>641.0258258</v>
      </c>
      <c r="AH301" s="55"/>
      <c r="AI301" s="8" t="str">
        <f t="array" ref="AI301">XLOOKUP($J301,'AP Plants'!D:D,'AP Plants'!B:B)</f>
        <v>Class 3</v>
      </c>
      <c r="AJ301" s="56">
        <f>(AG301*'Currency &amp; Conversion'!$L$6)</f>
        <v>954.6156597</v>
      </c>
      <c r="AK301" s="56"/>
      <c r="AL301" s="49">
        <v>0.015</v>
      </c>
      <c r="AM301" s="49">
        <f t="array" ref="AM301">XLOOKUP($AI301,Warranty!B:B,Warranty!E:E)</f>
        <v>0.015</v>
      </c>
      <c r="AN301" s="8">
        <f>IF($L301="AUD",VLOOKUP(RIGHT('Wk - Margins'!$J301,3),'AU Freight'!C:G,5,0),0)</f>
        <v>100</v>
      </c>
      <c r="AO301" s="49">
        <f t="shared" si="11"/>
        <v>0</v>
      </c>
      <c r="AP301" s="63">
        <f t="shared" si="12"/>
        <v>1083.25413</v>
      </c>
      <c r="AQ301" s="58">
        <f t="shared" si="13"/>
        <v>0.3672581019</v>
      </c>
      <c r="AR301" s="59">
        <f>IF(L301="AUD",O301*'Currency &amp; Conversion'!$L$7,'Wk - Margins'!O301)</f>
        <v>1436.967022</v>
      </c>
      <c r="AS301" s="59">
        <f>IF(L301="AUD",P301*'Currency &amp; Conversion'!$L$7,'Wk - Margins'!P301)</f>
        <v>1149.573618</v>
      </c>
    </row>
    <row r="302" ht="12.75" hidden="1" customHeight="1">
      <c r="A302" s="42" t="str">
        <f>'Input - Bookings'!A302</f>
        <v>13/06/2023</v>
      </c>
      <c r="B302" s="43" t="str">
        <f t="shared" si="1"/>
        <v>Australia</v>
      </c>
      <c r="C302" s="43" t="str">
        <f t="shared" si="2"/>
        <v>PAU</v>
      </c>
      <c r="D302" s="43" t="str">
        <f>'Input - Bookings'!D302</f>
        <v>P</v>
      </c>
      <c r="E302" s="43" t="str">
        <f>'Input - Bookings'!J302</f>
        <v>AU</v>
      </c>
      <c r="F302" s="44" t="str">
        <f>'Input - Bookings'!F302</f>
        <v>065</v>
      </c>
      <c r="G302" s="44" t="str">
        <f>'Input - Bookings'!I302</f>
        <v>COLES SUPERMARKETS</v>
      </c>
      <c r="H302" s="45" t="str">
        <f>'Input - Bookings'!K302</f>
        <v>H35907</v>
      </c>
      <c r="I302" s="45" t="str">
        <f>VLOOKUP(H302,'Input - Bookings'!$G$2:$H$611,2,0)</f>
        <v>065005</v>
      </c>
      <c r="J302" s="44" t="str">
        <f>'Input - Bookings'!N302</f>
        <v>A6W9</v>
      </c>
      <c r="K302" s="44" t="str">
        <f>'Input - Bookings'!O302</f>
        <v>PC1.5</v>
      </c>
      <c r="L302" s="44" t="str">
        <f>'Input - Bookings'!C302</f>
        <v>AUD</v>
      </c>
      <c r="M302" s="46" t="str">
        <f t="array" ref="M302">IF(L302="USD",INDEX('AP Plants'!A:A,MATCH(J302,'AP Plants'!D:D,0)),INDEX('Australia Plants'!A:A,MATCH(J302,'Australia Plants'!D:D,0)))</f>
        <v>Staxx</v>
      </c>
      <c r="N302" s="10">
        <v>1.0</v>
      </c>
      <c r="O302" s="9">
        <v>2140.0</v>
      </c>
      <c r="P302" s="9">
        <v>1712.0</v>
      </c>
      <c r="Q302" s="47">
        <v>0.36725810191223773</v>
      </c>
      <c r="R302" s="48">
        <f t="shared" si="3"/>
        <v>0.2</v>
      </c>
      <c r="S302" s="49">
        <f t="shared" si="4"/>
        <v>0</v>
      </c>
      <c r="T302" s="49">
        <f t="shared" si="21"/>
        <v>0.3672581019</v>
      </c>
      <c r="U302" s="50" t="str">
        <f t="shared" si="6"/>
        <v>AOP</v>
      </c>
      <c r="V302" s="51">
        <f t="shared" si="28"/>
        <v>628.7458705</v>
      </c>
      <c r="W302" s="52" t="str">
        <f t="shared" si="8"/>
        <v>#DIV/0!</v>
      </c>
      <c r="X302" s="9" t="str">
        <f t="shared" si="25"/>
        <v>#DIV/0!</v>
      </c>
      <c r="Y302" s="8"/>
      <c r="Z302" s="8"/>
      <c r="AA302" s="8"/>
      <c r="AB302" s="8" t="str">
        <f t="shared" si="10"/>
        <v>PAUH35907PC1.5</v>
      </c>
      <c r="AC302" s="8" t="str">
        <f>IF(AB302='Input - Bookings'!S299,"OK","Check")</f>
        <v>Check</v>
      </c>
      <c r="AD302" s="60"/>
      <c r="AE302" s="54"/>
      <c r="AF302" s="54"/>
      <c r="AG302" s="55">
        <f t="shared" si="41"/>
        <v>641.0258258</v>
      </c>
      <c r="AH302" s="62"/>
      <c r="AI302" s="8" t="str">
        <f t="array" ref="AI302">XLOOKUP($J302,'AP Plants'!D:D,'AP Plants'!B:B)</f>
        <v>Class 3</v>
      </c>
      <c r="AJ302" s="56">
        <f>(AG302*'Currency &amp; Conversion'!$L$6)</f>
        <v>954.6156597</v>
      </c>
      <c r="AK302" s="56"/>
      <c r="AL302" s="49">
        <v>0.015</v>
      </c>
      <c r="AM302" s="49">
        <f t="array" ref="AM302">XLOOKUP($AI302,Warranty!B:B,Warranty!E:E)</f>
        <v>0.015</v>
      </c>
      <c r="AN302" s="8">
        <f>IF($L302="AUD",VLOOKUP(RIGHT('Wk - Margins'!$J302,3),'AU Freight'!C:G,5,0),0)</f>
        <v>100</v>
      </c>
      <c r="AO302" s="49">
        <f t="shared" si="11"/>
        <v>0</v>
      </c>
      <c r="AP302" s="63">
        <f t="shared" si="12"/>
        <v>1083.25413</v>
      </c>
      <c r="AQ302" s="58">
        <f t="shared" si="13"/>
        <v>0.3672581019</v>
      </c>
      <c r="AR302" s="59">
        <f>IF(L302="AUD",O302*'Currency &amp; Conversion'!$L$7,'Wk - Margins'!O302)</f>
        <v>1436.967022</v>
      </c>
      <c r="AS302" s="59">
        <f>IF(L302="AUD",P302*'Currency &amp; Conversion'!$L$7,'Wk - Margins'!P302)</f>
        <v>1149.573618</v>
      </c>
    </row>
    <row r="303" ht="12.75" hidden="1" customHeight="1">
      <c r="A303" s="42" t="str">
        <f>'Input - Bookings'!A303</f>
        <v>13/06/2023</v>
      </c>
      <c r="B303" s="43" t="str">
        <f t="shared" si="1"/>
        <v>Australia</v>
      </c>
      <c r="C303" s="43" t="str">
        <f t="shared" si="2"/>
        <v>PAU</v>
      </c>
      <c r="D303" s="43" t="str">
        <f>'Input - Bookings'!D303</f>
        <v>P</v>
      </c>
      <c r="E303" s="43" t="str">
        <f>'Input - Bookings'!J303</f>
        <v>AU</v>
      </c>
      <c r="F303" s="44" t="str">
        <f>'Input - Bookings'!F303</f>
        <v>065</v>
      </c>
      <c r="G303" s="44" t="str">
        <f>'Input - Bookings'!I303</f>
        <v>COLES SUPERMARKETS</v>
      </c>
      <c r="H303" s="45" t="str">
        <f>'Input - Bookings'!K303</f>
        <v>H35908</v>
      </c>
      <c r="I303" s="45" t="str">
        <f>VLOOKUP(H303,'Input - Bookings'!$G$2:$H$611,2,0)</f>
        <v>065005</v>
      </c>
      <c r="J303" s="44" t="str">
        <f>'Input - Bookings'!N303</f>
        <v>A6W9</v>
      </c>
      <c r="K303" s="44" t="str">
        <f>'Input - Bookings'!O303</f>
        <v>PC1.5</v>
      </c>
      <c r="L303" s="44" t="str">
        <f>'Input - Bookings'!C303</f>
        <v>AUD</v>
      </c>
      <c r="M303" s="46" t="str">
        <f t="array" ref="M303">IF(L303="USD",INDEX('AP Plants'!A:A,MATCH(J303,'AP Plants'!D:D,0)),INDEX('Australia Plants'!A:A,MATCH(J303,'Australia Plants'!D:D,0)))</f>
        <v>Staxx</v>
      </c>
      <c r="N303" s="10">
        <v>1.0</v>
      </c>
      <c r="O303" s="9">
        <v>2140.0</v>
      </c>
      <c r="P303" s="9">
        <v>1712.0</v>
      </c>
      <c r="Q303" s="47">
        <v>0.36725810191223773</v>
      </c>
      <c r="R303" s="48">
        <f t="shared" si="3"/>
        <v>0.2</v>
      </c>
      <c r="S303" s="49">
        <f t="shared" si="4"/>
        <v>0</v>
      </c>
      <c r="T303" s="49">
        <f t="shared" si="21"/>
        <v>0.3672581019</v>
      </c>
      <c r="U303" s="50" t="str">
        <f t="shared" si="6"/>
        <v>AOP</v>
      </c>
      <c r="V303" s="51">
        <f t="shared" si="28"/>
        <v>628.7458705</v>
      </c>
      <c r="W303" s="52" t="str">
        <f t="shared" si="8"/>
        <v>#DIV/0!</v>
      </c>
      <c r="X303" s="9" t="str">
        <f t="shared" si="25"/>
        <v>#DIV/0!</v>
      </c>
      <c r="Y303" s="8"/>
      <c r="Z303" s="8"/>
      <c r="AA303" s="8"/>
      <c r="AB303" s="8" t="str">
        <f t="shared" si="10"/>
        <v>PAUH35908PC1.5</v>
      </c>
      <c r="AC303" s="8" t="str">
        <f>IF(AB303='Input - Bookings'!S300,"OK","Check")</f>
        <v>Check</v>
      </c>
      <c r="AD303" s="60"/>
      <c r="AE303" s="54"/>
      <c r="AF303" s="54"/>
      <c r="AG303" s="55">
        <f t="shared" si="41"/>
        <v>641.0258258</v>
      </c>
      <c r="AH303" s="62"/>
      <c r="AI303" s="8" t="str">
        <f t="array" ref="AI303">XLOOKUP($J303,'AP Plants'!D:D,'AP Plants'!B:B)</f>
        <v>Class 3</v>
      </c>
      <c r="AJ303" s="56">
        <f>(AG303*'Currency &amp; Conversion'!$L$6)</f>
        <v>954.6156597</v>
      </c>
      <c r="AK303" s="56"/>
      <c r="AL303" s="49">
        <v>0.015</v>
      </c>
      <c r="AM303" s="49">
        <f t="array" ref="AM303">XLOOKUP($AI303,Warranty!B:B,Warranty!E:E)</f>
        <v>0.015</v>
      </c>
      <c r="AN303" s="8">
        <f>IF($L303="AUD",VLOOKUP(RIGHT('Wk - Margins'!$J303,3),'AU Freight'!C:G,5,0),0)</f>
        <v>100</v>
      </c>
      <c r="AO303" s="49">
        <f t="shared" si="11"/>
        <v>0</v>
      </c>
      <c r="AP303" s="63">
        <f t="shared" si="12"/>
        <v>1083.25413</v>
      </c>
      <c r="AQ303" s="58">
        <f t="shared" si="13"/>
        <v>0.3672581019</v>
      </c>
      <c r="AR303" s="59">
        <f>IF(L303="AUD",O303*'Currency &amp; Conversion'!$L$7,'Wk - Margins'!O303)</f>
        <v>1436.967022</v>
      </c>
      <c r="AS303" s="59">
        <f>IF(L303="AUD",P303*'Currency &amp; Conversion'!$L$7,'Wk - Margins'!P303)</f>
        <v>1149.573618</v>
      </c>
    </row>
    <row r="304" ht="12.75" hidden="1" customHeight="1">
      <c r="A304" s="42" t="str">
        <f>'Input - Bookings'!A304</f>
        <v>13/06/2023</v>
      </c>
      <c r="B304" s="43" t="str">
        <f t="shared" si="1"/>
        <v>Australia</v>
      </c>
      <c r="C304" s="43" t="str">
        <f t="shared" si="2"/>
        <v>PAU</v>
      </c>
      <c r="D304" s="43" t="str">
        <f>'Input - Bookings'!D304</f>
        <v>P</v>
      </c>
      <c r="E304" s="43" t="str">
        <f>'Input - Bookings'!J304</f>
        <v>AU</v>
      </c>
      <c r="F304" s="44" t="str">
        <f>'Input - Bookings'!F304</f>
        <v>065</v>
      </c>
      <c r="G304" s="44" t="str">
        <f>'Input - Bookings'!I304</f>
        <v>COLES SUPERMARKETS</v>
      </c>
      <c r="H304" s="45" t="str">
        <f>'Input - Bookings'!K304</f>
        <v>H35909</v>
      </c>
      <c r="I304" s="45" t="str">
        <f>VLOOKUP(H304,'Input - Bookings'!$G$2:$H$611,2,0)</f>
        <v>065005</v>
      </c>
      <c r="J304" s="44" t="str">
        <f>'Input - Bookings'!N304</f>
        <v>A6W9</v>
      </c>
      <c r="K304" s="44" t="str">
        <f>'Input - Bookings'!O304</f>
        <v>PC1.5</v>
      </c>
      <c r="L304" s="44" t="str">
        <f>'Input - Bookings'!C304</f>
        <v>AUD</v>
      </c>
      <c r="M304" s="46" t="str">
        <f t="array" ref="M304">IF(L304="USD",INDEX('AP Plants'!A:A,MATCH(J304,'AP Plants'!D:D,0)),INDEX('Australia Plants'!A:A,MATCH(J304,'Australia Plants'!D:D,0)))</f>
        <v>Staxx</v>
      </c>
      <c r="N304" s="10">
        <v>1.0</v>
      </c>
      <c r="O304" s="9">
        <v>2140.0</v>
      </c>
      <c r="P304" s="9">
        <v>1712.0</v>
      </c>
      <c r="Q304" s="47">
        <v>0.36725810191223773</v>
      </c>
      <c r="R304" s="48">
        <f t="shared" si="3"/>
        <v>0.2</v>
      </c>
      <c r="S304" s="49">
        <f t="shared" si="4"/>
        <v>0</v>
      </c>
      <c r="T304" s="49">
        <f t="shared" si="21"/>
        <v>0.3672581019</v>
      </c>
      <c r="U304" s="50" t="str">
        <f t="shared" si="6"/>
        <v>AOP</v>
      </c>
      <c r="V304" s="51">
        <f t="shared" si="28"/>
        <v>628.7458705</v>
      </c>
      <c r="W304" s="52" t="str">
        <f t="shared" si="8"/>
        <v>#DIV/0!</v>
      </c>
      <c r="X304" s="9" t="str">
        <f t="shared" si="25"/>
        <v>#DIV/0!</v>
      </c>
      <c r="Y304" s="8"/>
      <c r="Z304" s="8"/>
      <c r="AA304" s="8"/>
      <c r="AB304" s="8" t="str">
        <f t="shared" si="10"/>
        <v>PAUH35909PC1.5</v>
      </c>
      <c r="AC304" s="8" t="str">
        <f>IF(AB304='Input - Bookings'!S301,"OK","Check")</f>
        <v>Check</v>
      </c>
      <c r="AD304" s="60"/>
      <c r="AE304" s="54"/>
      <c r="AF304" s="54"/>
      <c r="AG304" s="55">
        <f t="shared" si="41"/>
        <v>641.0258258</v>
      </c>
      <c r="AH304" s="62"/>
      <c r="AI304" s="8" t="str">
        <f t="array" ref="AI304">XLOOKUP($J304,'AP Plants'!D:D,'AP Plants'!B:B)</f>
        <v>Class 3</v>
      </c>
      <c r="AJ304" s="56">
        <f>(AG304*'Currency &amp; Conversion'!$L$6)</f>
        <v>954.6156597</v>
      </c>
      <c r="AK304" s="56"/>
      <c r="AL304" s="49">
        <v>0.015</v>
      </c>
      <c r="AM304" s="49">
        <f t="array" ref="AM304">XLOOKUP($AI304,Warranty!B:B,Warranty!E:E)</f>
        <v>0.015</v>
      </c>
      <c r="AN304" s="8">
        <f>IF($L304="AUD",VLOOKUP(RIGHT('Wk - Margins'!$J304,3),'AU Freight'!C:G,5,0),0)</f>
        <v>100</v>
      </c>
      <c r="AO304" s="49">
        <f t="shared" si="11"/>
        <v>0</v>
      </c>
      <c r="AP304" s="63">
        <f t="shared" si="12"/>
        <v>1083.25413</v>
      </c>
      <c r="AQ304" s="58">
        <f t="shared" si="13"/>
        <v>0.3672581019</v>
      </c>
      <c r="AR304" s="59">
        <f>IF(L304="AUD",O304*'Currency &amp; Conversion'!$L$7,'Wk - Margins'!O304)</f>
        <v>1436.967022</v>
      </c>
      <c r="AS304" s="59">
        <f>IF(L304="AUD",P304*'Currency &amp; Conversion'!$L$7,'Wk - Margins'!P304)</f>
        <v>1149.573618</v>
      </c>
    </row>
    <row r="305" ht="12.75" hidden="1" customHeight="1">
      <c r="A305" s="42" t="str">
        <f>'Input - Bookings'!A305</f>
        <v>13/06/2023</v>
      </c>
      <c r="B305" s="43" t="str">
        <f t="shared" si="1"/>
        <v>Australia</v>
      </c>
      <c r="C305" s="43" t="str">
        <f t="shared" si="2"/>
        <v>PAU</v>
      </c>
      <c r="D305" s="43" t="str">
        <f>'Input - Bookings'!D305</f>
        <v>P</v>
      </c>
      <c r="E305" s="43" t="str">
        <f>'Input - Bookings'!J305</f>
        <v>AU</v>
      </c>
      <c r="F305" s="44" t="str">
        <f>'Input - Bookings'!F305</f>
        <v>065</v>
      </c>
      <c r="G305" s="44" t="str">
        <f>'Input - Bookings'!I305</f>
        <v>COLES SUPERMARKETS</v>
      </c>
      <c r="H305" s="45" t="str">
        <f>'Input - Bookings'!K305</f>
        <v>H35910</v>
      </c>
      <c r="I305" s="45" t="str">
        <f>VLOOKUP(H305,'Input - Bookings'!$G$2:$H$611,2,0)</f>
        <v>065005</v>
      </c>
      <c r="J305" s="44" t="str">
        <f>'Input - Bookings'!N305</f>
        <v>A6W9</v>
      </c>
      <c r="K305" s="44" t="str">
        <f>'Input - Bookings'!O305</f>
        <v>PC1.5</v>
      </c>
      <c r="L305" s="44" t="str">
        <f>'Input - Bookings'!C305</f>
        <v>AUD</v>
      </c>
      <c r="M305" s="46" t="str">
        <f t="array" ref="M305">IF(L305="USD",INDEX('AP Plants'!A:A,MATCH(J305,'AP Plants'!D:D,0)),INDEX('Australia Plants'!A:A,MATCH(J305,'Australia Plants'!D:D,0)))</f>
        <v>Staxx</v>
      </c>
      <c r="N305" s="10">
        <v>1.0</v>
      </c>
      <c r="O305" s="9">
        <v>2140.0</v>
      </c>
      <c r="P305" s="9">
        <v>1712.0</v>
      </c>
      <c r="Q305" s="47">
        <v>0.36725810191223773</v>
      </c>
      <c r="R305" s="48">
        <f t="shared" si="3"/>
        <v>0.2</v>
      </c>
      <c r="S305" s="49">
        <f t="shared" si="4"/>
        <v>0</v>
      </c>
      <c r="T305" s="49">
        <f t="shared" si="21"/>
        <v>0.3672581019</v>
      </c>
      <c r="U305" s="50" t="str">
        <f t="shared" si="6"/>
        <v>AOP</v>
      </c>
      <c r="V305" s="51">
        <f t="shared" si="28"/>
        <v>628.7458705</v>
      </c>
      <c r="W305" s="52" t="str">
        <f t="shared" si="8"/>
        <v>#DIV/0!</v>
      </c>
      <c r="X305" s="9" t="str">
        <f t="shared" si="25"/>
        <v>#DIV/0!</v>
      </c>
      <c r="Y305" s="8"/>
      <c r="Z305" s="8"/>
      <c r="AA305" s="8"/>
      <c r="AB305" s="8" t="str">
        <f t="shared" si="10"/>
        <v>PAUH35910PC1.5</v>
      </c>
      <c r="AC305" s="8" t="str">
        <f>IF(AB305='Input - Bookings'!S302,"OK","Check")</f>
        <v>Check</v>
      </c>
      <c r="AD305" s="60"/>
      <c r="AE305" s="54"/>
      <c r="AF305" s="54"/>
      <c r="AG305" s="55">
        <f t="shared" si="41"/>
        <v>641.0258258</v>
      </c>
      <c r="AH305" s="62"/>
      <c r="AI305" s="8" t="str">
        <f t="array" ref="AI305">XLOOKUP($J305,'AP Plants'!D:D,'AP Plants'!B:B)</f>
        <v>Class 3</v>
      </c>
      <c r="AJ305" s="56">
        <f>(AG305*'Currency &amp; Conversion'!$L$6)</f>
        <v>954.6156597</v>
      </c>
      <c r="AK305" s="56"/>
      <c r="AL305" s="49">
        <v>0.015</v>
      </c>
      <c r="AM305" s="49">
        <f t="array" ref="AM305">XLOOKUP($AI305,Warranty!B:B,Warranty!E:E)</f>
        <v>0.015</v>
      </c>
      <c r="AN305" s="8">
        <f>IF($L305="AUD",VLOOKUP(RIGHT('Wk - Margins'!$J305,3),'AU Freight'!C:G,5,0),0)</f>
        <v>100</v>
      </c>
      <c r="AO305" s="49">
        <f t="shared" si="11"/>
        <v>0</v>
      </c>
      <c r="AP305" s="63">
        <f t="shared" si="12"/>
        <v>1083.25413</v>
      </c>
      <c r="AQ305" s="58">
        <f t="shared" si="13"/>
        <v>0.3672581019</v>
      </c>
      <c r="AR305" s="59">
        <f>IF(L305="AUD",O305*'Currency &amp; Conversion'!$L$7,'Wk - Margins'!O305)</f>
        <v>1436.967022</v>
      </c>
      <c r="AS305" s="59">
        <f>IF(L305="AUD",P305*'Currency &amp; Conversion'!$L$7,'Wk - Margins'!P305)</f>
        <v>1149.573618</v>
      </c>
    </row>
    <row r="306" ht="12.75" hidden="1" customHeight="1">
      <c r="A306" s="42" t="str">
        <f>'Input - Bookings'!A306</f>
        <v>13/06/2023</v>
      </c>
      <c r="B306" s="43" t="str">
        <f t="shared" si="1"/>
        <v>Australia</v>
      </c>
      <c r="C306" s="43" t="str">
        <f t="shared" si="2"/>
        <v>PAU</v>
      </c>
      <c r="D306" s="43" t="str">
        <f>'Input - Bookings'!D306</f>
        <v>P</v>
      </c>
      <c r="E306" s="43" t="str">
        <f>'Input - Bookings'!J306</f>
        <v>AU</v>
      </c>
      <c r="F306" s="44" t="str">
        <f>'Input - Bookings'!F306</f>
        <v>065</v>
      </c>
      <c r="G306" s="44" t="str">
        <f>'Input - Bookings'!I306</f>
        <v>COLES SUPERMARKETS</v>
      </c>
      <c r="H306" s="45" t="str">
        <f>'Input - Bookings'!K306</f>
        <v>H35911</v>
      </c>
      <c r="I306" s="45" t="str">
        <f>VLOOKUP(H306,'Input - Bookings'!$G$2:$H$611,2,0)</f>
        <v>065005</v>
      </c>
      <c r="J306" s="44" t="str">
        <f>'Input - Bookings'!N306</f>
        <v>A6W9</v>
      </c>
      <c r="K306" s="44" t="str">
        <f>'Input - Bookings'!O306</f>
        <v>PC1.5</v>
      </c>
      <c r="L306" s="44" t="str">
        <f>'Input - Bookings'!C306</f>
        <v>AUD</v>
      </c>
      <c r="M306" s="46" t="str">
        <f t="array" ref="M306">IF(L306="USD",INDEX('AP Plants'!A:A,MATCH(J306,'AP Plants'!D:D,0)),INDEX('Australia Plants'!A:A,MATCH(J306,'Australia Plants'!D:D,0)))</f>
        <v>Staxx</v>
      </c>
      <c r="N306" s="10">
        <v>1.0</v>
      </c>
      <c r="O306" s="9">
        <v>2140.0</v>
      </c>
      <c r="P306" s="9">
        <v>1712.0</v>
      </c>
      <c r="Q306" s="47">
        <v>0.36725810191223773</v>
      </c>
      <c r="R306" s="48">
        <f t="shared" si="3"/>
        <v>0.2</v>
      </c>
      <c r="S306" s="49">
        <f t="shared" si="4"/>
        <v>0</v>
      </c>
      <c r="T306" s="49">
        <f t="shared" si="21"/>
        <v>0.3672581019</v>
      </c>
      <c r="U306" s="50" t="str">
        <f t="shared" si="6"/>
        <v>AOP</v>
      </c>
      <c r="V306" s="51">
        <f t="shared" si="28"/>
        <v>628.7458705</v>
      </c>
      <c r="W306" s="52" t="str">
        <f t="shared" si="8"/>
        <v>#DIV/0!</v>
      </c>
      <c r="X306" s="9" t="str">
        <f t="shared" si="25"/>
        <v>#DIV/0!</v>
      </c>
      <c r="Y306" s="8"/>
      <c r="Z306" s="8"/>
      <c r="AA306" s="8"/>
      <c r="AB306" s="8" t="str">
        <f t="shared" si="10"/>
        <v>PAUH35911PC1.5</v>
      </c>
      <c r="AC306" s="8" t="str">
        <f>IF(AB306='Input - Bookings'!S303,"OK","Check")</f>
        <v>Check</v>
      </c>
      <c r="AD306" s="60"/>
      <c r="AE306" s="54"/>
      <c r="AF306" s="54"/>
      <c r="AG306" s="55">
        <f t="shared" si="41"/>
        <v>641.0258258</v>
      </c>
      <c r="AH306" s="62"/>
      <c r="AI306" s="8" t="str">
        <f t="array" ref="AI306">XLOOKUP($J306,'AP Plants'!D:D,'AP Plants'!B:B)</f>
        <v>Class 3</v>
      </c>
      <c r="AJ306" s="56">
        <f>(AG306*'Currency &amp; Conversion'!$L$6)</f>
        <v>954.6156597</v>
      </c>
      <c r="AK306" s="56"/>
      <c r="AL306" s="49">
        <v>0.015</v>
      </c>
      <c r="AM306" s="49">
        <f t="array" ref="AM306">XLOOKUP($AI306,Warranty!B:B,Warranty!E:E)</f>
        <v>0.015</v>
      </c>
      <c r="AN306" s="8">
        <f>IF($L306="AUD",VLOOKUP(RIGHT('Wk - Margins'!$J306,3),'AU Freight'!C:G,5,0),0)</f>
        <v>100</v>
      </c>
      <c r="AO306" s="49">
        <f t="shared" si="11"/>
        <v>0</v>
      </c>
      <c r="AP306" s="63">
        <f t="shared" si="12"/>
        <v>1083.25413</v>
      </c>
      <c r="AQ306" s="58">
        <f t="shared" si="13"/>
        <v>0.3672581019</v>
      </c>
      <c r="AR306" s="59">
        <f>IF(L306="AUD",O306*'Currency &amp; Conversion'!$L$7,'Wk - Margins'!O306)</f>
        <v>1436.967022</v>
      </c>
      <c r="AS306" s="59">
        <f>IF(L306="AUD",P306*'Currency &amp; Conversion'!$L$7,'Wk - Margins'!P306)</f>
        <v>1149.573618</v>
      </c>
    </row>
    <row r="307" ht="12.75" hidden="1" customHeight="1">
      <c r="A307" s="42" t="str">
        <f>'Input - Bookings'!A307</f>
        <v>13/06/2023</v>
      </c>
      <c r="B307" s="43" t="str">
        <f t="shared" si="1"/>
        <v>Australia</v>
      </c>
      <c r="C307" s="43" t="str">
        <f t="shared" si="2"/>
        <v>PAU</v>
      </c>
      <c r="D307" s="43" t="str">
        <f>'Input - Bookings'!D307</f>
        <v>P</v>
      </c>
      <c r="E307" s="43" t="str">
        <f>'Input - Bookings'!J307</f>
        <v>AU</v>
      </c>
      <c r="F307" s="44" t="str">
        <f>'Input - Bookings'!F307</f>
        <v>065</v>
      </c>
      <c r="G307" s="44" t="str">
        <f>'Input - Bookings'!I307</f>
        <v>COLES SUPERMARKETS</v>
      </c>
      <c r="H307" s="45" t="str">
        <f>'Input - Bookings'!K307</f>
        <v>H35912</v>
      </c>
      <c r="I307" s="45" t="str">
        <f>VLOOKUP(H307,'Input - Bookings'!$G$2:$H$611,2,0)</f>
        <v>065005</v>
      </c>
      <c r="J307" s="44" t="str">
        <f>'Input - Bookings'!N307</f>
        <v>A6W9</v>
      </c>
      <c r="K307" s="44" t="str">
        <f>'Input - Bookings'!O307</f>
        <v>PC1.5</v>
      </c>
      <c r="L307" s="44" t="str">
        <f>'Input - Bookings'!C307</f>
        <v>AUD</v>
      </c>
      <c r="M307" s="46" t="str">
        <f t="array" ref="M307">IF(L307="USD",INDEX('AP Plants'!A:A,MATCH(J307,'AP Plants'!D:D,0)),INDEX('Australia Plants'!A:A,MATCH(J307,'Australia Plants'!D:D,0)))</f>
        <v>Staxx</v>
      </c>
      <c r="N307" s="10">
        <v>1.0</v>
      </c>
      <c r="O307" s="9">
        <v>2140.0</v>
      </c>
      <c r="P307" s="9">
        <v>1712.0</v>
      </c>
      <c r="Q307" s="47">
        <v>0.36725810191223773</v>
      </c>
      <c r="R307" s="48">
        <f t="shared" si="3"/>
        <v>0.2</v>
      </c>
      <c r="S307" s="49">
        <f t="shared" si="4"/>
        <v>0</v>
      </c>
      <c r="T307" s="49">
        <f t="shared" si="21"/>
        <v>0.3672581019</v>
      </c>
      <c r="U307" s="50" t="str">
        <f t="shared" si="6"/>
        <v>AOP</v>
      </c>
      <c r="V307" s="51">
        <f t="shared" si="28"/>
        <v>628.7458705</v>
      </c>
      <c r="W307" s="52" t="str">
        <f t="shared" si="8"/>
        <v>#DIV/0!</v>
      </c>
      <c r="X307" s="9" t="str">
        <f t="shared" si="25"/>
        <v>#DIV/0!</v>
      </c>
      <c r="Y307" s="8"/>
      <c r="Z307" s="8"/>
      <c r="AA307" s="8"/>
      <c r="AB307" s="8" t="str">
        <f t="shared" si="10"/>
        <v>PAUH35912PC1.5</v>
      </c>
      <c r="AC307" s="8" t="str">
        <f>IF(AB307='Input - Bookings'!S304,"OK","Check")</f>
        <v>Check</v>
      </c>
      <c r="AD307" s="60"/>
      <c r="AE307" s="54"/>
      <c r="AF307" s="54"/>
      <c r="AG307" s="55">
        <f t="shared" si="41"/>
        <v>641.0258258</v>
      </c>
      <c r="AH307" s="62"/>
      <c r="AI307" s="8" t="str">
        <f t="array" ref="AI307">XLOOKUP($J307,'AP Plants'!D:D,'AP Plants'!B:B)</f>
        <v>Class 3</v>
      </c>
      <c r="AJ307" s="56">
        <f>(AG307*'Currency &amp; Conversion'!$L$6)</f>
        <v>954.6156597</v>
      </c>
      <c r="AK307" s="56"/>
      <c r="AL307" s="49">
        <v>0.015</v>
      </c>
      <c r="AM307" s="49">
        <f t="array" ref="AM307">XLOOKUP($AI307,Warranty!B:B,Warranty!E:E)</f>
        <v>0.015</v>
      </c>
      <c r="AN307" s="8">
        <f>IF($L307="AUD",VLOOKUP(RIGHT('Wk - Margins'!$J307,3),'AU Freight'!C:G,5,0),0)</f>
        <v>100</v>
      </c>
      <c r="AO307" s="49">
        <f t="shared" si="11"/>
        <v>0</v>
      </c>
      <c r="AP307" s="63">
        <f t="shared" si="12"/>
        <v>1083.25413</v>
      </c>
      <c r="AQ307" s="58">
        <f t="shared" si="13"/>
        <v>0.3672581019</v>
      </c>
      <c r="AR307" s="59">
        <f>IF(L307="AUD",O307*'Currency &amp; Conversion'!$L$7,'Wk - Margins'!O307)</f>
        <v>1436.967022</v>
      </c>
      <c r="AS307" s="59">
        <f>IF(L307="AUD",P307*'Currency &amp; Conversion'!$L$7,'Wk - Margins'!P307)</f>
        <v>1149.573618</v>
      </c>
    </row>
    <row r="308" ht="12.75" hidden="1" customHeight="1">
      <c r="A308" s="42" t="str">
        <f>'Input - Bookings'!A308</f>
        <v>13/06/2023</v>
      </c>
      <c r="B308" s="43" t="str">
        <f t="shared" si="1"/>
        <v>Australia</v>
      </c>
      <c r="C308" s="43" t="str">
        <f t="shared" si="2"/>
        <v>PAU</v>
      </c>
      <c r="D308" s="43" t="str">
        <f>'Input - Bookings'!D308</f>
        <v>P</v>
      </c>
      <c r="E308" s="43" t="str">
        <f>'Input - Bookings'!J308</f>
        <v>AU</v>
      </c>
      <c r="F308" s="44" t="str">
        <f>'Input - Bookings'!F308</f>
        <v>065</v>
      </c>
      <c r="G308" s="44" t="str">
        <f>'Input - Bookings'!I308</f>
        <v>COLES SUPERMARKETS</v>
      </c>
      <c r="H308" s="45" t="str">
        <f>'Input - Bookings'!K308</f>
        <v>H35913</v>
      </c>
      <c r="I308" s="45" t="str">
        <f>VLOOKUP(H308,'Input - Bookings'!$G$2:$H$611,2,0)</f>
        <v>065005</v>
      </c>
      <c r="J308" s="44" t="str">
        <f>'Input - Bookings'!N308</f>
        <v>A6W9</v>
      </c>
      <c r="K308" s="44" t="str">
        <f>'Input - Bookings'!O308</f>
        <v>PC1.5</v>
      </c>
      <c r="L308" s="44" t="str">
        <f>'Input - Bookings'!C308</f>
        <v>AUD</v>
      </c>
      <c r="M308" s="46" t="str">
        <f t="array" ref="M308">IF(L308="USD",INDEX('AP Plants'!A:A,MATCH(J308,'AP Plants'!D:D,0)),INDEX('Australia Plants'!A:A,MATCH(J308,'Australia Plants'!D:D,0)))</f>
        <v>Staxx</v>
      </c>
      <c r="N308" s="10">
        <v>1.0</v>
      </c>
      <c r="O308" s="9">
        <v>2140.0</v>
      </c>
      <c r="P308" s="9">
        <v>1712.0</v>
      </c>
      <c r="Q308" s="47">
        <v>0.36725810191223773</v>
      </c>
      <c r="R308" s="48">
        <f t="shared" si="3"/>
        <v>0.2</v>
      </c>
      <c r="S308" s="49">
        <f t="shared" si="4"/>
        <v>0</v>
      </c>
      <c r="T308" s="49">
        <f t="shared" si="21"/>
        <v>0.3672581019</v>
      </c>
      <c r="U308" s="50" t="str">
        <f t="shared" si="6"/>
        <v>AOP</v>
      </c>
      <c r="V308" s="51">
        <f t="shared" si="28"/>
        <v>628.7458705</v>
      </c>
      <c r="W308" s="52" t="str">
        <f t="shared" si="8"/>
        <v>#DIV/0!</v>
      </c>
      <c r="X308" s="9" t="str">
        <f t="shared" si="25"/>
        <v>#DIV/0!</v>
      </c>
      <c r="Y308" s="8"/>
      <c r="Z308" s="8"/>
      <c r="AA308" s="8"/>
      <c r="AB308" s="8" t="str">
        <f t="shared" si="10"/>
        <v>PAUH35913PC1.5</v>
      </c>
      <c r="AC308" s="8" t="str">
        <f>IF(AB308='Input - Bookings'!S305,"OK","Check")</f>
        <v>Check</v>
      </c>
      <c r="AD308" s="60"/>
      <c r="AE308" s="54"/>
      <c r="AF308" s="54"/>
      <c r="AG308" s="55">
        <f t="shared" si="41"/>
        <v>641.0258258</v>
      </c>
      <c r="AH308" s="62"/>
      <c r="AI308" s="8" t="str">
        <f t="array" ref="AI308">XLOOKUP($J308,'AP Plants'!D:D,'AP Plants'!B:B)</f>
        <v>Class 3</v>
      </c>
      <c r="AJ308" s="56">
        <f>(AG308*'Currency &amp; Conversion'!$L$6)</f>
        <v>954.6156597</v>
      </c>
      <c r="AK308" s="56"/>
      <c r="AL308" s="49">
        <v>0.015</v>
      </c>
      <c r="AM308" s="49">
        <f t="array" ref="AM308">XLOOKUP($AI308,Warranty!B:B,Warranty!E:E)</f>
        <v>0.015</v>
      </c>
      <c r="AN308" s="8">
        <f>IF($L308="AUD",VLOOKUP(RIGHT('Wk - Margins'!$J308,3),'AU Freight'!C:G,5,0),0)</f>
        <v>100</v>
      </c>
      <c r="AO308" s="49">
        <f t="shared" si="11"/>
        <v>0</v>
      </c>
      <c r="AP308" s="63">
        <f t="shared" si="12"/>
        <v>1083.25413</v>
      </c>
      <c r="AQ308" s="58">
        <f t="shared" si="13"/>
        <v>0.3672581019</v>
      </c>
      <c r="AR308" s="59">
        <f>IF(L308="AUD",O308*'Currency &amp; Conversion'!$L$7,'Wk - Margins'!O308)</f>
        <v>1436.967022</v>
      </c>
      <c r="AS308" s="59">
        <f>IF(L308="AUD",P308*'Currency &amp; Conversion'!$L$7,'Wk - Margins'!P308)</f>
        <v>1149.573618</v>
      </c>
    </row>
    <row r="309" ht="12.75" hidden="1" customHeight="1">
      <c r="A309" s="42" t="str">
        <f>'Input - Bookings'!A309</f>
        <v>13/06/2023</v>
      </c>
      <c r="B309" s="43" t="str">
        <f t="shared" si="1"/>
        <v>Australia</v>
      </c>
      <c r="C309" s="43" t="str">
        <f t="shared" si="2"/>
        <v>PAU</v>
      </c>
      <c r="D309" s="43" t="str">
        <f>'Input - Bookings'!D309</f>
        <v>P</v>
      </c>
      <c r="E309" s="43" t="str">
        <f>'Input - Bookings'!J309</f>
        <v>AU</v>
      </c>
      <c r="F309" s="44" t="str">
        <f>'Input - Bookings'!F309</f>
        <v>065</v>
      </c>
      <c r="G309" s="44" t="str">
        <f>'Input - Bookings'!I309</f>
        <v>COLES SUPERMARKETS</v>
      </c>
      <c r="H309" s="45" t="str">
        <f>'Input - Bookings'!K309</f>
        <v>H35914</v>
      </c>
      <c r="I309" s="45" t="str">
        <f>VLOOKUP(H309,'Input - Bookings'!$G$2:$H$611,2,0)</f>
        <v>065005</v>
      </c>
      <c r="J309" s="44" t="str">
        <f>'Input - Bookings'!N309</f>
        <v>A6W9</v>
      </c>
      <c r="K309" s="44" t="str">
        <f>'Input - Bookings'!O309</f>
        <v>PC1.5</v>
      </c>
      <c r="L309" s="44" t="str">
        <f>'Input - Bookings'!C309</f>
        <v>AUD</v>
      </c>
      <c r="M309" s="46" t="str">
        <f t="array" ref="M309">IF(L309="USD",INDEX('AP Plants'!A:A,MATCH(J309,'AP Plants'!D:D,0)),INDEX('Australia Plants'!A:A,MATCH(J309,'Australia Plants'!D:D,0)))</f>
        <v>Staxx</v>
      </c>
      <c r="N309" s="10">
        <v>1.0</v>
      </c>
      <c r="O309" s="9">
        <v>2140.0</v>
      </c>
      <c r="P309" s="9">
        <v>1712.0</v>
      </c>
      <c r="Q309" s="47">
        <v>0.36725810191223773</v>
      </c>
      <c r="R309" s="48">
        <f t="shared" si="3"/>
        <v>0.2</v>
      </c>
      <c r="S309" s="49">
        <f t="shared" si="4"/>
        <v>0</v>
      </c>
      <c r="T309" s="49">
        <f t="shared" si="21"/>
        <v>0.3672581019</v>
      </c>
      <c r="U309" s="50" t="str">
        <f t="shared" si="6"/>
        <v>AOP</v>
      </c>
      <c r="V309" s="51">
        <f t="shared" si="28"/>
        <v>628.7458705</v>
      </c>
      <c r="W309" s="52" t="str">
        <f t="shared" si="8"/>
        <v>#DIV/0!</v>
      </c>
      <c r="X309" s="9" t="str">
        <f t="shared" si="25"/>
        <v>#DIV/0!</v>
      </c>
      <c r="Y309" s="8"/>
      <c r="Z309" s="8"/>
      <c r="AA309" s="8"/>
      <c r="AB309" s="8" t="str">
        <f t="shared" si="10"/>
        <v>PAUH35914PC1.5</v>
      </c>
      <c r="AC309" s="8" t="str">
        <f>IF(AB309='Input - Bookings'!S306,"OK","Check")</f>
        <v>Check</v>
      </c>
      <c r="AD309" s="60"/>
      <c r="AE309" s="54"/>
      <c r="AF309" s="54"/>
      <c r="AG309" s="55">
        <f t="shared" si="41"/>
        <v>641.0258258</v>
      </c>
      <c r="AH309" s="62"/>
      <c r="AI309" s="8" t="str">
        <f t="array" ref="AI309">XLOOKUP($J309,'AP Plants'!D:D,'AP Plants'!B:B)</f>
        <v>Class 3</v>
      </c>
      <c r="AJ309" s="56">
        <f>(AG309*'Currency &amp; Conversion'!$L$6)</f>
        <v>954.6156597</v>
      </c>
      <c r="AK309" s="56"/>
      <c r="AL309" s="49">
        <v>0.015</v>
      </c>
      <c r="AM309" s="49">
        <f t="array" ref="AM309">XLOOKUP($AI309,Warranty!B:B,Warranty!E:E)</f>
        <v>0.015</v>
      </c>
      <c r="AN309" s="8">
        <f>IF($L309="AUD",VLOOKUP(RIGHT('Wk - Margins'!$J309,3),'AU Freight'!C:G,5,0),0)</f>
        <v>100</v>
      </c>
      <c r="AO309" s="49">
        <f t="shared" si="11"/>
        <v>0</v>
      </c>
      <c r="AP309" s="63">
        <f t="shared" si="12"/>
        <v>1083.25413</v>
      </c>
      <c r="AQ309" s="58">
        <f t="shared" si="13"/>
        <v>0.3672581019</v>
      </c>
      <c r="AR309" s="59">
        <f>IF(L309="AUD",O309*'Currency &amp; Conversion'!$L$7,'Wk - Margins'!O309)</f>
        <v>1436.967022</v>
      </c>
      <c r="AS309" s="59">
        <f>IF(L309="AUD",P309*'Currency &amp; Conversion'!$L$7,'Wk - Margins'!P309)</f>
        <v>1149.573618</v>
      </c>
    </row>
    <row r="310" ht="12.75" hidden="1" customHeight="1">
      <c r="A310" s="42" t="str">
        <f>'Input - Bookings'!A310</f>
        <v>13/06/2023</v>
      </c>
      <c r="B310" s="43" t="str">
        <f t="shared" si="1"/>
        <v>Australia</v>
      </c>
      <c r="C310" s="43" t="str">
        <f t="shared" si="2"/>
        <v>PAU</v>
      </c>
      <c r="D310" s="43" t="str">
        <f>'Input - Bookings'!D310</f>
        <v>P</v>
      </c>
      <c r="E310" s="43" t="str">
        <f>'Input - Bookings'!J310</f>
        <v>AU</v>
      </c>
      <c r="F310" s="44" t="str">
        <f>'Input - Bookings'!F310</f>
        <v>065</v>
      </c>
      <c r="G310" s="44" t="str">
        <f>'Input - Bookings'!I310</f>
        <v>COLES SUPERMARKETS</v>
      </c>
      <c r="H310" s="45" t="str">
        <f>'Input - Bookings'!K310</f>
        <v>H35915</v>
      </c>
      <c r="I310" s="45" t="str">
        <f>VLOOKUP(H310,'Input - Bookings'!$G$2:$H$611,2,0)</f>
        <v>065005</v>
      </c>
      <c r="J310" s="44" t="str">
        <f>'Input - Bookings'!N310</f>
        <v>A6W9</v>
      </c>
      <c r="K310" s="44" t="str">
        <f>'Input - Bookings'!O310</f>
        <v>PC1.5</v>
      </c>
      <c r="L310" s="44" t="str">
        <f>'Input - Bookings'!C310</f>
        <v>AUD</v>
      </c>
      <c r="M310" s="46" t="str">
        <f t="array" ref="M310">IF(L310="USD",INDEX('AP Plants'!A:A,MATCH(J310,'AP Plants'!D:D,0)),INDEX('Australia Plants'!A:A,MATCH(J310,'Australia Plants'!D:D,0)))</f>
        <v>Staxx</v>
      </c>
      <c r="N310" s="10">
        <v>1.0</v>
      </c>
      <c r="O310" s="9">
        <v>2140.0</v>
      </c>
      <c r="P310" s="9">
        <v>1712.0</v>
      </c>
      <c r="Q310" s="47">
        <v>0.36725810191223773</v>
      </c>
      <c r="R310" s="48">
        <f t="shared" si="3"/>
        <v>0.2</v>
      </c>
      <c r="S310" s="49">
        <f t="shared" si="4"/>
        <v>0</v>
      </c>
      <c r="T310" s="49">
        <f t="shared" si="21"/>
        <v>0.3672581019</v>
      </c>
      <c r="U310" s="50" t="str">
        <f t="shared" si="6"/>
        <v>AOP</v>
      </c>
      <c r="V310" s="51">
        <f t="shared" si="28"/>
        <v>628.7458705</v>
      </c>
      <c r="W310" s="52" t="str">
        <f t="shared" si="8"/>
        <v>#DIV/0!</v>
      </c>
      <c r="X310" s="9" t="str">
        <f t="shared" si="25"/>
        <v>#DIV/0!</v>
      </c>
      <c r="Y310" s="8"/>
      <c r="Z310" s="8"/>
      <c r="AA310" s="8"/>
      <c r="AB310" s="8" t="str">
        <f t="shared" si="10"/>
        <v>PAUH35915PC1.5</v>
      </c>
      <c r="AC310" s="8" t="str">
        <f>IF(AB310='Input - Bookings'!S307,"OK","Check")</f>
        <v>Check</v>
      </c>
      <c r="AD310" s="60"/>
      <c r="AE310" s="54"/>
      <c r="AF310" s="54"/>
      <c r="AG310" s="55">
        <f t="shared" si="41"/>
        <v>641.0258258</v>
      </c>
      <c r="AH310" s="62"/>
      <c r="AI310" s="8" t="str">
        <f t="array" ref="AI310">XLOOKUP($J310,'AP Plants'!D:D,'AP Plants'!B:B)</f>
        <v>Class 3</v>
      </c>
      <c r="AJ310" s="56">
        <f>(AG310*'Currency &amp; Conversion'!$L$6)</f>
        <v>954.6156597</v>
      </c>
      <c r="AK310" s="56"/>
      <c r="AL310" s="49">
        <v>0.015</v>
      </c>
      <c r="AM310" s="49">
        <f t="array" ref="AM310">XLOOKUP($AI310,Warranty!B:B,Warranty!E:E)</f>
        <v>0.015</v>
      </c>
      <c r="AN310" s="8">
        <f>IF($L310="AUD",VLOOKUP(RIGHT('Wk - Margins'!$J310,3),'AU Freight'!C:G,5,0),0)</f>
        <v>100</v>
      </c>
      <c r="AO310" s="49">
        <f t="shared" si="11"/>
        <v>0</v>
      </c>
      <c r="AP310" s="63">
        <f t="shared" si="12"/>
        <v>1083.25413</v>
      </c>
      <c r="AQ310" s="58">
        <f t="shared" si="13"/>
        <v>0.3672581019</v>
      </c>
      <c r="AR310" s="59">
        <f>IF(L310="AUD",O310*'Currency &amp; Conversion'!$L$7,'Wk - Margins'!O310)</f>
        <v>1436.967022</v>
      </c>
      <c r="AS310" s="59">
        <f>IF(L310="AUD",P310*'Currency &amp; Conversion'!$L$7,'Wk - Margins'!P310)</f>
        <v>1149.573618</v>
      </c>
    </row>
    <row r="311" ht="12.75" hidden="1" customHeight="1">
      <c r="A311" s="42" t="str">
        <f>'Input - Bookings'!A311</f>
        <v>13/06/2023</v>
      </c>
      <c r="B311" s="43" t="str">
        <f t="shared" si="1"/>
        <v>Australia</v>
      </c>
      <c r="C311" s="43" t="str">
        <f t="shared" si="2"/>
        <v>PAU</v>
      </c>
      <c r="D311" s="43" t="str">
        <f>'Input - Bookings'!D311</f>
        <v>P</v>
      </c>
      <c r="E311" s="43" t="str">
        <f>'Input - Bookings'!J311</f>
        <v>AU</v>
      </c>
      <c r="F311" s="44" t="str">
        <f>'Input - Bookings'!F311</f>
        <v>065</v>
      </c>
      <c r="G311" s="44" t="str">
        <f>'Input - Bookings'!I311</f>
        <v>COLES SUPERMARKETS</v>
      </c>
      <c r="H311" s="45" t="str">
        <f>'Input - Bookings'!K311</f>
        <v>H35916</v>
      </c>
      <c r="I311" s="45" t="str">
        <f>VLOOKUP(H311,'Input - Bookings'!$G$2:$H$611,2,0)</f>
        <v>065005</v>
      </c>
      <c r="J311" s="44" t="str">
        <f>'Input - Bookings'!N311</f>
        <v>A6W9</v>
      </c>
      <c r="K311" s="44" t="str">
        <f>'Input - Bookings'!O311</f>
        <v>PC1.5</v>
      </c>
      <c r="L311" s="44" t="str">
        <f>'Input - Bookings'!C311</f>
        <v>AUD</v>
      </c>
      <c r="M311" s="46" t="str">
        <f t="array" ref="M311">IF(L311="USD",INDEX('AP Plants'!A:A,MATCH(J311,'AP Plants'!D:D,0)),INDEX('Australia Plants'!A:A,MATCH(J311,'Australia Plants'!D:D,0)))</f>
        <v>Staxx</v>
      </c>
      <c r="N311" s="10">
        <v>1.0</v>
      </c>
      <c r="O311" s="9">
        <v>2140.0</v>
      </c>
      <c r="P311" s="9">
        <v>1712.0</v>
      </c>
      <c r="Q311" s="47">
        <v>0.36725810191223773</v>
      </c>
      <c r="R311" s="48">
        <f t="shared" si="3"/>
        <v>0.2</v>
      </c>
      <c r="S311" s="49">
        <f t="shared" si="4"/>
        <v>0</v>
      </c>
      <c r="T311" s="49">
        <f t="shared" si="21"/>
        <v>0.3672581019</v>
      </c>
      <c r="U311" s="50" t="str">
        <f t="shared" si="6"/>
        <v>AOP</v>
      </c>
      <c r="V311" s="51">
        <f t="shared" si="28"/>
        <v>628.7458705</v>
      </c>
      <c r="W311" s="52" t="str">
        <f t="shared" si="8"/>
        <v>#DIV/0!</v>
      </c>
      <c r="X311" s="9" t="str">
        <f t="shared" si="25"/>
        <v>#DIV/0!</v>
      </c>
      <c r="Y311" s="8"/>
      <c r="Z311" s="8"/>
      <c r="AA311" s="8"/>
      <c r="AB311" s="8" t="str">
        <f t="shared" si="10"/>
        <v>PAUH35916PC1.5</v>
      </c>
      <c r="AC311" s="8" t="str">
        <f>IF(AB311='Input - Bookings'!S308,"OK","Check")</f>
        <v>Check</v>
      </c>
      <c r="AD311" s="60"/>
      <c r="AE311" s="54"/>
      <c r="AF311" s="54"/>
      <c r="AG311" s="55">
        <f t="shared" si="41"/>
        <v>641.0258258</v>
      </c>
      <c r="AH311" s="62"/>
      <c r="AI311" s="8" t="str">
        <f t="array" ref="AI311">XLOOKUP($J311,'AP Plants'!D:D,'AP Plants'!B:B)</f>
        <v>Class 3</v>
      </c>
      <c r="AJ311" s="56">
        <f>(AG311*'Currency &amp; Conversion'!$L$6)</f>
        <v>954.6156597</v>
      </c>
      <c r="AK311" s="56"/>
      <c r="AL311" s="49">
        <v>0.015</v>
      </c>
      <c r="AM311" s="49">
        <f t="array" ref="AM311">XLOOKUP($AI311,Warranty!B:B,Warranty!E:E)</f>
        <v>0.015</v>
      </c>
      <c r="AN311" s="8">
        <f>IF($L311="AUD",VLOOKUP(RIGHT('Wk - Margins'!$J311,3),'AU Freight'!C:G,5,0),0)</f>
        <v>100</v>
      </c>
      <c r="AO311" s="49">
        <f t="shared" si="11"/>
        <v>0</v>
      </c>
      <c r="AP311" s="63">
        <f t="shared" si="12"/>
        <v>1083.25413</v>
      </c>
      <c r="AQ311" s="58">
        <f t="shared" si="13"/>
        <v>0.3672581019</v>
      </c>
      <c r="AR311" s="59">
        <f>IF(L311="AUD",O311*'Currency &amp; Conversion'!$L$7,'Wk - Margins'!O311)</f>
        <v>1436.967022</v>
      </c>
      <c r="AS311" s="59">
        <f>IF(L311="AUD",P311*'Currency &amp; Conversion'!$L$7,'Wk - Margins'!P311)</f>
        <v>1149.573618</v>
      </c>
    </row>
    <row r="312" ht="12.75" hidden="1" customHeight="1">
      <c r="A312" s="42" t="str">
        <f>'Input - Bookings'!A312</f>
        <v>13/06/2023</v>
      </c>
      <c r="B312" s="43" t="str">
        <f t="shared" si="1"/>
        <v>Australia</v>
      </c>
      <c r="C312" s="43" t="str">
        <f t="shared" si="2"/>
        <v>PAU</v>
      </c>
      <c r="D312" s="43" t="str">
        <f>'Input - Bookings'!D312</f>
        <v>P</v>
      </c>
      <c r="E312" s="43" t="str">
        <f>'Input - Bookings'!J312</f>
        <v>AU</v>
      </c>
      <c r="F312" s="44" t="str">
        <f>'Input - Bookings'!F312</f>
        <v>065</v>
      </c>
      <c r="G312" s="44" t="str">
        <f>'Input - Bookings'!I312</f>
        <v>COLES SUPERMARKETS</v>
      </c>
      <c r="H312" s="45" t="str">
        <f>'Input - Bookings'!K312</f>
        <v>H35917</v>
      </c>
      <c r="I312" s="45" t="str">
        <f>VLOOKUP(H312,'Input - Bookings'!$G$2:$H$611,2,0)</f>
        <v>065005</v>
      </c>
      <c r="J312" s="44" t="str">
        <f>'Input - Bookings'!N312</f>
        <v>A6W9</v>
      </c>
      <c r="K312" s="44" t="str">
        <f>'Input - Bookings'!O312</f>
        <v>PC1.5</v>
      </c>
      <c r="L312" s="44" t="str">
        <f>'Input - Bookings'!C312</f>
        <v>AUD</v>
      </c>
      <c r="M312" s="46" t="str">
        <f t="array" ref="M312">IF(L312="USD",INDEX('AP Plants'!A:A,MATCH(J312,'AP Plants'!D:D,0)),INDEX('Australia Plants'!A:A,MATCH(J312,'Australia Plants'!D:D,0)))</f>
        <v>Staxx</v>
      </c>
      <c r="N312" s="10">
        <v>1.0</v>
      </c>
      <c r="O312" s="9">
        <v>2140.0</v>
      </c>
      <c r="P312" s="9">
        <v>1712.0</v>
      </c>
      <c r="Q312" s="47">
        <v>0.36725810191223773</v>
      </c>
      <c r="R312" s="48">
        <f t="shared" si="3"/>
        <v>0.2</v>
      </c>
      <c r="S312" s="49">
        <f t="shared" si="4"/>
        <v>0</v>
      </c>
      <c r="T312" s="49">
        <f t="shared" si="21"/>
        <v>0.3672581019</v>
      </c>
      <c r="U312" s="50" t="str">
        <f t="shared" si="6"/>
        <v>AOP</v>
      </c>
      <c r="V312" s="51">
        <f t="shared" si="28"/>
        <v>628.7458705</v>
      </c>
      <c r="W312" s="52" t="str">
        <f t="shared" si="8"/>
        <v>#DIV/0!</v>
      </c>
      <c r="X312" s="9" t="str">
        <f t="shared" si="25"/>
        <v>#DIV/0!</v>
      </c>
      <c r="Y312" s="8"/>
      <c r="Z312" s="8"/>
      <c r="AA312" s="8"/>
      <c r="AB312" s="8" t="str">
        <f t="shared" si="10"/>
        <v>PAUH35917PC1.5</v>
      </c>
      <c r="AC312" s="8" t="str">
        <f>IF(AB312='Input - Bookings'!S309,"OK","Check")</f>
        <v>Check</v>
      </c>
      <c r="AD312" s="60"/>
      <c r="AE312" s="54"/>
      <c r="AF312" s="54"/>
      <c r="AG312" s="55">
        <f t="shared" si="41"/>
        <v>641.0258258</v>
      </c>
      <c r="AH312" s="62"/>
      <c r="AI312" s="8" t="str">
        <f t="array" ref="AI312">XLOOKUP($J312,'AP Plants'!D:D,'AP Plants'!B:B)</f>
        <v>Class 3</v>
      </c>
      <c r="AJ312" s="56">
        <f>(AG312*'Currency &amp; Conversion'!$L$6)</f>
        <v>954.6156597</v>
      </c>
      <c r="AK312" s="56"/>
      <c r="AL312" s="49">
        <v>0.015</v>
      </c>
      <c r="AM312" s="49">
        <f t="array" ref="AM312">XLOOKUP($AI312,Warranty!B:B,Warranty!E:E)</f>
        <v>0.015</v>
      </c>
      <c r="AN312" s="8">
        <f>IF($L312="AUD",VLOOKUP(RIGHT('Wk - Margins'!$J312,3),'AU Freight'!C:G,5,0),0)</f>
        <v>100</v>
      </c>
      <c r="AO312" s="49">
        <f t="shared" si="11"/>
        <v>0</v>
      </c>
      <c r="AP312" s="63">
        <f t="shared" si="12"/>
        <v>1083.25413</v>
      </c>
      <c r="AQ312" s="58">
        <f t="shared" si="13"/>
        <v>0.3672581019</v>
      </c>
      <c r="AR312" s="59">
        <f>IF(L312="AUD",O312*'Currency &amp; Conversion'!$L$7,'Wk - Margins'!O312)</f>
        <v>1436.967022</v>
      </c>
      <c r="AS312" s="59">
        <f>IF(L312="AUD",P312*'Currency &amp; Conversion'!$L$7,'Wk - Margins'!P312)</f>
        <v>1149.573618</v>
      </c>
    </row>
    <row r="313" ht="12.75" hidden="1" customHeight="1">
      <c r="A313" s="42" t="str">
        <f>'Input - Bookings'!A313</f>
        <v>13/06/2023</v>
      </c>
      <c r="B313" s="43" t="str">
        <f t="shared" si="1"/>
        <v>Australia</v>
      </c>
      <c r="C313" s="43" t="str">
        <f t="shared" si="2"/>
        <v>PAU</v>
      </c>
      <c r="D313" s="43" t="str">
        <f>'Input - Bookings'!D313</f>
        <v>P</v>
      </c>
      <c r="E313" s="43" t="str">
        <f>'Input - Bookings'!J313</f>
        <v>AU</v>
      </c>
      <c r="F313" s="44" t="str">
        <f>'Input - Bookings'!F313</f>
        <v>065</v>
      </c>
      <c r="G313" s="44" t="str">
        <f>'Input - Bookings'!I313</f>
        <v>COLES SUPERMARKETS</v>
      </c>
      <c r="H313" s="45" t="str">
        <f>'Input - Bookings'!K313</f>
        <v>H35918</v>
      </c>
      <c r="I313" s="45" t="str">
        <f>VLOOKUP(H313,'Input - Bookings'!$G$2:$H$611,2,0)</f>
        <v>065005</v>
      </c>
      <c r="J313" s="44" t="str">
        <f>'Input - Bookings'!N313</f>
        <v>A6W9</v>
      </c>
      <c r="K313" s="44" t="str">
        <f>'Input - Bookings'!O313</f>
        <v>PC1.5</v>
      </c>
      <c r="L313" s="44" t="str">
        <f>'Input - Bookings'!C313</f>
        <v>AUD</v>
      </c>
      <c r="M313" s="46" t="str">
        <f t="array" ref="M313">IF(L313="USD",INDEX('AP Plants'!A:A,MATCH(J313,'AP Plants'!D:D,0)),INDEX('Australia Plants'!A:A,MATCH(J313,'Australia Plants'!D:D,0)))</f>
        <v>Staxx</v>
      </c>
      <c r="N313" s="10">
        <v>1.0</v>
      </c>
      <c r="O313" s="9">
        <v>2140.0</v>
      </c>
      <c r="P313" s="9">
        <v>1712.0</v>
      </c>
      <c r="Q313" s="47">
        <v>0.36725810191223773</v>
      </c>
      <c r="R313" s="48">
        <f t="shared" si="3"/>
        <v>0.2</v>
      </c>
      <c r="S313" s="49">
        <f t="shared" si="4"/>
        <v>0</v>
      </c>
      <c r="T313" s="49">
        <f t="shared" si="21"/>
        <v>0.3672581019</v>
      </c>
      <c r="U313" s="50" t="str">
        <f t="shared" si="6"/>
        <v>AOP</v>
      </c>
      <c r="V313" s="51">
        <f t="shared" si="28"/>
        <v>628.7458705</v>
      </c>
      <c r="W313" s="52" t="str">
        <f t="shared" si="8"/>
        <v>#DIV/0!</v>
      </c>
      <c r="X313" s="9" t="str">
        <f t="shared" si="25"/>
        <v>#DIV/0!</v>
      </c>
      <c r="Y313" s="8"/>
      <c r="Z313" s="8"/>
      <c r="AA313" s="8"/>
      <c r="AB313" s="8" t="str">
        <f t="shared" si="10"/>
        <v>PAUH35918PC1.5</v>
      </c>
      <c r="AC313" s="8" t="str">
        <f>IF(AB313='Input - Bookings'!S310,"OK","Check")</f>
        <v>Check</v>
      </c>
      <c r="AD313" s="60"/>
      <c r="AE313" s="54"/>
      <c r="AF313" s="54"/>
      <c r="AG313" s="55">
        <f t="shared" si="41"/>
        <v>641.0258258</v>
      </c>
      <c r="AH313" s="62"/>
      <c r="AI313" s="8" t="str">
        <f t="array" ref="AI313">XLOOKUP($J313,'AP Plants'!D:D,'AP Plants'!B:B)</f>
        <v>Class 3</v>
      </c>
      <c r="AJ313" s="56">
        <f>(AG313*'Currency &amp; Conversion'!$L$6)</f>
        <v>954.6156597</v>
      </c>
      <c r="AK313" s="56"/>
      <c r="AL313" s="49">
        <v>0.015</v>
      </c>
      <c r="AM313" s="49">
        <f t="array" ref="AM313">XLOOKUP($AI313,Warranty!B:B,Warranty!E:E)</f>
        <v>0.015</v>
      </c>
      <c r="AN313" s="8">
        <f>IF($L313="AUD",VLOOKUP(RIGHT('Wk - Margins'!$J313,3),'AU Freight'!C:G,5,0),0)</f>
        <v>100</v>
      </c>
      <c r="AO313" s="49">
        <f t="shared" si="11"/>
        <v>0</v>
      </c>
      <c r="AP313" s="63">
        <f t="shared" si="12"/>
        <v>1083.25413</v>
      </c>
      <c r="AQ313" s="58">
        <f t="shared" si="13"/>
        <v>0.3672581019</v>
      </c>
      <c r="AR313" s="59">
        <f>IF(L313="AUD",O313*'Currency &amp; Conversion'!$L$7,'Wk - Margins'!O313)</f>
        <v>1436.967022</v>
      </c>
      <c r="AS313" s="59">
        <f>IF(L313="AUD",P313*'Currency &amp; Conversion'!$L$7,'Wk - Margins'!P313)</f>
        <v>1149.573618</v>
      </c>
    </row>
    <row r="314" ht="12.75" hidden="1" customHeight="1">
      <c r="A314" s="42" t="str">
        <f>'Input - Bookings'!A314</f>
        <v>13/06/2023</v>
      </c>
      <c r="B314" s="43" t="str">
        <f t="shared" si="1"/>
        <v>Australia</v>
      </c>
      <c r="C314" s="43" t="str">
        <f t="shared" si="2"/>
        <v>PAU</v>
      </c>
      <c r="D314" s="43" t="str">
        <f>'Input - Bookings'!D314</f>
        <v>P</v>
      </c>
      <c r="E314" s="43" t="str">
        <f>'Input - Bookings'!J314</f>
        <v>AU</v>
      </c>
      <c r="F314" s="44" t="str">
        <f>'Input - Bookings'!F314</f>
        <v>065</v>
      </c>
      <c r="G314" s="44" t="str">
        <f>'Input - Bookings'!I314</f>
        <v>COLES SUPERMARKETS</v>
      </c>
      <c r="H314" s="45" t="str">
        <f>'Input - Bookings'!K314</f>
        <v>H35919</v>
      </c>
      <c r="I314" s="45" t="str">
        <f>VLOOKUP(H314,'Input - Bookings'!$G$2:$H$611,2,0)</f>
        <v>065005</v>
      </c>
      <c r="J314" s="44" t="str">
        <f>'Input - Bookings'!N314</f>
        <v>A6W9</v>
      </c>
      <c r="K314" s="44" t="str">
        <f>'Input - Bookings'!O314</f>
        <v>PC1.5</v>
      </c>
      <c r="L314" s="44" t="str">
        <f>'Input - Bookings'!C314</f>
        <v>AUD</v>
      </c>
      <c r="M314" s="46" t="str">
        <f t="array" ref="M314">IF(L314="USD",INDEX('AP Plants'!A:A,MATCH(J314,'AP Plants'!D:D,0)),INDEX('Australia Plants'!A:A,MATCH(J314,'Australia Plants'!D:D,0)))</f>
        <v>Staxx</v>
      </c>
      <c r="N314" s="10">
        <v>1.0</v>
      </c>
      <c r="O314" s="9">
        <v>2140.0</v>
      </c>
      <c r="P314" s="9">
        <v>1712.0</v>
      </c>
      <c r="Q314" s="47">
        <v>0.36725810191223773</v>
      </c>
      <c r="R314" s="48">
        <f t="shared" si="3"/>
        <v>0.2</v>
      </c>
      <c r="S314" s="49">
        <f t="shared" si="4"/>
        <v>0</v>
      </c>
      <c r="T314" s="49">
        <f t="shared" si="21"/>
        <v>0.3672581019</v>
      </c>
      <c r="U314" s="50" t="str">
        <f t="shared" si="6"/>
        <v>AOP</v>
      </c>
      <c r="V314" s="51">
        <f t="shared" si="28"/>
        <v>628.7458705</v>
      </c>
      <c r="W314" s="52" t="str">
        <f t="shared" si="8"/>
        <v>#DIV/0!</v>
      </c>
      <c r="X314" s="9" t="str">
        <f t="shared" si="25"/>
        <v>#DIV/0!</v>
      </c>
      <c r="Y314" s="8"/>
      <c r="Z314" s="8"/>
      <c r="AA314" s="8"/>
      <c r="AB314" s="8" t="str">
        <f t="shared" si="10"/>
        <v>PAUH35919PC1.5</v>
      </c>
      <c r="AC314" s="8" t="str">
        <f>IF(AB314='Input - Bookings'!S311,"OK","Check")</f>
        <v>Check</v>
      </c>
      <c r="AD314" s="60"/>
      <c r="AE314" s="54"/>
      <c r="AF314" s="54"/>
      <c r="AG314" s="55">
        <f t="shared" si="41"/>
        <v>641.0258258</v>
      </c>
      <c r="AH314" s="62"/>
      <c r="AI314" s="8" t="str">
        <f t="array" ref="AI314">XLOOKUP($J314,'AP Plants'!D:D,'AP Plants'!B:B)</f>
        <v>Class 3</v>
      </c>
      <c r="AJ314" s="56">
        <f>(AG314*'Currency &amp; Conversion'!$L$6)</f>
        <v>954.6156597</v>
      </c>
      <c r="AK314" s="56"/>
      <c r="AL314" s="49">
        <v>0.015</v>
      </c>
      <c r="AM314" s="49">
        <f t="array" ref="AM314">XLOOKUP($AI314,Warranty!B:B,Warranty!E:E)</f>
        <v>0.015</v>
      </c>
      <c r="AN314" s="8">
        <f>IF($L314="AUD",VLOOKUP(RIGHT('Wk - Margins'!$J314,3),'AU Freight'!C:G,5,0),0)</f>
        <v>100</v>
      </c>
      <c r="AO314" s="49">
        <f t="shared" si="11"/>
        <v>0</v>
      </c>
      <c r="AP314" s="63">
        <f t="shared" si="12"/>
        <v>1083.25413</v>
      </c>
      <c r="AQ314" s="58">
        <f t="shared" si="13"/>
        <v>0.3672581019</v>
      </c>
      <c r="AR314" s="59">
        <f>IF(L314="AUD",O314*'Currency &amp; Conversion'!$L$7,'Wk - Margins'!O314)</f>
        <v>1436.967022</v>
      </c>
      <c r="AS314" s="59">
        <f>IF(L314="AUD",P314*'Currency &amp; Conversion'!$L$7,'Wk - Margins'!P314)</f>
        <v>1149.573618</v>
      </c>
    </row>
    <row r="315" ht="12.75" hidden="1" customHeight="1">
      <c r="A315" s="42" t="str">
        <f>'Input - Bookings'!A315</f>
        <v>13/06/2023</v>
      </c>
      <c r="B315" s="43" t="str">
        <f t="shared" si="1"/>
        <v>Australia</v>
      </c>
      <c r="C315" s="43" t="str">
        <f t="shared" si="2"/>
        <v>PAU</v>
      </c>
      <c r="D315" s="43" t="str">
        <f>'Input - Bookings'!D315</f>
        <v>P</v>
      </c>
      <c r="E315" s="43" t="str">
        <f>'Input - Bookings'!J315</f>
        <v>AU</v>
      </c>
      <c r="F315" s="44" t="str">
        <f>'Input - Bookings'!F315</f>
        <v>065</v>
      </c>
      <c r="G315" s="44" t="str">
        <f>'Input - Bookings'!I315</f>
        <v>COLES SUPERMARKETS</v>
      </c>
      <c r="H315" s="45" t="str">
        <f>'Input - Bookings'!K315</f>
        <v>H35920</v>
      </c>
      <c r="I315" s="45" t="str">
        <f>VLOOKUP(H315,'Input - Bookings'!$G$2:$H$611,2,0)</f>
        <v>065005</v>
      </c>
      <c r="J315" s="44" t="str">
        <f>'Input - Bookings'!N315</f>
        <v>A6W9</v>
      </c>
      <c r="K315" s="44" t="str">
        <f>'Input - Bookings'!O315</f>
        <v>PC1.5</v>
      </c>
      <c r="L315" s="44" t="str">
        <f>'Input - Bookings'!C315</f>
        <v>AUD</v>
      </c>
      <c r="M315" s="46" t="str">
        <f t="array" ref="M315">IF(L315="USD",INDEX('AP Plants'!A:A,MATCH(J315,'AP Plants'!D:D,0)),INDEX('Australia Plants'!A:A,MATCH(J315,'Australia Plants'!D:D,0)))</f>
        <v>Staxx</v>
      </c>
      <c r="N315" s="10">
        <v>1.0</v>
      </c>
      <c r="O315" s="9">
        <v>2140.0</v>
      </c>
      <c r="P315" s="9">
        <v>1712.0</v>
      </c>
      <c r="Q315" s="47">
        <v>0.36725810191223773</v>
      </c>
      <c r="R315" s="48">
        <f t="shared" si="3"/>
        <v>0.2</v>
      </c>
      <c r="S315" s="49">
        <f t="shared" si="4"/>
        <v>0</v>
      </c>
      <c r="T315" s="49">
        <f t="shared" si="21"/>
        <v>0.3672581019</v>
      </c>
      <c r="U315" s="50" t="str">
        <f t="shared" si="6"/>
        <v>AOP</v>
      </c>
      <c r="V315" s="51">
        <f t="shared" si="28"/>
        <v>628.7458705</v>
      </c>
      <c r="W315" s="52" t="str">
        <f t="shared" si="8"/>
        <v>#DIV/0!</v>
      </c>
      <c r="X315" s="9" t="str">
        <f t="shared" si="25"/>
        <v>#DIV/0!</v>
      </c>
      <c r="Y315" s="8"/>
      <c r="Z315" s="8"/>
      <c r="AA315" s="8"/>
      <c r="AB315" s="8" t="str">
        <f t="shared" si="10"/>
        <v>PAUH35920PC1.5</v>
      </c>
      <c r="AC315" s="8" t="str">
        <f>IF(AB315='Input - Bookings'!S312,"OK","Check")</f>
        <v>Check</v>
      </c>
      <c r="AD315" s="60"/>
      <c r="AE315" s="54"/>
      <c r="AF315" s="54"/>
      <c r="AG315" s="55">
        <f t="shared" si="41"/>
        <v>641.0258258</v>
      </c>
      <c r="AH315" s="62"/>
      <c r="AI315" s="8" t="str">
        <f t="array" ref="AI315">XLOOKUP($J315,'AP Plants'!D:D,'AP Plants'!B:B)</f>
        <v>Class 3</v>
      </c>
      <c r="AJ315" s="56">
        <f>(AG315*'Currency &amp; Conversion'!$L$6)</f>
        <v>954.6156597</v>
      </c>
      <c r="AK315" s="56"/>
      <c r="AL315" s="49">
        <v>0.015</v>
      </c>
      <c r="AM315" s="49">
        <f t="array" ref="AM315">XLOOKUP($AI315,Warranty!B:B,Warranty!E:E)</f>
        <v>0.015</v>
      </c>
      <c r="AN315" s="8">
        <f>IF($L315="AUD",VLOOKUP(RIGHT('Wk - Margins'!$J315,3),'AU Freight'!C:G,5,0),0)</f>
        <v>100</v>
      </c>
      <c r="AO315" s="49">
        <f t="shared" si="11"/>
        <v>0</v>
      </c>
      <c r="AP315" s="63">
        <f t="shared" si="12"/>
        <v>1083.25413</v>
      </c>
      <c r="AQ315" s="58">
        <f t="shared" si="13"/>
        <v>0.3672581019</v>
      </c>
      <c r="AR315" s="59">
        <f>IF(L315="AUD",O315*'Currency &amp; Conversion'!$L$7,'Wk - Margins'!O315)</f>
        <v>1436.967022</v>
      </c>
      <c r="AS315" s="59">
        <f>IF(L315="AUD",P315*'Currency &amp; Conversion'!$L$7,'Wk - Margins'!P315)</f>
        <v>1149.573618</v>
      </c>
    </row>
    <row r="316" ht="12.75" hidden="1" customHeight="1">
      <c r="A316" s="42" t="str">
        <f>'Input - Bookings'!A316</f>
        <v>13/06/2023</v>
      </c>
      <c r="B316" s="43" t="str">
        <f t="shared" si="1"/>
        <v>Australia</v>
      </c>
      <c r="C316" s="43" t="str">
        <f t="shared" si="2"/>
        <v>PAU</v>
      </c>
      <c r="D316" s="43" t="str">
        <f>'Input - Bookings'!D316</f>
        <v>P</v>
      </c>
      <c r="E316" s="43" t="str">
        <f>'Input - Bookings'!J316</f>
        <v>AU</v>
      </c>
      <c r="F316" s="44" t="str">
        <f>'Input - Bookings'!F316</f>
        <v>065</v>
      </c>
      <c r="G316" s="44" t="str">
        <f>'Input - Bookings'!I316</f>
        <v>COLES SUPERMARKETS</v>
      </c>
      <c r="H316" s="45" t="str">
        <f>'Input - Bookings'!K316</f>
        <v>H35921</v>
      </c>
      <c r="I316" s="45" t="str">
        <f>VLOOKUP(H316,'Input - Bookings'!$G$2:$H$611,2,0)</f>
        <v>065005</v>
      </c>
      <c r="J316" s="44" t="str">
        <f>'Input - Bookings'!N316</f>
        <v>A6W9</v>
      </c>
      <c r="K316" s="44" t="str">
        <f>'Input - Bookings'!O316</f>
        <v>PC1.5</v>
      </c>
      <c r="L316" s="44" t="str">
        <f>'Input - Bookings'!C316</f>
        <v>AUD</v>
      </c>
      <c r="M316" s="46" t="str">
        <f t="array" ref="M316">IF(L316="USD",INDEX('AP Plants'!A:A,MATCH(J316,'AP Plants'!D:D,0)),INDEX('Australia Plants'!A:A,MATCH(J316,'Australia Plants'!D:D,0)))</f>
        <v>Staxx</v>
      </c>
      <c r="N316" s="10">
        <v>1.0</v>
      </c>
      <c r="O316" s="9">
        <v>2140.0</v>
      </c>
      <c r="P316" s="9">
        <v>1712.0</v>
      </c>
      <c r="Q316" s="47">
        <v>0.36725810191223773</v>
      </c>
      <c r="R316" s="48">
        <f t="shared" si="3"/>
        <v>0.2</v>
      </c>
      <c r="S316" s="49">
        <f t="shared" si="4"/>
        <v>0</v>
      </c>
      <c r="T316" s="49">
        <f t="shared" si="21"/>
        <v>0.3672581019</v>
      </c>
      <c r="U316" s="50" t="str">
        <f t="shared" si="6"/>
        <v>AOP</v>
      </c>
      <c r="V316" s="51">
        <f t="shared" si="28"/>
        <v>628.7458705</v>
      </c>
      <c r="W316" s="52" t="str">
        <f t="shared" si="8"/>
        <v>#DIV/0!</v>
      </c>
      <c r="X316" s="9" t="str">
        <f t="shared" si="25"/>
        <v>#DIV/0!</v>
      </c>
      <c r="Y316" s="8"/>
      <c r="Z316" s="8"/>
      <c r="AA316" s="8"/>
      <c r="AB316" s="8" t="str">
        <f t="shared" si="10"/>
        <v>PAUH35921PC1.5</v>
      </c>
      <c r="AC316" s="8" t="str">
        <f>IF(AB316='Input - Bookings'!S313,"OK","Check")</f>
        <v>Check</v>
      </c>
      <c r="AD316" s="60"/>
      <c r="AE316" s="54"/>
      <c r="AF316" s="54"/>
      <c r="AG316" s="55">
        <f t="shared" si="41"/>
        <v>641.0258258</v>
      </c>
      <c r="AH316" s="62"/>
      <c r="AI316" s="8" t="str">
        <f t="array" ref="AI316">XLOOKUP($J316,'AP Plants'!D:D,'AP Plants'!B:B)</f>
        <v>Class 3</v>
      </c>
      <c r="AJ316" s="56">
        <f>(AG316*'Currency &amp; Conversion'!$L$6)</f>
        <v>954.6156597</v>
      </c>
      <c r="AK316" s="56"/>
      <c r="AL316" s="49">
        <v>0.015</v>
      </c>
      <c r="AM316" s="49">
        <f t="array" ref="AM316">XLOOKUP($AI316,Warranty!B:B,Warranty!E:E)</f>
        <v>0.015</v>
      </c>
      <c r="AN316" s="8">
        <f>IF($L316="AUD",VLOOKUP(RIGHT('Wk - Margins'!$J316,3),'AU Freight'!C:G,5,0),0)</f>
        <v>100</v>
      </c>
      <c r="AO316" s="49">
        <f t="shared" si="11"/>
        <v>0</v>
      </c>
      <c r="AP316" s="63">
        <f t="shared" si="12"/>
        <v>1083.25413</v>
      </c>
      <c r="AQ316" s="58">
        <f t="shared" si="13"/>
        <v>0.3672581019</v>
      </c>
      <c r="AR316" s="59">
        <f>IF(L316="AUD",O316*'Currency &amp; Conversion'!$L$7,'Wk - Margins'!O316)</f>
        <v>1436.967022</v>
      </c>
      <c r="AS316" s="59">
        <f>IF(L316="AUD",P316*'Currency &amp; Conversion'!$L$7,'Wk - Margins'!P316)</f>
        <v>1149.573618</v>
      </c>
    </row>
    <row r="317" ht="12.75" hidden="1" customHeight="1">
      <c r="A317" s="42" t="str">
        <f>'Input - Bookings'!A317</f>
        <v>13/06/2023</v>
      </c>
      <c r="B317" s="43" t="str">
        <f t="shared" si="1"/>
        <v>Australia</v>
      </c>
      <c r="C317" s="43" t="str">
        <f t="shared" si="2"/>
        <v>PAU</v>
      </c>
      <c r="D317" s="43" t="str">
        <f>'Input - Bookings'!D317</f>
        <v>P</v>
      </c>
      <c r="E317" s="43" t="str">
        <f>'Input - Bookings'!J317</f>
        <v>AU</v>
      </c>
      <c r="F317" s="44" t="str">
        <f>'Input - Bookings'!F317</f>
        <v>065</v>
      </c>
      <c r="G317" s="44" t="str">
        <f>'Input - Bookings'!I317</f>
        <v>COLES SUPERMARKETS</v>
      </c>
      <c r="H317" s="45" t="str">
        <f>'Input - Bookings'!K317</f>
        <v>H35922</v>
      </c>
      <c r="I317" s="45" t="str">
        <f>VLOOKUP(H317,'Input - Bookings'!$G$2:$H$611,2,0)</f>
        <v>065005</v>
      </c>
      <c r="J317" s="44" t="str">
        <f>'Input - Bookings'!N317</f>
        <v>A6W9</v>
      </c>
      <c r="K317" s="44" t="str">
        <f>'Input - Bookings'!O317</f>
        <v>PC1.5</v>
      </c>
      <c r="L317" s="44" t="str">
        <f>'Input - Bookings'!C317</f>
        <v>AUD</v>
      </c>
      <c r="M317" s="46" t="str">
        <f t="array" ref="M317">IF(L317="USD",INDEX('AP Plants'!A:A,MATCH(J317,'AP Plants'!D:D,0)),INDEX('Australia Plants'!A:A,MATCH(J317,'Australia Plants'!D:D,0)))</f>
        <v>Staxx</v>
      </c>
      <c r="N317" s="10">
        <v>1.0</v>
      </c>
      <c r="O317" s="9">
        <v>2140.0</v>
      </c>
      <c r="P317" s="9">
        <v>1712.0</v>
      </c>
      <c r="Q317" s="47">
        <v>0.36725810191223773</v>
      </c>
      <c r="R317" s="48">
        <f t="shared" si="3"/>
        <v>0.2</v>
      </c>
      <c r="S317" s="49">
        <f t="shared" si="4"/>
        <v>0</v>
      </c>
      <c r="T317" s="49">
        <f t="shared" si="21"/>
        <v>0.3672581019</v>
      </c>
      <c r="U317" s="50" t="str">
        <f t="shared" si="6"/>
        <v>AOP</v>
      </c>
      <c r="V317" s="51">
        <f t="shared" si="28"/>
        <v>628.7458705</v>
      </c>
      <c r="W317" s="52" t="str">
        <f t="shared" si="8"/>
        <v>#DIV/0!</v>
      </c>
      <c r="X317" s="9" t="str">
        <f t="shared" si="25"/>
        <v>#DIV/0!</v>
      </c>
      <c r="Y317" s="8"/>
      <c r="Z317" s="8"/>
      <c r="AA317" s="8"/>
      <c r="AB317" s="8" t="str">
        <f t="shared" si="10"/>
        <v>PAUH35922PC1.5</v>
      </c>
      <c r="AC317" s="8" t="str">
        <f>IF(AB317='Input - Bookings'!S314,"OK","Check")</f>
        <v>Check</v>
      </c>
      <c r="AD317" s="60"/>
      <c r="AE317" s="54"/>
      <c r="AF317" s="54"/>
      <c r="AG317" s="55">
        <f t="shared" si="41"/>
        <v>641.0258258</v>
      </c>
      <c r="AH317" s="62"/>
      <c r="AI317" s="8" t="str">
        <f t="array" ref="AI317">XLOOKUP($J317,'AP Plants'!D:D,'AP Plants'!B:B)</f>
        <v>Class 3</v>
      </c>
      <c r="AJ317" s="56">
        <f>(AG317*'Currency &amp; Conversion'!$L$6)</f>
        <v>954.6156597</v>
      </c>
      <c r="AK317" s="56"/>
      <c r="AL317" s="49">
        <v>0.015</v>
      </c>
      <c r="AM317" s="49">
        <f t="array" ref="AM317">XLOOKUP($AI317,Warranty!B:B,Warranty!E:E)</f>
        <v>0.015</v>
      </c>
      <c r="AN317" s="8">
        <f>IF($L317="AUD",VLOOKUP(RIGHT('Wk - Margins'!$J317,3),'AU Freight'!C:G,5,0),0)</f>
        <v>100</v>
      </c>
      <c r="AO317" s="49">
        <f t="shared" si="11"/>
        <v>0</v>
      </c>
      <c r="AP317" s="63">
        <f t="shared" si="12"/>
        <v>1083.25413</v>
      </c>
      <c r="AQ317" s="58">
        <f t="shared" si="13"/>
        <v>0.3672581019</v>
      </c>
      <c r="AR317" s="59">
        <f>IF(L317="AUD",O317*'Currency &amp; Conversion'!$L$7,'Wk - Margins'!O317)</f>
        <v>1436.967022</v>
      </c>
      <c r="AS317" s="59">
        <f>IF(L317="AUD",P317*'Currency &amp; Conversion'!$L$7,'Wk - Margins'!P317)</f>
        <v>1149.573618</v>
      </c>
    </row>
    <row r="318" ht="12.75" hidden="1" customHeight="1">
      <c r="A318" s="42" t="str">
        <f>'Input - Bookings'!A318</f>
        <v>13/06/2023</v>
      </c>
      <c r="B318" s="43" t="str">
        <f t="shared" si="1"/>
        <v>Australia</v>
      </c>
      <c r="C318" s="43" t="str">
        <f t="shared" si="2"/>
        <v>PAU</v>
      </c>
      <c r="D318" s="43" t="str">
        <f>'Input - Bookings'!D318</f>
        <v>P</v>
      </c>
      <c r="E318" s="43" t="str">
        <f>'Input - Bookings'!J318</f>
        <v>AU</v>
      </c>
      <c r="F318" s="44" t="str">
        <f>'Input - Bookings'!F318</f>
        <v>065</v>
      </c>
      <c r="G318" s="44" t="str">
        <f>'Input - Bookings'!I318</f>
        <v>COLES SUPERMARKETS</v>
      </c>
      <c r="H318" s="45" t="str">
        <f>'Input - Bookings'!K318</f>
        <v>H35923</v>
      </c>
      <c r="I318" s="45" t="str">
        <f>VLOOKUP(H318,'Input - Bookings'!$G$2:$H$611,2,0)</f>
        <v>065005</v>
      </c>
      <c r="J318" s="44" t="str">
        <f>'Input - Bookings'!N318</f>
        <v>A6W9</v>
      </c>
      <c r="K318" s="44" t="str">
        <f>'Input - Bookings'!O318</f>
        <v>PC1.5</v>
      </c>
      <c r="L318" s="44" t="str">
        <f>'Input - Bookings'!C318</f>
        <v>AUD</v>
      </c>
      <c r="M318" s="46" t="str">
        <f t="array" ref="M318">IF(L318="USD",INDEX('AP Plants'!A:A,MATCH(J318,'AP Plants'!D:D,0)),INDEX('Australia Plants'!A:A,MATCH(J318,'Australia Plants'!D:D,0)))</f>
        <v>Staxx</v>
      </c>
      <c r="N318" s="10">
        <v>1.0</v>
      </c>
      <c r="O318" s="9">
        <v>2140.0</v>
      </c>
      <c r="P318" s="9">
        <v>1712.0</v>
      </c>
      <c r="Q318" s="47">
        <v>0.36725810191223773</v>
      </c>
      <c r="R318" s="48">
        <f t="shared" si="3"/>
        <v>0.2</v>
      </c>
      <c r="S318" s="49">
        <f t="shared" si="4"/>
        <v>0</v>
      </c>
      <c r="T318" s="49">
        <f t="shared" si="21"/>
        <v>0.3672581019</v>
      </c>
      <c r="U318" s="50" t="str">
        <f t="shared" si="6"/>
        <v>AOP</v>
      </c>
      <c r="V318" s="51">
        <f t="shared" si="28"/>
        <v>628.7458705</v>
      </c>
      <c r="W318" s="52" t="str">
        <f t="shared" si="8"/>
        <v>#DIV/0!</v>
      </c>
      <c r="X318" s="9" t="str">
        <f t="shared" si="25"/>
        <v>#DIV/0!</v>
      </c>
      <c r="Y318" s="8"/>
      <c r="Z318" s="8"/>
      <c r="AA318" s="8"/>
      <c r="AB318" s="8" t="str">
        <f t="shared" si="10"/>
        <v>PAUH35923PC1.5</v>
      </c>
      <c r="AC318" s="8" t="str">
        <f>IF(AB318='Input - Bookings'!S315,"OK","Check")</f>
        <v>Check</v>
      </c>
      <c r="AD318" s="60"/>
      <c r="AE318" s="54"/>
      <c r="AF318" s="54"/>
      <c r="AG318" s="55">
        <f t="shared" si="41"/>
        <v>641.0258258</v>
      </c>
      <c r="AH318" s="55"/>
      <c r="AI318" s="8" t="str">
        <f t="array" ref="AI318">XLOOKUP($J318,'AP Plants'!D:D,'AP Plants'!B:B)</f>
        <v>Class 3</v>
      </c>
      <c r="AJ318" s="56">
        <f>(AG318*'Currency &amp; Conversion'!$L$6)</f>
        <v>954.6156597</v>
      </c>
      <c r="AK318" s="56"/>
      <c r="AL318" s="49">
        <v>0.015</v>
      </c>
      <c r="AM318" s="49">
        <f t="array" ref="AM318">XLOOKUP($AI318,Warranty!B:B,Warranty!E:E)</f>
        <v>0.015</v>
      </c>
      <c r="AN318" s="8">
        <f>IF($L318="AUD",VLOOKUP(RIGHT('Wk - Margins'!$J318,3),'AU Freight'!C:G,5,0),0)</f>
        <v>100</v>
      </c>
      <c r="AO318" s="49">
        <f t="shared" si="11"/>
        <v>0</v>
      </c>
      <c r="AP318" s="63">
        <f t="shared" si="12"/>
        <v>1083.25413</v>
      </c>
      <c r="AQ318" s="58">
        <f t="shared" si="13"/>
        <v>0.3672581019</v>
      </c>
      <c r="AR318" s="59">
        <f>IF(L318="AUD",O318*'Currency &amp; Conversion'!$L$7,'Wk - Margins'!O318)</f>
        <v>1436.967022</v>
      </c>
      <c r="AS318" s="59">
        <f>IF(L318="AUD",P318*'Currency &amp; Conversion'!$L$7,'Wk - Margins'!P318)</f>
        <v>1149.573618</v>
      </c>
    </row>
    <row r="319" ht="12.75" hidden="1" customHeight="1">
      <c r="A319" s="42" t="str">
        <f>'Input - Bookings'!A319</f>
        <v>13/06/2023</v>
      </c>
      <c r="B319" s="43" t="str">
        <f t="shared" si="1"/>
        <v>Australia</v>
      </c>
      <c r="C319" s="43" t="str">
        <f t="shared" si="2"/>
        <v>PAU</v>
      </c>
      <c r="D319" s="43" t="str">
        <f>'Input - Bookings'!D319</f>
        <v>P</v>
      </c>
      <c r="E319" s="43" t="str">
        <f>'Input - Bookings'!J319</f>
        <v>AU</v>
      </c>
      <c r="F319" s="44" t="str">
        <f>'Input - Bookings'!F319</f>
        <v>065</v>
      </c>
      <c r="G319" s="44" t="str">
        <f>'Input - Bookings'!I319</f>
        <v>COLES SUPERMARKETS</v>
      </c>
      <c r="H319" s="45" t="str">
        <f>'Input - Bookings'!K319</f>
        <v>H35924</v>
      </c>
      <c r="I319" s="45" t="str">
        <f>VLOOKUP(H319,'Input - Bookings'!$G$2:$H$611,2,0)</f>
        <v>065005</v>
      </c>
      <c r="J319" s="44" t="str">
        <f>'Input - Bookings'!N319</f>
        <v>A6W9</v>
      </c>
      <c r="K319" s="44" t="str">
        <f>'Input - Bookings'!O319</f>
        <v>PC1.5</v>
      </c>
      <c r="L319" s="44" t="str">
        <f>'Input - Bookings'!C319</f>
        <v>AUD</v>
      </c>
      <c r="M319" s="46" t="str">
        <f t="array" ref="M319">IF(L319="USD",INDEX('AP Plants'!A:A,MATCH(J319,'AP Plants'!D:D,0)),INDEX('Australia Plants'!A:A,MATCH(J319,'Australia Plants'!D:D,0)))</f>
        <v>Staxx</v>
      </c>
      <c r="N319" s="10">
        <v>1.0</v>
      </c>
      <c r="O319" s="9">
        <v>2140.0</v>
      </c>
      <c r="P319" s="9">
        <v>1712.0</v>
      </c>
      <c r="Q319" s="47">
        <v>0.36725810191223773</v>
      </c>
      <c r="R319" s="48">
        <f t="shared" si="3"/>
        <v>0.2</v>
      </c>
      <c r="S319" s="49">
        <f t="shared" si="4"/>
        <v>0</v>
      </c>
      <c r="T319" s="49">
        <f t="shared" si="21"/>
        <v>0.3672581019</v>
      </c>
      <c r="U319" s="50" t="str">
        <f t="shared" si="6"/>
        <v>AOP</v>
      </c>
      <c r="V319" s="51">
        <f t="shared" si="28"/>
        <v>628.7458705</v>
      </c>
      <c r="W319" s="52" t="str">
        <f t="shared" si="8"/>
        <v>#DIV/0!</v>
      </c>
      <c r="X319" s="9" t="str">
        <f t="shared" si="25"/>
        <v>#DIV/0!</v>
      </c>
      <c r="Y319" s="8"/>
      <c r="Z319" s="8"/>
      <c r="AA319" s="8"/>
      <c r="AB319" s="8" t="str">
        <f t="shared" si="10"/>
        <v>PAUH35924PC1.5</v>
      </c>
      <c r="AC319" s="8" t="str">
        <f>IF(AB319='Input - Bookings'!S316,"OK","Check")</f>
        <v>Check</v>
      </c>
      <c r="AD319" s="60"/>
      <c r="AE319" s="54"/>
      <c r="AF319" s="54"/>
      <c r="AG319" s="55">
        <f t="shared" si="41"/>
        <v>641.0258258</v>
      </c>
      <c r="AH319" s="55"/>
      <c r="AI319" s="8" t="str">
        <f t="array" ref="AI319">XLOOKUP($J319,'AP Plants'!D:D,'AP Plants'!B:B)</f>
        <v>Class 3</v>
      </c>
      <c r="AJ319" s="56">
        <f>(AG319*'Currency &amp; Conversion'!$L$6)</f>
        <v>954.6156597</v>
      </c>
      <c r="AK319" s="56"/>
      <c r="AL319" s="49">
        <v>0.015</v>
      </c>
      <c r="AM319" s="49">
        <f t="array" ref="AM319">XLOOKUP($AI319,Warranty!B:B,Warranty!E:E)</f>
        <v>0.015</v>
      </c>
      <c r="AN319" s="8">
        <f>IF($L319="AUD",VLOOKUP(RIGHT('Wk - Margins'!$J319,3),'AU Freight'!C:G,5,0),0)</f>
        <v>100</v>
      </c>
      <c r="AO319" s="49">
        <f t="shared" si="11"/>
        <v>0</v>
      </c>
      <c r="AP319" s="63">
        <f t="shared" si="12"/>
        <v>1083.25413</v>
      </c>
      <c r="AQ319" s="58">
        <f t="shared" si="13"/>
        <v>0.3672581019</v>
      </c>
      <c r="AR319" s="59">
        <f>IF(L319="AUD",O319*'Currency &amp; Conversion'!$L$7,'Wk - Margins'!O319)</f>
        <v>1436.967022</v>
      </c>
      <c r="AS319" s="59">
        <f>IF(L319="AUD",P319*'Currency &amp; Conversion'!$L$7,'Wk - Margins'!P319)</f>
        <v>1149.573618</v>
      </c>
    </row>
    <row r="320" ht="12.75" hidden="1" customHeight="1">
      <c r="A320" s="42" t="str">
        <f>'Input - Bookings'!A320</f>
        <v>13/06/2023</v>
      </c>
      <c r="B320" s="43" t="str">
        <f t="shared" si="1"/>
        <v>Australia</v>
      </c>
      <c r="C320" s="43" t="str">
        <f t="shared" si="2"/>
        <v>PAU</v>
      </c>
      <c r="D320" s="43" t="str">
        <f>'Input - Bookings'!D320</f>
        <v>P</v>
      </c>
      <c r="E320" s="43" t="str">
        <f>'Input - Bookings'!J320</f>
        <v>AU</v>
      </c>
      <c r="F320" s="44" t="str">
        <f>'Input - Bookings'!F320</f>
        <v>065</v>
      </c>
      <c r="G320" s="44" t="str">
        <f>'Input - Bookings'!I320</f>
        <v>COLES SUPERMARKETS</v>
      </c>
      <c r="H320" s="45" t="str">
        <f>'Input - Bookings'!K320</f>
        <v>H35925</v>
      </c>
      <c r="I320" s="45" t="str">
        <f>VLOOKUP(H320,'Input - Bookings'!$G$2:$H$611,2,0)</f>
        <v>065005</v>
      </c>
      <c r="J320" s="44" t="str">
        <f>'Input - Bookings'!N320</f>
        <v>A6W9</v>
      </c>
      <c r="K320" s="44" t="str">
        <f>'Input - Bookings'!O320</f>
        <v>PC1.5</v>
      </c>
      <c r="L320" s="44" t="str">
        <f>'Input - Bookings'!C320</f>
        <v>AUD</v>
      </c>
      <c r="M320" s="46" t="str">
        <f t="array" ref="M320">IF(L320="USD",INDEX('AP Plants'!A:A,MATCH(J320,'AP Plants'!D:D,0)),INDEX('Australia Plants'!A:A,MATCH(J320,'Australia Plants'!D:D,0)))</f>
        <v>Staxx</v>
      </c>
      <c r="N320" s="10">
        <v>1.0</v>
      </c>
      <c r="O320" s="9">
        <v>2140.0</v>
      </c>
      <c r="P320" s="9">
        <v>1712.0</v>
      </c>
      <c r="Q320" s="47">
        <v>0.36725810191223773</v>
      </c>
      <c r="R320" s="48">
        <f t="shared" si="3"/>
        <v>0.2</v>
      </c>
      <c r="S320" s="49">
        <f t="shared" si="4"/>
        <v>0</v>
      </c>
      <c r="T320" s="49">
        <f t="shared" si="21"/>
        <v>0.3672581019</v>
      </c>
      <c r="U320" s="50" t="str">
        <f t="shared" si="6"/>
        <v>AOP</v>
      </c>
      <c r="V320" s="51">
        <f t="shared" si="28"/>
        <v>628.7458705</v>
      </c>
      <c r="W320" s="52" t="str">
        <f t="shared" si="8"/>
        <v>#DIV/0!</v>
      </c>
      <c r="X320" s="9" t="str">
        <f t="shared" si="25"/>
        <v>#DIV/0!</v>
      </c>
      <c r="Y320" s="8"/>
      <c r="Z320" s="8"/>
      <c r="AA320" s="8"/>
      <c r="AB320" s="8" t="str">
        <f t="shared" si="10"/>
        <v>PAUH35925PC1.5</v>
      </c>
      <c r="AC320" s="8" t="str">
        <f>IF(AB320='Input - Bookings'!S317,"OK","Check")</f>
        <v>Check</v>
      </c>
      <c r="AD320" s="60"/>
      <c r="AE320" s="54"/>
      <c r="AF320" s="54"/>
      <c r="AG320" s="55">
        <f t="shared" si="41"/>
        <v>641.0258258</v>
      </c>
      <c r="AH320" s="62"/>
      <c r="AI320" s="8" t="str">
        <f t="array" ref="AI320">XLOOKUP($J320,'AP Plants'!D:D,'AP Plants'!B:B)</f>
        <v>Class 3</v>
      </c>
      <c r="AJ320" s="56">
        <f>(AG320*'Currency &amp; Conversion'!$L$6)</f>
        <v>954.6156597</v>
      </c>
      <c r="AK320" s="56"/>
      <c r="AL320" s="49">
        <v>0.015</v>
      </c>
      <c r="AM320" s="49">
        <f t="array" ref="AM320">XLOOKUP($AI320,Warranty!B:B,Warranty!E:E)</f>
        <v>0.015</v>
      </c>
      <c r="AN320" s="8">
        <f>IF($L320="AUD",VLOOKUP(RIGHT('Wk - Margins'!$J320,3),'AU Freight'!C:G,5,0),0)</f>
        <v>100</v>
      </c>
      <c r="AO320" s="49">
        <f t="shared" si="11"/>
        <v>0</v>
      </c>
      <c r="AP320" s="63">
        <f t="shared" si="12"/>
        <v>1083.25413</v>
      </c>
      <c r="AQ320" s="58">
        <f t="shared" si="13"/>
        <v>0.3672581019</v>
      </c>
      <c r="AR320" s="59">
        <f>IF(L320="AUD",O320*'Currency &amp; Conversion'!$L$7,'Wk - Margins'!O320)</f>
        <v>1436.967022</v>
      </c>
      <c r="AS320" s="59">
        <f>IF(L320="AUD",P320*'Currency &amp; Conversion'!$L$7,'Wk - Margins'!P320)</f>
        <v>1149.573618</v>
      </c>
    </row>
    <row r="321" ht="12.75" hidden="1" customHeight="1">
      <c r="A321" s="42" t="str">
        <f>'Input - Bookings'!A321</f>
        <v>13/06/2023</v>
      </c>
      <c r="B321" s="43" t="str">
        <f t="shared" si="1"/>
        <v>Australia</v>
      </c>
      <c r="C321" s="43" t="str">
        <f t="shared" si="2"/>
        <v>PAU</v>
      </c>
      <c r="D321" s="43" t="str">
        <f>'Input - Bookings'!D321</f>
        <v>P</v>
      </c>
      <c r="E321" s="43" t="str">
        <f>'Input - Bookings'!J321</f>
        <v>AU</v>
      </c>
      <c r="F321" s="44" t="str">
        <f>'Input - Bookings'!F321</f>
        <v>065</v>
      </c>
      <c r="G321" s="44" t="str">
        <f>'Input - Bookings'!I321</f>
        <v>COLES SUPERMARKETS</v>
      </c>
      <c r="H321" s="45" t="str">
        <f>'Input - Bookings'!K321</f>
        <v>H35926</v>
      </c>
      <c r="I321" s="45" t="str">
        <f>VLOOKUP(H321,'Input - Bookings'!$G$2:$H$611,2,0)</f>
        <v>065005</v>
      </c>
      <c r="J321" s="44" t="str">
        <f>'Input - Bookings'!N321</f>
        <v>A6W9</v>
      </c>
      <c r="K321" s="44" t="str">
        <f>'Input - Bookings'!O321</f>
        <v>PC1.5</v>
      </c>
      <c r="L321" s="44" t="str">
        <f>'Input - Bookings'!C321</f>
        <v>AUD</v>
      </c>
      <c r="M321" s="46" t="str">
        <f t="array" ref="M321">IF(L321="USD",INDEX('AP Plants'!A:A,MATCH(J321,'AP Plants'!D:D,0)),INDEX('Australia Plants'!A:A,MATCH(J321,'Australia Plants'!D:D,0)))</f>
        <v>Staxx</v>
      </c>
      <c r="N321" s="10">
        <v>1.0</v>
      </c>
      <c r="O321" s="9">
        <v>2140.0</v>
      </c>
      <c r="P321" s="9">
        <v>1712.0</v>
      </c>
      <c r="Q321" s="47">
        <v>0.36725810191223773</v>
      </c>
      <c r="R321" s="48">
        <f t="shared" si="3"/>
        <v>0.2</v>
      </c>
      <c r="S321" s="49">
        <f t="shared" si="4"/>
        <v>0</v>
      </c>
      <c r="T321" s="49">
        <f t="shared" si="21"/>
        <v>0.3672581019</v>
      </c>
      <c r="U321" s="50" t="str">
        <f t="shared" si="6"/>
        <v>AOP</v>
      </c>
      <c r="V321" s="51">
        <f t="shared" si="28"/>
        <v>628.7458705</v>
      </c>
      <c r="W321" s="52" t="str">
        <f t="shared" si="8"/>
        <v>#DIV/0!</v>
      </c>
      <c r="X321" s="9" t="str">
        <f t="shared" si="25"/>
        <v>#DIV/0!</v>
      </c>
      <c r="Y321" s="8"/>
      <c r="Z321" s="8"/>
      <c r="AA321" s="8"/>
      <c r="AB321" s="8" t="str">
        <f t="shared" si="10"/>
        <v>PAUH35926PC1.5</v>
      </c>
      <c r="AC321" s="8" t="str">
        <f>IF(AB321='Input - Bookings'!S318,"OK","Check")</f>
        <v>Check</v>
      </c>
      <c r="AD321" s="60"/>
      <c r="AE321" s="54"/>
      <c r="AF321" s="54"/>
      <c r="AG321" s="55">
        <f t="shared" si="41"/>
        <v>641.0258258</v>
      </c>
      <c r="AH321" s="62"/>
      <c r="AI321" s="8" t="str">
        <f t="array" ref="AI321">XLOOKUP($J321,'AP Plants'!D:D,'AP Plants'!B:B)</f>
        <v>Class 3</v>
      </c>
      <c r="AJ321" s="56">
        <f>(AG321*'Currency &amp; Conversion'!$L$6)</f>
        <v>954.6156597</v>
      </c>
      <c r="AK321" s="56"/>
      <c r="AL321" s="49">
        <v>0.015</v>
      </c>
      <c r="AM321" s="49">
        <f t="array" ref="AM321">XLOOKUP($AI321,Warranty!B:B,Warranty!E:E)</f>
        <v>0.015</v>
      </c>
      <c r="AN321" s="8">
        <f>IF($L321="AUD",VLOOKUP(RIGHT('Wk - Margins'!$J321,3),'AU Freight'!C:G,5,0),0)</f>
        <v>100</v>
      </c>
      <c r="AO321" s="49">
        <f t="shared" si="11"/>
        <v>0</v>
      </c>
      <c r="AP321" s="63">
        <f t="shared" si="12"/>
        <v>1083.25413</v>
      </c>
      <c r="AQ321" s="58">
        <f t="shared" si="13"/>
        <v>0.3672581019</v>
      </c>
      <c r="AR321" s="59">
        <f>IF(L321="AUD",O321*'Currency &amp; Conversion'!$L$7,'Wk - Margins'!O321)</f>
        <v>1436.967022</v>
      </c>
      <c r="AS321" s="59">
        <f>IF(L321="AUD",P321*'Currency &amp; Conversion'!$L$7,'Wk - Margins'!P321)</f>
        <v>1149.573618</v>
      </c>
    </row>
    <row r="322" ht="12.75" hidden="1" customHeight="1">
      <c r="A322" s="42" t="str">
        <f>'Input - Bookings'!A322</f>
        <v>13/06/2023</v>
      </c>
      <c r="B322" s="43" t="str">
        <f t="shared" si="1"/>
        <v>Pacific</v>
      </c>
      <c r="C322" s="43" t="str">
        <f t="shared" si="2"/>
        <v>PNZ</v>
      </c>
      <c r="D322" s="43" t="str">
        <f>'Input - Bookings'!D322</f>
        <v>P</v>
      </c>
      <c r="E322" s="43" t="str">
        <f>'Input - Bookings'!J322</f>
        <v>NZ</v>
      </c>
      <c r="F322" s="44" t="str">
        <f>'Input - Bookings'!F322</f>
        <v>067</v>
      </c>
      <c r="G322" s="44" t="str">
        <f>'Input - Bookings'!I322</f>
        <v>S.G EQUIPMENT LTD</v>
      </c>
      <c r="H322" s="44" t="str">
        <f>'Input - Bookings'!K322</f>
        <v>H36870</v>
      </c>
      <c r="I322" s="45" t="str">
        <f>VLOOKUP(H322,'Input - Bookings'!$G$2:$H$611,2,0)</f>
        <v>862065</v>
      </c>
      <c r="J322" s="44" t="str">
        <f>'Input - Bookings'!N322</f>
        <v>A961</v>
      </c>
      <c r="K322" s="44" t="str">
        <f>'Input - Bookings'!O322</f>
        <v>MR14 961</v>
      </c>
      <c r="L322" s="44" t="str">
        <f>'Input - Bookings'!C322</f>
        <v>USD</v>
      </c>
      <c r="M322" s="46" t="str">
        <f t="array" ref="M322">IF(L322="USD",INDEX('AP Plants'!A:A,MATCH(J322,'AP Plants'!D:D,0)),INDEX('Australia Plants'!A:A,MATCH(J322,'Australia Plants'!D:D,0)))</f>
        <v>Maximal</v>
      </c>
      <c r="N322" s="10">
        <v>1.0</v>
      </c>
      <c r="O322" s="9">
        <v>34425.0</v>
      </c>
      <c r="P322" s="9">
        <v>24084.015</v>
      </c>
      <c r="Q322" s="47">
        <v>0.08007902680107837</v>
      </c>
      <c r="R322" s="48">
        <f t="shared" si="3"/>
        <v>0.3003917211</v>
      </c>
      <c r="S322" s="49">
        <f t="shared" si="4"/>
        <v>0</v>
      </c>
      <c r="T322" s="49">
        <f t="shared" si="21"/>
        <v>0.0800790268</v>
      </c>
      <c r="U322" s="50" t="str">
        <f t="shared" si="6"/>
        <v>AOP</v>
      </c>
      <c r="V322" s="51">
        <f t="shared" si="28"/>
        <v>1928.624483</v>
      </c>
      <c r="W322" s="52">
        <f t="shared" si="8"/>
        <v>1928.624483</v>
      </c>
      <c r="X322" s="9">
        <f t="shared" si="25"/>
        <v>24084.015</v>
      </c>
      <c r="Y322" s="8"/>
      <c r="Z322" s="8"/>
      <c r="AA322" s="8"/>
      <c r="AB322" s="8" t="str">
        <f t="shared" si="10"/>
        <v>PNZH36870MR14 961</v>
      </c>
      <c r="AC322" s="8" t="str">
        <f>IF(AB322='Input - Bookings'!S319,"OK","Check")</f>
        <v>Check</v>
      </c>
      <c r="AD322" s="53"/>
      <c r="AE322" s="54"/>
      <c r="AF322" s="54"/>
      <c r="AG322" s="55"/>
      <c r="AH322" s="62"/>
      <c r="AI322" s="8" t="str">
        <f t="array" ref="AI322">XLOOKUP($J322,'AP Plants'!D:D,'AP Plants'!B:B)</f>
        <v>Class 2</v>
      </c>
      <c r="AJ322" s="56"/>
      <c r="AK322" s="56"/>
      <c r="AL322" s="49">
        <v>0.015</v>
      </c>
      <c r="AM322" s="49">
        <f t="array" ref="AM322">XLOOKUP($AI322,Warranty!B:B,Warranty!E:E)</f>
        <v>0.015</v>
      </c>
      <c r="AN322" s="8">
        <f>IF($L322="AUD",VLOOKUP(RIGHT('Wk - Margins'!$J322,3),'AU Freight'!C:G,5,0),0)</f>
        <v>0</v>
      </c>
      <c r="AO322" s="49">
        <f t="shared" si="11"/>
        <v>0</v>
      </c>
      <c r="AP322" s="57">
        <f t="shared" si="12"/>
        <v>0</v>
      </c>
      <c r="AQ322" s="58">
        <f t="shared" si="13"/>
        <v>1</v>
      </c>
      <c r="AR322" s="59">
        <f>IF(L322="AUD",O322*'Currency &amp; Conversion'!$L$7,'Wk - Margins'!O322)</f>
        <v>34425</v>
      </c>
      <c r="AS322" s="59">
        <f>IF(L322="AUD",P322*'Currency &amp; Conversion'!$L$7,'Wk - Margins'!P322)</f>
        <v>24084.015</v>
      </c>
    </row>
    <row r="323" ht="12.75" hidden="1" customHeight="1">
      <c r="A323" s="42" t="str">
        <f>'Input - Bookings'!A323</f>
        <v>13/06/2023</v>
      </c>
      <c r="B323" s="43" t="str">
        <f t="shared" si="1"/>
        <v>Pacific</v>
      </c>
      <c r="C323" s="43" t="str">
        <f t="shared" si="2"/>
        <v>PNZ</v>
      </c>
      <c r="D323" s="43" t="str">
        <f>'Input - Bookings'!D323</f>
        <v>P</v>
      </c>
      <c r="E323" s="43" t="str">
        <f>'Input - Bookings'!J323</f>
        <v>NZ</v>
      </c>
      <c r="F323" s="44" t="str">
        <f>'Input - Bookings'!F323</f>
        <v>067</v>
      </c>
      <c r="G323" s="44" t="str">
        <f>'Input - Bookings'!I323</f>
        <v>S.G EQUIPMENT LTD</v>
      </c>
      <c r="H323" s="44" t="str">
        <f>'Input - Bookings'!K323</f>
        <v>H36872</v>
      </c>
      <c r="I323" s="45" t="str">
        <f>VLOOKUP(H323,'Input - Bookings'!$G$2:$H$611,2,0)</f>
        <v>862065</v>
      </c>
      <c r="J323" s="44" t="str">
        <f>'Input - Bookings'!N323</f>
        <v>A961</v>
      </c>
      <c r="K323" s="44" t="str">
        <f>'Input - Bookings'!O323</f>
        <v>MR14 961</v>
      </c>
      <c r="L323" s="44" t="str">
        <f>'Input - Bookings'!C323</f>
        <v>USD</v>
      </c>
      <c r="M323" s="46" t="str">
        <f t="array" ref="M323">IF(L323="USD",INDEX('AP Plants'!A:A,MATCH(J323,'AP Plants'!D:D,0)),INDEX('Australia Plants'!A:A,MATCH(J323,'Australia Plants'!D:D,0)))</f>
        <v>Maximal</v>
      </c>
      <c r="N323" s="10">
        <v>1.0</v>
      </c>
      <c r="O323" s="9">
        <v>34425.0</v>
      </c>
      <c r="P323" s="9">
        <v>24084.015</v>
      </c>
      <c r="Q323" s="47">
        <v>0.08007902680107837</v>
      </c>
      <c r="R323" s="48">
        <f t="shared" si="3"/>
        <v>0.3003917211</v>
      </c>
      <c r="S323" s="49">
        <f t="shared" si="4"/>
        <v>0</v>
      </c>
      <c r="T323" s="49">
        <f t="shared" si="21"/>
        <v>0.0800790268</v>
      </c>
      <c r="U323" s="50" t="str">
        <f t="shared" si="6"/>
        <v>AOP</v>
      </c>
      <c r="V323" s="51">
        <f t="shared" si="28"/>
        <v>1928.624483</v>
      </c>
      <c r="W323" s="52">
        <f t="shared" si="8"/>
        <v>1928.624483</v>
      </c>
      <c r="X323" s="9">
        <f t="shared" si="25"/>
        <v>24084.015</v>
      </c>
      <c r="Y323" s="8"/>
      <c r="Z323" s="8"/>
      <c r="AA323" s="8"/>
      <c r="AB323" s="8" t="str">
        <f t="shared" si="10"/>
        <v>PNZH36872MR14 961</v>
      </c>
      <c r="AC323" s="8" t="str">
        <f>IF(AB323='Input - Bookings'!S320,"OK","Check")</f>
        <v>Check</v>
      </c>
      <c r="AD323" s="53"/>
      <c r="AE323" s="54"/>
      <c r="AF323" s="54"/>
      <c r="AG323" s="55"/>
      <c r="AH323" s="55"/>
      <c r="AI323" s="8" t="str">
        <f t="array" ref="AI323">XLOOKUP($J323,'AP Plants'!D:D,'AP Plants'!B:B)</f>
        <v>Class 2</v>
      </c>
      <c r="AJ323" s="56"/>
      <c r="AK323" s="56"/>
      <c r="AL323" s="49">
        <v>0.015</v>
      </c>
      <c r="AM323" s="49">
        <f t="array" ref="AM323">XLOOKUP($AI323,Warranty!B:B,Warranty!E:E)</f>
        <v>0.015</v>
      </c>
      <c r="AN323" s="8">
        <f>IF($L323="AUD",VLOOKUP(RIGHT('Wk - Margins'!$J323,3),'AU Freight'!C:G,5,0),0)</f>
        <v>0</v>
      </c>
      <c r="AO323" s="49">
        <f t="shared" si="11"/>
        <v>0</v>
      </c>
      <c r="AP323" s="57">
        <f t="shared" si="12"/>
        <v>0</v>
      </c>
      <c r="AQ323" s="58">
        <f t="shared" si="13"/>
        <v>1</v>
      </c>
      <c r="AR323" s="59">
        <f>IF(L323="AUD",O323*'Currency &amp; Conversion'!$L$7,'Wk - Margins'!O323)</f>
        <v>34425</v>
      </c>
      <c r="AS323" s="59">
        <f>IF(L323="AUD",P323*'Currency &amp; Conversion'!$L$7,'Wk - Margins'!P323)</f>
        <v>24084.015</v>
      </c>
    </row>
    <row r="324" ht="12.75" hidden="1" customHeight="1">
      <c r="A324" s="42" t="str">
        <f>'Input - Bookings'!A324</f>
        <v>13/06/2023</v>
      </c>
      <c r="B324" s="43" t="str">
        <f t="shared" si="1"/>
        <v>Pacific</v>
      </c>
      <c r="C324" s="43" t="str">
        <f t="shared" si="2"/>
        <v>PNZ</v>
      </c>
      <c r="D324" s="43" t="str">
        <f>'Input - Bookings'!D324</f>
        <v>P</v>
      </c>
      <c r="E324" s="43" t="str">
        <f>'Input - Bookings'!J324</f>
        <v>NZ</v>
      </c>
      <c r="F324" s="44" t="str">
        <f>'Input - Bookings'!F324</f>
        <v>067</v>
      </c>
      <c r="G324" s="44" t="str">
        <f>'Input - Bookings'!I324</f>
        <v>S.G EQUIPMENT LTD</v>
      </c>
      <c r="H324" s="44" t="str">
        <f>'Input - Bookings'!K324</f>
        <v>H36873</v>
      </c>
      <c r="I324" s="45" t="str">
        <f>VLOOKUP(H324,'Input - Bookings'!$G$2:$H$611,2,0)</f>
        <v>862065</v>
      </c>
      <c r="J324" s="44" t="str">
        <f>'Input - Bookings'!N324</f>
        <v>A961</v>
      </c>
      <c r="K324" s="44" t="str">
        <f>'Input - Bookings'!O324</f>
        <v>MR14 961</v>
      </c>
      <c r="L324" s="44" t="str">
        <f>'Input - Bookings'!C324</f>
        <v>USD</v>
      </c>
      <c r="M324" s="46" t="str">
        <f t="array" ref="M324">IF(L324="USD",INDEX('AP Plants'!A:A,MATCH(J324,'AP Plants'!D:D,0)),INDEX('Australia Plants'!A:A,MATCH(J324,'Australia Plants'!D:D,0)))</f>
        <v>Maximal</v>
      </c>
      <c r="N324" s="10">
        <v>1.0</v>
      </c>
      <c r="O324" s="9">
        <v>34425.0</v>
      </c>
      <c r="P324" s="9">
        <v>24084.015</v>
      </c>
      <c r="Q324" s="47">
        <v>0.08007902680107837</v>
      </c>
      <c r="R324" s="48">
        <f t="shared" si="3"/>
        <v>0.3003917211</v>
      </c>
      <c r="S324" s="49">
        <f t="shared" si="4"/>
        <v>0</v>
      </c>
      <c r="T324" s="49">
        <f t="shared" si="21"/>
        <v>0.0800790268</v>
      </c>
      <c r="U324" s="50" t="str">
        <f t="shared" si="6"/>
        <v>AOP</v>
      </c>
      <c r="V324" s="51">
        <f t="shared" si="28"/>
        <v>1928.624483</v>
      </c>
      <c r="W324" s="52">
        <f t="shared" si="8"/>
        <v>1928.624483</v>
      </c>
      <c r="X324" s="9">
        <f t="shared" si="25"/>
        <v>24084.015</v>
      </c>
      <c r="Y324" s="8"/>
      <c r="Z324" s="8"/>
      <c r="AA324" s="8"/>
      <c r="AB324" s="8" t="str">
        <f t="shared" si="10"/>
        <v>PNZH36873MR14 961</v>
      </c>
      <c r="AC324" s="8" t="str">
        <f>IF(AB324='Input - Bookings'!S321,"OK","Check")</f>
        <v>Check</v>
      </c>
      <c r="AD324" s="53"/>
      <c r="AE324" s="54"/>
      <c r="AF324" s="54"/>
      <c r="AG324" s="55"/>
      <c r="AH324" s="55"/>
      <c r="AI324" s="8" t="str">
        <f t="array" ref="AI324">XLOOKUP($J324,'AP Plants'!D:D,'AP Plants'!B:B)</f>
        <v>Class 2</v>
      </c>
      <c r="AJ324" s="56"/>
      <c r="AK324" s="56"/>
      <c r="AL324" s="49">
        <v>0.015</v>
      </c>
      <c r="AM324" s="49">
        <f t="array" ref="AM324">XLOOKUP($AI324,Warranty!B:B,Warranty!E:E)</f>
        <v>0.015</v>
      </c>
      <c r="AN324" s="8">
        <f>IF($L324="AUD",VLOOKUP(RIGHT('Wk - Margins'!$J324,3),'AU Freight'!C:G,5,0),0)</f>
        <v>0</v>
      </c>
      <c r="AO324" s="49">
        <f t="shared" si="11"/>
        <v>0</v>
      </c>
      <c r="AP324" s="57">
        <f t="shared" si="12"/>
        <v>0</v>
      </c>
      <c r="AQ324" s="58">
        <f t="shared" si="13"/>
        <v>1</v>
      </c>
      <c r="AR324" s="59">
        <f>IF(L324="AUD",O324*'Currency &amp; Conversion'!$L$7,'Wk - Margins'!O324)</f>
        <v>34425</v>
      </c>
      <c r="AS324" s="59">
        <f>IF(L324="AUD",P324*'Currency &amp; Conversion'!$L$7,'Wk - Margins'!P324)</f>
        <v>24084.015</v>
      </c>
    </row>
    <row r="325" ht="12.75" hidden="1" customHeight="1">
      <c r="A325" s="42" t="str">
        <f>'Input - Bookings'!A325</f>
        <v>13/06/2023</v>
      </c>
      <c r="B325" s="43" t="str">
        <f t="shared" si="1"/>
        <v>Pacific</v>
      </c>
      <c r="C325" s="43" t="str">
        <f t="shared" si="2"/>
        <v>PNZ</v>
      </c>
      <c r="D325" s="43" t="str">
        <f>'Input - Bookings'!D325</f>
        <v>P</v>
      </c>
      <c r="E325" s="43" t="str">
        <f>'Input - Bookings'!J325</f>
        <v>NZ</v>
      </c>
      <c r="F325" s="44" t="str">
        <f>'Input - Bookings'!F325</f>
        <v>067</v>
      </c>
      <c r="G325" s="44" t="str">
        <f>'Input - Bookings'!I325</f>
        <v>S.G EQUIPMENT LTD</v>
      </c>
      <c r="H325" s="44" t="str">
        <f>'Input - Bookings'!K325</f>
        <v>H36874</v>
      </c>
      <c r="I325" s="45" t="str">
        <f>VLOOKUP(H325,'Input - Bookings'!$G$2:$H$611,2,0)</f>
        <v>862065</v>
      </c>
      <c r="J325" s="44" t="str">
        <f>'Input - Bookings'!N325</f>
        <v>A961</v>
      </c>
      <c r="K325" s="44" t="str">
        <f>'Input - Bookings'!O325</f>
        <v>MR14 961</v>
      </c>
      <c r="L325" s="44" t="str">
        <f>'Input - Bookings'!C325</f>
        <v>USD</v>
      </c>
      <c r="M325" s="46" t="str">
        <f t="array" ref="M325">IF(L325="USD",INDEX('AP Plants'!A:A,MATCH(J325,'AP Plants'!D:D,0)),INDEX('Australia Plants'!A:A,MATCH(J325,'Australia Plants'!D:D,0)))</f>
        <v>Maximal</v>
      </c>
      <c r="N325" s="10">
        <v>1.0</v>
      </c>
      <c r="O325" s="9">
        <v>34425.0</v>
      </c>
      <c r="P325" s="9">
        <v>24084.015</v>
      </c>
      <c r="Q325" s="47">
        <v>0.08007902680107837</v>
      </c>
      <c r="R325" s="48">
        <f t="shared" si="3"/>
        <v>0.3003917211</v>
      </c>
      <c r="S325" s="49">
        <f t="shared" si="4"/>
        <v>0</v>
      </c>
      <c r="T325" s="49">
        <f t="shared" si="21"/>
        <v>0.0800790268</v>
      </c>
      <c r="U325" s="50" t="str">
        <f t="shared" si="6"/>
        <v>AOP</v>
      </c>
      <c r="V325" s="51">
        <f t="shared" si="28"/>
        <v>1928.624483</v>
      </c>
      <c r="W325" s="52">
        <f t="shared" si="8"/>
        <v>1928.624483</v>
      </c>
      <c r="X325" s="9">
        <f t="shared" si="25"/>
        <v>24084.015</v>
      </c>
      <c r="Y325" s="8"/>
      <c r="Z325" s="8"/>
      <c r="AA325" s="8"/>
      <c r="AB325" s="8" t="str">
        <f t="shared" si="10"/>
        <v>PNZH36874MR14 961</v>
      </c>
      <c r="AC325" s="8" t="str">
        <f>IF(AB325='Input - Bookings'!S322,"OK","Check")</f>
        <v>Check</v>
      </c>
      <c r="AD325" s="53"/>
      <c r="AE325" s="54"/>
      <c r="AF325" s="54"/>
      <c r="AG325" s="55"/>
      <c r="AH325" s="55"/>
      <c r="AI325" s="8" t="str">
        <f t="array" ref="AI325">XLOOKUP($J325,'AP Plants'!D:D,'AP Plants'!B:B)</f>
        <v>Class 2</v>
      </c>
      <c r="AJ325" s="56"/>
      <c r="AK325" s="56"/>
      <c r="AL325" s="49">
        <v>0.015</v>
      </c>
      <c r="AM325" s="49">
        <f t="array" ref="AM325">XLOOKUP($AI325,Warranty!B:B,Warranty!E:E)</f>
        <v>0.015</v>
      </c>
      <c r="AN325" s="8">
        <f>IF($L325="AUD",VLOOKUP(RIGHT('Wk - Margins'!$J325,3),'AU Freight'!C:G,5,0),0)</f>
        <v>0</v>
      </c>
      <c r="AO325" s="49">
        <f t="shared" si="11"/>
        <v>0</v>
      </c>
      <c r="AP325" s="57">
        <f t="shared" si="12"/>
        <v>0</v>
      </c>
      <c r="AQ325" s="58">
        <f t="shared" si="13"/>
        <v>1</v>
      </c>
      <c r="AR325" s="59">
        <f>IF(L325="AUD",O325*'Currency &amp; Conversion'!$L$7,'Wk - Margins'!O325)</f>
        <v>34425</v>
      </c>
      <c r="AS325" s="59">
        <f>IF(L325="AUD",P325*'Currency &amp; Conversion'!$L$7,'Wk - Margins'!P325)</f>
        <v>24084.015</v>
      </c>
    </row>
    <row r="326" ht="12.75" customHeight="1">
      <c r="A326" s="42" t="str">
        <f>'Input - Bookings'!A326</f>
        <v>13/06/2023</v>
      </c>
      <c r="B326" s="43" t="str">
        <f t="shared" si="1"/>
        <v>Pacific</v>
      </c>
      <c r="C326" s="43" t="str">
        <f t="shared" si="2"/>
        <v>PNZ</v>
      </c>
      <c r="D326" s="43" t="str">
        <f>'Input - Bookings'!D326</f>
        <v>P</v>
      </c>
      <c r="E326" s="43" t="str">
        <f>'Input - Bookings'!J326</f>
        <v>NZ</v>
      </c>
      <c r="F326" s="44" t="str">
        <f>'Input - Bookings'!F326</f>
        <v>067</v>
      </c>
      <c r="G326" s="44" t="str">
        <f>'Input - Bookings'!I326</f>
        <v>S.G EQUIPMENT LTD</v>
      </c>
      <c r="H326" s="44" t="str">
        <f>'Input - Bookings'!K326</f>
        <v>H36871</v>
      </c>
      <c r="I326" s="45" t="str">
        <f>VLOOKUP(H326,'Input - Bookings'!$G$2:$H$611,2,0)</f>
        <v>862065</v>
      </c>
      <c r="J326" s="44" t="str">
        <f>'Input - Bookings'!N326</f>
        <v>A497</v>
      </c>
      <c r="K326" s="44" t="str">
        <f>'Input - Bookings'!O326</f>
        <v>FS030BF</v>
      </c>
      <c r="L326" s="44" t="str">
        <f>'Input - Bookings'!C326</f>
        <v>USD</v>
      </c>
      <c r="M326" s="46" t="str">
        <f t="array" ref="M326">IF(L326="USD",INDEX('AP Plants'!A:A,MATCH(J326,'AP Plants'!D:D,0)),INDEX('Australia Plants'!A:A,MATCH(J326,'Australia Plants'!D:D,0)))</f>
        <v>Greenville</v>
      </c>
      <c r="N326" s="10">
        <v>1.0</v>
      </c>
      <c r="O326" s="9">
        <v>45810.0</v>
      </c>
      <c r="P326" s="9">
        <v>36371.32</v>
      </c>
      <c r="Q326" s="47">
        <f>AQ326</f>
        <v>0.178312679</v>
      </c>
      <c r="R326" s="48">
        <f t="shared" si="3"/>
        <v>0.2060397293</v>
      </c>
      <c r="S326" s="49">
        <f t="shared" si="4"/>
        <v>0</v>
      </c>
      <c r="T326" s="49">
        <f t="shared" si="21"/>
        <v>0.178312679</v>
      </c>
      <c r="U326" s="50" t="str">
        <f t="shared" si="6"/>
        <v>AOP</v>
      </c>
      <c r="V326" s="51">
        <f t="shared" si="28"/>
        <v>6485.467509</v>
      </c>
      <c r="W326" s="52">
        <f t="shared" si="8"/>
        <v>6485.467509</v>
      </c>
      <c r="X326" s="9">
        <f t="shared" si="25"/>
        <v>36371.32</v>
      </c>
      <c r="Y326" s="8"/>
      <c r="Z326" s="8"/>
      <c r="AA326" s="8"/>
      <c r="AB326" s="8" t="str">
        <f t="shared" si="10"/>
        <v>PNZH36871FS030BF</v>
      </c>
      <c r="AC326" s="8" t="str">
        <f>IF(AB326='Input - Bookings'!S323,"OK","Check")</f>
        <v>Check</v>
      </c>
      <c r="AD326" s="53"/>
      <c r="AE326" s="54">
        <v>0.0</v>
      </c>
      <c r="AF326" s="54">
        <v>0.0</v>
      </c>
      <c r="AG326" s="55">
        <v>28989.300398</v>
      </c>
      <c r="AH326" s="62"/>
      <c r="AI326" s="8" t="str">
        <f t="array" ref="AI326">XLOOKUP($J326,'AP Plants'!D:D,'AP Plants'!B:B)</f>
        <v>Class 2</v>
      </c>
      <c r="AJ326" s="56"/>
      <c r="AK326" s="56">
        <f>(AG326*(1+VLOOKUP(M326,'Currency &amp; Conversion'!$F$13:$H$19,2,0))+((AE326+AF326)*90%))</f>
        <v>29015.39077</v>
      </c>
      <c r="AL326" s="49">
        <v>0.015</v>
      </c>
      <c r="AM326" s="49">
        <f t="array" ref="AM326">XLOOKUP($AI326,Warranty!B:B,Warranty!E:E)</f>
        <v>0.015</v>
      </c>
      <c r="AN326" s="8">
        <f>IF($L326="AUD",VLOOKUP(RIGHT('Wk - Margins'!$J326,3),'AU Freight'!C:G,5,0),0)</f>
        <v>0</v>
      </c>
      <c r="AO326" s="49">
        <f t="shared" si="11"/>
        <v>0</v>
      </c>
      <c r="AP326" s="63">
        <f t="shared" si="12"/>
        <v>29885.85249</v>
      </c>
      <c r="AQ326" s="64">
        <f t="shared" si="13"/>
        <v>0.178312679</v>
      </c>
      <c r="AR326" s="59">
        <f>IF(L326="AUD",O326*'Currency &amp; Conversion'!$L$7,'Wk - Margins'!O326)</f>
        <v>45810</v>
      </c>
      <c r="AS326" s="59">
        <f>IF(L326="AUD",P326*'Currency &amp; Conversion'!$L$7,'Wk - Margins'!P326)</f>
        <v>36371.32</v>
      </c>
    </row>
    <row r="327" ht="12.75" hidden="1" customHeight="1">
      <c r="A327" s="42" t="str">
        <f>'Input - Bookings'!A327</f>
        <v>14/06/2023</v>
      </c>
      <c r="B327" s="43" t="str">
        <f t="shared" si="1"/>
        <v>Australia</v>
      </c>
      <c r="C327" s="43" t="str">
        <f t="shared" si="2"/>
        <v>PAU</v>
      </c>
      <c r="D327" s="43" t="str">
        <f>'Input - Bookings'!D327</f>
        <v>P</v>
      </c>
      <c r="E327" s="43" t="str">
        <f>'Input - Bookings'!J327</f>
        <v>AU</v>
      </c>
      <c r="F327" s="44" t="str">
        <f>'Input - Bookings'!F327</f>
        <v>065</v>
      </c>
      <c r="G327" s="44" t="str">
        <f>'Input - Bookings'!I327</f>
        <v>ADAPT-A-LIFT GROUP (QLD)</v>
      </c>
      <c r="H327" s="44" t="str">
        <f>'Input - Bookings'!K327</f>
        <v>H37333</v>
      </c>
      <c r="I327" s="45" t="str">
        <f>VLOOKUP(H327,'Input - Bookings'!$G$2:$H$611,2,0)</f>
        <v>087575</v>
      </c>
      <c r="J327" s="44" t="str">
        <f>'Input - Bookings'!N327</f>
        <v>A3C6</v>
      </c>
      <c r="K327" s="44" t="str">
        <f>'Input - Bookings'!O327</f>
        <v>H5.0UT</v>
      </c>
      <c r="L327" s="44" t="str">
        <f>'Input - Bookings'!C327</f>
        <v>AUD</v>
      </c>
      <c r="M327" s="46" t="str">
        <f t="array" ref="M327">IF(L327="USD",INDEX('AP Plants'!A:A,MATCH(J327,'AP Plants'!D:D,0)),INDEX('Australia Plants'!A:A,MATCH(J327,'Australia Plants'!D:D,0)))</f>
        <v>Maximal</v>
      </c>
      <c r="N327" s="10">
        <v>1.0</v>
      </c>
      <c r="O327" s="9">
        <v>57060.0</v>
      </c>
      <c r="P327" s="9">
        <v>45004.9275</v>
      </c>
      <c r="Q327" s="47">
        <v>0.27683767640552026</v>
      </c>
      <c r="R327" s="48">
        <f t="shared" si="3"/>
        <v>0.2112701104</v>
      </c>
      <c r="S327" s="49">
        <f t="shared" si="4"/>
        <v>0</v>
      </c>
      <c r="T327" s="49">
        <f t="shared" si="21"/>
        <v>0.2768376764</v>
      </c>
      <c r="U327" s="50" t="str">
        <f t="shared" si="6"/>
        <v>AOP</v>
      </c>
      <c r="V327" s="51">
        <f t="shared" si="28"/>
        <v>12459.05956</v>
      </c>
      <c r="W327" s="52" t="str">
        <f t="shared" si="8"/>
        <v>#DIV/0!</v>
      </c>
      <c r="X327" s="9" t="str">
        <f t="shared" si="25"/>
        <v>#DIV/0!</v>
      </c>
      <c r="Y327" s="8"/>
      <c r="Z327" s="8"/>
      <c r="AA327" s="8"/>
      <c r="AB327" s="8" t="str">
        <f t="shared" si="10"/>
        <v>PAUH37333H5.0UT</v>
      </c>
      <c r="AC327" s="8" t="str">
        <f>IF(AB327='Input - Bookings'!S324,"OK","Check")</f>
        <v>Check</v>
      </c>
      <c r="AD327" s="53"/>
      <c r="AE327" s="54"/>
      <c r="AF327" s="54"/>
      <c r="AG327" s="55"/>
      <c r="AH327" s="62"/>
      <c r="AI327" s="8" t="str">
        <f t="array" ref="AI327">XLOOKUP($J327,'AP Plants'!D:D,'AP Plants'!B:B)</f>
        <v>Class 5 NOT BT</v>
      </c>
      <c r="AJ327" s="56"/>
      <c r="AK327" s="56"/>
      <c r="AL327" s="49">
        <v>0.015</v>
      </c>
      <c r="AM327" s="49">
        <f t="array" ref="AM327">XLOOKUP($AI327,Warranty!B:B,Warranty!E:E)</f>
        <v>0.005</v>
      </c>
      <c r="AN327" s="8">
        <f>IF($L327="AUD",VLOOKUP(RIGHT('Wk - Margins'!$J327,3),'AU Freight'!C:G,5,0),0)</f>
        <v>2000</v>
      </c>
      <c r="AO327" s="49">
        <f t="shared" si="11"/>
        <v>0</v>
      </c>
      <c r="AP327" s="63">
        <f t="shared" si="12"/>
        <v>2000</v>
      </c>
      <c r="AQ327" s="58">
        <f t="shared" si="13"/>
        <v>0.9555604217</v>
      </c>
      <c r="AR327" s="59">
        <f>IF(L327="AUD",O327*'Currency &amp; Conversion'!$L$7,'Wk - Margins'!O327)</f>
        <v>38314.64405</v>
      </c>
      <c r="AS327" s="59">
        <f>IF(L327="AUD",P327*'Currency &amp; Conversion'!$L$7,'Wk - Margins'!P327)</f>
        <v>30219.90497</v>
      </c>
    </row>
    <row r="328" ht="12.75" hidden="1" customHeight="1">
      <c r="A328" s="42" t="str">
        <f>'Input - Bookings'!A328</f>
        <v>14/06/2023</v>
      </c>
      <c r="B328" s="43" t="str">
        <f t="shared" si="1"/>
        <v>Australia</v>
      </c>
      <c r="C328" s="43" t="str">
        <f t="shared" si="2"/>
        <v>PAU</v>
      </c>
      <c r="D328" s="43" t="str">
        <f>'Input - Bookings'!D328</f>
        <v>P</v>
      </c>
      <c r="E328" s="43" t="str">
        <f>'Input - Bookings'!J328</f>
        <v>AU</v>
      </c>
      <c r="F328" s="44" t="str">
        <f>'Input - Bookings'!F328</f>
        <v>065</v>
      </c>
      <c r="G328" s="44" t="str">
        <f>'Input - Bookings'!I328</f>
        <v>ADAPT-A-LIFT GROUP (WA)</v>
      </c>
      <c r="H328" s="44" t="str">
        <f>'Input - Bookings'!K328</f>
        <v>H37334</v>
      </c>
      <c r="I328" s="45" t="str">
        <f>VLOOKUP(H328,'Input - Bookings'!$G$2:$H$611,2,0)</f>
        <v>087605</v>
      </c>
      <c r="J328" s="44" t="str">
        <f>'Input - Bookings'!N328</f>
        <v>D466</v>
      </c>
      <c r="K328" s="44" t="str">
        <f>'Input - Bookings'!O328</f>
        <v>H3.5XT</v>
      </c>
      <c r="L328" s="44" t="str">
        <f>'Input - Bookings'!C328</f>
        <v>AUD</v>
      </c>
      <c r="M328" s="46" t="str">
        <f t="array" ref="M328">IF(L328="USD",INDEX('AP Plants'!A:A,MATCH(J328,'AP Plants'!D:D,0)),INDEX('Australia Plants'!A:A,MATCH(J328,'Australia Plants'!D:D,0)))</f>
        <v>SN</v>
      </c>
      <c r="N328" s="10">
        <v>1.0</v>
      </c>
      <c r="O328" s="9">
        <v>47060.0</v>
      </c>
      <c r="P328" s="9">
        <v>40942.200000000004</v>
      </c>
      <c r="Q328" s="47">
        <v>0.21310945912817303</v>
      </c>
      <c r="R328" s="48">
        <f t="shared" si="3"/>
        <v>0.13</v>
      </c>
      <c r="S328" s="49">
        <f t="shared" si="4"/>
        <v>0</v>
      </c>
      <c r="T328" s="49">
        <f t="shared" si="21"/>
        <v>0.2131094591</v>
      </c>
      <c r="U328" s="50" t="str">
        <f t="shared" si="6"/>
        <v>AOP</v>
      </c>
      <c r="V328" s="51">
        <f t="shared" si="28"/>
        <v>8725.170098</v>
      </c>
      <c r="W328" s="52" t="str">
        <f t="shared" si="8"/>
        <v>#DIV/0!</v>
      </c>
      <c r="X328" s="9" t="str">
        <f t="shared" si="25"/>
        <v>#DIV/0!</v>
      </c>
      <c r="Y328" s="8"/>
      <c r="Z328" s="8"/>
      <c r="AA328" s="8"/>
      <c r="AB328" s="8" t="str">
        <f t="shared" si="10"/>
        <v>PAUH37334H3.5XT</v>
      </c>
      <c r="AC328" s="8" t="str">
        <f>IF(AB328='Input - Bookings'!S325,"OK","Check")</f>
        <v>Check</v>
      </c>
      <c r="AD328" s="53"/>
      <c r="AE328" s="54"/>
      <c r="AF328" s="54"/>
      <c r="AG328" s="55"/>
      <c r="AH328" s="55"/>
      <c r="AI328" s="8" t="str">
        <f t="array" ref="AI328">XLOOKUP($J328,'AP Plants'!D:D,'AP Plants'!B:B)</f>
        <v>Class 5 NOT BT</v>
      </c>
      <c r="AJ328" s="56"/>
      <c r="AK328" s="56"/>
      <c r="AL328" s="49">
        <v>0.015</v>
      </c>
      <c r="AM328" s="49">
        <f t="array" ref="AM328">XLOOKUP($AI328,Warranty!B:B,Warranty!E:E)</f>
        <v>0.005</v>
      </c>
      <c r="AN328" s="8">
        <f>IF($L328="AUD",VLOOKUP(RIGHT('Wk - Margins'!$J328,3),'AU Freight'!C:G,5,0),0)</f>
        <v>2130</v>
      </c>
      <c r="AO328" s="49">
        <f t="shared" si="11"/>
        <v>0</v>
      </c>
      <c r="AP328" s="63">
        <f t="shared" si="12"/>
        <v>2130</v>
      </c>
      <c r="AQ328" s="58">
        <f t="shared" si="13"/>
        <v>0.9479754385</v>
      </c>
      <c r="AR328" s="59">
        <f>IF(L328="AUD",O328*'Currency &amp; Conversion'!$L$7,'Wk - Margins'!O328)</f>
        <v>31599.84488</v>
      </c>
      <c r="AS328" s="59">
        <f>IF(L328="AUD",P328*'Currency &amp; Conversion'!$L$7,'Wk - Margins'!P328)</f>
        <v>27491.86505</v>
      </c>
    </row>
    <row r="329" ht="12.75" hidden="1" customHeight="1">
      <c r="A329" s="42" t="str">
        <f>'Input - Bookings'!A329</f>
        <v>15/06/2023</v>
      </c>
      <c r="B329" s="43" t="str">
        <f t="shared" si="1"/>
        <v>Australia</v>
      </c>
      <c r="C329" s="43" t="str">
        <f t="shared" si="2"/>
        <v>PAU</v>
      </c>
      <c r="D329" s="43" t="str">
        <f>'Input - Bookings'!D329</f>
        <v>P</v>
      </c>
      <c r="E329" s="43" t="str">
        <f>'Input - Bookings'!J329</f>
        <v>AU</v>
      </c>
      <c r="F329" s="44" t="str">
        <f>'Input - Bookings'!F329</f>
        <v>067</v>
      </c>
      <c r="G329" s="44" t="str">
        <f>'Input - Bookings'!I329</f>
        <v>ADAPT-A-LIFT GROUP(NSW)</v>
      </c>
      <c r="H329" s="44" t="str">
        <f>'Input - Bookings'!K329</f>
        <v>H37544</v>
      </c>
      <c r="I329" s="45" t="str">
        <f>VLOOKUP(H329,'Input - Bookings'!$G$2:$H$611,2,0)</f>
        <v>087805</v>
      </c>
      <c r="J329" s="44" t="str">
        <f>'Input - Bookings'!N329</f>
        <v>D871</v>
      </c>
      <c r="K329" s="44" t="str">
        <f>'Input - Bookings'!O329</f>
        <v>GP30MX</v>
      </c>
      <c r="L329" s="44" t="str">
        <f>'Input - Bookings'!C329</f>
        <v>AUD</v>
      </c>
      <c r="M329" s="46" t="str">
        <f t="array" ref="M329">IF(L329="USD",INDEX('AP Plants'!A:A,MATCH(J329,'AP Plants'!D:D,0)),INDEX('Australia Plants'!A:A,MATCH(J329,'Australia Plants'!D:D,0)))</f>
        <v>SN</v>
      </c>
      <c r="N329" s="10">
        <v>1.0</v>
      </c>
      <c r="O329" s="9">
        <v>41795.0</v>
      </c>
      <c r="P329" s="9">
        <v>34003.755000000005</v>
      </c>
      <c r="Q329" s="47">
        <v>0.09803768109401856</v>
      </c>
      <c r="R329" s="48">
        <f t="shared" si="3"/>
        <v>0.1864157196</v>
      </c>
      <c r="S329" s="49">
        <f t="shared" si="4"/>
        <v>0</v>
      </c>
      <c r="T329" s="49">
        <f t="shared" si="21"/>
        <v>0.09803768109</v>
      </c>
      <c r="U329" s="50" t="str">
        <f t="shared" si="6"/>
        <v>AOP</v>
      </c>
      <c r="V329" s="51">
        <f t="shared" si="28"/>
        <v>3333.649289</v>
      </c>
      <c r="W329" s="52" t="str">
        <f t="shared" si="8"/>
        <v>#DIV/0!</v>
      </c>
      <c r="X329" s="9" t="str">
        <f t="shared" si="25"/>
        <v>#DIV/0!</v>
      </c>
      <c r="Y329" s="8"/>
      <c r="Z329" s="8"/>
      <c r="AA329" s="8"/>
      <c r="AB329" s="8" t="str">
        <f t="shared" si="10"/>
        <v>PAUH37544GP30MX</v>
      </c>
      <c r="AC329" s="8" t="str">
        <f>IF(AB329='Input - Bookings'!S326,"OK","Check")</f>
        <v>Check</v>
      </c>
      <c r="AD329" s="53"/>
      <c r="AE329" s="54"/>
      <c r="AF329" s="54"/>
      <c r="AG329" s="55"/>
      <c r="AH329" s="55"/>
      <c r="AI329" s="8" t="str">
        <f t="array" ref="AI329">XLOOKUP($J329,'AP Plants'!D:D,'AP Plants'!B:B)</f>
        <v>Class 5 NOT BT</v>
      </c>
      <c r="AJ329" s="56"/>
      <c r="AK329" s="56"/>
      <c r="AL329" s="49">
        <v>0.015</v>
      </c>
      <c r="AM329" s="49">
        <f t="array" ref="AM329">XLOOKUP($AI329,Warranty!B:B,Warranty!E:E)</f>
        <v>0.005</v>
      </c>
      <c r="AN329" s="8">
        <f>IF($L329="AUD",VLOOKUP(RIGHT('Wk - Margins'!$J329,3),'AU Freight'!C:G,5,0),0)</f>
        <v>2130</v>
      </c>
      <c r="AO329" s="49">
        <f t="shared" si="11"/>
        <v>0</v>
      </c>
      <c r="AP329" s="63">
        <f t="shared" si="12"/>
        <v>2130</v>
      </c>
      <c r="AQ329" s="58">
        <f t="shared" si="13"/>
        <v>0.9373598592</v>
      </c>
      <c r="AR329" s="59">
        <f>IF(L329="AUD",O329*'Currency &amp; Conversion'!$L$7,'Wk - Margins'!O329)</f>
        <v>28064.50312</v>
      </c>
      <c r="AS329" s="59">
        <f>IF(L329="AUD",P329*'Currency &amp; Conversion'!$L$7,'Wk - Margins'!P329)</f>
        <v>22832.83858</v>
      </c>
    </row>
    <row r="330" ht="12.75" customHeight="1">
      <c r="A330" s="42" t="str">
        <f>'Input - Bookings'!A330</f>
        <v>19/06/2023</v>
      </c>
      <c r="B330" s="43" t="str">
        <f t="shared" si="1"/>
        <v>Australia</v>
      </c>
      <c r="C330" s="43" t="str">
        <f t="shared" si="2"/>
        <v>PAU</v>
      </c>
      <c r="D330" s="43" t="str">
        <f>'Input - Bookings'!D330</f>
        <v>P</v>
      </c>
      <c r="E330" s="43" t="str">
        <f>'Input - Bookings'!J330</f>
        <v>AU</v>
      </c>
      <c r="F330" s="44" t="str">
        <f>'Input - Bookings'!F330</f>
        <v>065</v>
      </c>
      <c r="G330" s="44" t="str">
        <f>'Input - Bookings'!I330</f>
        <v>ADAPT-A-LIFT GROUP (VIC)</v>
      </c>
      <c r="H330" s="44" t="str">
        <f>'Input - Bookings'!K330</f>
        <v>H38079</v>
      </c>
      <c r="I330" s="45" t="str">
        <f>VLOOKUP(H330,'Input - Bookings'!$G$2:$H$611,2,0)</f>
        <v>087565</v>
      </c>
      <c r="J330" s="44" t="str">
        <f>'Input - Bookings'!N330</f>
        <v>A244</v>
      </c>
      <c r="K330" s="44" t="str">
        <f>'Input - Bookings'!O330</f>
        <v>BE100ZHD</v>
      </c>
      <c r="L330" s="44" t="str">
        <f>'Input - Bookings'!C330</f>
        <v>AUD</v>
      </c>
      <c r="M330" s="46" t="str">
        <f t="array" ref="M330">IF(L330="USD",INDEX('AP Plants'!A:A,MATCH(J330,'AP Plants'!D:D,0)),INDEX('Australia Plants'!A:A,MATCH(J330,'Australia Plants'!D:D,0)))</f>
        <v>Greenville</v>
      </c>
      <c r="N330" s="10">
        <v>1.0</v>
      </c>
      <c r="O330" s="9">
        <v>41735.0</v>
      </c>
      <c r="P330" s="9">
        <v>35515.25</v>
      </c>
      <c r="Q330" s="47">
        <f t="shared" ref="Q330:Q331" si="42">AQ330</f>
        <v>0.1255440799</v>
      </c>
      <c r="R330" s="48">
        <f t="shared" si="3"/>
        <v>0.1490295915</v>
      </c>
      <c r="S330" s="49">
        <f t="shared" si="4"/>
        <v>0</v>
      </c>
      <c r="T330" s="49">
        <f t="shared" si="21"/>
        <v>0.1255440799</v>
      </c>
      <c r="U330" s="50" t="str">
        <f t="shared" si="6"/>
        <v>AOP</v>
      </c>
      <c r="V330" s="51">
        <f t="shared" si="28"/>
        <v>4458.729384</v>
      </c>
      <c r="W330" s="52" t="str">
        <f t="shared" si="8"/>
        <v>#DIV/0!</v>
      </c>
      <c r="X330" s="9" t="str">
        <f t="shared" si="25"/>
        <v>#DIV/0!</v>
      </c>
      <c r="Y330" s="8"/>
      <c r="Z330" s="8"/>
      <c r="AA330" s="8"/>
      <c r="AB330" s="8" t="str">
        <f t="shared" si="10"/>
        <v>PAUH38079BE100ZHD</v>
      </c>
      <c r="AC330" s="8" t="str">
        <f>IF(AB330='Input - Bookings'!S327,"OK","Check")</f>
        <v>Check</v>
      </c>
      <c r="AD330" s="53"/>
      <c r="AE330" s="54">
        <v>0.0</v>
      </c>
      <c r="AF330" s="54">
        <v>0.0</v>
      </c>
      <c r="AG330" s="55">
        <v>18011.010424</v>
      </c>
      <c r="AH330" s="62"/>
      <c r="AI330" s="8" t="str">
        <f t="array" ref="AI330">XLOOKUP($J330,'AP Plants'!D:D,'AP Plants'!B:B)</f>
        <v>Class 2</v>
      </c>
      <c r="AJ330" s="56">
        <f>(AG330*(1+VLOOKUP(M330,'Currency &amp; Conversion'!$F$13:$H$19,2,0))*'Currency &amp; Conversion'!$L$6)+((AE330+AF330)*90%)</f>
        <v>26846.13652</v>
      </c>
      <c r="AK330" s="56"/>
      <c r="AL330" s="49">
        <v>0.015</v>
      </c>
      <c r="AM330" s="49">
        <f t="array" ref="AM330">XLOOKUP($AI330,Warranty!B:B,Warranty!E:E)</f>
        <v>0.015</v>
      </c>
      <c r="AN330" s="8">
        <f>IF($L330="AUD",VLOOKUP(RIGHT('Wk - Margins'!$J330,3),'AU Freight'!C:G,5,0),0)</f>
        <v>3405</v>
      </c>
      <c r="AO330" s="49">
        <f t="shared" si="11"/>
        <v>0</v>
      </c>
      <c r="AP330" s="63">
        <f t="shared" si="12"/>
        <v>31056.52062</v>
      </c>
      <c r="AQ330" s="64">
        <f t="shared" si="13"/>
        <v>0.1255440799</v>
      </c>
      <c r="AR330" s="59">
        <f>IF(L330="AUD",O330*'Currency &amp; Conversion'!$L$7,'Wk - Margins'!O330)</f>
        <v>28024.21433</v>
      </c>
      <c r="AS330" s="59">
        <f>IF(L330="AUD",P330*'Currency &amp; Conversion'!$L$7,'Wk - Margins'!P330)</f>
        <v>23847.77711</v>
      </c>
    </row>
    <row r="331" ht="12.75" customHeight="1">
      <c r="A331" s="42" t="str">
        <f>'Input - Bookings'!A331</f>
        <v>19/06/2023</v>
      </c>
      <c r="B331" s="43" t="str">
        <f t="shared" si="1"/>
        <v>Australia</v>
      </c>
      <c r="C331" s="43" t="str">
        <f t="shared" si="2"/>
        <v>PAU</v>
      </c>
      <c r="D331" s="43" t="str">
        <f>'Input - Bookings'!D331</f>
        <v>P</v>
      </c>
      <c r="E331" s="43" t="str">
        <f>'Input - Bookings'!J331</f>
        <v>AU</v>
      </c>
      <c r="F331" s="44" t="str">
        <f>'Input - Bookings'!F331</f>
        <v>065</v>
      </c>
      <c r="G331" s="44" t="str">
        <f>'Input - Bookings'!I331</f>
        <v>ADAPT-A-LIFT GROUP (VIC)</v>
      </c>
      <c r="H331" s="44" t="str">
        <f>'Input - Bookings'!K331</f>
        <v>H38080</v>
      </c>
      <c r="I331" s="45" t="str">
        <f>VLOOKUP(H331,'Input - Bookings'!$G$2:$H$611,2,0)</f>
        <v>087565</v>
      </c>
      <c r="J331" s="44" t="str">
        <f>'Input - Bookings'!N331</f>
        <v>A244</v>
      </c>
      <c r="K331" s="44" t="str">
        <f>'Input - Bookings'!O331</f>
        <v>BE100ZHD</v>
      </c>
      <c r="L331" s="44" t="str">
        <f>'Input - Bookings'!C331</f>
        <v>AUD</v>
      </c>
      <c r="M331" s="46" t="str">
        <f t="array" ref="M331">IF(L331="USD",INDEX('AP Plants'!A:A,MATCH(J331,'AP Plants'!D:D,0)),INDEX('Australia Plants'!A:A,MATCH(J331,'Australia Plants'!D:D,0)))</f>
        <v>Greenville</v>
      </c>
      <c r="N331" s="10">
        <v>1.0</v>
      </c>
      <c r="O331" s="9">
        <v>41735.0</v>
      </c>
      <c r="P331" s="9">
        <v>35515.25</v>
      </c>
      <c r="Q331" s="47">
        <f t="shared" si="42"/>
        <v>0.1255440799</v>
      </c>
      <c r="R331" s="48">
        <f t="shared" si="3"/>
        <v>0.1490295915</v>
      </c>
      <c r="S331" s="49">
        <f t="shared" si="4"/>
        <v>0</v>
      </c>
      <c r="T331" s="49">
        <f t="shared" si="21"/>
        <v>0.1255440799</v>
      </c>
      <c r="U331" s="50" t="str">
        <f t="shared" si="6"/>
        <v>AOP</v>
      </c>
      <c r="V331" s="51">
        <f t="shared" si="28"/>
        <v>4458.729384</v>
      </c>
      <c r="W331" s="52" t="str">
        <f t="shared" si="8"/>
        <v>#DIV/0!</v>
      </c>
      <c r="X331" s="9" t="str">
        <f t="shared" si="25"/>
        <v>#DIV/0!</v>
      </c>
      <c r="Y331" s="8"/>
      <c r="Z331" s="8"/>
      <c r="AA331" s="8"/>
      <c r="AB331" s="8" t="str">
        <f t="shared" si="10"/>
        <v>PAUH38080BE100ZHD</v>
      </c>
      <c r="AC331" s="8" t="str">
        <f>IF(AB331='Input - Bookings'!S328,"OK","Check")</f>
        <v>Check</v>
      </c>
      <c r="AD331" s="53"/>
      <c r="AE331" s="54">
        <v>0.0</v>
      </c>
      <c r="AF331" s="54">
        <v>0.0</v>
      </c>
      <c r="AG331" s="55">
        <v>18011.010424</v>
      </c>
      <c r="AH331" s="55"/>
      <c r="AI331" s="8" t="str">
        <f t="array" ref="AI331">XLOOKUP($J331,'AP Plants'!D:D,'AP Plants'!B:B)</f>
        <v>Class 2</v>
      </c>
      <c r="AJ331" s="56">
        <f>(AG331*(1+VLOOKUP(M331,'Currency &amp; Conversion'!$F$13:$H$19,2,0))*'Currency &amp; Conversion'!$L$6)+((AE331+AF331)*90%)</f>
        <v>26846.13652</v>
      </c>
      <c r="AK331" s="56"/>
      <c r="AL331" s="49">
        <v>0.015</v>
      </c>
      <c r="AM331" s="49">
        <f t="array" ref="AM331">XLOOKUP($AI331,Warranty!B:B,Warranty!E:E)</f>
        <v>0.015</v>
      </c>
      <c r="AN331" s="8">
        <f>IF($L331="AUD",VLOOKUP(RIGHT('Wk - Margins'!$J331,3),'AU Freight'!C:G,5,0),0)</f>
        <v>3405</v>
      </c>
      <c r="AO331" s="49">
        <f t="shared" si="11"/>
        <v>0</v>
      </c>
      <c r="AP331" s="63">
        <f t="shared" si="12"/>
        <v>31056.52062</v>
      </c>
      <c r="AQ331" s="64">
        <f t="shared" si="13"/>
        <v>0.1255440799</v>
      </c>
      <c r="AR331" s="59">
        <f>IF(L331="AUD",O331*'Currency &amp; Conversion'!$L$7,'Wk - Margins'!O331)</f>
        <v>28024.21433</v>
      </c>
      <c r="AS331" s="59">
        <f>IF(L331="AUD",P331*'Currency &amp; Conversion'!$L$7,'Wk - Margins'!P331)</f>
        <v>23847.77711</v>
      </c>
    </row>
    <row r="332" ht="12.75" hidden="1" customHeight="1">
      <c r="A332" s="42" t="str">
        <f>'Input - Bookings'!A332</f>
        <v>21/06/2023</v>
      </c>
      <c r="B332" s="43" t="str">
        <f t="shared" si="1"/>
        <v>Australia</v>
      </c>
      <c r="C332" s="43" t="str">
        <f t="shared" si="2"/>
        <v>PAU</v>
      </c>
      <c r="D332" s="43" t="str">
        <f>'Input - Bookings'!D332</f>
        <v>P</v>
      </c>
      <c r="E332" s="43" t="str">
        <f>'Input - Bookings'!J332</f>
        <v>AU</v>
      </c>
      <c r="F332" s="44" t="str">
        <f>'Input - Bookings'!F332</f>
        <v>065</v>
      </c>
      <c r="G332" s="44" t="str">
        <f>'Input - Bookings'!I332</f>
        <v>ADAPT-A-LIFT GROUP (NSW)</v>
      </c>
      <c r="H332" s="44" t="str">
        <f>'Input - Bookings'!K332</f>
        <v>H38387</v>
      </c>
      <c r="I332" s="45" t="str">
        <f>VLOOKUP(H332,'Input - Bookings'!$G$2:$H$611,2,0)</f>
        <v>087585</v>
      </c>
      <c r="J332" s="44" t="str">
        <f>'Input - Bookings'!N332</f>
        <v>A3C1</v>
      </c>
      <c r="K332" s="44" t="str">
        <f>'Input - Bookings'!O332</f>
        <v>H2.5UT</v>
      </c>
      <c r="L332" s="44" t="str">
        <f>'Input - Bookings'!C332</f>
        <v>AUD</v>
      </c>
      <c r="M332" s="46" t="str">
        <f t="array" ref="M332">IF(L332="USD",INDEX('AP Plants'!A:A,MATCH(J332,'AP Plants'!D:D,0)),INDEX('Australia Plants'!A:A,MATCH(J332,'Australia Plants'!D:D,0)))</f>
        <v>Maximal</v>
      </c>
      <c r="N332" s="10">
        <v>1.0</v>
      </c>
      <c r="O332" s="9">
        <v>29050.0</v>
      </c>
      <c r="P332" s="9">
        <v>23380.375</v>
      </c>
      <c r="Q332" s="47">
        <v>0.1964596754784751</v>
      </c>
      <c r="R332" s="48">
        <f t="shared" si="3"/>
        <v>0.1951678141</v>
      </c>
      <c r="S332" s="49">
        <f t="shared" si="4"/>
        <v>0</v>
      </c>
      <c r="T332" s="49">
        <f t="shared" si="21"/>
        <v>0.1964596755</v>
      </c>
      <c r="U332" s="50" t="str">
        <f t="shared" si="6"/>
        <v>AOP</v>
      </c>
      <c r="V332" s="51">
        <f t="shared" si="28"/>
        <v>4593.300885</v>
      </c>
      <c r="W332" s="52" t="str">
        <f t="shared" si="8"/>
        <v>#DIV/0!</v>
      </c>
      <c r="X332" s="9" t="str">
        <f t="shared" si="25"/>
        <v>#DIV/0!</v>
      </c>
      <c r="Y332" s="8"/>
      <c r="Z332" s="8"/>
      <c r="AA332" s="8"/>
      <c r="AB332" s="8" t="str">
        <f t="shared" si="10"/>
        <v>PAUH38387H2.5UT</v>
      </c>
      <c r="AC332" s="8" t="str">
        <f>IF(AB332='Input - Bookings'!S329,"OK","Check")</f>
        <v>Check</v>
      </c>
      <c r="AD332" s="53"/>
      <c r="AE332" s="54"/>
      <c r="AF332" s="54"/>
      <c r="AG332" s="55"/>
      <c r="AH332" s="62"/>
      <c r="AI332" s="8" t="str">
        <f t="array" ref="AI332">XLOOKUP($J332,'AP Plants'!D:D,'AP Plants'!B:B)</f>
        <v>Class 5 NOT BT</v>
      </c>
      <c r="AJ332" s="56"/>
      <c r="AK332" s="56"/>
      <c r="AL332" s="49">
        <v>0.015</v>
      </c>
      <c r="AM332" s="49">
        <f t="array" ref="AM332">XLOOKUP($AI332,Warranty!B:B,Warranty!E:E)</f>
        <v>0.005</v>
      </c>
      <c r="AN332" s="8">
        <f>IF($L332="AUD",VLOOKUP(RIGHT('Wk - Margins'!$J332,3),'AU Freight'!C:G,5,0),0)</f>
        <v>2000</v>
      </c>
      <c r="AO332" s="49">
        <f t="shared" si="11"/>
        <v>0</v>
      </c>
      <c r="AP332" s="63">
        <f t="shared" si="12"/>
        <v>2000</v>
      </c>
      <c r="AQ332" s="58">
        <f t="shared" si="13"/>
        <v>0.9144581727</v>
      </c>
      <c r="AR332" s="59">
        <f>IF(L332="AUD",O332*'Currency &amp; Conversion'!$L$7,'Wk - Margins'!O332)</f>
        <v>19506.49158</v>
      </c>
      <c r="AS332" s="59">
        <f>IF(L332="AUD",P332*'Currency &amp; Conversion'!$L$7,'Wk - Margins'!P332)</f>
        <v>15699.45226</v>
      </c>
    </row>
    <row r="333" ht="12.75" hidden="1" customHeight="1">
      <c r="A333" s="42" t="str">
        <f>'Input - Bookings'!A333</f>
        <v>21/06/2023</v>
      </c>
      <c r="B333" s="43" t="str">
        <f t="shared" si="1"/>
        <v>Australia</v>
      </c>
      <c r="C333" s="43" t="str">
        <f t="shared" si="2"/>
        <v>PAU</v>
      </c>
      <c r="D333" s="43" t="str">
        <f>'Input - Bookings'!D333</f>
        <v>P</v>
      </c>
      <c r="E333" s="43" t="str">
        <f>'Input - Bookings'!J333</f>
        <v>AU</v>
      </c>
      <c r="F333" s="44" t="str">
        <f>'Input - Bookings'!F333</f>
        <v>065</v>
      </c>
      <c r="G333" s="44" t="str">
        <f>'Input - Bookings'!I333</f>
        <v>ADAPT-A-LIFT GROUP (QLD)</v>
      </c>
      <c r="H333" s="44" t="str">
        <f>'Input - Bookings'!K333</f>
        <v>H38386</v>
      </c>
      <c r="I333" s="45" t="str">
        <f>VLOOKUP(H333,'Input - Bookings'!$G$2:$H$611,2,0)</f>
        <v>087575</v>
      </c>
      <c r="J333" s="44" t="str">
        <f>'Input - Bookings'!N333</f>
        <v>A3C6</v>
      </c>
      <c r="K333" s="44" t="str">
        <f>'Input - Bookings'!O333</f>
        <v>H5.0UT</v>
      </c>
      <c r="L333" s="44" t="str">
        <f>'Input - Bookings'!C333</f>
        <v>AUD</v>
      </c>
      <c r="M333" s="46" t="str">
        <f t="array" ref="M333">IF(L333="USD",INDEX('AP Plants'!A:A,MATCH(J333,'AP Plants'!D:D,0)),INDEX('Australia Plants'!A:A,MATCH(J333,'Australia Plants'!D:D,0)))</f>
        <v>Maximal</v>
      </c>
      <c r="N333" s="10">
        <v>1.0</v>
      </c>
      <c r="O333" s="9">
        <v>56415.0</v>
      </c>
      <c r="P333" s="9">
        <v>44798.555</v>
      </c>
      <c r="Q333" s="47">
        <v>0.2773817839361783</v>
      </c>
      <c r="R333" s="48">
        <f t="shared" si="3"/>
        <v>0.2059105734</v>
      </c>
      <c r="S333" s="49">
        <f t="shared" si="4"/>
        <v>0</v>
      </c>
      <c r="T333" s="49">
        <f t="shared" si="21"/>
        <v>0.2773817839</v>
      </c>
      <c r="U333" s="50" t="str">
        <f t="shared" si="6"/>
        <v>AOP</v>
      </c>
      <c r="V333" s="51">
        <f t="shared" si="28"/>
        <v>12426.3031</v>
      </c>
      <c r="W333" s="52" t="str">
        <f t="shared" si="8"/>
        <v>#DIV/0!</v>
      </c>
      <c r="X333" s="9" t="str">
        <f t="shared" si="25"/>
        <v>#DIV/0!</v>
      </c>
      <c r="Y333" s="8"/>
      <c r="Z333" s="8"/>
      <c r="AA333" s="8"/>
      <c r="AB333" s="8" t="str">
        <f t="shared" si="10"/>
        <v>PAUH38386H5.0UT</v>
      </c>
      <c r="AC333" s="8" t="str">
        <f>IF(AB333='Input - Bookings'!S330,"OK","Check")</f>
        <v>Check</v>
      </c>
      <c r="AD333" s="53"/>
      <c r="AE333" s="54"/>
      <c r="AF333" s="54"/>
      <c r="AG333" s="55"/>
      <c r="AH333" s="55"/>
      <c r="AI333" s="8" t="str">
        <f t="array" ref="AI333">XLOOKUP($J333,'AP Plants'!D:D,'AP Plants'!B:B)</f>
        <v>Class 5 NOT BT</v>
      </c>
      <c r="AJ333" s="56"/>
      <c r="AK333" s="56"/>
      <c r="AL333" s="49">
        <v>0.015</v>
      </c>
      <c r="AM333" s="49">
        <f t="array" ref="AM333">XLOOKUP($AI333,Warranty!B:B,Warranty!E:E)</f>
        <v>0.005</v>
      </c>
      <c r="AN333" s="8">
        <f>IF($L333="AUD",VLOOKUP(RIGHT('Wk - Margins'!$J333,3),'AU Freight'!C:G,5,0),0)</f>
        <v>2000</v>
      </c>
      <c r="AO333" s="49">
        <f t="shared" si="11"/>
        <v>0</v>
      </c>
      <c r="AP333" s="63">
        <f t="shared" si="12"/>
        <v>2000</v>
      </c>
      <c r="AQ333" s="58">
        <f t="shared" si="13"/>
        <v>0.9553557029</v>
      </c>
      <c r="AR333" s="59">
        <f>IF(L333="AUD",O333*'Currency &amp; Conversion'!$L$7,'Wk - Margins'!O333)</f>
        <v>37881.5395</v>
      </c>
      <c r="AS333" s="59">
        <f>IF(L333="AUD",P333*'Currency &amp; Conversion'!$L$7,'Wk - Margins'!P333)</f>
        <v>30081.32998</v>
      </c>
    </row>
    <row r="334" ht="12.75" hidden="1" customHeight="1">
      <c r="A334" s="42" t="str">
        <f>'Input - Bookings'!A334</f>
        <v>22/06/2023</v>
      </c>
      <c r="B334" s="43" t="str">
        <f t="shared" si="1"/>
        <v>Australia</v>
      </c>
      <c r="C334" s="43" t="str">
        <f t="shared" si="2"/>
        <v>PAU</v>
      </c>
      <c r="D334" s="43" t="str">
        <f>'Input - Bookings'!D334</f>
        <v>P</v>
      </c>
      <c r="E334" s="43" t="str">
        <f>'Input - Bookings'!J334</f>
        <v>AU</v>
      </c>
      <c r="F334" s="44" t="str">
        <f>'Input - Bookings'!F334</f>
        <v>065</v>
      </c>
      <c r="G334" s="44" t="str">
        <f>'Input - Bookings'!I334</f>
        <v>ADAPT-A-LIFT GROUP (NSW)</v>
      </c>
      <c r="H334" s="44" t="str">
        <f>'Input - Bookings'!K334</f>
        <v>H38979</v>
      </c>
      <c r="I334" s="45" t="str">
        <f>VLOOKUP(H334,'Input - Bookings'!$G$2:$H$611,2,0)</f>
        <v>087585</v>
      </c>
      <c r="J334" s="44" t="str">
        <f>'Input - Bookings'!N334</f>
        <v>A406</v>
      </c>
      <c r="K334" s="44" t="str">
        <f>'Input - Bookings'!O334</f>
        <v>R1.6 406</v>
      </c>
      <c r="L334" s="44" t="str">
        <f>'Input - Bookings'!C334</f>
        <v>AUD</v>
      </c>
      <c r="M334" s="46" t="str">
        <f t="array" ref="M334">IF(L334="USD",INDEX('AP Plants'!A:A,MATCH(J334,'AP Plants'!D:D,0)),INDEX('Australia Plants'!A:A,MATCH(J334,'Australia Plants'!D:D,0)))</f>
        <v>Maximal</v>
      </c>
      <c r="N334" s="10">
        <v>1.0</v>
      </c>
      <c r="O334" s="9">
        <v>50675.0</v>
      </c>
      <c r="P334" s="9">
        <v>35596.2135</v>
      </c>
      <c r="Q334" s="47">
        <v>0.126855410499359</v>
      </c>
      <c r="R334" s="48">
        <f t="shared" si="3"/>
        <v>0.2975586877</v>
      </c>
      <c r="S334" s="49">
        <f t="shared" si="4"/>
        <v>0</v>
      </c>
      <c r="T334" s="49">
        <f t="shared" si="21"/>
        <v>0.1268554105</v>
      </c>
      <c r="U334" s="50" t="str">
        <f t="shared" si="6"/>
        <v>AOP</v>
      </c>
      <c r="V334" s="51">
        <f t="shared" si="28"/>
        <v>4515.572276</v>
      </c>
      <c r="W334" s="52" t="str">
        <f t="shared" si="8"/>
        <v>#DIV/0!</v>
      </c>
      <c r="X334" s="9" t="str">
        <f t="shared" si="25"/>
        <v>#DIV/0!</v>
      </c>
      <c r="Y334" s="8"/>
      <c r="Z334" s="8"/>
      <c r="AA334" s="8"/>
      <c r="AB334" s="8" t="str">
        <f t="shared" si="10"/>
        <v>PAUH38979R1.6 406</v>
      </c>
      <c r="AC334" s="8" t="str">
        <f>IF(AB334='Input - Bookings'!S331,"OK","Check")</f>
        <v>Check</v>
      </c>
      <c r="AD334" s="53"/>
      <c r="AE334" s="54"/>
      <c r="AF334" s="54"/>
      <c r="AG334" s="55"/>
      <c r="AH334" s="55"/>
      <c r="AI334" s="8" t="str">
        <f t="array" ref="AI334">XLOOKUP($J334,'AP Plants'!D:D,'AP Plants'!B:B)</f>
        <v>Class 2</v>
      </c>
      <c r="AJ334" s="56"/>
      <c r="AK334" s="56"/>
      <c r="AL334" s="49">
        <v>0.015</v>
      </c>
      <c r="AM334" s="49">
        <f t="array" ref="AM334">XLOOKUP($AI334,Warranty!B:B,Warranty!E:E)</f>
        <v>0.015</v>
      </c>
      <c r="AN334" s="8">
        <f>IF($L334="AUD",VLOOKUP(RIGHT('Wk - Margins'!$J334,3),'AU Freight'!C:G,5,0),0)</f>
        <v>2000</v>
      </c>
      <c r="AO334" s="49">
        <f t="shared" si="11"/>
        <v>0</v>
      </c>
      <c r="AP334" s="63">
        <f t="shared" si="12"/>
        <v>2000</v>
      </c>
      <c r="AQ334" s="58">
        <f t="shared" si="13"/>
        <v>0.9438142487</v>
      </c>
      <c r="AR334" s="59">
        <f>IF(L334="AUD",O334*'Currency &amp; Conversion'!$L$7,'Wk - Margins'!O334)</f>
        <v>34027.24478</v>
      </c>
      <c r="AS334" s="59">
        <f>IF(L334="AUD",P334*'Currency &amp; Conversion'!$L$7,'Wk - Margins'!P334)</f>
        <v>23902.14248</v>
      </c>
    </row>
    <row r="335" ht="12.75" customHeight="1">
      <c r="A335" s="42" t="str">
        <f>'Input - Bookings'!A335</f>
        <v>22/06/2023</v>
      </c>
      <c r="B335" s="43" t="str">
        <f t="shared" si="1"/>
        <v>Australia</v>
      </c>
      <c r="C335" s="43" t="str">
        <f t="shared" si="2"/>
        <v>PAU</v>
      </c>
      <c r="D335" s="43" t="str">
        <f>'Input - Bookings'!D335</f>
        <v>P</v>
      </c>
      <c r="E335" s="43" t="str">
        <f>'Input - Bookings'!J335</f>
        <v>AU</v>
      </c>
      <c r="F335" s="44" t="str">
        <f>'Input - Bookings'!F335</f>
        <v>065</v>
      </c>
      <c r="G335" s="44" t="str">
        <f>'Input - Bookings'!I335</f>
        <v>ADAPT-A-LIFT GROUP (WA)</v>
      </c>
      <c r="H335" s="44" t="str">
        <f>'Input - Bookings'!K335</f>
        <v>H38654</v>
      </c>
      <c r="I335" s="45" t="str">
        <f>VLOOKUP(H335,'Input - Bookings'!$G$2:$H$611,2,0)</f>
        <v>087605</v>
      </c>
      <c r="J335" s="44" t="str">
        <f>'Input - Bookings'!N335</f>
        <v>R007</v>
      </c>
      <c r="K335" s="44" t="str">
        <f>'Input - Bookings'!O335</f>
        <v>H16XD6</v>
      </c>
      <c r="L335" s="44" t="str">
        <f>'Input - Bookings'!C335</f>
        <v>AUD</v>
      </c>
      <c r="M335" s="46" t="str">
        <f t="array" ref="M335">IF(L335="USD",INDEX('AP Plants'!A:A,MATCH(J335,'AP Plants'!D:D,0)),INDEX('Australia Plants'!A:A,MATCH(J335,'Australia Plants'!D:D,0)))</f>
        <v>Nijmegen</v>
      </c>
      <c r="N335" s="10">
        <v>1.0</v>
      </c>
      <c r="O335" s="9">
        <v>304150.0</v>
      </c>
      <c r="P335" s="9">
        <v>268439.64999999997</v>
      </c>
      <c r="Q335" s="47">
        <f t="shared" ref="Q335:Q337" si="43">AQ335</f>
        <v>0.1609925428</v>
      </c>
      <c r="R335" s="48">
        <f t="shared" si="3"/>
        <v>0.1174103239</v>
      </c>
      <c r="S335" s="49">
        <f t="shared" si="4"/>
        <v>0</v>
      </c>
      <c r="T335" s="49">
        <f t="shared" si="21"/>
        <v>0.1609925428</v>
      </c>
      <c r="U335" s="50" t="str">
        <f t="shared" si="6"/>
        <v>AOP</v>
      </c>
      <c r="V335" s="51">
        <f t="shared" si="28"/>
        <v>43216.78183</v>
      </c>
      <c r="W335" s="52" t="str">
        <f t="shared" si="8"/>
        <v>#DIV/0!</v>
      </c>
      <c r="X335" s="9" t="str">
        <f t="shared" si="25"/>
        <v>#DIV/0!</v>
      </c>
      <c r="Y335" s="8"/>
      <c r="Z335" s="8"/>
      <c r="AA335" s="8"/>
      <c r="AB335" s="8" t="str">
        <f t="shared" si="10"/>
        <v>PAUH38654H16XD6</v>
      </c>
      <c r="AC335" s="8" t="str">
        <f>IF(AB335='Input - Bookings'!S332,"OK","Check")</f>
        <v>Check</v>
      </c>
      <c r="AD335" s="53"/>
      <c r="AE335" s="54">
        <v>1519.38</v>
      </c>
      <c r="AF335" s="54">
        <v>0.0</v>
      </c>
      <c r="AG335" s="55"/>
      <c r="AH335" s="55">
        <v>122725.422006</v>
      </c>
      <c r="AI335" s="8" t="str">
        <f t="array" ref="AI335">XLOOKUP($J335,'AP Plants'!D:D,'AP Plants'!B:B)</f>
        <v>Class 5 BT</v>
      </c>
      <c r="AJ335" s="56">
        <f>(AH335*(1+VLOOKUP(M335,'Currency &amp; Conversion'!$F$13:$H$19,2,0))*'Currency &amp; Conversion'!$L$4)+((AE335+AF335)*90%)</f>
        <v>198722.5122</v>
      </c>
      <c r="AK335" s="56"/>
      <c r="AL335" s="49">
        <v>0.015</v>
      </c>
      <c r="AM335" s="49">
        <f t="array" ref="AM335">XLOOKUP($AI335,Warranty!B:B,Warranty!E:E)</f>
        <v>0.013</v>
      </c>
      <c r="AN335" s="8">
        <f>IF($L335="AUD",VLOOKUP(RIGHT('Wk - Margins'!$J335,3),'AU Freight'!C:G,5,0),0)</f>
        <v>11000</v>
      </c>
      <c r="AO335" s="49">
        <f t="shared" si="11"/>
        <v>0.05</v>
      </c>
      <c r="AP335" s="63">
        <f t="shared" si="12"/>
        <v>225222.8682</v>
      </c>
      <c r="AQ335" s="64">
        <f t="shared" si="13"/>
        <v>0.1609925428</v>
      </c>
      <c r="AR335" s="59">
        <f>IF(L335="AUD",O335*'Currency &amp; Conversion'!$L$7,'Wk - Margins'!O335)</f>
        <v>204230.6167</v>
      </c>
      <c r="AS335" s="59">
        <f>IF(L335="AUD",P335*'Currency &amp; Conversion'!$L$7,'Wk - Margins'!P335)</f>
        <v>180251.8338</v>
      </c>
    </row>
    <row r="336" ht="12.75" customHeight="1">
      <c r="A336" s="42" t="str">
        <f>'Input - Bookings'!A336</f>
        <v>22/06/2023</v>
      </c>
      <c r="B336" s="43" t="str">
        <f t="shared" si="1"/>
        <v>Australia</v>
      </c>
      <c r="C336" s="43" t="str">
        <f t="shared" si="2"/>
        <v>PAU</v>
      </c>
      <c r="D336" s="43" t="str">
        <f>'Input - Bookings'!D336</f>
        <v>P</v>
      </c>
      <c r="E336" s="43" t="str">
        <f>'Input - Bookings'!J336</f>
        <v>AU</v>
      </c>
      <c r="F336" s="44" t="str">
        <f>'Input - Bookings'!F336</f>
        <v>065</v>
      </c>
      <c r="G336" s="44" t="str">
        <f>'Input - Bookings'!I336</f>
        <v>ADAPT-A-LIFT GROUP (WA)</v>
      </c>
      <c r="H336" s="44" t="str">
        <f>'Input - Bookings'!K336</f>
        <v>H38655</v>
      </c>
      <c r="I336" s="45" t="str">
        <f>VLOOKUP(H336,'Input - Bookings'!$G$2:$H$611,2,0)</f>
        <v>087605</v>
      </c>
      <c r="J336" s="44" t="str">
        <f>'Input - Bookings'!N336</f>
        <v>P006</v>
      </c>
      <c r="K336" s="44" t="str">
        <f>'Input - Bookings'!O336</f>
        <v>H155FT</v>
      </c>
      <c r="L336" s="44" t="str">
        <f>'Input - Bookings'!C336</f>
        <v>AUD</v>
      </c>
      <c r="M336" s="46" t="str">
        <f t="array" ref="M336">IF(L336="USD",INDEX('AP Plants'!A:A,MATCH(J336,'AP Plants'!D:D,0)),INDEX('Australia Plants'!A:A,MATCH(J336,'Australia Plants'!D:D,0)))</f>
        <v>Berea</v>
      </c>
      <c r="N336" s="10">
        <v>1.0</v>
      </c>
      <c r="O336" s="9">
        <v>186435.0</v>
      </c>
      <c r="P336" s="9">
        <v>161047.1</v>
      </c>
      <c r="Q336" s="47">
        <f t="shared" si="43"/>
        <v>0.3206258421</v>
      </c>
      <c r="R336" s="48">
        <f t="shared" si="3"/>
        <v>0.1361756108</v>
      </c>
      <c r="S336" s="49">
        <f t="shared" si="4"/>
        <v>0</v>
      </c>
      <c r="T336" s="49">
        <f t="shared" si="21"/>
        <v>0.3206258421</v>
      </c>
      <c r="U336" s="50" t="str">
        <f t="shared" si="6"/>
        <v>AOP</v>
      </c>
      <c r="V336" s="51">
        <f t="shared" si="28"/>
        <v>51635.86205</v>
      </c>
      <c r="W336" s="52" t="str">
        <f t="shared" si="8"/>
        <v>#DIV/0!</v>
      </c>
      <c r="X336" s="9" t="str">
        <f t="shared" si="25"/>
        <v>#DIV/0!</v>
      </c>
      <c r="Y336" s="8"/>
      <c r="Z336" s="8"/>
      <c r="AA336" s="8"/>
      <c r="AB336" s="8" t="str">
        <f t="shared" si="10"/>
        <v>PAUH38655H155FT</v>
      </c>
      <c r="AC336" s="8" t="str">
        <f>IF(AB336='Input - Bookings'!S333,"OK","Check")</f>
        <v>Check</v>
      </c>
      <c r="AD336" s="53"/>
      <c r="AE336" s="54">
        <v>2923.65</v>
      </c>
      <c r="AF336" s="54">
        <v>0.0</v>
      </c>
      <c r="AG336" s="55">
        <v>66944.85</v>
      </c>
      <c r="AH336" s="55"/>
      <c r="AI336" s="8" t="str">
        <f t="array" ref="AI336">XLOOKUP($J336,'AP Plants'!D:D,'AP Plants'!B:B)</f>
        <v>Class 5 NOT BT</v>
      </c>
      <c r="AJ336" s="56">
        <f>(AG336*(1+VLOOKUP(M336,'Currency &amp; Conversion'!$F$13:$H$19,2,0))*'Currency &amp; Conversion'!$L$6)+((AE336+AF336)*90%)</f>
        <v>100800.2333</v>
      </c>
      <c r="AK336" s="56"/>
      <c r="AL336" s="49">
        <v>0.015</v>
      </c>
      <c r="AM336" s="49">
        <f t="array" ref="AM336">XLOOKUP($AI336,Warranty!B:B,Warranty!E:E)</f>
        <v>0.005</v>
      </c>
      <c r="AN336" s="8">
        <f>IF($L336="AUD",VLOOKUP(RIGHT('Wk - Margins'!$J336,3),'AU Freight'!C:G,5,0),0)</f>
        <v>6595</v>
      </c>
      <c r="AO336" s="49">
        <f t="shared" si="11"/>
        <v>0</v>
      </c>
      <c r="AP336" s="63">
        <f t="shared" si="12"/>
        <v>109411.2379</v>
      </c>
      <c r="AQ336" s="64">
        <f t="shared" si="13"/>
        <v>0.3206258421</v>
      </c>
      <c r="AR336" s="59">
        <f>IF(L336="AUD",O336*'Currency &amp; Conversion'!$L$7,'Wk - Margins'!O336)</f>
        <v>125187.3583</v>
      </c>
      <c r="AS336" s="59">
        <f>IF(L336="AUD",P336*'Currency &amp; Conversion'!$L$7,'Wk - Margins'!P336)</f>
        <v>108139.8933</v>
      </c>
    </row>
    <row r="337" ht="12.75" customHeight="1">
      <c r="A337" s="42" t="str">
        <f>'Input - Bookings'!A337</f>
        <v>22/06/2023</v>
      </c>
      <c r="B337" s="43" t="str">
        <f t="shared" si="1"/>
        <v>Australia</v>
      </c>
      <c r="C337" s="43" t="str">
        <f t="shared" si="2"/>
        <v>PAU</v>
      </c>
      <c r="D337" s="43" t="str">
        <f>'Input - Bookings'!D337</f>
        <v>P</v>
      </c>
      <c r="E337" s="43" t="str">
        <f>'Input - Bookings'!J337</f>
        <v>AU</v>
      </c>
      <c r="F337" s="44" t="str">
        <f>'Input - Bookings'!F337</f>
        <v>065</v>
      </c>
      <c r="G337" s="44" t="str">
        <f>'Input - Bookings'!I337</f>
        <v>ADAPT-A-LIFT GROUP (WA)</v>
      </c>
      <c r="H337" s="44" t="str">
        <f>'Input - Bookings'!K337</f>
        <v>H38656</v>
      </c>
      <c r="I337" s="45" t="str">
        <f>VLOOKUP(H337,'Input - Bookings'!$G$2:$H$611,2,0)</f>
        <v>087605</v>
      </c>
      <c r="J337" s="44" t="str">
        <f>'Input - Bookings'!N337</f>
        <v>U005</v>
      </c>
      <c r="K337" s="44" t="str">
        <f>'Input - Bookings'!O337</f>
        <v>H5.0FT</v>
      </c>
      <c r="L337" s="44" t="str">
        <f>'Input - Bookings'!C337</f>
        <v>AUD</v>
      </c>
      <c r="M337" s="46" t="str">
        <f t="array" ref="M337">IF(L337="USD",INDEX('AP Plants'!A:A,MATCH(J337,'AP Plants'!D:D,0)),INDEX('Australia Plants'!A:A,MATCH(J337,'Australia Plants'!D:D,0)))</f>
        <v>Craigavon</v>
      </c>
      <c r="N337" s="10">
        <v>1.0</v>
      </c>
      <c r="O337" s="9">
        <v>101025.0</v>
      </c>
      <c r="P337" s="9">
        <v>77159.49999999999</v>
      </c>
      <c r="Q337" s="47">
        <f t="shared" si="43"/>
        <v>0.2256346223</v>
      </c>
      <c r="R337" s="48">
        <f t="shared" si="3"/>
        <v>0.2362336055</v>
      </c>
      <c r="S337" s="49">
        <f t="shared" si="4"/>
        <v>0</v>
      </c>
      <c r="T337" s="49">
        <f t="shared" si="21"/>
        <v>0.2256346223</v>
      </c>
      <c r="U337" s="50" t="str">
        <f t="shared" si="6"/>
        <v>AOP</v>
      </c>
      <c r="V337" s="51">
        <f t="shared" si="28"/>
        <v>17409.85464</v>
      </c>
      <c r="W337" s="52" t="str">
        <f t="shared" si="8"/>
        <v>#DIV/0!</v>
      </c>
      <c r="X337" s="9" t="str">
        <f t="shared" si="25"/>
        <v>#DIV/0!</v>
      </c>
      <c r="Y337" s="8"/>
      <c r="Z337" s="8"/>
      <c r="AA337" s="8"/>
      <c r="AB337" s="8" t="str">
        <f t="shared" si="10"/>
        <v>PAUH38656H5.0FT</v>
      </c>
      <c r="AC337" s="8" t="str">
        <f>IF(AB337='Input - Bookings'!S334,"OK","Check")</f>
        <v>Check</v>
      </c>
      <c r="AD337" s="53"/>
      <c r="AE337" s="54">
        <v>0.0</v>
      </c>
      <c r="AF337" s="54">
        <v>0.0</v>
      </c>
      <c r="AG337" s="55"/>
      <c r="AH337" s="55">
        <v>34481.62</v>
      </c>
      <c r="AI337" s="8" t="str">
        <f t="array" ref="AI337">XLOOKUP($J337,'AP Plants'!D:D,'AP Plants'!B:B)</f>
        <v>Class 5 NOT BT</v>
      </c>
      <c r="AJ337" s="56">
        <f>(AH337*(1+VLOOKUP(M337,'Currency &amp; Conversion'!$F$13:$H$19,2,0))*'Currency &amp; Conversion'!$L$4)+((AE337+AF337)*90%)</f>
        <v>54793.76996</v>
      </c>
      <c r="AK337" s="56"/>
      <c r="AL337" s="49">
        <v>0.015</v>
      </c>
      <c r="AM337" s="49">
        <f t="array" ref="AM337">XLOOKUP($AI337,Warranty!B:B,Warranty!E:E)</f>
        <v>0.005</v>
      </c>
      <c r="AN337" s="8">
        <f>IF($L337="AUD",VLOOKUP(RIGHT('Wk - Margins'!$J337,3),'AU Freight'!C:G,5,0),0)</f>
        <v>3860</v>
      </c>
      <c r="AO337" s="49">
        <f t="shared" si="11"/>
        <v>0</v>
      </c>
      <c r="AP337" s="63">
        <f t="shared" si="12"/>
        <v>59749.64536</v>
      </c>
      <c r="AQ337" s="64">
        <f t="shared" si="13"/>
        <v>0.2256346223</v>
      </c>
      <c r="AR337" s="59">
        <f>IF(L337="AUD",O337*'Currency &amp; Conversion'!$L$7,'Wk - Margins'!O337)</f>
        <v>67836.25859</v>
      </c>
      <c r="AS337" s="59">
        <f>IF(L337="AUD",P337*'Currency &amp; Conversion'!$L$7,'Wk - Margins'!P337)</f>
        <v>51811.05464</v>
      </c>
    </row>
    <row r="338" ht="12.75" hidden="1" customHeight="1">
      <c r="A338" s="42" t="str">
        <f>'Input - Bookings'!A338</f>
        <v>22/06/2023</v>
      </c>
      <c r="B338" s="43" t="str">
        <f t="shared" si="1"/>
        <v>Australia</v>
      </c>
      <c r="C338" s="43" t="str">
        <f t="shared" si="2"/>
        <v>PAU</v>
      </c>
      <c r="D338" s="43" t="str">
        <f>'Input - Bookings'!D338</f>
        <v>P</v>
      </c>
      <c r="E338" s="43" t="str">
        <f>'Input - Bookings'!J338</f>
        <v>AU</v>
      </c>
      <c r="F338" s="44" t="str">
        <f>'Input - Bookings'!F338</f>
        <v>065</v>
      </c>
      <c r="G338" s="44" t="str">
        <f>'Input - Bookings'!I338</f>
        <v>ADAPT-A-LIFT GROUP (WA)</v>
      </c>
      <c r="H338" s="44" t="str">
        <f>'Input - Bookings'!K338</f>
        <v>H38657</v>
      </c>
      <c r="I338" s="45" t="str">
        <f>VLOOKUP(H338,'Input - Bookings'!$G$2:$H$611,2,0)</f>
        <v>087605</v>
      </c>
      <c r="J338" s="44" t="str">
        <f>'Input - Bookings'!N338</f>
        <v>D466</v>
      </c>
      <c r="K338" s="44" t="str">
        <f>'Input - Bookings'!O338</f>
        <v>H3.0XT</v>
      </c>
      <c r="L338" s="44" t="str">
        <f>'Input - Bookings'!C338</f>
        <v>AUD</v>
      </c>
      <c r="M338" s="46" t="str">
        <f t="array" ref="M338">IF(L338="USD",INDEX('AP Plants'!A:A,MATCH(J338,'AP Plants'!D:D,0)),INDEX('Australia Plants'!A:A,MATCH(J338,'Australia Plants'!D:D,0)))</f>
        <v>SN</v>
      </c>
      <c r="N338" s="10">
        <v>1.0</v>
      </c>
      <c r="O338" s="9">
        <v>53920.0</v>
      </c>
      <c r="P338" s="9">
        <v>44036.075</v>
      </c>
      <c r="Q338" s="47">
        <v>0.25901523032701257</v>
      </c>
      <c r="R338" s="48">
        <f t="shared" si="3"/>
        <v>0.1833072144</v>
      </c>
      <c r="S338" s="49">
        <f t="shared" si="4"/>
        <v>0</v>
      </c>
      <c r="T338" s="49">
        <f t="shared" si="21"/>
        <v>0.2590152303</v>
      </c>
      <c r="U338" s="50" t="str">
        <f t="shared" si="6"/>
        <v>AOP</v>
      </c>
      <c r="V338" s="51">
        <f t="shared" si="28"/>
        <v>11406.01411</v>
      </c>
      <c r="W338" s="52" t="str">
        <f t="shared" si="8"/>
        <v>#DIV/0!</v>
      </c>
      <c r="X338" s="9" t="str">
        <f t="shared" si="25"/>
        <v>#DIV/0!</v>
      </c>
      <c r="Y338" s="8"/>
      <c r="Z338" s="8"/>
      <c r="AA338" s="8"/>
      <c r="AB338" s="8" t="str">
        <f t="shared" si="10"/>
        <v>PAUH38657H3.0XT</v>
      </c>
      <c r="AC338" s="8" t="str">
        <f>IF(AB338='Input - Bookings'!S335,"OK","Check")</f>
        <v>Check</v>
      </c>
      <c r="AD338" s="53"/>
      <c r="AE338" s="54"/>
      <c r="AF338" s="54"/>
      <c r="AG338" s="55"/>
      <c r="AH338" s="62"/>
      <c r="AI338" s="8" t="str">
        <f t="array" ref="AI338">XLOOKUP($J338,'AP Plants'!D:D,'AP Plants'!B:B)</f>
        <v>Class 5 NOT BT</v>
      </c>
      <c r="AJ338" s="56"/>
      <c r="AK338" s="56"/>
      <c r="AL338" s="49">
        <v>0.015</v>
      </c>
      <c r="AM338" s="49">
        <f t="array" ref="AM338">XLOOKUP($AI338,Warranty!B:B,Warranty!E:E)</f>
        <v>0.005</v>
      </c>
      <c r="AN338" s="8">
        <f>IF($L338="AUD",VLOOKUP(RIGHT('Wk - Margins'!$J338,3),'AU Freight'!C:G,5,0),0)</f>
        <v>2130</v>
      </c>
      <c r="AO338" s="49">
        <f t="shared" si="11"/>
        <v>0</v>
      </c>
      <c r="AP338" s="63">
        <f t="shared" si="12"/>
        <v>2130</v>
      </c>
      <c r="AQ338" s="58">
        <f t="shared" si="13"/>
        <v>0.9516305665</v>
      </c>
      <c r="AR338" s="59">
        <f>IF(L338="AUD",O338*'Currency &amp; Conversion'!$L$7,'Wk - Margins'!O338)</f>
        <v>36206.19711</v>
      </c>
      <c r="AS338" s="59">
        <f>IF(L338="AUD",P338*'Currency &amp; Conversion'!$L$7,'Wk - Margins'!P338)</f>
        <v>29569.33998</v>
      </c>
    </row>
    <row r="339" ht="12.75" hidden="1" customHeight="1">
      <c r="A339" s="42" t="str">
        <f>'Input - Bookings'!A339</f>
        <v>22/06/2023</v>
      </c>
      <c r="B339" s="43" t="str">
        <f t="shared" si="1"/>
        <v>Australia</v>
      </c>
      <c r="C339" s="43" t="str">
        <f t="shared" si="2"/>
        <v>PAU</v>
      </c>
      <c r="D339" s="43" t="str">
        <f>'Input - Bookings'!D339</f>
        <v>P</v>
      </c>
      <c r="E339" s="43" t="str">
        <f>'Input - Bookings'!J339</f>
        <v>AU</v>
      </c>
      <c r="F339" s="44" t="str">
        <f>'Input - Bookings'!F339</f>
        <v>065</v>
      </c>
      <c r="G339" s="44" t="str">
        <f>'Input - Bookings'!I339</f>
        <v>ADAPT-A-LIFT GROUP (WA)</v>
      </c>
      <c r="H339" s="44" t="str">
        <f>'Input - Bookings'!K339</f>
        <v>H38663</v>
      </c>
      <c r="I339" s="45" t="str">
        <f>VLOOKUP(H339,'Input - Bookings'!$G$2:$H$611,2,0)</f>
        <v>087605</v>
      </c>
      <c r="J339" s="44" t="str">
        <f>'Input - Bookings'!N339</f>
        <v>D466</v>
      </c>
      <c r="K339" s="44" t="str">
        <f>'Input - Bookings'!O339</f>
        <v>H3.0XT</v>
      </c>
      <c r="L339" s="44" t="str">
        <f>'Input - Bookings'!C339</f>
        <v>AUD</v>
      </c>
      <c r="M339" s="46" t="str">
        <f t="array" ref="M339">IF(L339="USD",INDEX('AP Plants'!A:A,MATCH(J339,'AP Plants'!D:D,0)),INDEX('Australia Plants'!A:A,MATCH(J339,'Australia Plants'!D:D,0)))</f>
        <v>SN</v>
      </c>
      <c r="N339" s="10">
        <v>1.0</v>
      </c>
      <c r="O339" s="9">
        <v>53920.0</v>
      </c>
      <c r="P339" s="9">
        <v>44036.075</v>
      </c>
      <c r="Q339" s="47">
        <v>0.25901523032701257</v>
      </c>
      <c r="R339" s="48">
        <f t="shared" si="3"/>
        <v>0.1833072144</v>
      </c>
      <c r="S339" s="49">
        <f t="shared" si="4"/>
        <v>0</v>
      </c>
      <c r="T339" s="49">
        <f t="shared" si="21"/>
        <v>0.2590152303</v>
      </c>
      <c r="U339" s="50" t="str">
        <f t="shared" si="6"/>
        <v>AOP</v>
      </c>
      <c r="V339" s="51">
        <f t="shared" si="28"/>
        <v>11406.01411</v>
      </c>
      <c r="W339" s="52" t="str">
        <f t="shared" si="8"/>
        <v>#DIV/0!</v>
      </c>
      <c r="X339" s="9" t="str">
        <f t="shared" si="25"/>
        <v>#DIV/0!</v>
      </c>
      <c r="Y339" s="8"/>
      <c r="Z339" s="8"/>
      <c r="AA339" s="8"/>
      <c r="AB339" s="8" t="str">
        <f t="shared" si="10"/>
        <v>PAUH38663H3.0XT</v>
      </c>
      <c r="AC339" s="8" t="str">
        <f>IF(AB339='Input - Bookings'!S336,"OK","Check")</f>
        <v>Check</v>
      </c>
      <c r="AD339" s="53"/>
      <c r="AE339" s="54"/>
      <c r="AF339" s="54"/>
      <c r="AG339" s="55"/>
      <c r="AH339" s="55"/>
      <c r="AI339" s="8" t="str">
        <f t="array" ref="AI339">XLOOKUP($J339,'AP Plants'!D:D,'AP Plants'!B:B)</f>
        <v>Class 5 NOT BT</v>
      </c>
      <c r="AJ339" s="56"/>
      <c r="AK339" s="56"/>
      <c r="AL339" s="49">
        <v>0.015</v>
      </c>
      <c r="AM339" s="49">
        <f t="array" ref="AM339">XLOOKUP($AI339,Warranty!B:B,Warranty!E:E)</f>
        <v>0.005</v>
      </c>
      <c r="AN339" s="8">
        <f>IF($L339="AUD",VLOOKUP(RIGHT('Wk - Margins'!$J339,3),'AU Freight'!C:G,5,0),0)</f>
        <v>2130</v>
      </c>
      <c r="AO339" s="49">
        <f t="shared" si="11"/>
        <v>0</v>
      </c>
      <c r="AP339" s="63">
        <f t="shared" si="12"/>
        <v>2130</v>
      </c>
      <c r="AQ339" s="58">
        <f t="shared" si="13"/>
        <v>0.9516305665</v>
      </c>
      <c r="AR339" s="59">
        <f>IF(L339="AUD",O339*'Currency &amp; Conversion'!$L$7,'Wk - Margins'!O339)</f>
        <v>36206.19711</v>
      </c>
      <c r="AS339" s="59">
        <f>IF(L339="AUD",P339*'Currency &amp; Conversion'!$L$7,'Wk - Margins'!P339)</f>
        <v>29569.33998</v>
      </c>
    </row>
    <row r="340" ht="12.75" customHeight="1">
      <c r="A340" s="42" t="str">
        <f>'Input - Bookings'!A340</f>
        <v>22/06/2023</v>
      </c>
      <c r="B340" s="43" t="str">
        <f t="shared" si="1"/>
        <v>Australia</v>
      </c>
      <c r="C340" s="43" t="str">
        <f t="shared" si="2"/>
        <v>PAU</v>
      </c>
      <c r="D340" s="43" t="str">
        <f>'Input - Bookings'!D340</f>
        <v>P</v>
      </c>
      <c r="E340" s="43" t="str">
        <f>'Input - Bookings'!J340</f>
        <v>AU</v>
      </c>
      <c r="F340" s="44" t="str">
        <f>'Input - Bookings'!F340</f>
        <v>065</v>
      </c>
      <c r="G340" s="44" t="str">
        <f>'Input - Bookings'!I340</f>
        <v>ADAPT-A-LIFT GROUP (WA)</v>
      </c>
      <c r="H340" s="44" t="str">
        <f>'Input - Bookings'!K340</f>
        <v>H38658</v>
      </c>
      <c r="I340" s="45" t="str">
        <f>VLOOKUP(H340,'Input - Bookings'!$G$2:$H$611,2,0)</f>
        <v>087605</v>
      </c>
      <c r="J340" s="44" t="str">
        <f>'Input - Bookings'!N340</f>
        <v>U005</v>
      </c>
      <c r="K340" s="44" t="str">
        <f>'Input - Bookings'!O340</f>
        <v>H4.5FT6</v>
      </c>
      <c r="L340" s="44" t="str">
        <f>'Input - Bookings'!C340</f>
        <v>AUD</v>
      </c>
      <c r="M340" s="46" t="str">
        <f t="array" ref="M340">IF(L340="USD",INDEX('AP Plants'!A:A,MATCH(J340,'AP Plants'!D:D,0)),INDEX('Australia Plants'!A:A,MATCH(J340,'Australia Plants'!D:D,0)))</f>
        <v>Craigavon</v>
      </c>
      <c r="N340" s="10">
        <v>1.0</v>
      </c>
      <c r="O340" s="9">
        <v>97030.0</v>
      </c>
      <c r="P340" s="9">
        <v>78746.49999999999</v>
      </c>
      <c r="Q340" s="47">
        <f t="shared" ref="Q340:Q344" si="44">AQ340</f>
        <v>0.2475726251</v>
      </c>
      <c r="R340" s="48">
        <f t="shared" si="3"/>
        <v>0.188431413</v>
      </c>
      <c r="S340" s="49">
        <f t="shared" si="4"/>
        <v>0</v>
      </c>
      <c r="T340" s="49">
        <f t="shared" si="21"/>
        <v>0.2475726251</v>
      </c>
      <c r="U340" s="50" t="str">
        <f t="shared" si="6"/>
        <v>AOP</v>
      </c>
      <c r="V340" s="51">
        <f t="shared" si="28"/>
        <v>19495.47772</v>
      </c>
      <c r="W340" s="52" t="str">
        <f t="shared" si="8"/>
        <v>#DIV/0!</v>
      </c>
      <c r="X340" s="9" t="str">
        <f t="shared" si="25"/>
        <v>#DIV/0!</v>
      </c>
      <c r="Y340" s="8"/>
      <c r="Z340" s="8"/>
      <c r="AA340" s="8"/>
      <c r="AB340" s="8" t="str">
        <f t="shared" si="10"/>
        <v>PAUH38658H4.5FT6</v>
      </c>
      <c r="AC340" s="8" t="str">
        <f>IF(AB340='Input - Bookings'!S337,"OK","Check")</f>
        <v>Check</v>
      </c>
      <c r="AD340" s="53"/>
      <c r="AE340" s="54">
        <v>0.0</v>
      </c>
      <c r="AF340" s="54">
        <v>0.0</v>
      </c>
      <c r="AG340" s="55"/>
      <c r="AH340" s="55">
        <v>34173.99</v>
      </c>
      <c r="AI340" s="8" t="str">
        <f t="array" ref="AI340">XLOOKUP($J340,'AP Plants'!D:D,'AP Plants'!B:B)</f>
        <v>Class 5 NOT BT</v>
      </c>
      <c r="AJ340" s="56">
        <f>(AH340*(1+VLOOKUP(M340,'Currency &amp; Conversion'!$F$13:$H$19,2,0))*'Currency &amp; Conversion'!$L$4)+((AE340+AF340)*90%)</f>
        <v>54304.9238</v>
      </c>
      <c r="AK340" s="56"/>
      <c r="AL340" s="49">
        <v>0.015</v>
      </c>
      <c r="AM340" s="49">
        <f t="array" ref="AM340">XLOOKUP($AI340,Warranty!B:B,Warranty!E:E)</f>
        <v>0.005</v>
      </c>
      <c r="AN340" s="8">
        <f>IF($L340="AUD",VLOOKUP(RIGHT('Wk - Margins'!$J340,3),'AU Freight'!C:G,5,0),0)</f>
        <v>3860</v>
      </c>
      <c r="AO340" s="49">
        <f t="shared" si="11"/>
        <v>0</v>
      </c>
      <c r="AP340" s="63">
        <f t="shared" si="12"/>
        <v>59251.02228</v>
      </c>
      <c r="AQ340" s="64">
        <f t="shared" si="13"/>
        <v>0.2475726251</v>
      </c>
      <c r="AR340" s="59">
        <f>IF(L340="AUD",O340*'Currency &amp; Conversion'!$L$7,'Wk - Margins'!O340)</f>
        <v>65153.69632</v>
      </c>
      <c r="AS340" s="59">
        <f>IF(L340="AUD",P340*'Currency &amp; Conversion'!$L$7,'Wk - Margins'!P340)</f>
        <v>52876.69327</v>
      </c>
    </row>
    <row r="341" ht="12.75" customHeight="1">
      <c r="A341" s="42" t="str">
        <f>'Input - Bookings'!A341</f>
        <v>22/06/2023</v>
      </c>
      <c r="B341" s="43" t="str">
        <f t="shared" si="1"/>
        <v>Australia</v>
      </c>
      <c r="C341" s="43" t="str">
        <f t="shared" si="2"/>
        <v>PAU</v>
      </c>
      <c r="D341" s="43" t="str">
        <f>'Input - Bookings'!D341</f>
        <v>P</v>
      </c>
      <c r="E341" s="43" t="str">
        <f>'Input - Bookings'!J341</f>
        <v>AU</v>
      </c>
      <c r="F341" s="44" t="str">
        <f>'Input - Bookings'!F341</f>
        <v>065</v>
      </c>
      <c r="G341" s="44" t="str">
        <f>'Input - Bookings'!I341</f>
        <v>ADAPT-A-LIFT GROUP (WA)</v>
      </c>
      <c r="H341" s="44" t="str">
        <f>'Input - Bookings'!K341</f>
        <v>H38664</v>
      </c>
      <c r="I341" s="45" t="str">
        <f>VLOOKUP(H341,'Input - Bookings'!$G$2:$H$611,2,0)</f>
        <v>087605</v>
      </c>
      <c r="J341" s="44" t="str">
        <f>'Input - Bookings'!N341</f>
        <v>U005</v>
      </c>
      <c r="K341" s="44" t="str">
        <f>'Input - Bookings'!O341</f>
        <v>H4.5FT6</v>
      </c>
      <c r="L341" s="44" t="str">
        <f>'Input - Bookings'!C341</f>
        <v>AUD</v>
      </c>
      <c r="M341" s="46" t="str">
        <f t="array" ref="M341">IF(L341="USD",INDEX('AP Plants'!A:A,MATCH(J341,'AP Plants'!D:D,0)),INDEX('Australia Plants'!A:A,MATCH(J341,'Australia Plants'!D:D,0)))</f>
        <v>Craigavon</v>
      </c>
      <c r="N341" s="10">
        <v>1.0</v>
      </c>
      <c r="O341" s="9">
        <v>97030.0</v>
      </c>
      <c r="P341" s="9">
        <v>78746.49999999999</v>
      </c>
      <c r="Q341" s="47">
        <f t="shared" si="44"/>
        <v>0.2475726251</v>
      </c>
      <c r="R341" s="48">
        <f t="shared" si="3"/>
        <v>0.188431413</v>
      </c>
      <c r="S341" s="49">
        <f t="shared" si="4"/>
        <v>0</v>
      </c>
      <c r="T341" s="49">
        <f t="shared" si="21"/>
        <v>0.2475726251</v>
      </c>
      <c r="U341" s="50" t="str">
        <f t="shared" si="6"/>
        <v>AOP</v>
      </c>
      <c r="V341" s="51">
        <f t="shared" si="28"/>
        <v>19495.47772</v>
      </c>
      <c r="W341" s="52" t="str">
        <f t="shared" si="8"/>
        <v>#DIV/0!</v>
      </c>
      <c r="X341" s="9" t="str">
        <f t="shared" si="25"/>
        <v>#DIV/0!</v>
      </c>
      <c r="Y341" s="8"/>
      <c r="Z341" s="8"/>
      <c r="AA341" s="8"/>
      <c r="AB341" s="8" t="str">
        <f t="shared" si="10"/>
        <v>PAUH38664H4.5FT6</v>
      </c>
      <c r="AC341" s="8" t="str">
        <f>IF(AB341='Input - Bookings'!S338,"OK","Check")</f>
        <v>Check</v>
      </c>
      <c r="AD341" s="53"/>
      <c r="AE341" s="54">
        <v>0.0</v>
      </c>
      <c r="AF341" s="54">
        <v>0.0</v>
      </c>
      <c r="AG341" s="55"/>
      <c r="AH341" s="55">
        <v>34173.99</v>
      </c>
      <c r="AI341" s="8" t="str">
        <f t="array" ref="AI341">XLOOKUP($J341,'AP Plants'!D:D,'AP Plants'!B:B)</f>
        <v>Class 5 NOT BT</v>
      </c>
      <c r="AJ341" s="56">
        <f>(AH341*(1+VLOOKUP(M341,'Currency &amp; Conversion'!$F$13:$H$19,2,0))*'Currency &amp; Conversion'!$L$4)+((AE341+AF341)*90%)</f>
        <v>54304.9238</v>
      </c>
      <c r="AK341" s="56"/>
      <c r="AL341" s="49">
        <v>0.015</v>
      </c>
      <c r="AM341" s="49">
        <f t="array" ref="AM341">XLOOKUP($AI341,Warranty!B:B,Warranty!E:E)</f>
        <v>0.005</v>
      </c>
      <c r="AN341" s="8">
        <f>IF($L341="AUD",VLOOKUP(RIGHT('Wk - Margins'!$J341,3),'AU Freight'!C:G,5,0),0)</f>
        <v>3860</v>
      </c>
      <c r="AO341" s="49">
        <f t="shared" si="11"/>
        <v>0</v>
      </c>
      <c r="AP341" s="63">
        <f t="shared" si="12"/>
        <v>59251.02228</v>
      </c>
      <c r="AQ341" s="64">
        <f t="shared" si="13"/>
        <v>0.2475726251</v>
      </c>
      <c r="AR341" s="59">
        <f>IF(L341="AUD",O341*'Currency &amp; Conversion'!$L$7,'Wk - Margins'!O341)</f>
        <v>65153.69632</v>
      </c>
      <c r="AS341" s="59">
        <f>IF(L341="AUD",P341*'Currency &amp; Conversion'!$L$7,'Wk - Margins'!P341)</f>
        <v>52876.69327</v>
      </c>
    </row>
    <row r="342" ht="12.75" customHeight="1">
      <c r="A342" s="42" t="str">
        <f>'Input - Bookings'!A342</f>
        <v>22/06/2023</v>
      </c>
      <c r="B342" s="43" t="str">
        <f t="shared" si="1"/>
        <v>Australia</v>
      </c>
      <c r="C342" s="43" t="str">
        <f t="shared" si="2"/>
        <v>PAU</v>
      </c>
      <c r="D342" s="43" t="str">
        <f>'Input - Bookings'!D342</f>
        <v>P</v>
      </c>
      <c r="E342" s="43" t="str">
        <f>'Input - Bookings'!J342</f>
        <v>AU</v>
      </c>
      <c r="F342" s="44" t="str">
        <f>'Input - Bookings'!F342</f>
        <v>065</v>
      </c>
      <c r="G342" s="44" t="str">
        <f>'Input - Bookings'!I342</f>
        <v>ADAPT-A-LIFT GROUP (WA)</v>
      </c>
      <c r="H342" s="44" t="str">
        <f>'Input - Bookings'!K342</f>
        <v>H38659</v>
      </c>
      <c r="I342" s="45" t="str">
        <f>VLOOKUP(H342,'Input - Bookings'!$G$2:$H$611,2,0)</f>
        <v>087605</v>
      </c>
      <c r="J342" s="44" t="str">
        <f>'Input - Bookings'!N342</f>
        <v>U005</v>
      </c>
      <c r="K342" s="44" t="str">
        <f>'Input - Bookings'!O342</f>
        <v>H4.0FT6</v>
      </c>
      <c r="L342" s="44" t="str">
        <f>'Input - Bookings'!C342</f>
        <v>AUD</v>
      </c>
      <c r="M342" s="46" t="str">
        <f t="array" ref="M342">IF(L342="USD",INDEX('AP Plants'!A:A,MATCH(J342,'AP Plants'!D:D,0)),INDEX('Australia Plants'!A:A,MATCH(J342,'Australia Plants'!D:D,0)))</f>
        <v>Craigavon</v>
      </c>
      <c r="N342" s="10">
        <v>1.0</v>
      </c>
      <c r="O342" s="9">
        <v>90975.0</v>
      </c>
      <c r="P342" s="9">
        <v>75313.025</v>
      </c>
      <c r="Q342" s="47">
        <f t="shared" si="44"/>
        <v>0.2118146426</v>
      </c>
      <c r="R342" s="48">
        <f t="shared" si="3"/>
        <v>0.1721569112</v>
      </c>
      <c r="S342" s="49">
        <f t="shared" si="4"/>
        <v>0</v>
      </c>
      <c r="T342" s="49">
        <f t="shared" si="21"/>
        <v>0.2118146426</v>
      </c>
      <c r="U342" s="50" t="str">
        <f t="shared" si="6"/>
        <v>AOP</v>
      </c>
      <c r="V342" s="51">
        <f t="shared" si="28"/>
        <v>15952.40147</v>
      </c>
      <c r="W342" s="52" t="str">
        <f t="shared" si="8"/>
        <v>#DIV/0!</v>
      </c>
      <c r="X342" s="9" t="str">
        <f t="shared" si="25"/>
        <v>#DIV/0!</v>
      </c>
      <c r="Y342" s="8"/>
      <c r="Z342" s="8"/>
      <c r="AA342" s="8"/>
      <c r="AB342" s="8" t="str">
        <f t="shared" si="10"/>
        <v>PAUH38659H4.0FT6</v>
      </c>
      <c r="AC342" s="8" t="str">
        <f>IF(AB342='Input - Bookings'!S339,"OK","Check")</f>
        <v>Check</v>
      </c>
      <c r="AD342" s="53"/>
      <c r="AE342" s="54">
        <v>3521.7</v>
      </c>
      <c r="AF342" s="54">
        <v>0.0</v>
      </c>
      <c r="AG342" s="55"/>
      <c r="AH342" s="55">
        <v>32247.03</v>
      </c>
      <c r="AI342" s="8" t="str">
        <f t="array" ref="AI342">XLOOKUP($J342,'AP Plants'!D:D,'AP Plants'!B:B)</f>
        <v>Class 5 NOT BT</v>
      </c>
      <c r="AJ342" s="56">
        <f>(AH342*(1+VLOOKUP(M342,'Currency &amp; Conversion'!$F$13:$H$19,2,0))*'Currency &amp; Conversion'!$L$4)+((AE342+AF342)*90%)</f>
        <v>54412.37601</v>
      </c>
      <c r="AK342" s="56"/>
      <c r="AL342" s="49">
        <v>0.015</v>
      </c>
      <c r="AM342" s="49">
        <f t="array" ref="AM342">XLOOKUP($AI342,Warranty!B:B,Warranty!E:E)</f>
        <v>0.005</v>
      </c>
      <c r="AN342" s="8">
        <f>IF($L342="AUD",VLOOKUP(RIGHT('Wk - Margins'!$J342,3),'AU Freight'!C:G,5,0),0)</f>
        <v>3860</v>
      </c>
      <c r="AO342" s="49">
        <f t="shared" si="11"/>
        <v>0</v>
      </c>
      <c r="AP342" s="63">
        <f t="shared" si="12"/>
        <v>59360.62353</v>
      </c>
      <c r="AQ342" s="64">
        <f t="shared" si="13"/>
        <v>0.2118146426</v>
      </c>
      <c r="AR342" s="59">
        <f>IF(L342="AUD",O342*'Currency &amp; Conversion'!$L$7,'Wk - Margins'!O342)</f>
        <v>61087.88543</v>
      </c>
      <c r="AS342" s="59">
        <f>IF(L342="AUD",P342*'Currency &amp; Conversion'!$L$7,'Wk - Margins'!P342)</f>
        <v>50571.18376</v>
      </c>
    </row>
    <row r="343" ht="12.75" customHeight="1">
      <c r="A343" s="42" t="str">
        <f>'Input - Bookings'!A343</f>
        <v>22/06/2023</v>
      </c>
      <c r="B343" s="43" t="str">
        <f t="shared" si="1"/>
        <v>Australia</v>
      </c>
      <c r="C343" s="43" t="str">
        <f t="shared" si="2"/>
        <v>PAU</v>
      </c>
      <c r="D343" s="43" t="str">
        <f>'Input - Bookings'!D343</f>
        <v>P</v>
      </c>
      <c r="E343" s="43" t="str">
        <f>'Input - Bookings'!J343</f>
        <v>AU</v>
      </c>
      <c r="F343" s="44" t="str">
        <f>'Input - Bookings'!F343</f>
        <v>065</v>
      </c>
      <c r="G343" s="44" t="str">
        <f>'Input - Bookings'!I343</f>
        <v>ADAPT-A-LIFT GROUP (WA)</v>
      </c>
      <c r="H343" s="44" t="str">
        <f>'Input - Bookings'!K343</f>
        <v>H38660</v>
      </c>
      <c r="I343" s="45" t="str">
        <f>VLOOKUP(H343,'Input - Bookings'!$G$2:$H$611,2,0)</f>
        <v>087605</v>
      </c>
      <c r="J343" s="44" t="str">
        <f>'Input - Bookings'!N343</f>
        <v>U005</v>
      </c>
      <c r="K343" s="44" t="str">
        <f>'Input - Bookings'!O343</f>
        <v>H4.0FT6</v>
      </c>
      <c r="L343" s="44" t="str">
        <f>'Input - Bookings'!C343</f>
        <v>AUD</v>
      </c>
      <c r="M343" s="46" t="str">
        <f t="array" ref="M343">IF(L343="USD",INDEX('AP Plants'!A:A,MATCH(J343,'AP Plants'!D:D,0)),INDEX('Australia Plants'!A:A,MATCH(J343,'Australia Plants'!D:D,0)))</f>
        <v>Craigavon</v>
      </c>
      <c r="N343" s="10">
        <v>1.0</v>
      </c>
      <c r="O343" s="9">
        <v>87400.0</v>
      </c>
      <c r="P343" s="9">
        <v>72238.525</v>
      </c>
      <c r="Q343" s="47">
        <f t="shared" si="44"/>
        <v>0.2378582651</v>
      </c>
      <c r="R343" s="48">
        <f t="shared" si="3"/>
        <v>0.173472254</v>
      </c>
      <c r="S343" s="49">
        <f t="shared" si="4"/>
        <v>0</v>
      </c>
      <c r="T343" s="49">
        <f t="shared" si="21"/>
        <v>0.2378582651</v>
      </c>
      <c r="U343" s="50" t="str">
        <f t="shared" si="6"/>
        <v>AOP</v>
      </c>
      <c r="V343" s="51">
        <f t="shared" si="28"/>
        <v>17182.53023</v>
      </c>
      <c r="W343" s="52" t="str">
        <f t="shared" si="8"/>
        <v>#DIV/0!</v>
      </c>
      <c r="X343" s="9" t="str">
        <f t="shared" si="25"/>
        <v>#DIV/0!</v>
      </c>
      <c r="Y343" s="8"/>
      <c r="Z343" s="8"/>
      <c r="AA343" s="8"/>
      <c r="AB343" s="8" t="str">
        <f t="shared" si="10"/>
        <v>PAUH38660H4.0FT6</v>
      </c>
      <c r="AC343" s="8" t="str">
        <f>IF(AB343='Input - Bookings'!S340,"OK","Check")</f>
        <v>Check</v>
      </c>
      <c r="AD343" s="53"/>
      <c r="AE343" s="54">
        <v>0.0</v>
      </c>
      <c r="AF343" s="54">
        <v>0.0</v>
      </c>
      <c r="AG343" s="55"/>
      <c r="AH343" s="55">
        <v>31585.83</v>
      </c>
      <c r="AI343" s="8" t="str">
        <f t="array" ref="AI343">XLOOKUP($J343,'AP Plants'!D:D,'AP Plants'!B:B)</f>
        <v>Class 5 NOT BT</v>
      </c>
      <c r="AJ343" s="56">
        <f>(AH343*(1+VLOOKUP(M343,'Currency &amp; Conversion'!$F$13:$H$19,2,0))*'Currency &amp; Conversion'!$L$4)+((AE343+AF343)*90%)</f>
        <v>50192.15173</v>
      </c>
      <c r="AK343" s="56"/>
      <c r="AL343" s="49">
        <v>0.015</v>
      </c>
      <c r="AM343" s="49">
        <f t="array" ref="AM343">XLOOKUP($AI343,Warranty!B:B,Warranty!E:E)</f>
        <v>0.005</v>
      </c>
      <c r="AN343" s="8">
        <f>IF($L343="AUD",VLOOKUP(RIGHT('Wk - Margins'!$J343,3),'AU Freight'!C:G,5,0),0)</f>
        <v>3860</v>
      </c>
      <c r="AO343" s="49">
        <f t="shared" si="11"/>
        <v>0</v>
      </c>
      <c r="AP343" s="63">
        <f t="shared" si="12"/>
        <v>55055.99477</v>
      </c>
      <c r="AQ343" s="64">
        <f t="shared" si="13"/>
        <v>0.2378582651</v>
      </c>
      <c r="AR343" s="59">
        <f>IF(L343="AUD",O343*'Currency &amp; Conversion'!$L$7,'Wk - Margins'!O343)</f>
        <v>58687.34473</v>
      </c>
      <c r="AS343" s="59">
        <f>IF(L343="AUD",P343*'Currency &amp; Conversion'!$L$7,'Wk - Margins'!P343)</f>
        <v>48506.71875</v>
      </c>
    </row>
    <row r="344" ht="12.75" customHeight="1">
      <c r="A344" s="42" t="str">
        <f>'Input - Bookings'!A344</f>
        <v>22/06/2023</v>
      </c>
      <c r="B344" s="43" t="str">
        <f t="shared" si="1"/>
        <v>Australia</v>
      </c>
      <c r="C344" s="43" t="str">
        <f t="shared" si="2"/>
        <v>PAU</v>
      </c>
      <c r="D344" s="43" t="str">
        <f>'Input - Bookings'!D344</f>
        <v>P</v>
      </c>
      <c r="E344" s="43" t="str">
        <f>'Input - Bookings'!J344</f>
        <v>AU</v>
      </c>
      <c r="F344" s="44" t="str">
        <f>'Input - Bookings'!F344</f>
        <v>065</v>
      </c>
      <c r="G344" s="44" t="str">
        <f>'Input - Bookings'!I344</f>
        <v>ADAPT-A-LIFT GROUP (WA)</v>
      </c>
      <c r="H344" s="44" t="str">
        <f>'Input - Bookings'!K344</f>
        <v>H38665</v>
      </c>
      <c r="I344" s="45" t="str">
        <f>VLOOKUP(H344,'Input - Bookings'!$G$2:$H$611,2,0)</f>
        <v>087605</v>
      </c>
      <c r="J344" s="44" t="str">
        <f>'Input - Bookings'!N344</f>
        <v>U005</v>
      </c>
      <c r="K344" s="44" t="str">
        <f>'Input - Bookings'!O344</f>
        <v>H4.0FT6</v>
      </c>
      <c r="L344" s="44" t="str">
        <f>'Input - Bookings'!C344</f>
        <v>AUD</v>
      </c>
      <c r="M344" s="46" t="str">
        <f t="array" ref="M344">IF(L344="USD",INDEX('AP Plants'!A:A,MATCH(J344,'AP Plants'!D:D,0)),INDEX('Australia Plants'!A:A,MATCH(J344,'Australia Plants'!D:D,0)))</f>
        <v>Craigavon</v>
      </c>
      <c r="N344" s="10">
        <v>1.0</v>
      </c>
      <c r="O344" s="9">
        <v>87400.0</v>
      </c>
      <c r="P344" s="9">
        <v>72238.525</v>
      </c>
      <c r="Q344" s="47">
        <f t="shared" si="44"/>
        <v>0.2378582651</v>
      </c>
      <c r="R344" s="48">
        <f t="shared" si="3"/>
        <v>0.173472254</v>
      </c>
      <c r="S344" s="49">
        <f t="shared" si="4"/>
        <v>0</v>
      </c>
      <c r="T344" s="49">
        <f t="shared" si="21"/>
        <v>0.2378582651</v>
      </c>
      <c r="U344" s="50" t="str">
        <f t="shared" si="6"/>
        <v>AOP</v>
      </c>
      <c r="V344" s="51">
        <f t="shared" si="28"/>
        <v>17182.53023</v>
      </c>
      <c r="W344" s="52" t="str">
        <f t="shared" si="8"/>
        <v>#DIV/0!</v>
      </c>
      <c r="X344" s="9" t="str">
        <f t="shared" si="25"/>
        <v>#DIV/0!</v>
      </c>
      <c r="Y344" s="8"/>
      <c r="Z344" s="8"/>
      <c r="AA344" s="8"/>
      <c r="AB344" s="8" t="str">
        <f t="shared" si="10"/>
        <v>PAUH38665H4.0FT6</v>
      </c>
      <c r="AC344" s="8" t="str">
        <f>IF(AB344='Input - Bookings'!S341,"OK","Check")</f>
        <v>Check</v>
      </c>
      <c r="AD344" s="53"/>
      <c r="AE344" s="54">
        <v>0.0</v>
      </c>
      <c r="AF344" s="54">
        <v>0.0</v>
      </c>
      <c r="AG344" s="55"/>
      <c r="AH344" s="55">
        <v>31585.83</v>
      </c>
      <c r="AI344" s="8" t="str">
        <f t="array" ref="AI344">XLOOKUP($J344,'AP Plants'!D:D,'AP Plants'!B:B)</f>
        <v>Class 5 NOT BT</v>
      </c>
      <c r="AJ344" s="56">
        <f>(AH344*(1+VLOOKUP(M344,'Currency &amp; Conversion'!$F$13:$H$19,2,0))*'Currency &amp; Conversion'!$L$4)+((AE344+AF344)*90%)</f>
        <v>50192.15173</v>
      </c>
      <c r="AK344" s="56"/>
      <c r="AL344" s="49">
        <v>0.015</v>
      </c>
      <c r="AM344" s="49">
        <f t="array" ref="AM344">XLOOKUP($AI344,Warranty!B:B,Warranty!E:E)</f>
        <v>0.005</v>
      </c>
      <c r="AN344" s="8">
        <f>IF($L344="AUD",VLOOKUP(RIGHT('Wk - Margins'!$J344,3),'AU Freight'!C:G,5,0),0)</f>
        <v>3860</v>
      </c>
      <c r="AO344" s="49">
        <f t="shared" si="11"/>
        <v>0</v>
      </c>
      <c r="AP344" s="63">
        <f t="shared" si="12"/>
        <v>55055.99477</v>
      </c>
      <c r="AQ344" s="64">
        <f t="shared" si="13"/>
        <v>0.2378582651</v>
      </c>
      <c r="AR344" s="59">
        <f>IF(L344="AUD",O344*'Currency &amp; Conversion'!$L$7,'Wk - Margins'!O344)</f>
        <v>58687.34473</v>
      </c>
      <c r="AS344" s="59">
        <f>IF(L344="AUD",P344*'Currency &amp; Conversion'!$L$7,'Wk - Margins'!P344)</f>
        <v>48506.71875</v>
      </c>
    </row>
    <row r="345" ht="12.75" hidden="1" customHeight="1">
      <c r="A345" s="42" t="str">
        <f>'Input - Bookings'!A345</f>
        <v>22/06/2023</v>
      </c>
      <c r="B345" s="43" t="str">
        <f t="shared" si="1"/>
        <v>Australia</v>
      </c>
      <c r="C345" s="43" t="str">
        <f t="shared" si="2"/>
        <v>PAU</v>
      </c>
      <c r="D345" s="43" t="str">
        <f>'Input - Bookings'!D345</f>
        <v>P</v>
      </c>
      <c r="E345" s="43" t="str">
        <f>'Input - Bookings'!J345</f>
        <v>AU</v>
      </c>
      <c r="F345" s="44" t="str">
        <f>'Input - Bookings'!F345</f>
        <v>065</v>
      </c>
      <c r="G345" s="44" t="str">
        <f>'Input - Bookings'!I345</f>
        <v>ADAPT-A-LIFT GROUP (WA)</v>
      </c>
      <c r="H345" s="44" t="str">
        <f>'Input - Bookings'!K345</f>
        <v>H38661</v>
      </c>
      <c r="I345" s="45" t="str">
        <f>VLOOKUP(H345,'Input - Bookings'!$G$2:$H$611,2,0)</f>
        <v>087605</v>
      </c>
      <c r="J345" s="44" t="str">
        <f>'Input - Bookings'!N345</f>
        <v>D466</v>
      </c>
      <c r="K345" s="44" t="str">
        <f>'Input - Bookings'!O345</f>
        <v>H3.0XT</v>
      </c>
      <c r="L345" s="44" t="str">
        <f>'Input - Bookings'!C345</f>
        <v>AUD</v>
      </c>
      <c r="M345" s="46" t="str">
        <f t="array" ref="M345">IF(L345="USD",INDEX('AP Plants'!A:A,MATCH(J345,'AP Plants'!D:D,0)),INDEX('Australia Plants'!A:A,MATCH(J345,'Australia Plants'!D:D,0)))</f>
        <v>SN</v>
      </c>
      <c r="N345" s="10">
        <v>1.0</v>
      </c>
      <c r="O345" s="9">
        <v>53920.0</v>
      </c>
      <c r="P345" s="9">
        <v>44036.075</v>
      </c>
      <c r="Q345" s="47">
        <v>0.25901523032701257</v>
      </c>
      <c r="R345" s="48">
        <f t="shared" si="3"/>
        <v>0.1833072144</v>
      </c>
      <c r="S345" s="49">
        <f t="shared" si="4"/>
        <v>0</v>
      </c>
      <c r="T345" s="49">
        <f t="shared" si="21"/>
        <v>0.2590152303</v>
      </c>
      <c r="U345" s="50" t="str">
        <f t="shared" si="6"/>
        <v>AOP</v>
      </c>
      <c r="V345" s="51">
        <f t="shared" si="28"/>
        <v>11406.01411</v>
      </c>
      <c r="W345" s="52" t="str">
        <f t="shared" si="8"/>
        <v>#DIV/0!</v>
      </c>
      <c r="X345" s="9" t="str">
        <f t="shared" si="25"/>
        <v>#DIV/0!</v>
      </c>
      <c r="Y345" s="8"/>
      <c r="Z345" s="8"/>
      <c r="AA345" s="8"/>
      <c r="AB345" s="8" t="str">
        <f t="shared" si="10"/>
        <v>PAUH38661H3.0XT</v>
      </c>
      <c r="AC345" s="8" t="str">
        <f>IF(AB345='Input - Bookings'!S342,"OK","Check")</f>
        <v>Check</v>
      </c>
      <c r="AD345" s="53"/>
      <c r="AE345" s="54"/>
      <c r="AF345" s="54"/>
      <c r="AG345" s="55"/>
      <c r="AH345" s="55"/>
      <c r="AI345" s="8" t="str">
        <f t="array" ref="AI345">XLOOKUP($J345,'AP Plants'!D:D,'AP Plants'!B:B)</f>
        <v>Class 5 NOT BT</v>
      </c>
      <c r="AJ345" s="56"/>
      <c r="AK345" s="56"/>
      <c r="AL345" s="49">
        <v>0.015</v>
      </c>
      <c r="AM345" s="49">
        <f t="array" ref="AM345">XLOOKUP($AI345,Warranty!B:B,Warranty!E:E)</f>
        <v>0.005</v>
      </c>
      <c r="AN345" s="8">
        <f>IF($L345="AUD",VLOOKUP(RIGHT('Wk - Margins'!$J345,3),'AU Freight'!C:G,5,0),0)</f>
        <v>2130</v>
      </c>
      <c r="AO345" s="49">
        <f t="shared" si="11"/>
        <v>0</v>
      </c>
      <c r="AP345" s="63">
        <f t="shared" si="12"/>
        <v>2130</v>
      </c>
      <c r="AQ345" s="58">
        <f t="shared" si="13"/>
        <v>0.9516305665</v>
      </c>
      <c r="AR345" s="59">
        <f>IF(L345="AUD",O345*'Currency &amp; Conversion'!$L$7,'Wk - Margins'!O345)</f>
        <v>36206.19711</v>
      </c>
      <c r="AS345" s="59">
        <f>IF(L345="AUD",P345*'Currency &amp; Conversion'!$L$7,'Wk - Margins'!P345)</f>
        <v>29569.33998</v>
      </c>
    </row>
    <row r="346" ht="12.75" hidden="1" customHeight="1">
      <c r="A346" s="42" t="str">
        <f>'Input - Bookings'!A346</f>
        <v>22/06/2023</v>
      </c>
      <c r="B346" s="43" t="str">
        <f t="shared" si="1"/>
        <v>Australia</v>
      </c>
      <c r="C346" s="43" t="str">
        <f t="shared" si="2"/>
        <v>PAU</v>
      </c>
      <c r="D346" s="43" t="str">
        <f>'Input - Bookings'!D346</f>
        <v>P</v>
      </c>
      <c r="E346" s="43" t="str">
        <f>'Input - Bookings'!J346</f>
        <v>AU</v>
      </c>
      <c r="F346" s="44" t="str">
        <f>'Input - Bookings'!F346</f>
        <v>065</v>
      </c>
      <c r="G346" s="44" t="str">
        <f>'Input - Bookings'!I346</f>
        <v>ADAPT-A-LIFT GROUP (WA)</v>
      </c>
      <c r="H346" s="44" t="str">
        <f>'Input - Bookings'!K346</f>
        <v>H38662</v>
      </c>
      <c r="I346" s="45" t="str">
        <f>VLOOKUP(H346,'Input - Bookings'!$G$2:$H$611,2,0)</f>
        <v>087605</v>
      </c>
      <c r="J346" s="44" t="str">
        <f>'Input - Bookings'!N346</f>
        <v>D466</v>
      </c>
      <c r="K346" s="44" t="str">
        <f>'Input - Bookings'!O346</f>
        <v>H3.0XT</v>
      </c>
      <c r="L346" s="44" t="str">
        <f>'Input - Bookings'!C346</f>
        <v>AUD</v>
      </c>
      <c r="M346" s="46" t="str">
        <f t="array" ref="M346">IF(L346="USD",INDEX('AP Plants'!A:A,MATCH(J346,'AP Plants'!D:D,0)),INDEX('Australia Plants'!A:A,MATCH(J346,'Australia Plants'!D:D,0)))</f>
        <v>SN</v>
      </c>
      <c r="N346" s="10">
        <v>1.0</v>
      </c>
      <c r="O346" s="9">
        <v>53920.0</v>
      </c>
      <c r="P346" s="9">
        <v>44036.075</v>
      </c>
      <c r="Q346" s="47">
        <v>0.25901523032701257</v>
      </c>
      <c r="R346" s="48">
        <f t="shared" si="3"/>
        <v>0.1833072144</v>
      </c>
      <c r="S346" s="49">
        <f t="shared" si="4"/>
        <v>0</v>
      </c>
      <c r="T346" s="49">
        <f t="shared" si="21"/>
        <v>0.2590152303</v>
      </c>
      <c r="U346" s="50" t="str">
        <f t="shared" si="6"/>
        <v>AOP</v>
      </c>
      <c r="V346" s="51">
        <f t="shared" si="28"/>
        <v>11406.01411</v>
      </c>
      <c r="W346" s="52" t="str">
        <f t="shared" si="8"/>
        <v>#DIV/0!</v>
      </c>
      <c r="X346" s="9" t="str">
        <f t="shared" si="25"/>
        <v>#DIV/0!</v>
      </c>
      <c r="Y346" s="8"/>
      <c r="Z346" s="8"/>
      <c r="AA346" s="8"/>
      <c r="AB346" s="8" t="str">
        <f t="shared" si="10"/>
        <v>PAUH38662H3.0XT</v>
      </c>
      <c r="AC346" s="8" t="str">
        <f>IF(AB346='Input - Bookings'!S343,"OK","Check")</f>
        <v>Check</v>
      </c>
      <c r="AD346" s="53"/>
      <c r="AE346" s="54"/>
      <c r="AF346" s="54"/>
      <c r="AG346" s="55"/>
      <c r="AH346" s="62"/>
      <c r="AI346" s="8" t="str">
        <f t="array" ref="AI346">XLOOKUP($J346,'AP Plants'!D:D,'AP Plants'!B:B)</f>
        <v>Class 5 NOT BT</v>
      </c>
      <c r="AJ346" s="56"/>
      <c r="AK346" s="56"/>
      <c r="AL346" s="49">
        <v>0.015</v>
      </c>
      <c r="AM346" s="49">
        <f t="array" ref="AM346">XLOOKUP($AI346,Warranty!B:B,Warranty!E:E)</f>
        <v>0.005</v>
      </c>
      <c r="AN346" s="8">
        <f>IF($L346="AUD",VLOOKUP(RIGHT('Wk - Margins'!$J346,3),'AU Freight'!C:G,5,0),0)</f>
        <v>2130</v>
      </c>
      <c r="AO346" s="49">
        <f t="shared" si="11"/>
        <v>0</v>
      </c>
      <c r="AP346" s="63">
        <f t="shared" si="12"/>
        <v>2130</v>
      </c>
      <c r="AQ346" s="58">
        <f t="shared" si="13"/>
        <v>0.9516305665</v>
      </c>
      <c r="AR346" s="59">
        <f>IF(L346="AUD",O346*'Currency &amp; Conversion'!$L$7,'Wk - Margins'!O346)</f>
        <v>36206.19711</v>
      </c>
      <c r="AS346" s="59">
        <f>IF(L346="AUD",P346*'Currency &amp; Conversion'!$L$7,'Wk - Margins'!P346)</f>
        <v>29569.33998</v>
      </c>
    </row>
    <row r="347" ht="12.75" hidden="1" customHeight="1">
      <c r="A347" s="42" t="str">
        <f>'Input - Bookings'!A347</f>
        <v>22/06/2023</v>
      </c>
      <c r="B347" s="43" t="str">
        <f t="shared" si="1"/>
        <v>Australia</v>
      </c>
      <c r="C347" s="43" t="str">
        <f t="shared" si="2"/>
        <v>PAU</v>
      </c>
      <c r="D347" s="43" t="str">
        <f>'Input - Bookings'!D347</f>
        <v>P</v>
      </c>
      <c r="E347" s="43" t="str">
        <f>'Input - Bookings'!J347</f>
        <v>AU</v>
      </c>
      <c r="F347" s="44" t="str">
        <f>'Input - Bookings'!F347</f>
        <v>067</v>
      </c>
      <c r="G347" s="44" t="str">
        <f>'Input - Bookings'!I347</f>
        <v>ADAPT-A-LIFT GROUP(NSW)</v>
      </c>
      <c r="H347" s="44" t="str">
        <f>'Input - Bookings'!K347</f>
        <v>H38646</v>
      </c>
      <c r="I347" s="45" t="str">
        <f>VLOOKUP(H347,'Input - Bookings'!$G$2:$H$611,2,0)</f>
        <v>087805</v>
      </c>
      <c r="J347" s="44" t="str">
        <f>'Input - Bookings'!N347</f>
        <v>C881</v>
      </c>
      <c r="K347" s="44" t="str">
        <f>'Input - Bookings'!O347</f>
        <v>FB25RZ</v>
      </c>
      <c r="L347" s="44" t="str">
        <f>'Input - Bookings'!C347</f>
        <v>AUD</v>
      </c>
      <c r="M347" s="46" t="str">
        <f t="array" ref="M347">IF(L347="USD",INDEX('AP Plants'!A:A,MATCH(J347,'AP Plants'!D:D,0)),INDEX('Australia Plants'!A:A,MATCH(J347,'Australia Plants'!D:D,0)))</f>
        <v>SN</v>
      </c>
      <c r="N347" s="10">
        <v>1.0</v>
      </c>
      <c r="O347" s="9">
        <v>48935.0</v>
      </c>
      <c r="P347" s="9">
        <v>39899.795999999995</v>
      </c>
      <c r="Q347" s="47">
        <v>0.25603854097828194</v>
      </c>
      <c r="R347" s="48">
        <f t="shared" si="3"/>
        <v>0.1846368448</v>
      </c>
      <c r="S347" s="49">
        <f t="shared" si="4"/>
        <v>0</v>
      </c>
      <c r="T347" s="49">
        <f t="shared" si="21"/>
        <v>0.256038541</v>
      </c>
      <c r="U347" s="50" t="str">
        <f t="shared" si="6"/>
        <v>AOP</v>
      </c>
      <c r="V347" s="51">
        <f t="shared" si="28"/>
        <v>10215.88555</v>
      </c>
      <c r="W347" s="52" t="str">
        <f t="shared" si="8"/>
        <v>#DIV/0!</v>
      </c>
      <c r="X347" s="9" t="str">
        <f t="shared" si="25"/>
        <v>#DIV/0!</v>
      </c>
      <c r="Y347" s="8"/>
      <c r="Z347" s="8"/>
      <c r="AA347" s="8"/>
      <c r="AB347" s="8" t="str">
        <f t="shared" si="10"/>
        <v>PAUH38646FB25RZ</v>
      </c>
      <c r="AC347" s="8" t="str">
        <f>IF(AB347='Input - Bookings'!S344,"OK","Check")</f>
        <v>Check</v>
      </c>
      <c r="AD347" s="53"/>
      <c r="AE347" s="54"/>
      <c r="AF347" s="54"/>
      <c r="AG347" s="55"/>
      <c r="AH347" s="62"/>
      <c r="AI347" s="8" t="str">
        <f t="array" ref="AI347">XLOOKUP($J347,'AP Plants'!D:D,'AP Plants'!B:B)</f>
        <v>Class 1</v>
      </c>
      <c r="AJ347" s="56"/>
      <c r="AK347" s="56"/>
      <c r="AL347" s="49">
        <v>0.015</v>
      </c>
      <c r="AM347" s="49">
        <f t="array" ref="AM347">XLOOKUP($AI347,Warranty!B:B,Warranty!E:E)</f>
        <v>0.005</v>
      </c>
      <c r="AN347" s="8">
        <f>IF($L347="AUD",VLOOKUP(RIGHT('Wk - Margins'!$J347,3),'AU Freight'!C:G,5,0),0)</f>
        <v>2145</v>
      </c>
      <c r="AO347" s="49">
        <f t="shared" si="11"/>
        <v>0</v>
      </c>
      <c r="AP347" s="63">
        <f t="shared" si="12"/>
        <v>2145</v>
      </c>
      <c r="AQ347" s="58">
        <f t="shared" si="13"/>
        <v>0.9462403266</v>
      </c>
      <c r="AR347" s="59">
        <f>IF(L347="AUD",O347*'Currency &amp; Conversion'!$L$7,'Wk - Margins'!O347)</f>
        <v>32858.86973</v>
      </c>
      <c r="AS347" s="59">
        <f>IF(L347="AUD",P347*'Currency &amp; Conversion'!$L$7,'Wk - Margins'!P347)</f>
        <v>26791.9117</v>
      </c>
    </row>
    <row r="348" ht="12.75" hidden="1" customHeight="1">
      <c r="A348" s="42" t="str">
        <f>'Input - Bookings'!A348</f>
        <v>22/06/2023</v>
      </c>
      <c r="B348" s="43" t="str">
        <f t="shared" si="1"/>
        <v>Australia</v>
      </c>
      <c r="C348" s="43" t="str">
        <f t="shared" si="2"/>
        <v>PAU</v>
      </c>
      <c r="D348" s="43" t="str">
        <f>'Input - Bookings'!D348</f>
        <v>P</v>
      </c>
      <c r="E348" s="43" t="str">
        <f>'Input - Bookings'!J348</f>
        <v>AU</v>
      </c>
      <c r="F348" s="44" t="str">
        <f>'Input - Bookings'!F348</f>
        <v>065</v>
      </c>
      <c r="G348" s="44" t="str">
        <f>'Input - Bookings'!I348</f>
        <v>ADAPT-A-LIFT GROUP (WA)</v>
      </c>
      <c r="H348" s="44" t="str">
        <f>'Input - Bookings'!K348</f>
        <v>H38648</v>
      </c>
      <c r="I348" s="45" t="str">
        <f>VLOOKUP(H348,'Input - Bookings'!$G$2:$H$611,2,0)</f>
        <v>087605</v>
      </c>
      <c r="J348" s="44" t="str">
        <f>'Input - Bookings'!N348</f>
        <v>D466</v>
      </c>
      <c r="K348" s="44" t="str">
        <f>'Input - Bookings'!O348</f>
        <v>H3.0XT</v>
      </c>
      <c r="L348" s="44" t="str">
        <f>'Input - Bookings'!C348</f>
        <v>AUD</v>
      </c>
      <c r="M348" s="46" t="str">
        <f t="array" ref="M348">IF(L348="USD",INDEX('AP Plants'!A:A,MATCH(J348,'AP Plants'!D:D,0)),INDEX('Australia Plants'!A:A,MATCH(J348,'Australia Plants'!D:D,0)))</f>
        <v>SN</v>
      </c>
      <c r="N348" s="10">
        <v>1.0</v>
      </c>
      <c r="O348" s="9">
        <v>53920.0</v>
      </c>
      <c r="P348" s="9">
        <v>44036.075</v>
      </c>
      <c r="Q348" s="47">
        <v>0.25901523032701257</v>
      </c>
      <c r="R348" s="48">
        <f t="shared" si="3"/>
        <v>0.1833072144</v>
      </c>
      <c r="S348" s="49">
        <f t="shared" si="4"/>
        <v>0</v>
      </c>
      <c r="T348" s="49">
        <f t="shared" si="21"/>
        <v>0.2590152303</v>
      </c>
      <c r="U348" s="50" t="str">
        <f t="shared" si="6"/>
        <v>AOP</v>
      </c>
      <c r="V348" s="51">
        <f t="shared" si="28"/>
        <v>11406.01411</v>
      </c>
      <c r="W348" s="52" t="str">
        <f t="shared" si="8"/>
        <v>#DIV/0!</v>
      </c>
      <c r="X348" s="9" t="str">
        <f t="shared" si="25"/>
        <v>#DIV/0!</v>
      </c>
      <c r="Y348" s="8"/>
      <c r="Z348" s="8"/>
      <c r="AA348" s="8"/>
      <c r="AB348" s="8" t="str">
        <f t="shared" si="10"/>
        <v>PAUH38648H3.0XT</v>
      </c>
      <c r="AC348" s="8" t="str">
        <f>IF(AB348='Input - Bookings'!S345,"OK","Check")</f>
        <v>Check</v>
      </c>
      <c r="AD348" s="53"/>
      <c r="AE348" s="54"/>
      <c r="AF348" s="54"/>
      <c r="AG348" s="55"/>
      <c r="AH348" s="62"/>
      <c r="AI348" s="8" t="str">
        <f t="array" ref="AI348">XLOOKUP($J348,'AP Plants'!D:D,'AP Plants'!B:B)</f>
        <v>Class 5 NOT BT</v>
      </c>
      <c r="AJ348" s="56"/>
      <c r="AK348" s="56"/>
      <c r="AL348" s="49">
        <v>0.015</v>
      </c>
      <c r="AM348" s="49">
        <f t="array" ref="AM348">XLOOKUP($AI348,Warranty!B:B,Warranty!E:E)</f>
        <v>0.005</v>
      </c>
      <c r="AN348" s="8">
        <f>IF($L348="AUD",VLOOKUP(RIGHT('Wk - Margins'!$J348,3),'AU Freight'!C:G,5,0),0)</f>
        <v>2130</v>
      </c>
      <c r="AO348" s="49">
        <f t="shared" si="11"/>
        <v>0</v>
      </c>
      <c r="AP348" s="63">
        <f t="shared" si="12"/>
        <v>2130</v>
      </c>
      <c r="AQ348" s="58">
        <f t="shared" si="13"/>
        <v>0.9516305665</v>
      </c>
      <c r="AR348" s="59">
        <f>IF(L348="AUD",O348*'Currency &amp; Conversion'!$L$7,'Wk - Margins'!O348)</f>
        <v>36206.19711</v>
      </c>
      <c r="AS348" s="59">
        <f>IF(L348="AUD",P348*'Currency &amp; Conversion'!$L$7,'Wk - Margins'!P348)</f>
        <v>29569.33998</v>
      </c>
    </row>
    <row r="349" ht="12.75" hidden="1" customHeight="1">
      <c r="A349" s="42" t="str">
        <f>'Input - Bookings'!A349</f>
        <v>22/06/2023</v>
      </c>
      <c r="B349" s="43" t="str">
        <f t="shared" si="1"/>
        <v>Australia</v>
      </c>
      <c r="C349" s="43" t="str">
        <f t="shared" si="2"/>
        <v>PAU</v>
      </c>
      <c r="D349" s="43" t="str">
        <f>'Input - Bookings'!D349</f>
        <v>P</v>
      </c>
      <c r="E349" s="43" t="str">
        <f>'Input - Bookings'!J349</f>
        <v>AU</v>
      </c>
      <c r="F349" s="44" t="str">
        <f>'Input - Bookings'!F349</f>
        <v>065</v>
      </c>
      <c r="G349" s="44" t="str">
        <f>'Input - Bookings'!I349</f>
        <v>ADAPT-A-LIFT GROUP (WA)</v>
      </c>
      <c r="H349" s="44" t="str">
        <f>'Input - Bookings'!K349</f>
        <v>H38649</v>
      </c>
      <c r="I349" s="45" t="str">
        <f>VLOOKUP(H349,'Input - Bookings'!$G$2:$H$611,2,0)</f>
        <v>087605</v>
      </c>
      <c r="J349" s="44" t="str">
        <f>'Input - Bookings'!N349</f>
        <v>D466</v>
      </c>
      <c r="K349" s="44" t="str">
        <f>'Input - Bookings'!O349</f>
        <v>H3.0XT</v>
      </c>
      <c r="L349" s="44" t="str">
        <f>'Input - Bookings'!C349</f>
        <v>AUD</v>
      </c>
      <c r="M349" s="46" t="str">
        <f t="array" ref="M349">IF(L349="USD",INDEX('AP Plants'!A:A,MATCH(J349,'AP Plants'!D:D,0)),INDEX('Australia Plants'!A:A,MATCH(J349,'Australia Plants'!D:D,0)))</f>
        <v>SN</v>
      </c>
      <c r="N349" s="10">
        <v>1.0</v>
      </c>
      <c r="O349" s="9">
        <v>53920.0</v>
      </c>
      <c r="P349" s="9">
        <v>44036.075</v>
      </c>
      <c r="Q349" s="47">
        <v>0.25901523032701257</v>
      </c>
      <c r="R349" s="48">
        <f t="shared" si="3"/>
        <v>0.1833072144</v>
      </c>
      <c r="S349" s="49">
        <f t="shared" si="4"/>
        <v>0</v>
      </c>
      <c r="T349" s="49">
        <f t="shared" si="21"/>
        <v>0.2590152303</v>
      </c>
      <c r="U349" s="50" t="str">
        <f t="shared" si="6"/>
        <v>AOP</v>
      </c>
      <c r="V349" s="51">
        <f t="shared" si="28"/>
        <v>11406.01411</v>
      </c>
      <c r="W349" s="52" t="str">
        <f t="shared" si="8"/>
        <v>#DIV/0!</v>
      </c>
      <c r="X349" s="9" t="str">
        <f t="shared" si="25"/>
        <v>#DIV/0!</v>
      </c>
      <c r="Y349" s="8"/>
      <c r="Z349" s="8"/>
      <c r="AA349" s="8"/>
      <c r="AB349" s="8" t="str">
        <f t="shared" si="10"/>
        <v>PAUH38649H3.0XT</v>
      </c>
      <c r="AC349" s="8" t="str">
        <f>IF(AB349='Input - Bookings'!S346,"OK","Check")</f>
        <v>Check</v>
      </c>
      <c r="AD349" s="53"/>
      <c r="AE349" s="54"/>
      <c r="AF349" s="54"/>
      <c r="AG349" s="55"/>
      <c r="AH349" s="55"/>
      <c r="AI349" s="8" t="str">
        <f t="array" ref="AI349">XLOOKUP($J349,'AP Plants'!D:D,'AP Plants'!B:B)</f>
        <v>Class 5 NOT BT</v>
      </c>
      <c r="AJ349" s="56"/>
      <c r="AK349" s="56"/>
      <c r="AL349" s="49">
        <v>0.015</v>
      </c>
      <c r="AM349" s="49">
        <f t="array" ref="AM349">XLOOKUP($AI349,Warranty!B:B,Warranty!E:E)</f>
        <v>0.005</v>
      </c>
      <c r="AN349" s="8">
        <f>IF($L349="AUD",VLOOKUP(RIGHT('Wk - Margins'!$J349,3),'AU Freight'!C:G,5,0),0)</f>
        <v>2130</v>
      </c>
      <c r="AO349" s="49">
        <f t="shared" si="11"/>
        <v>0</v>
      </c>
      <c r="AP349" s="63">
        <f t="shared" si="12"/>
        <v>2130</v>
      </c>
      <c r="AQ349" s="58">
        <f t="shared" si="13"/>
        <v>0.9516305665</v>
      </c>
      <c r="AR349" s="59">
        <f>IF(L349="AUD",O349*'Currency &amp; Conversion'!$L$7,'Wk - Margins'!O349)</f>
        <v>36206.19711</v>
      </c>
      <c r="AS349" s="59">
        <f>IF(L349="AUD",P349*'Currency &amp; Conversion'!$L$7,'Wk - Margins'!P349)</f>
        <v>29569.33998</v>
      </c>
    </row>
    <row r="350" ht="12.75" hidden="1" customHeight="1">
      <c r="A350" s="42" t="str">
        <f>'Input - Bookings'!A350</f>
        <v>22/06/2023</v>
      </c>
      <c r="B350" s="43" t="str">
        <f t="shared" si="1"/>
        <v>Australia</v>
      </c>
      <c r="C350" s="43" t="str">
        <f t="shared" si="2"/>
        <v>PAU</v>
      </c>
      <c r="D350" s="43" t="str">
        <f>'Input - Bookings'!D350</f>
        <v>P</v>
      </c>
      <c r="E350" s="43" t="str">
        <f>'Input - Bookings'!J350</f>
        <v>AU</v>
      </c>
      <c r="F350" s="44" t="str">
        <f>'Input - Bookings'!F350</f>
        <v>065</v>
      </c>
      <c r="G350" s="44" t="str">
        <f>'Input - Bookings'!I350</f>
        <v>ADAPT-A-LIFT GROUP (WA)</v>
      </c>
      <c r="H350" s="44" t="str">
        <f>'Input - Bookings'!K350</f>
        <v>H38647</v>
      </c>
      <c r="I350" s="45" t="str">
        <f>VLOOKUP(H350,'Input - Bookings'!$G$2:$H$611,2,0)</f>
        <v>087605</v>
      </c>
      <c r="J350" s="44" t="str">
        <f>'Input - Bookings'!N350</f>
        <v>A3C1</v>
      </c>
      <c r="K350" s="44" t="str">
        <f>'Input - Bookings'!O350</f>
        <v>H2.5UT</v>
      </c>
      <c r="L350" s="44" t="str">
        <f>'Input - Bookings'!C350</f>
        <v>AUD</v>
      </c>
      <c r="M350" s="46" t="str">
        <f t="array" ref="M350">IF(L350="USD",INDEX('AP Plants'!A:A,MATCH(J350,'AP Plants'!D:D,0)),INDEX('Australia Plants'!A:A,MATCH(J350,'Australia Plants'!D:D,0)))</f>
        <v>Maximal</v>
      </c>
      <c r="N350" s="10">
        <v>1.0</v>
      </c>
      <c r="O350" s="9">
        <v>29050.0</v>
      </c>
      <c r="P350" s="9">
        <v>23380.375</v>
      </c>
      <c r="Q350" s="47">
        <v>0.1964596754784751</v>
      </c>
      <c r="R350" s="48">
        <f t="shared" si="3"/>
        <v>0.1951678141</v>
      </c>
      <c r="S350" s="49">
        <f t="shared" si="4"/>
        <v>0</v>
      </c>
      <c r="T350" s="49">
        <f t="shared" si="21"/>
        <v>0.1964596755</v>
      </c>
      <c r="U350" s="50" t="str">
        <f t="shared" si="6"/>
        <v>AOP</v>
      </c>
      <c r="V350" s="51">
        <f t="shared" si="28"/>
        <v>4593.300885</v>
      </c>
      <c r="W350" s="52" t="str">
        <f t="shared" si="8"/>
        <v>#DIV/0!</v>
      </c>
      <c r="X350" s="9" t="str">
        <f t="shared" si="25"/>
        <v>#DIV/0!</v>
      </c>
      <c r="Y350" s="8"/>
      <c r="Z350" s="8"/>
      <c r="AA350" s="8"/>
      <c r="AB350" s="8" t="str">
        <f t="shared" si="10"/>
        <v>PAUH38647H2.5UT</v>
      </c>
      <c r="AC350" s="8" t="str">
        <f>IF(AB350='Input - Bookings'!S347,"OK","Check")</f>
        <v>Check</v>
      </c>
      <c r="AD350" s="53"/>
      <c r="AE350" s="54"/>
      <c r="AF350" s="54"/>
      <c r="AG350" s="55"/>
      <c r="AH350" s="62"/>
      <c r="AI350" s="8" t="str">
        <f t="array" ref="AI350">XLOOKUP($J350,'AP Plants'!D:D,'AP Plants'!B:B)</f>
        <v>Class 5 NOT BT</v>
      </c>
      <c r="AJ350" s="56"/>
      <c r="AK350" s="56"/>
      <c r="AL350" s="49">
        <v>0.015</v>
      </c>
      <c r="AM350" s="49">
        <f t="array" ref="AM350">XLOOKUP($AI350,Warranty!B:B,Warranty!E:E)</f>
        <v>0.005</v>
      </c>
      <c r="AN350" s="8">
        <f>IF($L350="AUD",VLOOKUP(RIGHT('Wk - Margins'!$J350,3),'AU Freight'!C:G,5,0),0)</f>
        <v>2000</v>
      </c>
      <c r="AO350" s="49">
        <f t="shared" si="11"/>
        <v>0</v>
      </c>
      <c r="AP350" s="63">
        <f t="shared" si="12"/>
        <v>2000</v>
      </c>
      <c r="AQ350" s="58">
        <f t="shared" si="13"/>
        <v>0.9144581727</v>
      </c>
      <c r="AR350" s="59">
        <f>IF(L350="AUD",O350*'Currency &amp; Conversion'!$L$7,'Wk - Margins'!O350)</f>
        <v>19506.49158</v>
      </c>
      <c r="AS350" s="59">
        <f>IF(L350="AUD",P350*'Currency &amp; Conversion'!$L$7,'Wk - Margins'!P350)</f>
        <v>15699.45226</v>
      </c>
    </row>
    <row r="351" ht="12.75" customHeight="1">
      <c r="A351" s="42" t="str">
        <f>'Input - Bookings'!A351</f>
        <v>25/06/2023</v>
      </c>
      <c r="B351" s="43" t="str">
        <f t="shared" si="1"/>
        <v>Australia</v>
      </c>
      <c r="C351" s="43" t="str">
        <f t="shared" si="2"/>
        <v>PAU</v>
      </c>
      <c r="D351" s="43" t="str">
        <f>'Input - Bookings'!D351</f>
        <v>P</v>
      </c>
      <c r="E351" s="43" t="str">
        <f>'Input - Bookings'!J351</f>
        <v>AU</v>
      </c>
      <c r="F351" s="44" t="str">
        <f>'Input - Bookings'!F351</f>
        <v>067</v>
      </c>
      <c r="G351" s="44" t="str">
        <f>'Input - Bookings'!I351</f>
        <v>RIVERINA L/TRUCKS (YALE)</v>
      </c>
      <c r="H351" s="44" t="str">
        <f>'Input - Bookings'!K351</f>
        <v>H39199</v>
      </c>
      <c r="I351" s="45" t="str">
        <f>VLOOKUP(H351,'Input - Bookings'!$G$2:$H$611,2,0)</f>
        <v>053665</v>
      </c>
      <c r="J351" s="44" t="str">
        <f>'Input - Bookings'!N351</f>
        <v>D909</v>
      </c>
      <c r="K351" s="44" t="str">
        <f>'Input - Bookings'!O351</f>
        <v>GP190VX</v>
      </c>
      <c r="L351" s="44" t="str">
        <f>'Input - Bookings'!C351</f>
        <v>AUD</v>
      </c>
      <c r="M351" s="46" t="str">
        <f t="array" ref="M351">IF(L351="USD",INDEX('AP Plants'!A:A,MATCH(J351,'AP Plants'!D:D,0)),INDEX('Australia Plants'!A:A,MATCH(J351,'Australia Plants'!D:D,0)))</f>
        <v>Berea</v>
      </c>
      <c r="N351" s="10">
        <v>1.0</v>
      </c>
      <c r="O351" s="9">
        <v>236650.0</v>
      </c>
      <c r="P351" s="9">
        <v>152298.33499999996</v>
      </c>
      <c r="Q351" s="47">
        <f>AQ351</f>
        <v>0.2580106088</v>
      </c>
      <c r="R351" s="48">
        <f t="shared" si="3"/>
        <v>0.3564405874</v>
      </c>
      <c r="S351" s="49">
        <f t="shared" si="4"/>
        <v>0</v>
      </c>
      <c r="T351" s="49">
        <f t="shared" si="21"/>
        <v>0.2580106088</v>
      </c>
      <c r="U351" s="50" t="str">
        <f t="shared" si="6"/>
        <v>AOP</v>
      </c>
      <c r="V351" s="51">
        <f t="shared" si="28"/>
        <v>39294.58613</v>
      </c>
      <c r="W351" s="52" t="str">
        <f t="shared" si="8"/>
        <v>#DIV/0!</v>
      </c>
      <c r="X351" s="9" t="str">
        <f t="shared" si="25"/>
        <v>#DIV/0!</v>
      </c>
      <c r="Y351" s="8"/>
      <c r="Z351" s="8"/>
      <c r="AA351" s="8"/>
      <c r="AB351" s="8" t="str">
        <f t="shared" si="10"/>
        <v>PAUH39199GP190VX</v>
      </c>
      <c r="AC351" s="8" t="str">
        <f>IF(AB351='Input - Bookings'!S348,"OK","Check")</f>
        <v>Check</v>
      </c>
      <c r="AD351" s="53"/>
      <c r="AE351" s="65">
        <v>0.0</v>
      </c>
      <c r="AF351" s="65">
        <v>0.0</v>
      </c>
      <c r="AG351" s="55">
        <v>70870.27</v>
      </c>
      <c r="AH351" s="62"/>
      <c r="AI351" s="8" t="str">
        <f t="array" ref="AI351">XLOOKUP($J351,'AP Plants'!D:D,'AP Plants'!B:B)</f>
        <v>Class 5 NOT BT</v>
      </c>
      <c r="AJ351" s="56">
        <f>(AG351*(1+VLOOKUP(M351,'Currency &amp; Conversion'!$F$13:$G$19,2,0))*'Currency &amp; Conversion'!$L$6)+((AE351+AF351)*90%)</f>
        <v>103925.244</v>
      </c>
      <c r="AK351" s="56"/>
      <c r="AL351" s="49">
        <v>0.015</v>
      </c>
      <c r="AM351" s="49">
        <f t="array" ref="AM351">XLOOKUP($AI351,Warranty!B:B,Warranty!E:E)</f>
        <v>0.005</v>
      </c>
      <c r="AN351" s="8">
        <f>IF($L351="AUD",VLOOKUP(RIGHT('Wk - Margins'!$J351,3),'AU Freight'!C:G,5,0),0)</f>
        <v>7000</v>
      </c>
      <c r="AO351" s="49">
        <f t="shared" si="11"/>
        <v>0</v>
      </c>
      <c r="AP351" s="63">
        <f t="shared" si="12"/>
        <v>113003.7489</v>
      </c>
      <c r="AQ351" s="64">
        <f t="shared" si="13"/>
        <v>0.2580106088</v>
      </c>
      <c r="AR351" s="59">
        <f>IF(L351="AUD",O351*'Currency &amp; Conversion'!$L$7,'Wk - Margins'!O351)</f>
        <v>158905.7223</v>
      </c>
      <c r="AS351" s="59">
        <f>IF(L351="AUD",P351*'Currency &amp; Conversion'!$L$7,'Wk - Margins'!P351)</f>
        <v>102265.2733</v>
      </c>
    </row>
    <row r="352" ht="12.75" hidden="1" customHeight="1">
      <c r="A352" s="42" t="str">
        <f>'Input - Bookings'!A352</f>
        <v>25/06/2023</v>
      </c>
      <c r="B352" s="43" t="str">
        <f t="shared" si="1"/>
        <v>Australia</v>
      </c>
      <c r="C352" s="43" t="str">
        <f t="shared" si="2"/>
        <v>PAU</v>
      </c>
      <c r="D352" s="43" t="str">
        <f>'Input - Bookings'!D352</f>
        <v>P</v>
      </c>
      <c r="E352" s="43" t="str">
        <f>'Input - Bookings'!J352</f>
        <v>AU</v>
      </c>
      <c r="F352" s="44" t="str">
        <f>'Input - Bookings'!F352</f>
        <v>065</v>
      </c>
      <c r="G352" s="44" t="str">
        <f>'Input - Bookings'!I352</f>
        <v>ADAPT-A-LIFT GROUP (QLD)</v>
      </c>
      <c r="H352" s="44" t="str">
        <f>'Input - Bookings'!K352</f>
        <v>H39198</v>
      </c>
      <c r="I352" s="45" t="str">
        <f>VLOOKUP(H352,'Input - Bookings'!$G$2:$H$611,2,0)</f>
        <v>087575</v>
      </c>
      <c r="J352" s="44" t="str">
        <f>'Input - Bookings'!N352</f>
        <v>D466</v>
      </c>
      <c r="K352" s="44" t="str">
        <f>'Input - Bookings'!O352</f>
        <v>H3.5XT</v>
      </c>
      <c r="L352" s="44" t="str">
        <f>'Input - Bookings'!C352</f>
        <v>AUD</v>
      </c>
      <c r="M352" s="46" t="str">
        <f t="array" ref="M352">IF(L352="USD",INDEX('AP Plants'!A:A,MATCH(J352,'AP Plants'!D:D,0)),INDEX('Australia Plants'!A:A,MATCH(J352,'Australia Plants'!D:D,0)))</f>
        <v>SN</v>
      </c>
      <c r="N352" s="10">
        <v>1.0</v>
      </c>
      <c r="O352" s="9">
        <v>45090.0</v>
      </c>
      <c r="P352" s="9">
        <v>38905.221999999994</v>
      </c>
      <c r="Q352" s="47">
        <v>0.1058195970127126</v>
      </c>
      <c r="R352" s="48">
        <f t="shared" si="3"/>
        <v>0.1371651807</v>
      </c>
      <c r="S352" s="49">
        <f t="shared" si="4"/>
        <v>0</v>
      </c>
      <c r="T352" s="49">
        <f t="shared" si="21"/>
        <v>0.105819597</v>
      </c>
      <c r="U352" s="50" t="str">
        <f t="shared" si="6"/>
        <v>AOP</v>
      </c>
      <c r="V352" s="51">
        <f t="shared" si="28"/>
        <v>4116.934914</v>
      </c>
      <c r="W352" s="52" t="str">
        <f t="shared" si="8"/>
        <v>#DIV/0!</v>
      </c>
      <c r="X352" s="9" t="str">
        <f t="shared" si="25"/>
        <v>#DIV/0!</v>
      </c>
      <c r="Y352" s="8"/>
      <c r="Z352" s="8"/>
      <c r="AA352" s="8"/>
      <c r="AB352" s="8" t="str">
        <f t="shared" si="10"/>
        <v>PAUH39198H3.5XT</v>
      </c>
      <c r="AC352" s="8" t="str">
        <f>IF(AB352='Input - Bookings'!S349,"OK","Check")</f>
        <v>Check</v>
      </c>
      <c r="AD352" s="53"/>
      <c r="AE352" s="65"/>
      <c r="AF352" s="65"/>
      <c r="AG352" s="55"/>
      <c r="AH352" s="62"/>
      <c r="AI352" s="8" t="str">
        <f t="array" ref="AI352">XLOOKUP($J352,'AP Plants'!D:D,'AP Plants'!B:B)</f>
        <v>Class 5 NOT BT</v>
      </c>
      <c r="AJ352" s="56"/>
      <c r="AK352" s="56"/>
      <c r="AL352" s="49">
        <v>0.015</v>
      </c>
      <c r="AM352" s="49">
        <f t="array" ref="AM352">XLOOKUP($AI352,Warranty!B:B,Warranty!E:E)</f>
        <v>0.005</v>
      </c>
      <c r="AN352" s="8">
        <f>IF($L352="AUD",VLOOKUP(RIGHT('Wk - Margins'!$J352,3),'AU Freight'!C:G,5,0),0)</f>
        <v>2130</v>
      </c>
      <c r="AO352" s="49">
        <f t="shared" si="11"/>
        <v>0</v>
      </c>
      <c r="AP352" s="63">
        <f t="shared" si="12"/>
        <v>2130</v>
      </c>
      <c r="AQ352" s="58">
        <f t="shared" si="13"/>
        <v>0.9452515655</v>
      </c>
      <c r="AR352" s="59">
        <f>IF(L352="AUD",O352*'Currency &amp; Conversion'!$L$7,'Wk - Margins'!O352)</f>
        <v>30277.02945</v>
      </c>
      <c r="AS352" s="59">
        <f>IF(L352="AUD",P352*'Currency &amp; Conversion'!$L$7,'Wk - Margins'!P352)</f>
        <v>26124.07523</v>
      </c>
    </row>
    <row r="353" ht="12.75" hidden="1" customHeight="1">
      <c r="A353" s="42" t="str">
        <f>'Input - Bookings'!A353</f>
        <v>26/06/2023</v>
      </c>
      <c r="B353" s="43" t="str">
        <f t="shared" si="1"/>
        <v>Pacific</v>
      </c>
      <c r="C353" s="43" t="str">
        <f t="shared" si="2"/>
        <v>PNZ</v>
      </c>
      <c r="D353" s="43" t="str">
        <f>'Input - Bookings'!D353</f>
        <v>P</v>
      </c>
      <c r="E353" s="43" t="str">
        <f>'Input - Bookings'!J353</f>
        <v>NZ</v>
      </c>
      <c r="F353" s="44" t="str">
        <f>'Input - Bookings'!F353</f>
        <v>067</v>
      </c>
      <c r="G353" s="44" t="str">
        <f>'Input - Bookings'!I353</f>
        <v>S.G EQUIPMENT LTD</v>
      </c>
      <c r="H353" s="44" t="str">
        <f>'Input - Bookings'!K353</f>
        <v>H39453</v>
      </c>
      <c r="I353" s="45" t="str">
        <f>VLOOKUP(H353,'Input - Bookings'!$G$2:$H$611,2,0)</f>
        <v>862065</v>
      </c>
      <c r="J353" s="44" t="str">
        <f>'Input - Bookings'!N353</f>
        <v>D871</v>
      </c>
      <c r="K353" s="44" t="str">
        <f>'Input - Bookings'!O353</f>
        <v>GP25MX</v>
      </c>
      <c r="L353" s="44" t="str">
        <f>'Input - Bookings'!C353</f>
        <v>USD</v>
      </c>
      <c r="M353" s="46" t="str">
        <f t="array" ref="M353">IF(L353="USD",INDEX('AP Plants'!A:A,MATCH(J353,'AP Plants'!D:D,0)),INDEX('Australia Plants'!A:A,MATCH(J353,'Australia Plants'!D:D,0)))</f>
        <v>SN</v>
      </c>
      <c r="N353" s="10">
        <v>1.0</v>
      </c>
      <c r="O353" s="9">
        <v>31825.0</v>
      </c>
      <c r="P353" s="9">
        <v>21422.275</v>
      </c>
      <c r="Q353" s="47">
        <v>0.20670661524884026</v>
      </c>
      <c r="R353" s="48">
        <f t="shared" si="3"/>
        <v>0.3268727416</v>
      </c>
      <c r="S353" s="49">
        <f t="shared" si="4"/>
        <v>0</v>
      </c>
      <c r="T353" s="49">
        <f t="shared" si="21"/>
        <v>0.2067066152</v>
      </c>
      <c r="U353" s="50" t="str">
        <f t="shared" si="6"/>
        <v>AOP</v>
      </c>
      <c r="V353" s="51">
        <f t="shared" si="28"/>
        <v>4428.125956</v>
      </c>
      <c r="W353" s="52">
        <f t="shared" si="8"/>
        <v>4428.125956</v>
      </c>
      <c r="X353" s="9">
        <f t="shared" si="25"/>
        <v>21422.275</v>
      </c>
      <c r="Y353" s="8"/>
      <c r="Z353" s="8"/>
      <c r="AA353" s="8"/>
      <c r="AB353" s="8" t="str">
        <f t="shared" si="10"/>
        <v>PNZH39453GP25MX</v>
      </c>
      <c r="AC353" s="8" t="str">
        <f>IF(AB353='Input - Bookings'!S350,"OK","Check")</f>
        <v>Check</v>
      </c>
      <c r="AD353" s="53"/>
      <c r="AE353" s="54"/>
      <c r="AF353" s="54"/>
      <c r="AG353" s="55"/>
      <c r="AH353" s="62"/>
      <c r="AI353" s="8" t="str">
        <f t="array" ref="AI353">XLOOKUP($J353,'AP Plants'!D:D,'AP Plants'!B:B)</f>
        <v>Class 5 NOT BT</v>
      </c>
      <c r="AJ353" s="56"/>
      <c r="AK353" s="56"/>
      <c r="AL353" s="49">
        <v>0.015</v>
      </c>
      <c r="AM353" s="49">
        <f t="array" ref="AM353">XLOOKUP($AI353,Warranty!B:B,Warranty!E:E)</f>
        <v>0.005</v>
      </c>
      <c r="AN353" s="8">
        <f>IF($L353="AUD",VLOOKUP(RIGHT('Wk - Margins'!$J353,3),'AU Freight'!C:G,5,0),0)</f>
        <v>0</v>
      </c>
      <c r="AO353" s="49">
        <f t="shared" si="11"/>
        <v>0</v>
      </c>
      <c r="AP353" s="57">
        <f t="shared" si="12"/>
        <v>0</v>
      </c>
      <c r="AQ353" s="58">
        <f t="shared" si="13"/>
        <v>1</v>
      </c>
      <c r="AR353" s="59">
        <f>IF(L353="AUD",O353*'Currency &amp; Conversion'!$L$7,'Wk - Margins'!O353)</f>
        <v>31825</v>
      </c>
      <c r="AS353" s="59">
        <f>IF(L353="AUD",P353*'Currency &amp; Conversion'!$L$7,'Wk - Margins'!P353)</f>
        <v>21422.275</v>
      </c>
    </row>
    <row r="354" ht="12.75" hidden="1" customHeight="1">
      <c r="A354" s="42" t="str">
        <f>'Input - Bookings'!A354</f>
        <v>26/06/2023</v>
      </c>
      <c r="B354" s="43" t="str">
        <f t="shared" si="1"/>
        <v>Pacific</v>
      </c>
      <c r="C354" s="43" t="str">
        <f t="shared" si="2"/>
        <v>PNZ</v>
      </c>
      <c r="D354" s="43" t="str">
        <f>'Input - Bookings'!D354</f>
        <v>P</v>
      </c>
      <c r="E354" s="43" t="str">
        <f>'Input - Bookings'!J354</f>
        <v>NZ</v>
      </c>
      <c r="F354" s="44" t="str">
        <f>'Input - Bookings'!F354</f>
        <v>067</v>
      </c>
      <c r="G354" s="44" t="str">
        <f>'Input - Bookings'!I354</f>
        <v>S.G EQUIPMENT LTD</v>
      </c>
      <c r="H354" s="44" t="str">
        <f>'Input - Bookings'!K354</f>
        <v>H39457</v>
      </c>
      <c r="I354" s="45" t="str">
        <f>VLOOKUP(H354,'Input - Bookings'!$G$2:$H$611,2,0)</f>
        <v>862065</v>
      </c>
      <c r="J354" s="44" t="str">
        <f>'Input - Bookings'!N354</f>
        <v>D871</v>
      </c>
      <c r="K354" s="44" t="str">
        <f>'Input - Bookings'!O354</f>
        <v>GP25MX</v>
      </c>
      <c r="L354" s="44" t="str">
        <f>'Input - Bookings'!C354</f>
        <v>USD</v>
      </c>
      <c r="M354" s="46" t="str">
        <f t="array" ref="M354">IF(L354="USD",INDEX('AP Plants'!A:A,MATCH(J354,'AP Plants'!D:D,0)),INDEX('Australia Plants'!A:A,MATCH(J354,'Australia Plants'!D:D,0)))</f>
        <v>SN</v>
      </c>
      <c r="N354" s="10">
        <v>1.0</v>
      </c>
      <c r="O354" s="9">
        <v>31825.0</v>
      </c>
      <c r="P354" s="9">
        <v>21422.275</v>
      </c>
      <c r="Q354" s="47">
        <v>0.20670661524884026</v>
      </c>
      <c r="R354" s="48">
        <f t="shared" si="3"/>
        <v>0.3268727416</v>
      </c>
      <c r="S354" s="49">
        <f t="shared" si="4"/>
        <v>0</v>
      </c>
      <c r="T354" s="49">
        <f t="shared" si="21"/>
        <v>0.2067066152</v>
      </c>
      <c r="U354" s="50" t="str">
        <f t="shared" si="6"/>
        <v>AOP</v>
      </c>
      <c r="V354" s="51">
        <f t="shared" si="28"/>
        <v>4428.125956</v>
      </c>
      <c r="W354" s="52">
        <f t="shared" si="8"/>
        <v>4428.125956</v>
      </c>
      <c r="X354" s="9">
        <f t="shared" si="25"/>
        <v>21422.275</v>
      </c>
      <c r="Y354" s="8"/>
      <c r="Z354" s="8"/>
      <c r="AA354" s="8"/>
      <c r="AB354" s="8" t="str">
        <f t="shared" si="10"/>
        <v>PNZH39457GP25MX</v>
      </c>
      <c r="AC354" s="8" t="str">
        <f>IF(AB354='Input - Bookings'!S351,"OK","Check")</f>
        <v>Check</v>
      </c>
      <c r="AD354" s="53"/>
      <c r="AE354" s="54"/>
      <c r="AF354" s="54"/>
      <c r="AG354" s="55"/>
      <c r="AH354" s="62"/>
      <c r="AI354" s="8" t="str">
        <f t="array" ref="AI354">XLOOKUP($J354,'AP Plants'!D:D,'AP Plants'!B:B)</f>
        <v>Class 5 NOT BT</v>
      </c>
      <c r="AJ354" s="56"/>
      <c r="AK354" s="56"/>
      <c r="AL354" s="49">
        <v>0.015</v>
      </c>
      <c r="AM354" s="49">
        <f t="array" ref="AM354">XLOOKUP($AI354,Warranty!B:B,Warranty!E:E)</f>
        <v>0.005</v>
      </c>
      <c r="AN354" s="8">
        <f>IF($L354="AUD",VLOOKUP(RIGHT('Wk - Margins'!$J354,3),'AU Freight'!C:G,5,0),0)</f>
        <v>0</v>
      </c>
      <c r="AO354" s="49">
        <f t="shared" si="11"/>
        <v>0</v>
      </c>
      <c r="AP354" s="57">
        <f t="shared" si="12"/>
        <v>0</v>
      </c>
      <c r="AQ354" s="58">
        <f t="shared" si="13"/>
        <v>1</v>
      </c>
      <c r="AR354" s="59">
        <f>IF(L354="AUD",O354*'Currency &amp; Conversion'!$L$7,'Wk - Margins'!O354)</f>
        <v>31825</v>
      </c>
      <c r="AS354" s="59">
        <f>IF(L354="AUD",P354*'Currency &amp; Conversion'!$L$7,'Wk - Margins'!P354)</f>
        <v>21422.275</v>
      </c>
    </row>
    <row r="355" ht="12.75" hidden="1" customHeight="1">
      <c r="A355" s="42" t="str">
        <f>'Input - Bookings'!A355</f>
        <v>26/06/2023</v>
      </c>
      <c r="B355" s="43" t="str">
        <f t="shared" si="1"/>
        <v>Pacific</v>
      </c>
      <c r="C355" s="43" t="str">
        <f t="shared" si="2"/>
        <v>PNZ</v>
      </c>
      <c r="D355" s="43" t="str">
        <f>'Input - Bookings'!D355</f>
        <v>P</v>
      </c>
      <c r="E355" s="43" t="str">
        <f>'Input - Bookings'!J355</f>
        <v>NZ</v>
      </c>
      <c r="F355" s="44" t="str">
        <f>'Input - Bookings'!F355</f>
        <v>067</v>
      </c>
      <c r="G355" s="44" t="str">
        <f>'Input - Bookings'!I355</f>
        <v>S.G EQUIPMENT LTD</v>
      </c>
      <c r="H355" s="44" t="str">
        <f>'Input - Bookings'!K355</f>
        <v>H39454</v>
      </c>
      <c r="I355" s="45" t="str">
        <f>VLOOKUP(H355,'Input - Bookings'!$G$2:$H$611,2,0)</f>
        <v>862065</v>
      </c>
      <c r="J355" s="44" t="str">
        <f>'Input - Bookings'!N355</f>
        <v>D871</v>
      </c>
      <c r="K355" s="44" t="str">
        <f>'Input - Bookings'!O355</f>
        <v>GP25MX</v>
      </c>
      <c r="L355" s="44" t="str">
        <f>'Input - Bookings'!C355</f>
        <v>USD</v>
      </c>
      <c r="M355" s="46" t="str">
        <f t="array" ref="M355">IF(L355="USD",INDEX('AP Plants'!A:A,MATCH(J355,'AP Plants'!D:D,0)),INDEX('Australia Plants'!A:A,MATCH(J355,'Australia Plants'!D:D,0)))</f>
        <v>SN</v>
      </c>
      <c r="N355" s="10">
        <v>1.0</v>
      </c>
      <c r="O355" s="9">
        <v>34000.0</v>
      </c>
      <c r="P355" s="9">
        <v>23042.65</v>
      </c>
      <c r="Q355" s="47">
        <v>0.2230174557209701</v>
      </c>
      <c r="R355" s="48">
        <f t="shared" si="3"/>
        <v>0.322275</v>
      </c>
      <c r="S355" s="49">
        <f t="shared" si="4"/>
        <v>0</v>
      </c>
      <c r="T355" s="49">
        <f t="shared" si="21"/>
        <v>0.2230174557</v>
      </c>
      <c r="U355" s="50" t="str">
        <f t="shared" si="6"/>
        <v>AOP</v>
      </c>
      <c r="V355" s="51">
        <f t="shared" si="28"/>
        <v>5138.913176</v>
      </c>
      <c r="W355" s="52">
        <f t="shared" si="8"/>
        <v>5138.913176</v>
      </c>
      <c r="X355" s="9">
        <f t="shared" si="25"/>
        <v>23042.65</v>
      </c>
      <c r="Y355" s="8"/>
      <c r="Z355" s="8"/>
      <c r="AA355" s="8"/>
      <c r="AB355" s="8" t="str">
        <f t="shared" si="10"/>
        <v>PNZH39454GP25MX</v>
      </c>
      <c r="AC355" s="8" t="str">
        <f>IF(AB355='Input - Bookings'!S352,"OK","Check")</f>
        <v>Check</v>
      </c>
      <c r="AD355" s="53"/>
      <c r="AE355" s="54"/>
      <c r="AF355" s="54"/>
      <c r="AG355" s="55"/>
      <c r="AH355" s="62"/>
      <c r="AI355" s="8" t="str">
        <f t="array" ref="AI355">XLOOKUP($J355,'AP Plants'!D:D,'AP Plants'!B:B)</f>
        <v>Class 5 NOT BT</v>
      </c>
      <c r="AJ355" s="56"/>
      <c r="AK355" s="56"/>
      <c r="AL355" s="49">
        <v>0.015</v>
      </c>
      <c r="AM355" s="49">
        <f t="array" ref="AM355">XLOOKUP($AI355,Warranty!B:B,Warranty!E:E)</f>
        <v>0.005</v>
      </c>
      <c r="AN355" s="8">
        <f>IF($L355="AUD",VLOOKUP(RIGHT('Wk - Margins'!$J355,3),'AU Freight'!C:G,5,0),0)</f>
        <v>0</v>
      </c>
      <c r="AO355" s="49">
        <f t="shared" si="11"/>
        <v>0</v>
      </c>
      <c r="AP355" s="57">
        <f t="shared" si="12"/>
        <v>0</v>
      </c>
      <c r="AQ355" s="58">
        <f t="shared" si="13"/>
        <v>1</v>
      </c>
      <c r="AR355" s="59">
        <f>IF(L355="AUD",O355*'Currency &amp; Conversion'!$L$7,'Wk - Margins'!O355)</f>
        <v>34000</v>
      </c>
      <c r="AS355" s="59">
        <f>IF(L355="AUD",P355*'Currency &amp; Conversion'!$L$7,'Wk - Margins'!P355)</f>
        <v>23042.65</v>
      </c>
    </row>
    <row r="356" ht="12.75" hidden="1" customHeight="1">
      <c r="A356" s="42" t="str">
        <f>'Input - Bookings'!A356</f>
        <v>26/06/2023</v>
      </c>
      <c r="B356" s="43" t="str">
        <f t="shared" si="1"/>
        <v>Pacific</v>
      </c>
      <c r="C356" s="43" t="str">
        <f t="shared" si="2"/>
        <v>PNZ</v>
      </c>
      <c r="D356" s="43" t="str">
        <f>'Input - Bookings'!D356</f>
        <v>P</v>
      </c>
      <c r="E356" s="43" t="str">
        <f>'Input - Bookings'!J356</f>
        <v>NZ</v>
      </c>
      <c r="F356" s="44" t="str">
        <f>'Input - Bookings'!F356</f>
        <v>067</v>
      </c>
      <c r="G356" s="44" t="str">
        <f>'Input - Bookings'!I356</f>
        <v>S.G EQUIPMENT LTD</v>
      </c>
      <c r="H356" s="44" t="str">
        <f>'Input - Bookings'!K356</f>
        <v>H39458</v>
      </c>
      <c r="I356" s="45" t="str">
        <f>VLOOKUP(H356,'Input - Bookings'!$G$2:$H$611,2,0)</f>
        <v>862065</v>
      </c>
      <c r="J356" s="44" t="str">
        <f>'Input - Bookings'!N356</f>
        <v>D871</v>
      </c>
      <c r="K356" s="44" t="str">
        <f>'Input - Bookings'!O356</f>
        <v>GP25MX</v>
      </c>
      <c r="L356" s="44" t="str">
        <f>'Input - Bookings'!C356</f>
        <v>USD</v>
      </c>
      <c r="M356" s="46" t="str">
        <f t="array" ref="M356">IF(L356="USD",INDEX('AP Plants'!A:A,MATCH(J356,'AP Plants'!D:D,0)),INDEX('Australia Plants'!A:A,MATCH(J356,'Australia Plants'!D:D,0)))</f>
        <v>SN</v>
      </c>
      <c r="N356" s="10">
        <v>1.0</v>
      </c>
      <c r="O356" s="9">
        <v>34000.0</v>
      </c>
      <c r="P356" s="9">
        <v>23042.65</v>
      </c>
      <c r="Q356" s="47">
        <v>0.2230174557209701</v>
      </c>
      <c r="R356" s="48">
        <f t="shared" si="3"/>
        <v>0.322275</v>
      </c>
      <c r="S356" s="49">
        <f t="shared" si="4"/>
        <v>0</v>
      </c>
      <c r="T356" s="49">
        <f t="shared" si="21"/>
        <v>0.2230174557</v>
      </c>
      <c r="U356" s="50" t="str">
        <f t="shared" si="6"/>
        <v>AOP</v>
      </c>
      <c r="V356" s="51">
        <f t="shared" si="28"/>
        <v>5138.913176</v>
      </c>
      <c r="W356" s="52">
        <f t="shared" si="8"/>
        <v>5138.913176</v>
      </c>
      <c r="X356" s="9">
        <f t="shared" si="25"/>
        <v>23042.65</v>
      </c>
      <c r="Y356" s="8"/>
      <c r="Z356" s="8"/>
      <c r="AA356" s="8"/>
      <c r="AB356" s="8" t="str">
        <f t="shared" si="10"/>
        <v>PNZH39458GP25MX</v>
      </c>
      <c r="AC356" s="8" t="str">
        <f>IF(AB356='Input - Bookings'!S353,"OK","Check")</f>
        <v>Check</v>
      </c>
      <c r="AD356" s="53"/>
      <c r="AE356" s="54"/>
      <c r="AF356" s="54"/>
      <c r="AG356" s="55"/>
      <c r="AH356" s="55"/>
      <c r="AI356" s="8" t="str">
        <f t="array" ref="AI356">XLOOKUP($J356,'AP Plants'!D:D,'AP Plants'!B:B)</f>
        <v>Class 5 NOT BT</v>
      </c>
      <c r="AJ356" s="56"/>
      <c r="AK356" s="56"/>
      <c r="AL356" s="49">
        <v>0.015</v>
      </c>
      <c r="AM356" s="49">
        <f t="array" ref="AM356">XLOOKUP($AI356,Warranty!B:B,Warranty!E:E)</f>
        <v>0.005</v>
      </c>
      <c r="AN356" s="8">
        <f>IF($L356="AUD",VLOOKUP(RIGHT('Wk - Margins'!$J356,3),'AU Freight'!C:G,5,0),0)</f>
        <v>0</v>
      </c>
      <c r="AO356" s="49">
        <f t="shared" si="11"/>
        <v>0</v>
      </c>
      <c r="AP356" s="57">
        <f t="shared" si="12"/>
        <v>0</v>
      </c>
      <c r="AQ356" s="58">
        <f t="shared" si="13"/>
        <v>1</v>
      </c>
      <c r="AR356" s="59">
        <f>IF(L356="AUD",O356*'Currency &amp; Conversion'!$L$7,'Wk - Margins'!O356)</f>
        <v>34000</v>
      </c>
      <c r="AS356" s="59">
        <f>IF(L356="AUD",P356*'Currency &amp; Conversion'!$L$7,'Wk - Margins'!P356)</f>
        <v>23042.65</v>
      </c>
    </row>
    <row r="357" ht="12.75" hidden="1" customHeight="1">
      <c r="A357" s="42" t="str">
        <f>'Input - Bookings'!A357</f>
        <v>26/06/2023</v>
      </c>
      <c r="B357" s="43" t="str">
        <f t="shared" si="1"/>
        <v>Pacific</v>
      </c>
      <c r="C357" s="43" t="str">
        <f t="shared" si="2"/>
        <v>PNZ</v>
      </c>
      <c r="D357" s="43" t="str">
        <f>'Input - Bookings'!D357</f>
        <v>P</v>
      </c>
      <c r="E357" s="43" t="str">
        <f>'Input - Bookings'!J357</f>
        <v>NZ</v>
      </c>
      <c r="F357" s="44" t="str">
        <f>'Input - Bookings'!F357</f>
        <v>067</v>
      </c>
      <c r="G357" s="44" t="str">
        <f>'Input - Bookings'!I357</f>
        <v>S.G EQUIPMENT LTD</v>
      </c>
      <c r="H357" s="44" t="str">
        <f>'Input - Bookings'!K357</f>
        <v>H39455</v>
      </c>
      <c r="I357" s="45" t="str">
        <f>VLOOKUP(H357,'Input - Bookings'!$G$2:$H$611,2,0)</f>
        <v>862065</v>
      </c>
      <c r="J357" s="44" t="str">
        <f>'Input - Bookings'!N357</f>
        <v>D871</v>
      </c>
      <c r="K357" s="44" t="str">
        <f>'Input - Bookings'!O357</f>
        <v>GP30MX</v>
      </c>
      <c r="L357" s="44" t="str">
        <f>'Input - Bookings'!C357</f>
        <v>USD</v>
      </c>
      <c r="M357" s="46" t="str">
        <f t="array" ref="M357">IF(L357="USD",INDEX('AP Plants'!A:A,MATCH(J357,'AP Plants'!D:D,0)),INDEX('Australia Plants'!A:A,MATCH(J357,'Australia Plants'!D:D,0)))</f>
        <v>SN</v>
      </c>
      <c r="N357" s="10">
        <v>1.0</v>
      </c>
      <c r="O357" s="9">
        <v>34275.0</v>
      </c>
      <c r="P357" s="9">
        <v>23126.025</v>
      </c>
      <c r="Q357" s="47">
        <v>0.20845241798400282</v>
      </c>
      <c r="R357" s="48">
        <f t="shared" si="3"/>
        <v>0.3252800875</v>
      </c>
      <c r="S357" s="49">
        <f t="shared" si="4"/>
        <v>0</v>
      </c>
      <c r="T357" s="49">
        <f t="shared" si="21"/>
        <v>0.208452418</v>
      </c>
      <c r="U357" s="50" t="str">
        <f t="shared" si="6"/>
        <v>AOP</v>
      </c>
      <c r="V357" s="51">
        <f t="shared" si="28"/>
        <v>4820.67583</v>
      </c>
      <c r="W357" s="52">
        <f t="shared" si="8"/>
        <v>4820.67583</v>
      </c>
      <c r="X357" s="9">
        <f t="shared" si="25"/>
        <v>23126.025</v>
      </c>
      <c r="Y357" s="8"/>
      <c r="Z357" s="8"/>
      <c r="AA357" s="8"/>
      <c r="AB357" s="8" t="str">
        <f t="shared" si="10"/>
        <v>PNZH39455GP30MX</v>
      </c>
      <c r="AC357" s="8" t="str">
        <f>IF(AB357='Input - Bookings'!S354,"OK","Check")</f>
        <v>Check</v>
      </c>
      <c r="AD357" s="53"/>
      <c r="AE357" s="54"/>
      <c r="AF357" s="54"/>
      <c r="AG357" s="55"/>
      <c r="AH357" s="55"/>
      <c r="AI357" s="8" t="str">
        <f t="array" ref="AI357">XLOOKUP($J357,'AP Plants'!D:D,'AP Plants'!B:B)</f>
        <v>Class 5 NOT BT</v>
      </c>
      <c r="AJ357" s="56"/>
      <c r="AK357" s="56"/>
      <c r="AL357" s="49">
        <v>0.015</v>
      </c>
      <c r="AM357" s="49">
        <f t="array" ref="AM357">XLOOKUP($AI357,Warranty!B:B,Warranty!E:E)</f>
        <v>0.005</v>
      </c>
      <c r="AN357" s="8">
        <f>IF($L357="AUD",VLOOKUP(RIGHT('Wk - Margins'!$J357,3),'AU Freight'!C:G,5,0),0)</f>
        <v>0</v>
      </c>
      <c r="AO357" s="49">
        <f t="shared" si="11"/>
        <v>0</v>
      </c>
      <c r="AP357" s="57">
        <f t="shared" si="12"/>
        <v>0</v>
      </c>
      <c r="AQ357" s="58">
        <f t="shared" si="13"/>
        <v>1</v>
      </c>
      <c r="AR357" s="59">
        <f>IF(L357="AUD",O357*'Currency &amp; Conversion'!$L$7,'Wk - Margins'!O357)</f>
        <v>34275</v>
      </c>
      <c r="AS357" s="59">
        <f>IF(L357="AUD",P357*'Currency &amp; Conversion'!$L$7,'Wk - Margins'!P357)</f>
        <v>23126.025</v>
      </c>
    </row>
    <row r="358" ht="12.75" hidden="1" customHeight="1">
      <c r="A358" s="42" t="str">
        <f>'Input - Bookings'!A358</f>
        <v>26/06/2023</v>
      </c>
      <c r="B358" s="43" t="str">
        <f t="shared" si="1"/>
        <v>Pacific</v>
      </c>
      <c r="C358" s="43" t="str">
        <f t="shared" si="2"/>
        <v>PNZ</v>
      </c>
      <c r="D358" s="43" t="str">
        <f>'Input - Bookings'!D358</f>
        <v>P</v>
      </c>
      <c r="E358" s="43" t="str">
        <f>'Input - Bookings'!J358</f>
        <v>NZ</v>
      </c>
      <c r="F358" s="44" t="str">
        <f>'Input - Bookings'!F358</f>
        <v>067</v>
      </c>
      <c r="G358" s="44" t="str">
        <f>'Input - Bookings'!I358</f>
        <v>S.G EQUIPMENT LTD</v>
      </c>
      <c r="H358" s="44" t="str">
        <f>'Input - Bookings'!K358</f>
        <v>H39459</v>
      </c>
      <c r="I358" s="45" t="str">
        <f>VLOOKUP(H358,'Input - Bookings'!$G$2:$H$611,2,0)</f>
        <v>862065</v>
      </c>
      <c r="J358" s="44" t="str">
        <f>'Input - Bookings'!N358</f>
        <v>D871</v>
      </c>
      <c r="K358" s="44" t="str">
        <f>'Input - Bookings'!O358</f>
        <v>GP30MX</v>
      </c>
      <c r="L358" s="44" t="str">
        <f>'Input - Bookings'!C358</f>
        <v>USD</v>
      </c>
      <c r="M358" s="46" t="str">
        <f t="array" ref="M358">IF(L358="USD",INDEX('AP Plants'!A:A,MATCH(J358,'AP Plants'!D:D,0)),INDEX('Australia Plants'!A:A,MATCH(J358,'Australia Plants'!D:D,0)))</f>
        <v>SN</v>
      </c>
      <c r="N358" s="10">
        <v>1.0</v>
      </c>
      <c r="O358" s="9">
        <v>34275.0</v>
      </c>
      <c r="P358" s="9">
        <v>23126.025</v>
      </c>
      <c r="Q358" s="47">
        <v>0.20845241798400282</v>
      </c>
      <c r="R358" s="48">
        <f t="shared" si="3"/>
        <v>0.3252800875</v>
      </c>
      <c r="S358" s="49">
        <f t="shared" si="4"/>
        <v>0</v>
      </c>
      <c r="T358" s="49">
        <f t="shared" si="21"/>
        <v>0.208452418</v>
      </c>
      <c r="U358" s="50" t="str">
        <f t="shared" si="6"/>
        <v>AOP</v>
      </c>
      <c r="V358" s="51">
        <f t="shared" si="28"/>
        <v>4820.67583</v>
      </c>
      <c r="W358" s="52">
        <f t="shared" si="8"/>
        <v>4820.67583</v>
      </c>
      <c r="X358" s="9">
        <f t="shared" si="25"/>
        <v>23126.025</v>
      </c>
      <c r="Y358" s="8"/>
      <c r="Z358" s="8"/>
      <c r="AA358" s="8"/>
      <c r="AB358" s="8" t="str">
        <f t="shared" si="10"/>
        <v>PNZH39459GP30MX</v>
      </c>
      <c r="AC358" s="8" t="str">
        <f>IF(AB358='Input - Bookings'!S355,"OK","Check")</f>
        <v>Check</v>
      </c>
      <c r="AD358" s="53"/>
      <c r="AE358" s="54"/>
      <c r="AF358" s="54"/>
      <c r="AG358" s="55"/>
      <c r="AH358" s="55"/>
      <c r="AI358" s="8" t="str">
        <f t="array" ref="AI358">XLOOKUP($J358,'AP Plants'!D:D,'AP Plants'!B:B)</f>
        <v>Class 5 NOT BT</v>
      </c>
      <c r="AJ358" s="56"/>
      <c r="AK358" s="56"/>
      <c r="AL358" s="49">
        <v>0.015</v>
      </c>
      <c r="AM358" s="49">
        <f t="array" ref="AM358">XLOOKUP($AI358,Warranty!B:B,Warranty!E:E)</f>
        <v>0.005</v>
      </c>
      <c r="AN358" s="8">
        <f>IF($L358="AUD",VLOOKUP(RIGHT('Wk - Margins'!$J358,3),'AU Freight'!C:G,5,0),0)</f>
        <v>0</v>
      </c>
      <c r="AO358" s="49">
        <f t="shared" si="11"/>
        <v>0</v>
      </c>
      <c r="AP358" s="57">
        <f t="shared" si="12"/>
        <v>0</v>
      </c>
      <c r="AQ358" s="58">
        <f t="shared" si="13"/>
        <v>1</v>
      </c>
      <c r="AR358" s="59">
        <f>IF(L358="AUD",O358*'Currency &amp; Conversion'!$L$7,'Wk - Margins'!O358)</f>
        <v>34275</v>
      </c>
      <c r="AS358" s="59">
        <f>IF(L358="AUD",P358*'Currency &amp; Conversion'!$L$7,'Wk - Margins'!P358)</f>
        <v>23126.025</v>
      </c>
    </row>
    <row r="359" ht="12.75" hidden="1" customHeight="1">
      <c r="A359" s="42" t="str">
        <f>'Input - Bookings'!A359</f>
        <v>26/06/2023</v>
      </c>
      <c r="B359" s="43" t="str">
        <f t="shared" si="1"/>
        <v>Pacific</v>
      </c>
      <c r="C359" s="43" t="str">
        <f t="shared" si="2"/>
        <v>PNZ</v>
      </c>
      <c r="D359" s="43" t="str">
        <f>'Input - Bookings'!D359</f>
        <v>P</v>
      </c>
      <c r="E359" s="43" t="str">
        <f>'Input - Bookings'!J359</f>
        <v>NZ</v>
      </c>
      <c r="F359" s="44" t="str">
        <f>'Input - Bookings'!F359</f>
        <v>067</v>
      </c>
      <c r="G359" s="44" t="str">
        <f>'Input - Bookings'!I359</f>
        <v>S.G EQUIPMENT LTD</v>
      </c>
      <c r="H359" s="44" t="str">
        <f>'Input - Bookings'!K359</f>
        <v>H39456</v>
      </c>
      <c r="I359" s="45" t="str">
        <f>VLOOKUP(H359,'Input - Bookings'!$G$2:$H$611,2,0)</f>
        <v>862065</v>
      </c>
      <c r="J359" s="44" t="str">
        <f>'Input - Bookings'!N359</f>
        <v>D871</v>
      </c>
      <c r="K359" s="44" t="str">
        <f>'Input - Bookings'!O359</f>
        <v>GP35MX</v>
      </c>
      <c r="L359" s="44" t="str">
        <f>'Input - Bookings'!C359</f>
        <v>USD</v>
      </c>
      <c r="M359" s="46" t="str">
        <f t="array" ref="M359">IF(L359="USD",INDEX('AP Plants'!A:A,MATCH(J359,'AP Plants'!D:D,0)),INDEX('Australia Plants'!A:A,MATCH(J359,'Australia Plants'!D:D,0)))</f>
        <v>SN</v>
      </c>
      <c r="N359" s="10">
        <v>1.0</v>
      </c>
      <c r="O359" s="9">
        <v>37320.0</v>
      </c>
      <c r="P359" s="9">
        <v>25151.550000000003</v>
      </c>
      <c r="Q359" s="47">
        <v>0.17815333361961339</v>
      </c>
      <c r="R359" s="48">
        <f t="shared" si="3"/>
        <v>0.326057074</v>
      </c>
      <c r="S359" s="49">
        <f t="shared" si="4"/>
        <v>0</v>
      </c>
      <c r="T359" s="49">
        <f t="shared" si="21"/>
        <v>0.1781533336</v>
      </c>
      <c r="U359" s="50" t="str">
        <f t="shared" si="6"/>
        <v>AOP</v>
      </c>
      <c r="V359" s="51">
        <f t="shared" si="28"/>
        <v>4480.832478</v>
      </c>
      <c r="W359" s="52">
        <f t="shared" si="8"/>
        <v>4480.832478</v>
      </c>
      <c r="X359" s="9">
        <f t="shared" si="25"/>
        <v>25151.55</v>
      </c>
      <c r="Y359" s="8"/>
      <c r="Z359" s="8"/>
      <c r="AA359" s="8"/>
      <c r="AB359" s="8" t="str">
        <f t="shared" si="10"/>
        <v>PNZH39456GP35MX</v>
      </c>
      <c r="AC359" s="8" t="str">
        <f>IF(AB359='Input - Bookings'!S356,"OK","Check")</f>
        <v>Check</v>
      </c>
      <c r="AD359" s="53"/>
      <c r="AE359" s="54"/>
      <c r="AF359" s="54"/>
      <c r="AG359" s="55"/>
      <c r="AH359" s="55"/>
      <c r="AI359" s="8" t="str">
        <f t="array" ref="AI359">XLOOKUP($J359,'AP Plants'!D:D,'AP Plants'!B:B)</f>
        <v>Class 5 NOT BT</v>
      </c>
      <c r="AJ359" s="56"/>
      <c r="AK359" s="56"/>
      <c r="AL359" s="49">
        <v>0.015</v>
      </c>
      <c r="AM359" s="49">
        <f t="array" ref="AM359">XLOOKUP($AI359,Warranty!B:B,Warranty!E:E)</f>
        <v>0.005</v>
      </c>
      <c r="AN359" s="8">
        <f>IF($L359="AUD",VLOOKUP(RIGHT('Wk - Margins'!$J359,3),'AU Freight'!C:G,5,0),0)</f>
        <v>0</v>
      </c>
      <c r="AO359" s="49">
        <f t="shared" si="11"/>
        <v>0</v>
      </c>
      <c r="AP359" s="57">
        <f t="shared" si="12"/>
        <v>0</v>
      </c>
      <c r="AQ359" s="58">
        <f t="shared" si="13"/>
        <v>1</v>
      </c>
      <c r="AR359" s="59">
        <f>IF(L359="AUD",O359*'Currency &amp; Conversion'!$L$7,'Wk - Margins'!O359)</f>
        <v>37320</v>
      </c>
      <c r="AS359" s="59">
        <f>IF(L359="AUD",P359*'Currency &amp; Conversion'!$L$7,'Wk - Margins'!P359)</f>
        <v>25151.55</v>
      </c>
    </row>
    <row r="360" ht="12.75" hidden="1" customHeight="1">
      <c r="A360" s="42" t="str">
        <f>'Input - Bookings'!A360</f>
        <v>26/06/2023</v>
      </c>
      <c r="B360" s="43" t="str">
        <f t="shared" si="1"/>
        <v>Pacific</v>
      </c>
      <c r="C360" s="43" t="str">
        <f t="shared" si="2"/>
        <v>PNZ</v>
      </c>
      <c r="D360" s="43" t="str">
        <f>'Input - Bookings'!D360</f>
        <v>P</v>
      </c>
      <c r="E360" s="43" t="str">
        <f>'Input - Bookings'!J360</f>
        <v>NZ</v>
      </c>
      <c r="F360" s="44" t="str">
        <f>'Input - Bookings'!F360</f>
        <v>067</v>
      </c>
      <c r="G360" s="44" t="str">
        <f>'Input - Bookings'!I360</f>
        <v>S.G EQUIPMENT LTD</v>
      </c>
      <c r="H360" s="44" t="str">
        <f>'Input - Bookings'!K360</f>
        <v>H39460</v>
      </c>
      <c r="I360" s="45" t="str">
        <f>VLOOKUP(H360,'Input - Bookings'!$G$2:$H$611,2,0)</f>
        <v>862065</v>
      </c>
      <c r="J360" s="44" t="str">
        <f>'Input - Bookings'!N360</f>
        <v>D871</v>
      </c>
      <c r="K360" s="44" t="str">
        <f>'Input - Bookings'!O360</f>
        <v>GP35MX</v>
      </c>
      <c r="L360" s="44" t="str">
        <f>'Input - Bookings'!C360</f>
        <v>USD</v>
      </c>
      <c r="M360" s="46" t="str">
        <f t="array" ref="M360">IF(L360="USD",INDEX('AP Plants'!A:A,MATCH(J360,'AP Plants'!D:D,0)),INDEX('Australia Plants'!A:A,MATCH(J360,'Australia Plants'!D:D,0)))</f>
        <v>SN</v>
      </c>
      <c r="N360" s="10">
        <v>1.0</v>
      </c>
      <c r="O360" s="9">
        <v>37320.0</v>
      </c>
      <c r="P360" s="9">
        <v>25151.550000000003</v>
      </c>
      <c r="Q360" s="47">
        <v>0.17815333361961339</v>
      </c>
      <c r="R360" s="48">
        <f t="shared" si="3"/>
        <v>0.326057074</v>
      </c>
      <c r="S360" s="49">
        <f t="shared" si="4"/>
        <v>0</v>
      </c>
      <c r="T360" s="49">
        <f t="shared" si="21"/>
        <v>0.1781533336</v>
      </c>
      <c r="U360" s="50" t="str">
        <f t="shared" si="6"/>
        <v>AOP</v>
      </c>
      <c r="V360" s="51">
        <f t="shared" si="28"/>
        <v>4480.832478</v>
      </c>
      <c r="W360" s="52">
        <f t="shared" si="8"/>
        <v>4480.832478</v>
      </c>
      <c r="X360" s="9">
        <f t="shared" si="25"/>
        <v>25151.55</v>
      </c>
      <c r="Y360" s="8"/>
      <c r="Z360" s="8"/>
      <c r="AA360" s="8"/>
      <c r="AB360" s="8" t="str">
        <f t="shared" si="10"/>
        <v>PNZH39460GP35MX</v>
      </c>
      <c r="AC360" s="8" t="str">
        <f>IF(AB360='Input - Bookings'!S539,"OK","Check")</f>
        <v>Check</v>
      </c>
      <c r="AD360" s="53"/>
      <c r="AE360" s="54"/>
      <c r="AF360" s="54"/>
      <c r="AG360" s="55"/>
      <c r="AH360" s="55"/>
      <c r="AI360" s="8" t="str">
        <f t="array" ref="AI360">XLOOKUP($J360,'AP Plants'!D:D,'AP Plants'!B:B)</f>
        <v>Class 5 NOT BT</v>
      </c>
      <c r="AJ360" s="56"/>
      <c r="AK360" s="56"/>
      <c r="AL360" s="49">
        <v>0.015</v>
      </c>
      <c r="AM360" s="49">
        <f t="array" ref="AM360">XLOOKUP($AI360,Warranty!B:B,Warranty!E:E)</f>
        <v>0.005</v>
      </c>
      <c r="AN360" s="8">
        <f>IF($L360="AUD",VLOOKUP(RIGHT('Wk - Margins'!$J360,3),'AU Freight'!C:G,5,0),0)</f>
        <v>0</v>
      </c>
      <c r="AO360" s="49">
        <f t="shared" si="11"/>
        <v>0</v>
      </c>
      <c r="AP360" s="57">
        <f t="shared" si="12"/>
        <v>0</v>
      </c>
      <c r="AQ360" s="58">
        <f t="shared" si="13"/>
        <v>1</v>
      </c>
      <c r="AR360" s="59">
        <f>IF(L360="AUD",O360*'Currency &amp; Conversion'!$L$7,'Wk - Margins'!O360)</f>
        <v>37320</v>
      </c>
      <c r="AS360" s="59">
        <f>IF(L360="AUD",P360*'Currency &amp; Conversion'!$L$7,'Wk - Margins'!P360)</f>
        <v>25151.55</v>
      </c>
    </row>
    <row r="361" ht="12.75" customHeight="1">
      <c r="A361" s="42" t="str">
        <f>'Input - Bookings'!A361</f>
        <v>27/06/2023</v>
      </c>
      <c r="B361" s="43" t="str">
        <f t="shared" si="1"/>
        <v>Pacific</v>
      </c>
      <c r="C361" s="43" t="str">
        <f t="shared" si="2"/>
        <v>PNZ</v>
      </c>
      <c r="D361" s="43" t="str">
        <f>'Input - Bookings'!D361</f>
        <v>P</v>
      </c>
      <c r="E361" s="43" t="str">
        <f>'Input - Bookings'!J361</f>
        <v>NZ</v>
      </c>
      <c r="F361" s="44" t="str">
        <f>'Input - Bookings'!F361</f>
        <v>065</v>
      </c>
      <c r="G361" s="44" t="str">
        <f>'Input - Bookings'!I361</f>
        <v>SIME DARBY TRANSPORT (NZ)</v>
      </c>
      <c r="H361" s="44" t="str">
        <f>'Input - Bookings'!K361</f>
        <v>H39884</v>
      </c>
      <c r="I361" s="45" t="str">
        <f>VLOOKUP(H361,'Input - Bookings'!$G$2:$H$611,2,0)</f>
        <v>080065</v>
      </c>
      <c r="J361" s="44" t="str">
        <f>'Input - Bookings'!N361</f>
        <v>D435</v>
      </c>
      <c r="K361" s="44" t="str">
        <f>'Input - Bookings'!O361</f>
        <v>R2.0HD</v>
      </c>
      <c r="L361" s="44" t="str">
        <f>'Input - Bookings'!C361</f>
        <v>USD</v>
      </c>
      <c r="M361" s="46" t="str">
        <f t="array" ref="M361">IF(L361="USD",INDEX('AP Plants'!A:A,MATCH(J361,'AP Plants'!D:D,0)),INDEX('Australia Plants'!A:A,MATCH(J361,'Australia Plants'!D:D,0)))</f>
        <v>Masate</v>
      </c>
      <c r="N361" s="10">
        <v>1.0</v>
      </c>
      <c r="O361" s="9">
        <v>84997.0</v>
      </c>
      <c r="P361" s="9">
        <v>55573.45</v>
      </c>
      <c r="Q361" s="47">
        <f t="shared" ref="Q361:Q365" si="45">AQ361</f>
        <v>0.3377047035</v>
      </c>
      <c r="R361" s="48">
        <f t="shared" si="3"/>
        <v>0.3461716296</v>
      </c>
      <c r="S361" s="49">
        <f t="shared" si="4"/>
        <v>0</v>
      </c>
      <c r="T361" s="49">
        <f t="shared" si="21"/>
        <v>0.3377047035</v>
      </c>
      <c r="U361" s="50" t="str">
        <f t="shared" si="6"/>
        <v>AOP</v>
      </c>
      <c r="V361" s="51">
        <f t="shared" si="28"/>
        <v>18767.41545</v>
      </c>
      <c r="W361" s="52">
        <f t="shared" si="8"/>
        <v>18767.41545</v>
      </c>
      <c r="X361" s="9">
        <f t="shared" si="25"/>
        <v>55573.45</v>
      </c>
      <c r="Y361" s="8"/>
      <c r="Z361" s="8"/>
      <c r="AA361" s="8"/>
      <c r="AB361" s="8" t="str">
        <f t="shared" si="10"/>
        <v>PNZH39884R2.0HD</v>
      </c>
      <c r="AC361" s="8" t="str">
        <f>IF(AB361='Input - Bookings'!S540,"OK","Check")</f>
        <v>Check</v>
      </c>
      <c r="AD361" s="53"/>
      <c r="AE361" s="54">
        <v>1089.55</v>
      </c>
      <c r="AF361" s="54">
        <v>0.0</v>
      </c>
      <c r="AG361" s="55"/>
      <c r="AH361" s="55">
        <v>32602.78</v>
      </c>
      <c r="AI361" s="8" t="str">
        <f t="array" ref="AI361">XLOOKUP($J361,'AP Plants'!D:D,'AP Plants'!B:B)</f>
        <v>Class 2</v>
      </c>
      <c r="AJ361" s="56"/>
      <c r="AK361" s="56">
        <f>(AH361*(1+VLOOKUP(M361,'Currency &amp; Conversion'!$F$13:$G$19,2,0))*'Currency &amp; Conversion'!$L$3)+((AE361+AF361)*90%)</f>
        <v>35734.01412</v>
      </c>
      <c r="AL361" s="49">
        <v>0.015</v>
      </c>
      <c r="AM361" s="49">
        <f t="array" ref="AM361">XLOOKUP($AI361,Warranty!B:B,Warranty!E:E)</f>
        <v>0.015</v>
      </c>
      <c r="AN361" s="8">
        <f>IF($L361="AUD",VLOOKUP(RIGHT('Wk - Margins'!$J361,3),'AU Freight'!C:G,5,0),0)</f>
        <v>0</v>
      </c>
      <c r="AO361" s="49">
        <f t="shared" si="11"/>
        <v>0</v>
      </c>
      <c r="AP361" s="63">
        <f t="shared" si="12"/>
        <v>36806.03455</v>
      </c>
      <c r="AQ361" s="64">
        <f t="shared" si="13"/>
        <v>0.3377047035</v>
      </c>
      <c r="AR361" s="59">
        <f>IF(L361="AUD",O361*'Currency &amp; Conversion'!$L$7,'Wk - Margins'!O361)</f>
        <v>84997</v>
      </c>
      <c r="AS361" s="59">
        <f>IF(L361="AUD",P361*'Currency &amp; Conversion'!$L$7,'Wk - Margins'!P361)</f>
        <v>55573.45</v>
      </c>
    </row>
    <row r="362" ht="12.75" customHeight="1">
      <c r="A362" s="42" t="str">
        <f>'Input - Bookings'!A362</f>
        <v>27/06/2023</v>
      </c>
      <c r="B362" s="43" t="str">
        <f t="shared" si="1"/>
        <v>Australia</v>
      </c>
      <c r="C362" s="43" t="str">
        <f t="shared" si="2"/>
        <v>PAU</v>
      </c>
      <c r="D362" s="43" t="str">
        <f>'Input - Bookings'!D362</f>
        <v>P</v>
      </c>
      <c r="E362" s="43" t="str">
        <f>'Input - Bookings'!J362</f>
        <v>AU</v>
      </c>
      <c r="F362" s="44" t="str">
        <f>'Input - Bookings'!F362</f>
        <v>065</v>
      </c>
      <c r="G362" s="44" t="str">
        <f>'Input - Bookings'!I362</f>
        <v>ADAPT-A-LIFT GROUP (NSW)</v>
      </c>
      <c r="H362" s="44" t="str">
        <f>'Input - Bookings'!K362</f>
        <v>H39472</v>
      </c>
      <c r="I362" s="45" t="str">
        <f>VLOOKUP(H362,'Input - Bookings'!$G$2:$H$611,2,0)</f>
        <v>087585</v>
      </c>
      <c r="J362" s="44" t="str">
        <f>'Input - Bookings'!N362</f>
        <v>A276</v>
      </c>
      <c r="K362" s="44" t="str">
        <f>'Input - Bookings'!O362</f>
        <v>J3.0XN</v>
      </c>
      <c r="L362" s="44" t="str">
        <f>'Input - Bookings'!C362</f>
        <v>AUD</v>
      </c>
      <c r="M362" s="46" t="str">
        <f t="array" ref="M362">IF(L362="USD",INDEX('AP Plants'!A:A,MATCH(J362,'AP Plants'!D:D,0)),INDEX('Australia Plants'!A:A,MATCH(J362,'Australia Plants'!D:D,0)))</f>
        <v>Craigavon</v>
      </c>
      <c r="N362" s="10">
        <v>1.0</v>
      </c>
      <c r="O362" s="9">
        <v>76435.0</v>
      </c>
      <c r="P362" s="9">
        <v>57874.98</v>
      </c>
      <c r="Q362" s="47">
        <f t="shared" si="45"/>
        <v>0.1574243349</v>
      </c>
      <c r="R362" s="48">
        <f t="shared" si="3"/>
        <v>0.242820959</v>
      </c>
      <c r="S362" s="49">
        <f t="shared" si="4"/>
        <v>0</v>
      </c>
      <c r="T362" s="49">
        <f t="shared" si="21"/>
        <v>0.1574243349</v>
      </c>
      <c r="U362" s="50" t="str">
        <f t="shared" si="6"/>
        <v>AOP</v>
      </c>
      <c r="V362" s="51">
        <f t="shared" si="28"/>
        <v>9110.930236</v>
      </c>
      <c r="W362" s="52" t="str">
        <f t="shared" si="8"/>
        <v>#DIV/0!</v>
      </c>
      <c r="X362" s="9" t="str">
        <f t="shared" si="25"/>
        <v>#DIV/0!</v>
      </c>
      <c r="Y362" s="8"/>
      <c r="Z362" s="8"/>
      <c r="AA362" s="8"/>
      <c r="AB362" s="8" t="str">
        <f t="shared" si="10"/>
        <v>PAUH39472J3.0XN</v>
      </c>
      <c r="AC362" s="8" t="str">
        <f>IF(AB362='Input - Bookings'!S541,"OK","Check")</f>
        <v>Check</v>
      </c>
      <c r="AD362" s="53"/>
      <c r="AE362" s="54">
        <v>10594.4</v>
      </c>
      <c r="AF362" s="54">
        <v>0.0</v>
      </c>
      <c r="AG362" s="55"/>
      <c r="AH362" s="55">
        <v>22228.04</v>
      </c>
      <c r="AI362" s="8" t="str">
        <f t="array" ref="AI362">XLOOKUP($J362,'AP Plants'!D:D,'AP Plants'!B:B)</f>
        <v>Class 1</v>
      </c>
      <c r="AJ362" s="56">
        <f>(AH362*(1+VLOOKUP(M362,'Currency &amp; Conversion'!$F$13:$H$19,2,0))*'Currency &amp; Conversion'!$L$4)+((AE362+AF362)*90%)</f>
        <v>44856.91153</v>
      </c>
      <c r="AK362" s="56"/>
      <c r="AL362" s="49">
        <v>0.015</v>
      </c>
      <c r="AM362" s="49">
        <f t="array" ref="AM362">XLOOKUP($AI362,Warranty!B:B,Warranty!E:E)</f>
        <v>0.005</v>
      </c>
      <c r="AN362" s="8">
        <f>IF($L362="AUD",VLOOKUP(RIGHT('Wk - Margins'!$J362,3),'AU Freight'!C:G,5,0),0)</f>
        <v>3010</v>
      </c>
      <c r="AO362" s="49">
        <f t="shared" si="11"/>
        <v>0</v>
      </c>
      <c r="AP362" s="63">
        <f t="shared" si="12"/>
        <v>48764.04976</v>
      </c>
      <c r="AQ362" s="64">
        <f t="shared" si="13"/>
        <v>0.1574243349</v>
      </c>
      <c r="AR362" s="59">
        <f>IF(L362="AUD",O362*'Currency &amp; Conversion'!$L$7,'Wk - Margins'!O362)</f>
        <v>51324.56744</v>
      </c>
      <c r="AS362" s="59">
        <f>IF(L362="AUD",P362*'Currency &amp; Conversion'!$L$7,'Wk - Margins'!P362)</f>
        <v>38861.88675</v>
      </c>
    </row>
    <row r="363" ht="12.75" customHeight="1">
      <c r="A363" s="42" t="str">
        <f>'Input - Bookings'!A363</f>
        <v>27/06/2023</v>
      </c>
      <c r="B363" s="43" t="str">
        <f t="shared" si="1"/>
        <v>Australia</v>
      </c>
      <c r="C363" s="43" t="str">
        <f t="shared" si="2"/>
        <v>PAU</v>
      </c>
      <c r="D363" s="43" t="str">
        <f>'Input - Bookings'!D363</f>
        <v>P</v>
      </c>
      <c r="E363" s="43" t="str">
        <f>'Input - Bookings'!J363</f>
        <v>AU</v>
      </c>
      <c r="F363" s="44" t="str">
        <f>'Input - Bookings'!F363</f>
        <v>065</v>
      </c>
      <c r="G363" s="44" t="str">
        <f>'Input - Bookings'!I363</f>
        <v>ADAPT-A-LIFT GROUP (NSW)</v>
      </c>
      <c r="H363" s="44" t="str">
        <f>'Input - Bookings'!K363</f>
        <v>H39473</v>
      </c>
      <c r="I363" s="45" t="str">
        <f>VLOOKUP(H363,'Input - Bookings'!$G$2:$H$611,2,0)</f>
        <v>087585</v>
      </c>
      <c r="J363" s="44" t="str">
        <f>'Input - Bookings'!N363</f>
        <v>A276</v>
      </c>
      <c r="K363" s="44" t="str">
        <f>'Input - Bookings'!O363</f>
        <v>J3.0XN</v>
      </c>
      <c r="L363" s="44" t="str">
        <f>'Input - Bookings'!C363</f>
        <v>AUD</v>
      </c>
      <c r="M363" s="46" t="str">
        <f t="array" ref="M363">IF(L363="USD",INDEX('AP Plants'!A:A,MATCH(J363,'AP Plants'!D:D,0)),INDEX('Australia Plants'!A:A,MATCH(J363,'Australia Plants'!D:D,0)))</f>
        <v>Craigavon</v>
      </c>
      <c r="N363" s="10">
        <v>1.0</v>
      </c>
      <c r="O363" s="9">
        <v>76435.0</v>
      </c>
      <c r="P363" s="9">
        <v>57874.98</v>
      </c>
      <c r="Q363" s="47">
        <f t="shared" si="45"/>
        <v>0.1574243349</v>
      </c>
      <c r="R363" s="48">
        <f t="shared" si="3"/>
        <v>0.242820959</v>
      </c>
      <c r="S363" s="49">
        <f t="shared" si="4"/>
        <v>0</v>
      </c>
      <c r="T363" s="49">
        <f t="shared" si="21"/>
        <v>0.1574243349</v>
      </c>
      <c r="U363" s="50" t="str">
        <f t="shared" si="6"/>
        <v>AOP</v>
      </c>
      <c r="V363" s="51">
        <f t="shared" si="28"/>
        <v>9110.930236</v>
      </c>
      <c r="W363" s="52" t="str">
        <f t="shared" si="8"/>
        <v>#DIV/0!</v>
      </c>
      <c r="X363" s="9" t="str">
        <f t="shared" si="25"/>
        <v>#DIV/0!</v>
      </c>
      <c r="Y363" s="8"/>
      <c r="Z363" s="8"/>
      <c r="AA363" s="8"/>
      <c r="AB363" s="8" t="str">
        <f t="shared" si="10"/>
        <v>PAUH39473J3.0XN</v>
      </c>
      <c r="AC363" s="8" t="str">
        <f>IF(AB363='Input - Bookings'!S596,"OK","Check")</f>
        <v>Check</v>
      </c>
      <c r="AD363" s="53"/>
      <c r="AE363" s="54">
        <v>10594.4</v>
      </c>
      <c r="AF363" s="54">
        <v>0.0</v>
      </c>
      <c r="AG363" s="55"/>
      <c r="AH363" s="55">
        <v>22228.04</v>
      </c>
      <c r="AI363" s="8" t="str">
        <f t="array" ref="AI363">XLOOKUP($J363,'AP Plants'!D:D,'AP Plants'!B:B)</f>
        <v>Class 1</v>
      </c>
      <c r="AJ363" s="56">
        <f>(AH363*(1+VLOOKUP(M363,'Currency &amp; Conversion'!$F$13:$H$19,2,0))*'Currency &amp; Conversion'!$L$4)+((AE363+AF363)*90%)</f>
        <v>44856.91153</v>
      </c>
      <c r="AK363" s="56"/>
      <c r="AL363" s="49">
        <v>0.015</v>
      </c>
      <c r="AM363" s="49">
        <f t="array" ref="AM363">XLOOKUP($AI363,Warranty!B:B,Warranty!E:E)</f>
        <v>0.005</v>
      </c>
      <c r="AN363" s="8">
        <f>IF($L363="AUD",VLOOKUP(RIGHT('Wk - Margins'!$J363,3),'AU Freight'!C:G,5,0),0)</f>
        <v>3010</v>
      </c>
      <c r="AO363" s="49">
        <f t="shared" si="11"/>
        <v>0</v>
      </c>
      <c r="AP363" s="63">
        <f t="shared" si="12"/>
        <v>48764.04976</v>
      </c>
      <c r="AQ363" s="64">
        <f t="shared" si="13"/>
        <v>0.1574243349</v>
      </c>
      <c r="AR363" s="59">
        <f>IF(L363="AUD",O363*'Currency &amp; Conversion'!$L$7,'Wk - Margins'!O363)</f>
        <v>51324.56744</v>
      </c>
      <c r="AS363" s="59">
        <f>IF(L363="AUD",P363*'Currency &amp; Conversion'!$L$7,'Wk - Margins'!P363)</f>
        <v>38861.88675</v>
      </c>
    </row>
    <row r="364" ht="12.75" customHeight="1">
      <c r="A364" s="42" t="str">
        <f>'Input - Bookings'!A364</f>
        <v>27/06/2023</v>
      </c>
      <c r="B364" s="43" t="str">
        <f t="shared" si="1"/>
        <v>Australia</v>
      </c>
      <c r="C364" s="43" t="str">
        <f t="shared" si="2"/>
        <v>PAU</v>
      </c>
      <c r="D364" s="43" t="str">
        <f>'Input - Bookings'!D364</f>
        <v>P</v>
      </c>
      <c r="E364" s="43" t="str">
        <f>'Input - Bookings'!J364</f>
        <v>AU</v>
      </c>
      <c r="F364" s="44" t="str">
        <f>'Input - Bookings'!F364</f>
        <v>065</v>
      </c>
      <c r="G364" s="44" t="str">
        <f>'Input - Bookings'!I364</f>
        <v>ADAPT-A-LIFT GROUP (NSW)</v>
      </c>
      <c r="H364" s="44" t="str">
        <f>'Input - Bookings'!K364</f>
        <v>H39474</v>
      </c>
      <c r="I364" s="45" t="str">
        <f>VLOOKUP(H364,'Input - Bookings'!$G$2:$H$611,2,0)</f>
        <v>087585</v>
      </c>
      <c r="J364" s="44" t="str">
        <f>'Input - Bookings'!N364</f>
        <v>A276</v>
      </c>
      <c r="K364" s="44" t="str">
        <f>'Input - Bookings'!O364</f>
        <v>J3.0XN</v>
      </c>
      <c r="L364" s="44" t="str">
        <f>'Input - Bookings'!C364</f>
        <v>AUD</v>
      </c>
      <c r="M364" s="46" t="str">
        <f t="array" ref="M364">IF(L364="USD",INDEX('AP Plants'!A:A,MATCH(J364,'AP Plants'!D:D,0)),INDEX('Australia Plants'!A:A,MATCH(J364,'Australia Plants'!D:D,0)))</f>
        <v>Craigavon</v>
      </c>
      <c r="N364" s="10">
        <v>1.0</v>
      </c>
      <c r="O364" s="9">
        <v>76435.0</v>
      </c>
      <c r="P364" s="9">
        <v>57874.98</v>
      </c>
      <c r="Q364" s="47">
        <f t="shared" si="45"/>
        <v>0.1574243349</v>
      </c>
      <c r="R364" s="48">
        <f t="shared" si="3"/>
        <v>0.242820959</v>
      </c>
      <c r="S364" s="49">
        <f t="shared" si="4"/>
        <v>0</v>
      </c>
      <c r="T364" s="49">
        <f t="shared" si="21"/>
        <v>0.1574243349</v>
      </c>
      <c r="U364" s="50" t="str">
        <f t="shared" si="6"/>
        <v>AOP</v>
      </c>
      <c r="V364" s="51">
        <f t="shared" si="28"/>
        <v>9110.930236</v>
      </c>
      <c r="W364" s="52" t="str">
        <f t="shared" si="8"/>
        <v>#DIV/0!</v>
      </c>
      <c r="X364" s="9" t="str">
        <f t="shared" si="25"/>
        <v>#DIV/0!</v>
      </c>
      <c r="Y364" s="8"/>
      <c r="Z364" s="8"/>
      <c r="AA364" s="8"/>
      <c r="AB364" s="8" t="str">
        <f t="shared" si="10"/>
        <v>PAUH39474J3.0XN</v>
      </c>
      <c r="AC364" s="8" t="str">
        <f>IF(AB364='Input - Bookings'!S597,"OK","Check")</f>
        <v>Check</v>
      </c>
      <c r="AD364" s="53"/>
      <c r="AE364" s="54">
        <v>10594.4</v>
      </c>
      <c r="AF364" s="54">
        <v>0.0</v>
      </c>
      <c r="AG364" s="55"/>
      <c r="AH364" s="55">
        <v>22228.04</v>
      </c>
      <c r="AI364" s="8" t="str">
        <f t="array" ref="AI364">XLOOKUP($J364,'AP Plants'!D:D,'AP Plants'!B:B)</f>
        <v>Class 1</v>
      </c>
      <c r="AJ364" s="56">
        <f>(AH364*(1+VLOOKUP(M364,'Currency &amp; Conversion'!$F$13:$H$19,2,0))*'Currency &amp; Conversion'!$L$4)+((AE364+AF364)*90%)</f>
        <v>44856.91153</v>
      </c>
      <c r="AK364" s="56"/>
      <c r="AL364" s="49">
        <v>0.015</v>
      </c>
      <c r="AM364" s="49">
        <f t="array" ref="AM364">XLOOKUP($AI364,Warranty!B:B,Warranty!E:E)</f>
        <v>0.005</v>
      </c>
      <c r="AN364" s="8">
        <f>IF($L364="AUD",VLOOKUP(RIGHT('Wk - Margins'!$J364,3),'AU Freight'!C:G,5,0),0)</f>
        <v>3010</v>
      </c>
      <c r="AO364" s="49">
        <f t="shared" si="11"/>
        <v>0</v>
      </c>
      <c r="AP364" s="63">
        <f t="shared" si="12"/>
        <v>48764.04976</v>
      </c>
      <c r="AQ364" s="64">
        <f t="shared" si="13"/>
        <v>0.1574243349</v>
      </c>
      <c r="AR364" s="59">
        <f>IF(L364="AUD",O364*'Currency &amp; Conversion'!$L$7,'Wk - Margins'!O364)</f>
        <v>51324.56744</v>
      </c>
      <c r="AS364" s="59">
        <f>IF(L364="AUD",P364*'Currency &amp; Conversion'!$L$7,'Wk - Margins'!P364)</f>
        <v>38861.88675</v>
      </c>
    </row>
    <row r="365" ht="12.75" customHeight="1">
      <c r="A365" s="42" t="str">
        <f>'Input - Bookings'!A365</f>
        <v>27/06/2023</v>
      </c>
      <c r="B365" s="43" t="str">
        <f t="shared" si="1"/>
        <v>Australia</v>
      </c>
      <c r="C365" s="43" t="str">
        <f t="shared" si="2"/>
        <v>PAU</v>
      </c>
      <c r="D365" s="43" t="str">
        <f>'Input - Bookings'!D365</f>
        <v>P</v>
      </c>
      <c r="E365" s="43" t="str">
        <f>'Input - Bookings'!J365</f>
        <v>AU</v>
      </c>
      <c r="F365" s="44" t="str">
        <f>'Input - Bookings'!F365</f>
        <v>065</v>
      </c>
      <c r="G365" s="44" t="str">
        <f>'Input - Bookings'!I365</f>
        <v>ADAPT-A-LIFT GROUP (NSW)</v>
      </c>
      <c r="H365" s="44" t="str">
        <f>'Input - Bookings'!K365</f>
        <v>H39475</v>
      </c>
      <c r="I365" s="45" t="str">
        <f>VLOOKUP(H365,'Input - Bookings'!$G$2:$H$611,2,0)</f>
        <v>087585</v>
      </c>
      <c r="J365" s="44" t="str">
        <f>'Input - Bookings'!N365</f>
        <v>A276</v>
      </c>
      <c r="K365" s="44" t="str">
        <f>'Input - Bookings'!O365</f>
        <v>J3.0XN</v>
      </c>
      <c r="L365" s="44" t="str">
        <f>'Input - Bookings'!C365</f>
        <v>AUD</v>
      </c>
      <c r="M365" s="46" t="str">
        <f t="array" ref="M365">IF(L365="USD",INDEX('AP Plants'!A:A,MATCH(J365,'AP Plants'!D:D,0)),INDEX('Australia Plants'!A:A,MATCH(J365,'Australia Plants'!D:D,0)))</f>
        <v>Craigavon</v>
      </c>
      <c r="N365" s="10">
        <v>1.0</v>
      </c>
      <c r="O365" s="9">
        <v>76435.0</v>
      </c>
      <c r="P365" s="9">
        <v>57874.98</v>
      </c>
      <c r="Q365" s="47">
        <f t="shared" si="45"/>
        <v>0.1574243349</v>
      </c>
      <c r="R365" s="48">
        <f t="shared" si="3"/>
        <v>0.242820959</v>
      </c>
      <c r="S365" s="49">
        <f t="shared" si="4"/>
        <v>0</v>
      </c>
      <c r="T365" s="49">
        <f t="shared" si="21"/>
        <v>0.1574243349</v>
      </c>
      <c r="U365" s="50" t="str">
        <f t="shared" si="6"/>
        <v>AOP</v>
      </c>
      <c r="V365" s="51">
        <f t="shared" si="28"/>
        <v>9110.930236</v>
      </c>
      <c r="W365" s="52" t="str">
        <f t="shared" si="8"/>
        <v>#DIV/0!</v>
      </c>
      <c r="X365" s="9" t="str">
        <f t="shared" si="25"/>
        <v>#DIV/0!</v>
      </c>
      <c r="Y365" s="8"/>
      <c r="Z365" s="8"/>
      <c r="AA365" s="8"/>
      <c r="AB365" s="8" t="str">
        <f t="shared" si="10"/>
        <v>PAUH39475J3.0XN</v>
      </c>
      <c r="AC365" s="8" t="str">
        <f>IF(AB365='Input - Bookings'!S598,"OK","Check")</f>
        <v>Check</v>
      </c>
      <c r="AD365" s="53"/>
      <c r="AE365" s="54">
        <v>10594.4</v>
      </c>
      <c r="AF365" s="54">
        <v>0.0</v>
      </c>
      <c r="AG365" s="55"/>
      <c r="AH365" s="55">
        <v>22228.04</v>
      </c>
      <c r="AI365" s="8" t="str">
        <f t="array" ref="AI365">XLOOKUP($J365,'AP Plants'!D:D,'AP Plants'!B:B)</f>
        <v>Class 1</v>
      </c>
      <c r="AJ365" s="56">
        <f>(AH365*(1+VLOOKUP(M365,'Currency &amp; Conversion'!$F$13:$H$19,2,0))*'Currency &amp; Conversion'!$L$4)+((AE365+AF365)*90%)</f>
        <v>44856.91153</v>
      </c>
      <c r="AK365" s="56"/>
      <c r="AL365" s="49">
        <v>0.015</v>
      </c>
      <c r="AM365" s="49">
        <f t="array" ref="AM365">XLOOKUP($AI365,Warranty!B:B,Warranty!E:E)</f>
        <v>0.005</v>
      </c>
      <c r="AN365" s="8">
        <f>IF($L365="AUD",VLOOKUP(RIGHT('Wk - Margins'!$J365,3),'AU Freight'!C:G,5,0),0)</f>
        <v>3010</v>
      </c>
      <c r="AO365" s="49">
        <f t="shared" si="11"/>
        <v>0</v>
      </c>
      <c r="AP365" s="63">
        <f t="shared" si="12"/>
        <v>48764.04976</v>
      </c>
      <c r="AQ365" s="64">
        <f t="shared" si="13"/>
        <v>0.1574243349</v>
      </c>
      <c r="AR365" s="59">
        <f>IF(L365="AUD",O365*'Currency &amp; Conversion'!$L$7,'Wk - Margins'!O365)</f>
        <v>51324.56744</v>
      </c>
      <c r="AS365" s="59">
        <f>IF(L365="AUD",P365*'Currency &amp; Conversion'!$L$7,'Wk - Margins'!P365)</f>
        <v>38861.88675</v>
      </c>
    </row>
    <row r="366" ht="12.75" hidden="1" customHeight="1">
      <c r="A366" s="42" t="str">
        <f>'Input - Bookings'!A366</f>
        <v>27/06/2023</v>
      </c>
      <c r="B366" s="43" t="str">
        <f t="shared" si="1"/>
        <v>Australia</v>
      </c>
      <c r="C366" s="43" t="str">
        <f t="shared" si="2"/>
        <v>PAU</v>
      </c>
      <c r="D366" s="43" t="str">
        <f>'Input - Bookings'!D366</f>
        <v>P</v>
      </c>
      <c r="E366" s="43" t="str">
        <f>'Input - Bookings'!J366</f>
        <v>AU</v>
      </c>
      <c r="F366" s="44" t="str">
        <f>'Input - Bookings'!F366</f>
        <v>065</v>
      </c>
      <c r="G366" s="44" t="str">
        <f>'Input - Bookings'!I366</f>
        <v>ADAPT-A-LIFT GROUP (NSW)</v>
      </c>
      <c r="H366" s="45" t="str">
        <f>'Input - Bookings'!K366</f>
        <v>H39933</v>
      </c>
      <c r="I366" s="45" t="str">
        <f>VLOOKUP(H366,'Input - Bookings'!$G$2:$H$611,2,0)</f>
        <v>087585</v>
      </c>
      <c r="J366" s="44" t="str">
        <f>'Input - Bookings'!N366</f>
        <v>A6W9</v>
      </c>
      <c r="K366" s="44" t="str">
        <f>'Input - Bookings'!O366</f>
        <v>PC1.5</v>
      </c>
      <c r="L366" s="44" t="str">
        <f>'Input - Bookings'!C366</f>
        <v>AUD</v>
      </c>
      <c r="M366" s="46" t="str">
        <f t="array" ref="M366">IF(L366="USD",INDEX('AP Plants'!A:A,MATCH(J366,'AP Plants'!D:D,0)),INDEX('Australia Plants'!A:A,MATCH(J366,'Australia Plants'!D:D,0)))</f>
        <v>Staxx</v>
      </c>
      <c r="N366" s="10">
        <v>1.0</v>
      </c>
      <c r="O366" s="9">
        <v>2140.0</v>
      </c>
      <c r="P366" s="9">
        <v>1282.92</v>
      </c>
      <c r="Q366" s="47">
        <v>0.15563392142436872</v>
      </c>
      <c r="R366" s="48">
        <f t="shared" si="3"/>
        <v>0.4005046729</v>
      </c>
      <c r="S366" s="49">
        <f t="shared" si="4"/>
        <v>0</v>
      </c>
      <c r="T366" s="49">
        <f t="shared" si="21"/>
        <v>0.1556339214</v>
      </c>
      <c r="U366" s="50" t="str">
        <f t="shared" si="6"/>
        <v>AOP</v>
      </c>
      <c r="V366" s="51">
        <f t="shared" si="28"/>
        <v>199.6658705</v>
      </c>
      <c r="W366" s="52" t="str">
        <f t="shared" si="8"/>
        <v>#DIV/0!</v>
      </c>
      <c r="X366" s="9" t="str">
        <f t="shared" si="25"/>
        <v>#DIV/0!</v>
      </c>
      <c r="Y366" s="8"/>
      <c r="Z366" s="8"/>
      <c r="AA366" s="8"/>
      <c r="AB366" s="8" t="str">
        <f t="shared" si="10"/>
        <v>PAUH39933PC1.5</v>
      </c>
      <c r="AC366" s="8" t="str">
        <f>IF(AB366='Input - Bookings'!S599,"OK","Check")</f>
        <v>Check</v>
      </c>
      <c r="AD366" s="53"/>
      <c r="AE366" s="54"/>
      <c r="AF366" s="54"/>
      <c r="AG366" s="55">
        <f t="shared" ref="AG366:AG435" si="46">608.025825768347+33</f>
        <v>641.0258258</v>
      </c>
      <c r="AH366" s="55"/>
      <c r="AI366" s="8" t="str">
        <f t="array" ref="AI366">XLOOKUP($J366,'AP Plants'!D:D,'AP Plants'!B:B)</f>
        <v>Class 3</v>
      </c>
      <c r="AJ366" s="56">
        <f>(AG366*'Currency &amp; Conversion'!$L$6)</f>
        <v>954.6156597</v>
      </c>
      <c r="AK366" s="56"/>
      <c r="AL366" s="49">
        <v>0.015</v>
      </c>
      <c r="AM366" s="49">
        <f t="array" ref="AM366">XLOOKUP($AI366,Warranty!B:B,Warranty!E:E)</f>
        <v>0.015</v>
      </c>
      <c r="AN366" s="8">
        <f>IF($L366="AUD",VLOOKUP(RIGHT('Wk - Margins'!$J366,3),'AU Freight'!C:G,5,0),0)</f>
        <v>100</v>
      </c>
      <c r="AO366" s="49">
        <f t="shared" si="11"/>
        <v>0</v>
      </c>
      <c r="AP366" s="63">
        <f t="shared" si="12"/>
        <v>1083.25413</v>
      </c>
      <c r="AQ366" s="58">
        <f t="shared" si="13"/>
        <v>0.1556339214</v>
      </c>
      <c r="AR366" s="59">
        <f>IF(L366="AUD",O366*'Currency &amp; Conversion'!$L$7,'Wk - Margins'!O366)</f>
        <v>1436.967022</v>
      </c>
      <c r="AS366" s="59">
        <f>IF(L366="AUD",P366*'Currency &amp; Conversion'!$L$7,'Wk - Margins'!P366)</f>
        <v>861.4550148</v>
      </c>
    </row>
    <row r="367" ht="12.75" hidden="1" customHeight="1">
      <c r="A367" s="42" t="str">
        <f>'Input - Bookings'!A367</f>
        <v>27/06/2023</v>
      </c>
      <c r="B367" s="43" t="str">
        <f t="shared" si="1"/>
        <v>Australia</v>
      </c>
      <c r="C367" s="43" t="str">
        <f t="shared" si="2"/>
        <v>PAU</v>
      </c>
      <c r="D367" s="43" t="str">
        <f>'Input - Bookings'!D367</f>
        <v>P</v>
      </c>
      <c r="E367" s="43" t="str">
        <f>'Input - Bookings'!J367</f>
        <v>AU</v>
      </c>
      <c r="F367" s="44" t="str">
        <f>'Input - Bookings'!F367</f>
        <v>065</v>
      </c>
      <c r="G367" s="44" t="str">
        <f>'Input - Bookings'!I367</f>
        <v>ADAPT-A-LIFT GROUP (NSW)</v>
      </c>
      <c r="H367" s="45" t="str">
        <f>'Input - Bookings'!K367</f>
        <v>H39934</v>
      </c>
      <c r="I367" s="45" t="str">
        <f>VLOOKUP(H367,'Input - Bookings'!$G$2:$H$611,2,0)</f>
        <v>087585</v>
      </c>
      <c r="J367" s="44" t="str">
        <f>'Input - Bookings'!N367</f>
        <v>A6W9</v>
      </c>
      <c r="K367" s="44" t="str">
        <f>'Input - Bookings'!O367</f>
        <v>PC1.5</v>
      </c>
      <c r="L367" s="44" t="str">
        <f>'Input - Bookings'!C367</f>
        <v>AUD</v>
      </c>
      <c r="M367" s="46" t="str">
        <f t="array" ref="M367">IF(L367="USD",INDEX('AP Plants'!A:A,MATCH(J367,'AP Plants'!D:D,0)),INDEX('Australia Plants'!A:A,MATCH(J367,'Australia Plants'!D:D,0)))</f>
        <v>Staxx</v>
      </c>
      <c r="N367" s="10">
        <v>1.0</v>
      </c>
      <c r="O367" s="9">
        <v>2140.0</v>
      </c>
      <c r="P367" s="9">
        <v>1282.92</v>
      </c>
      <c r="Q367" s="47">
        <v>0.15563392142436872</v>
      </c>
      <c r="R367" s="48">
        <f t="shared" si="3"/>
        <v>0.4005046729</v>
      </c>
      <c r="S367" s="49">
        <f t="shared" si="4"/>
        <v>0</v>
      </c>
      <c r="T367" s="49">
        <f t="shared" si="21"/>
        <v>0.1556339214</v>
      </c>
      <c r="U367" s="50" t="str">
        <f t="shared" si="6"/>
        <v>AOP</v>
      </c>
      <c r="V367" s="51">
        <f t="shared" si="28"/>
        <v>199.6658705</v>
      </c>
      <c r="W367" s="52" t="str">
        <f t="shared" si="8"/>
        <v>#DIV/0!</v>
      </c>
      <c r="X367" s="9" t="str">
        <f t="shared" si="25"/>
        <v>#DIV/0!</v>
      </c>
      <c r="Y367" s="8"/>
      <c r="Z367" s="8"/>
      <c r="AA367" s="8"/>
      <c r="AB367" s="8" t="str">
        <f t="shared" si="10"/>
        <v>PAUH39934PC1.5</v>
      </c>
      <c r="AC367" s="8" t="str">
        <f>IF(AB367='Input - Bookings'!S600,"OK","Check")</f>
        <v>Check</v>
      </c>
      <c r="AD367" s="60"/>
      <c r="AE367" s="54"/>
      <c r="AF367" s="54"/>
      <c r="AG367" s="55">
        <f t="shared" si="46"/>
        <v>641.0258258</v>
      </c>
      <c r="AH367" s="62"/>
      <c r="AI367" s="8" t="str">
        <f t="array" ref="AI367">XLOOKUP($J367,'AP Plants'!D:D,'AP Plants'!B:B)</f>
        <v>Class 3</v>
      </c>
      <c r="AJ367" s="56">
        <f>(AG367*'Currency &amp; Conversion'!$L$6)</f>
        <v>954.6156597</v>
      </c>
      <c r="AK367" s="56"/>
      <c r="AL367" s="49">
        <v>0.015</v>
      </c>
      <c r="AM367" s="49">
        <f t="array" ref="AM367">XLOOKUP($AI367,Warranty!B:B,Warranty!E:E)</f>
        <v>0.015</v>
      </c>
      <c r="AN367" s="8">
        <f>IF($L367="AUD",VLOOKUP(RIGHT('Wk - Margins'!$J367,3),'AU Freight'!C:G,5,0),0)</f>
        <v>100</v>
      </c>
      <c r="AO367" s="49">
        <f t="shared" si="11"/>
        <v>0</v>
      </c>
      <c r="AP367" s="63">
        <f t="shared" si="12"/>
        <v>1083.25413</v>
      </c>
      <c r="AQ367" s="58">
        <f t="shared" si="13"/>
        <v>0.1556339214</v>
      </c>
      <c r="AR367" s="59">
        <f>IF(L367="AUD",O367*'Currency &amp; Conversion'!$L$7,'Wk - Margins'!O367)</f>
        <v>1436.967022</v>
      </c>
      <c r="AS367" s="59">
        <f>IF(L367="AUD",P367*'Currency &amp; Conversion'!$L$7,'Wk - Margins'!P367)</f>
        <v>861.4550148</v>
      </c>
    </row>
    <row r="368" ht="12.75" hidden="1" customHeight="1">
      <c r="A368" s="42" t="str">
        <f>'Input - Bookings'!A368</f>
        <v>27/06/2023</v>
      </c>
      <c r="B368" s="43" t="str">
        <f t="shared" si="1"/>
        <v>Australia</v>
      </c>
      <c r="C368" s="43" t="str">
        <f t="shared" si="2"/>
        <v>PAU</v>
      </c>
      <c r="D368" s="43" t="str">
        <f>'Input - Bookings'!D368</f>
        <v>P</v>
      </c>
      <c r="E368" s="43" t="str">
        <f>'Input - Bookings'!J368</f>
        <v>AU</v>
      </c>
      <c r="F368" s="44" t="str">
        <f>'Input - Bookings'!F368</f>
        <v>065</v>
      </c>
      <c r="G368" s="44" t="str">
        <f>'Input - Bookings'!I368</f>
        <v>ADAPT-A-LIFT GROUP (NSW)</v>
      </c>
      <c r="H368" s="45" t="str">
        <f>'Input - Bookings'!K368</f>
        <v>H39935</v>
      </c>
      <c r="I368" s="45" t="str">
        <f>VLOOKUP(H368,'Input - Bookings'!$G$2:$H$611,2,0)</f>
        <v>087585</v>
      </c>
      <c r="J368" s="44" t="str">
        <f>'Input - Bookings'!N368</f>
        <v>A6W9</v>
      </c>
      <c r="K368" s="44" t="str">
        <f>'Input - Bookings'!O368</f>
        <v>PC1.5</v>
      </c>
      <c r="L368" s="44" t="str">
        <f>'Input - Bookings'!C368</f>
        <v>AUD</v>
      </c>
      <c r="M368" s="46" t="str">
        <f t="array" ref="M368">IF(L368="USD",INDEX('AP Plants'!A:A,MATCH(J368,'AP Plants'!D:D,0)),INDEX('Australia Plants'!A:A,MATCH(J368,'Australia Plants'!D:D,0)))</f>
        <v>Staxx</v>
      </c>
      <c r="N368" s="10">
        <v>1.0</v>
      </c>
      <c r="O368" s="9">
        <v>2140.0</v>
      </c>
      <c r="P368" s="9">
        <v>1282.92</v>
      </c>
      <c r="Q368" s="47">
        <v>0.15563392142436872</v>
      </c>
      <c r="R368" s="48">
        <f t="shared" si="3"/>
        <v>0.4005046729</v>
      </c>
      <c r="S368" s="49">
        <f t="shared" si="4"/>
        <v>0</v>
      </c>
      <c r="T368" s="49">
        <f t="shared" si="21"/>
        <v>0.1556339214</v>
      </c>
      <c r="U368" s="50" t="str">
        <f t="shared" si="6"/>
        <v>AOP</v>
      </c>
      <c r="V368" s="51">
        <f t="shared" si="28"/>
        <v>199.6658705</v>
      </c>
      <c r="W368" s="52" t="str">
        <f t="shared" si="8"/>
        <v>#DIV/0!</v>
      </c>
      <c r="X368" s="9" t="str">
        <f t="shared" si="25"/>
        <v>#DIV/0!</v>
      </c>
      <c r="Y368" s="8"/>
      <c r="Z368" s="8"/>
      <c r="AA368" s="8"/>
      <c r="AB368" s="8" t="str">
        <f t="shared" si="10"/>
        <v>PAUH39935PC1.5</v>
      </c>
      <c r="AC368" s="8" t="str">
        <f>IF(AB368='Input - Bookings'!S601,"OK","Check")</f>
        <v>Check</v>
      </c>
      <c r="AD368" s="60"/>
      <c r="AE368" s="54"/>
      <c r="AF368" s="54"/>
      <c r="AG368" s="55">
        <f t="shared" si="46"/>
        <v>641.0258258</v>
      </c>
      <c r="AH368" s="62"/>
      <c r="AI368" s="8" t="str">
        <f t="array" ref="AI368">XLOOKUP($J368,'AP Plants'!D:D,'AP Plants'!B:B)</f>
        <v>Class 3</v>
      </c>
      <c r="AJ368" s="56">
        <f>(AG368*'Currency &amp; Conversion'!$L$6)</f>
        <v>954.6156597</v>
      </c>
      <c r="AK368" s="56"/>
      <c r="AL368" s="49">
        <v>0.015</v>
      </c>
      <c r="AM368" s="49">
        <f t="array" ref="AM368">XLOOKUP($AI368,Warranty!B:B,Warranty!E:E)</f>
        <v>0.015</v>
      </c>
      <c r="AN368" s="8">
        <f>IF($L368="AUD",VLOOKUP(RIGHT('Wk - Margins'!$J368,3),'AU Freight'!C:G,5,0),0)</f>
        <v>100</v>
      </c>
      <c r="AO368" s="49">
        <f t="shared" si="11"/>
        <v>0</v>
      </c>
      <c r="AP368" s="63">
        <f t="shared" si="12"/>
        <v>1083.25413</v>
      </c>
      <c r="AQ368" s="58">
        <f t="shared" si="13"/>
        <v>0.1556339214</v>
      </c>
      <c r="AR368" s="59">
        <f>IF(L368="AUD",O368*'Currency &amp; Conversion'!$L$7,'Wk - Margins'!O368)</f>
        <v>1436.967022</v>
      </c>
      <c r="AS368" s="59">
        <f>IF(L368="AUD",P368*'Currency &amp; Conversion'!$L$7,'Wk - Margins'!P368)</f>
        <v>861.4550148</v>
      </c>
    </row>
    <row r="369" ht="12.75" hidden="1" customHeight="1">
      <c r="A369" s="42" t="str">
        <f>'Input - Bookings'!A369</f>
        <v>27/06/2023</v>
      </c>
      <c r="B369" s="43" t="str">
        <f t="shared" si="1"/>
        <v>Australia</v>
      </c>
      <c r="C369" s="43" t="str">
        <f t="shared" si="2"/>
        <v>PAU</v>
      </c>
      <c r="D369" s="43" t="str">
        <f>'Input - Bookings'!D369</f>
        <v>P</v>
      </c>
      <c r="E369" s="43" t="str">
        <f>'Input - Bookings'!J369</f>
        <v>AU</v>
      </c>
      <c r="F369" s="44" t="str">
        <f>'Input - Bookings'!F369</f>
        <v>065</v>
      </c>
      <c r="G369" s="44" t="str">
        <f>'Input - Bookings'!I369</f>
        <v>ADAPT-A-LIFT GROUP (NSW)</v>
      </c>
      <c r="H369" s="45" t="str">
        <f>'Input - Bookings'!K369</f>
        <v>H39936</v>
      </c>
      <c r="I369" s="45" t="str">
        <f>VLOOKUP(H369,'Input - Bookings'!$G$2:$H$611,2,0)</f>
        <v>087585</v>
      </c>
      <c r="J369" s="44" t="str">
        <f>'Input - Bookings'!N369</f>
        <v>A6W9</v>
      </c>
      <c r="K369" s="44" t="str">
        <f>'Input - Bookings'!O369</f>
        <v>PC1.5</v>
      </c>
      <c r="L369" s="44" t="str">
        <f>'Input - Bookings'!C369</f>
        <v>AUD</v>
      </c>
      <c r="M369" s="46" t="str">
        <f t="array" ref="M369">IF(L369="USD",INDEX('AP Plants'!A:A,MATCH(J369,'AP Plants'!D:D,0)),INDEX('Australia Plants'!A:A,MATCH(J369,'Australia Plants'!D:D,0)))</f>
        <v>Staxx</v>
      </c>
      <c r="N369" s="10">
        <v>1.0</v>
      </c>
      <c r="O369" s="9">
        <v>2140.0</v>
      </c>
      <c r="P369" s="9">
        <v>1282.92</v>
      </c>
      <c r="Q369" s="47">
        <v>0.15563392142436872</v>
      </c>
      <c r="R369" s="48">
        <f t="shared" si="3"/>
        <v>0.4005046729</v>
      </c>
      <c r="S369" s="49">
        <f t="shared" si="4"/>
        <v>0</v>
      </c>
      <c r="T369" s="49">
        <f t="shared" si="21"/>
        <v>0.1556339214</v>
      </c>
      <c r="U369" s="50" t="str">
        <f t="shared" si="6"/>
        <v>AOP</v>
      </c>
      <c r="V369" s="51">
        <f t="shared" si="28"/>
        <v>199.6658705</v>
      </c>
      <c r="W369" s="52" t="str">
        <f t="shared" si="8"/>
        <v>#DIV/0!</v>
      </c>
      <c r="X369" s="9" t="str">
        <f t="shared" si="25"/>
        <v>#DIV/0!</v>
      </c>
      <c r="Y369" s="8"/>
      <c r="Z369" s="8"/>
      <c r="AA369" s="8"/>
      <c r="AB369" s="8" t="str">
        <f t="shared" si="10"/>
        <v>PAUH39936PC1.5</v>
      </c>
      <c r="AC369" s="8" t="str">
        <f>IF(AB369='Input - Bookings'!S602,"OK","Check")</f>
        <v>Check</v>
      </c>
      <c r="AD369" s="60"/>
      <c r="AE369" s="54"/>
      <c r="AF369" s="54"/>
      <c r="AG369" s="55">
        <f t="shared" si="46"/>
        <v>641.0258258</v>
      </c>
      <c r="AH369" s="62"/>
      <c r="AI369" s="8" t="str">
        <f t="array" ref="AI369">XLOOKUP($J369,'AP Plants'!D:D,'AP Plants'!B:B)</f>
        <v>Class 3</v>
      </c>
      <c r="AJ369" s="56">
        <f>(AG369*'Currency &amp; Conversion'!$L$6)</f>
        <v>954.6156597</v>
      </c>
      <c r="AK369" s="56"/>
      <c r="AL369" s="49">
        <v>0.015</v>
      </c>
      <c r="AM369" s="49">
        <f t="array" ref="AM369">XLOOKUP($AI369,Warranty!B:B,Warranty!E:E)</f>
        <v>0.015</v>
      </c>
      <c r="AN369" s="8">
        <f>IF($L369="AUD",VLOOKUP(RIGHT('Wk - Margins'!$J369,3),'AU Freight'!C:G,5,0),0)</f>
        <v>100</v>
      </c>
      <c r="AO369" s="49">
        <f t="shared" si="11"/>
        <v>0</v>
      </c>
      <c r="AP369" s="63">
        <f t="shared" si="12"/>
        <v>1083.25413</v>
      </c>
      <c r="AQ369" s="58">
        <f t="shared" si="13"/>
        <v>0.1556339214</v>
      </c>
      <c r="AR369" s="59">
        <f>IF(L369="AUD",O369*'Currency &amp; Conversion'!$L$7,'Wk - Margins'!O369)</f>
        <v>1436.967022</v>
      </c>
      <c r="AS369" s="59">
        <f>IF(L369="AUD",P369*'Currency &amp; Conversion'!$L$7,'Wk - Margins'!P369)</f>
        <v>861.4550148</v>
      </c>
    </row>
    <row r="370" ht="12.75" hidden="1" customHeight="1">
      <c r="A370" s="42" t="str">
        <f>'Input - Bookings'!A370</f>
        <v>27/06/2023</v>
      </c>
      <c r="B370" s="43" t="str">
        <f t="shared" si="1"/>
        <v>Australia</v>
      </c>
      <c r="C370" s="43" t="str">
        <f t="shared" si="2"/>
        <v>PAU</v>
      </c>
      <c r="D370" s="43" t="str">
        <f>'Input - Bookings'!D370</f>
        <v>P</v>
      </c>
      <c r="E370" s="43" t="str">
        <f>'Input - Bookings'!J370</f>
        <v>AU</v>
      </c>
      <c r="F370" s="44" t="str">
        <f>'Input - Bookings'!F370</f>
        <v>065</v>
      </c>
      <c r="G370" s="44" t="str">
        <f>'Input - Bookings'!I370</f>
        <v>ADAPT-A-LIFT GROUP (NSW)</v>
      </c>
      <c r="H370" s="45" t="str">
        <f>'Input - Bookings'!K370</f>
        <v>H39937</v>
      </c>
      <c r="I370" s="45" t="str">
        <f>VLOOKUP(H370,'Input - Bookings'!$G$2:$H$611,2,0)</f>
        <v>087585</v>
      </c>
      <c r="J370" s="44" t="str">
        <f>'Input - Bookings'!N370</f>
        <v>A6W9</v>
      </c>
      <c r="K370" s="44" t="str">
        <f>'Input - Bookings'!O370</f>
        <v>PC1.5</v>
      </c>
      <c r="L370" s="44" t="str">
        <f>'Input - Bookings'!C370</f>
        <v>AUD</v>
      </c>
      <c r="M370" s="46" t="str">
        <f t="array" ref="M370">IF(L370="USD",INDEX('AP Plants'!A:A,MATCH(J370,'AP Plants'!D:D,0)),INDEX('Australia Plants'!A:A,MATCH(J370,'Australia Plants'!D:D,0)))</f>
        <v>Staxx</v>
      </c>
      <c r="N370" s="10">
        <v>1.0</v>
      </c>
      <c r="O370" s="9">
        <v>2140.0</v>
      </c>
      <c r="P370" s="9">
        <v>1282.92</v>
      </c>
      <c r="Q370" s="47">
        <v>0.15563392142436872</v>
      </c>
      <c r="R370" s="48">
        <f t="shared" si="3"/>
        <v>0.4005046729</v>
      </c>
      <c r="S370" s="49">
        <f t="shared" si="4"/>
        <v>0</v>
      </c>
      <c r="T370" s="49">
        <f t="shared" si="21"/>
        <v>0.1556339214</v>
      </c>
      <c r="U370" s="50" t="str">
        <f t="shared" si="6"/>
        <v>AOP</v>
      </c>
      <c r="V370" s="51">
        <f t="shared" si="28"/>
        <v>199.6658705</v>
      </c>
      <c r="W370" s="52" t="str">
        <f t="shared" si="8"/>
        <v>#DIV/0!</v>
      </c>
      <c r="X370" s="9" t="str">
        <f t="shared" si="25"/>
        <v>#DIV/0!</v>
      </c>
      <c r="Y370" s="8"/>
      <c r="Z370" s="8"/>
      <c r="AA370" s="8"/>
      <c r="AB370" s="8" t="str">
        <f t="shared" si="10"/>
        <v>PAUH39937PC1.5</v>
      </c>
      <c r="AC370" s="8" t="str">
        <f>IF(AB370='Input - Bookings'!S603,"OK","Check")</f>
        <v>Check</v>
      </c>
      <c r="AD370" s="60"/>
      <c r="AE370" s="54"/>
      <c r="AF370" s="54"/>
      <c r="AG370" s="55">
        <f t="shared" si="46"/>
        <v>641.0258258</v>
      </c>
      <c r="AH370" s="55"/>
      <c r="AI370" s="8" t="str">
        <f t="array" ref="AI370">XLOOKUP($J370,'AP Plants'!D:D,'AP Plants'!B:B)</f>
        <v>Class 3</v>
      </c>
      <c r="AJ370" s="56">
        <f>(AG370*'Currency &amp; Conversion'!$L$6)</f>
        <v>954.6156597</v>
      </c>
      <c r="AK370" s="56"/>
      <c r="AL370" s="49">
        <v>0.015</v>
      </c>
      <c r="AM370" s="49">
        <f t="array" ref="AM370">XLOOKUP($AI370,Warranty!B:B,Warranty!E:E)</f>
        <v>0.015</v>
      </c>
      <c r="AN370" s="8">
        <f>IF($L370="AUD",VLOOKUP(RIGHT('Wk - Margins'!$J370,3),'AU Freight'!C:G,5,0),0)</f>
        <v>100</v>
      </c>
      <c r="AO370" s="49">
        <f t="shared" si="11"/>
        <v>0</v>
      </c>
      <c r="AP370" s="63">
        <f t="shared" si="12"/>
        <v>1083.25413</v>
      </c>
      <c r="AQ370" s="58">
        <f t="shared" si="13"/>
        <v>0.1556339214</v>
      </c>
      <c r="AR370" s="59">
        <f>IF(L370="AUD",O370*'Currency &amp; Conversion'!$L$7,'Wk - Margins'!O370)</f>
        <v>1436.967022</v>
      </c>
      <c r="AS370" s="59">
        <f>IF(L370="AUD",P370*'Currency &amp; Conversion'!$L$7,'Wk - Margins'!P370)</f>
        <v>861.4550148</v>
      </c>
    </row>
    <row r="371" ht="12.75" hidden="1" customHeight="1">
      <c r="A371" s="42" t="str">
        <f>'Input - Bookings'!A371</f>
        <v>27/06/2023</v>
      </c>
      <c r="B371" s="43" t="str">
        <f t="shared" si="1"/>
        <v>Australia</v>
      </c>
      <c r="C371" s="43" t="str">
        <f t="shared" si="2"/>
        <v>PAU</v>
      </c>
      <c r="D371" s="43" t="str">
        <f>'Input - Bookings'!D371</f>
        <v>P</v>
      </c>
      <c r="E371" s="43" t="str">
        <f>'Input - Bookings'!J371</f>
        <v>AU</v>
      </c>
      <c r="F371" s="44" t="str">
        <f>'Input - Bookings'!F371</f>
        <v>065</v>
      </c>
      <c r="G371" s="44" t="str">
        <f>'Input - Bookings'!I371</f>
        <v>ADAPT-A-LIFT GROUP (NSW)</v>
      </c>
      <c r="H371" s="45" t="str">
        <f>'Input - Bookings'!K371</f>
        <v>H39938</v>
      </c>
      <c r="I371" s="45" t="str">
        <f>VLOOKUP(H371,'Input - Bookings'!$G$2:$H$611,2,0)</f>
        <v>087585</v>
      </c>
      <c r="J371" s="44" t="str">
        <f>'Input - Bookings'!N371</f>
        <v>A6W9</v>
      </c>
      <c r="K371" s="44" t="str">
        <f>'Input - Bookings'!O371</f>
        <v>PC1.5</v>
      </c>
      <c r="L371" s="44" t="str">
        <f>'Input - Bookings'!C371</f>
        <v>AUD</v>
      </c>
      <c r="M371" s="46" t="str">
        <f t="array" ref="M371">IF(L371="USD",INDEX('AP Plants'!A:A,MATCH(J371,'AP Plants'!D:D,0)),INDEX('Australia Plants'!A:A,MATCH(J371,'Australia Plants'!D:D,0)))</f>
        <v>Staxx</v>
      </c>
      <c r="N371" s="10">
        <v>1.0</v>
      </c>
      <c r="O371" s="9">
        <v>2140.0</v>
      </c>
      <c r="P371" s="9">
        <v>1282.92</v>
      </c>
      <c r="Q371" s="47">
        <v>0.15563392142436872</v>
      </c>
      <c r="R371" s="48">
        <f t="shared" si="3"/>
        <v>0.4005046729</v>
      </c>
      <c r="S371" s="49">
        <f t="shared" si="4"/>
        <v>0</v>
      </c>
      <c r="T371" s="49">
        <f t="shared" si="21"/>
        <v>0.1556339214</v>
      </c>
      <c r="U371" s="50" t="str">
        <f t="shared" si="6"/>
        <v>AOP</v>
      </c>
      <c r="V371" s="51">
        <f t="shared" si="28"/>
        <v>199.6658705</v>
      </c>
      <c r="W371" s="52" t="str">
        <f t="shared" si="8"/>
        <v>#DIV/0!</v>
      </c>
      <c r="X371" s="9" t="str">
        <f t="shared" si="25"/>
        <v>#DIV/0!</v>
      </c>
      <c r="Y371" s="8"/>
      <c r="Z371" s="8"/>
      <c r="AA371" s="8"/>
      <c r="AB371" s="8" t="str">
        <f t="shared" si="10"/>
        <v>PAUH39938PC1.5</v>
      </c>
      <c r="AC371" s="8" t="str">
        <f>IF(AB371='Input - Bookings'!S604,"OK","Check")</f>
        <v>Check</v>
      </c>
      <c r="AD371" s="60"/>
      <c r="AE371" s="54"/>
      <c r="AF371" s="54"/>
      <c r="AG371" s="55">
        <f t="shared" si="46"/>
        <v>641.0258258</v>
      </c>
      <c r="AH371" s="62"/>
      <c r="AI371" s="8" t="str">
        <f t="array" ref="AI371">XLOOKUP($J371,'AP Plants'!D:D,'AP Plants'!B:B)</f>
        <v>Class 3</v>
      </c>
      <c r="AJ371" s="56">
        <f>(AG371*'Currency &amp; Conversion'!$L$6)</f>
        <v>954.6156597</v>
      </c>
      <c r="AK371" s="56"/>
      <c r="AL371" s="49">
        <v>0.015</v>
      </c>
      <c r="AM371" s="49">
        <f t="array" ref="AM371">XLOOKUP($AI371,Warranty!B:B,Warranty!E:E)</f>
        <v>0.015</v>
      </c>
      <c r="AN371" s="8">
        <f>IF($L371="AUD",VLOOKUP(RIGHT('Wk - Margins'!$J371,3),'AU Freight'!C:G,5,0),0)</f>
        <v>100</v>
      </c>
      <c r="AO371" s="49">
        <f t="shared" si="11"/>
        <v>0</v>
      </c>
      <c r="AP371" s="63">
        <f t="shared" si="12"/>
        <v>1083.25413</v>
      </c>
      <c r="AQ371" s="58">
        <f t="shared" si="13"/>
        <v>0.1556339214</v>
      </c>
      <c r="AR371" s="59">
        <f>IF(L371="AUD",O371*'Currency &amp; Conversion'!$L$7,'Wk - Margins'!O371)</f>
        <v>1436.967022</v>
      </c>
      <c r="AS371" s="59">
        <f>IF(L371="AUD",P371*'Currency &amp; Conversion'!$L$7,'Wk - Margins'!P371)</f>
        <v>861.4550148</v>
      </c>
    </row>
    <row r="372" ht="12.75" hidden="1" customHeight="1">
      <c r="A372" s="42" t="str">
        <f>'Input - Bookings'!A372</f>
        <v>27/06/2023</v>
      </c>
      <c r="B372" s="43" t="str">
        <f t="shared" si="1"/>
        <v>Australia</v>
      </c>
      <c r="C372" s="43" t="str">
        <f t="shared" si="2"/>
        <v>PAU</v>
      </c>
      <c r="D372" s="43" t="str">
        <f>'Input - Bookings'!D372</f>
        <v>P</v>
      </c>
      <c r="E372" s="43" t="str">
        <f>'Input - Bookings'!J372</f>
        <v>AU</v>
      </c>
      <c r="F372" s="44" t="str">
        <f>'Input - Bookings'!F372</f>
        <v>065</v>
      </c>
      <c r="G372" s="44" t="str">
        <f>'Input - Bookings'!I372</f>
        <v>ADAPT-A-LIFT GROUP (NSW)</v>
      </c>
      <c r="H372" s="45" t="str">
        <f>'Input - Bookings'!K372</f>
        <v>H39939</v>
      </c>
      <c r="I372" s="45" t="str">
        <f>VLOOKUP(H372,'Input - Bookings'!$G$2:$H$611,2,0)</f>
        <v>087585</v>
      </c>
      <c r="J372" s="44" t="str">
        <f>'Input - Bookings'!N372</f>
        <v>A6W9</v>
      </c>
      <c r="K372" s="44" t="str">
        <f>'Input - Bookings'!O372</f>
        <v>PC1.5</v>
      </c>
      <c r="L372" s="44" t="str">
        <f>'Input - Bookings'!C372</f>
        <v>AUD</v>
      </c>
      <c r="M372" s="46" t="str">
        <f t="array" ref="M372">IF(L372="USD",INDEX('AP Plants'!A:A,MATCH(J372,'AP Plants'!D:D,0)),INDEX('Australia Plants'!A:A,MATCH(J372,'Australia Plants'!D:D,0)))</f>
        <v>Staxx</v>
      </c>
      <c r="N372" s="10">
        <v>1.0</v>
      </c>
      <c r="O372" s="9">
        <v>2140.0</v>
      </c>
      <c r="P372" s="9">
        <v>1282.92</v>
      </c>
      <c r="Q372" s="47">
        <v>0.15563392142436872</v>
      </c>
      <c r="R372" s="48">
        <f t="shared" si="3"/>
        <v>0.4005046729</v>
      </c>
      <c r="S372" s="49">
        <f t="shared" si="4"/>
        <v>0</v>
      </c>
      <c r="T372" s="49">
        <f t="shared" si="21"/>
        <v>0.1556339214</v>
      </c>
      <c r="U372" s="50" t="str">
        <f t="shared" si="6"/>
        <v>AOP</v>
      </c>
      <c r="V372" s="51">
        <f t="shared" si="28"/>
        <v>199.6658705</v>
      </c>
      <c r="W372" s="52" t="str">
        <f t="shared" si="8"/>
        <v>#DIV/0!</v>
      </c>
      <c r="X372" s="9" t="str">
        <f t="shared" si="25"/>
        <v>#DIV/0!</v>
      </c>
      <c r="Y372" s="8"/>
      <c r="Z372" s="8"/>
      <c r="AA372" s="8"/>
      <c r="AB372" s="8" t="str">
        <f t="shared" si="10"/>
        <v>PAUH39939PC1.5</v>
      </c>
      <c r="AC372" s="8" t="str">
        <f>IF(AB372='Input - Bookings'!S605,"OK","Check")</f>
        <v>Check</v>
      </c>
      <c r="AD372" s="60"/>
      <c r="AE372" s="54"/>
      <c r="AF372" s="54"/>
      <c r="AG372" s="55">
        <f t="shared" si="46"/>
        <v>641.0258258</v>
      </c>
      <c r="AH372" s="62"/>
      <c r="AI372" s="8" t="str">
        <f t="array" ref="AI372">XLOOKUP($J372,'AP Plants'!D:D,'AP Plants'!B:B)</f>
        <v>Class 3</v>
      </c>
      <c r="AJ372" s="56">
        <f>(AG372*'Currency &amp; Conversion'!$L$6)</f>
        <v>954.6156597</v>
      </c>
      <c r="AK372" s="56"/>
      <c r="AL372" s="49">
        <v>0.015</v>
      </c>
      <c r="AM372" s="49">
        <f t="array" ref="AM372">XLOOKUP($AI372,Warranty!B:B,Warranty!E:E)</f>
        <v>0.015</v>
      </c>
      <c r="AN372" s="8">
        <f>IF($L372="AUD",VLOOKUP(RIGHT('Wk - Margins'!$J372,3),'AU Freight'!C:G,5,0),0)</f>
        <v>100</v>
      </c>
      <c r="AO372" s="49">
        <f t="shared" si="11"/>
        <v>0</v>
      </c>
      <c r="AP372" s="63">
        <f t="shared" si="12"/>
        <v>1083.25413</v>
      </c>
      <c r="AQ372" s="58">
        <f t="shared" si="13"/>
        <v>0.1556339214</v>
      </c>
      <c r="AR372" s="59">
        <f>IF(L372="AUD",O372*'Currency &amp; Conversion'!$L$7,'Wk - Margins'!O372)</f>
        <v>1436.967022</v>
      </c>
      <c r="AS372" s="59">
        <f>IF(L372="AUD",P372*'Currency &amp; Conversion'!$L$7,'Wk - Margins'!P372)</f>
        <v>861.4550148</v>
      </c>
    </row>
    <row r="373" ht="12.75" hidden="1" customHeight="1">
      <c r="A373" s="42" t="str">
        <f>'Input - Bookings'!A373</f>
        <v>27/06/2023</v>
      </c>
      <c r="B373" s="43" t="str">
        <f t="shared" si="1"/>
        <v>Australia</v>
      </c>
      <c r="C373" s="43" t="str">
        <f t="shared" si="2"/>
        <v>PAU</v>
      </c>
      <c r="D373" s="43" t="str">
        <f>'Input - Bookings'!D373</f>
        <v>P</v>
      </c>
      <c r="E373" s="43" t="str">
        <f>'Input - Bookings'!J373</f>
        <v>AU</v>
      </c>
      <c r="F373" s="44" t="str">
        <f>'Input - Bookings'!F373</f>
        <v>065</v>
      </c>
      <c r="G373" s="44" t="str">
        <f>'Input - Bookings'!I373</f>
        <v>ADAPT-A-LIFT GROUP (NSW)</v>
      </c>
      <c r="H373" s="45" t="str">
        <f>'Input - Bookings'!K373</f>
        <v>H39940</v>
      </c>
      <c r="I373" s="45" t="str">
        <f>VLOOKUP(H373,'Input - Bookings'!$G$2:$H$611,2,0)</f>
        <v>087585</v>
      </c>
      <c r="J373" s="44" t="str">
        <f>'Input - Bookings'!N373</f>
        <v>A6W9</v>
      </c>
      <c r="K373" s="44" t="str">
        <f>'Input - Bookings'!O373</f>
        <v>PC1.5</v>
      </c>
      <c r="L373" s="44" t="str">
        <f>'Input - Bookings'!C373</f>
        <v>AUD</v>
      </c>
      <c r="M373" s="46" t="str">
        <f t="array" ref="M373">IF(L373="USD",INDEX('AP Plants'!A:A,MATCH(J373,'AP Plants'!D:D,0)),INDEX('Australia Plants'!A:A,MATCH(J373,'Australia Plants'!D:D,0)))</f>
        <v>Staxx</v>
      </c>
      <c r="N373" s="10">
        <v>1.0</v>
      </c>
      <c r="O373" s="9">
        <v>2140.0</v>
      </c>
      <c r="P373" s="9">
        <v>1282.92</v>
      </c>
      <c r="Q373" s="47">
        <v>0.15563392142436872</v>
      </c>
      <c r="R373" s="48">
        <f t="shared" si="3"/>
        <v>0.4005046729</v>
      </c>
      <c r="S373" s="49">
        <f t="shared" si="4"/>
        <v>0</v>
      </c>
      <c r="T373" s="49">
        <f t="shared" si="21"/>
        <v>0.1556339214</v>
      </c>
      <c r="U373" s="50" t="str">
        <f t="shared" si="6"/>
        <v>AOP</v>
      </c>
      <c r="V373" s="51">
        <f t="shared" si="28"/>
        <v>199.6658705</v>
      </c>
      <c r="W373" s="52" t="str">
        <f t="shared" si="8"/>
        <v>#DIV/0!</v>
      </c>
      <c r="X373" s="9" t="str">
        <f t="shared" si="25"/>
        <v>#DIV/0!</v>
      </c>
      <c r="Y373" s="8"/>
      <c r="Z373" s="8"/>
      <c r="AA373" s="8"/>
      <c r="AB373" s="8" t="str">
        <f t="shared" si="10"/>
        <v>PAUH39940PC1.5</v>
      </c>
      <c r="AC373" s="8" t="str">
        <f>IF(AB373='Input - Bookings'!S606,"OK","Check")</f>
        <v>Check</v>
      </c>
      <c r="AD373" s="60"/>
      <c r="AE373" s="54"/>
      <c r="AF373" s="54"/>
      <c r="AG373" s="55">
        <f t="shared" si="46"/>
        <v>641.0258258</v>
      </c>
      <c r="AH373" s="55"/>
      <c r="AI373" s="8" t="str">
        <f t="array" ref="AI373">XLOOKUP($J373,'AP Plants'!D:D,'AP Plants'!B:B)</f>
        <v>Class 3</v>
      </c>
      <c r="AJ373" s="56">
        <f>(AG373*'Currency &amp; Conversion'!$L$6)</f>
        <v>954.6156597</v>
      </c>
      <c r="AK373" s="56"/>
      <c r="AL373" s="49">
        <v>0.015</v>
      </c>
      <c r="AM373" s="49">
        <f t="array" ref="AM373">XLOOKUP($AI373,Warranty!B:B,Warranty!E:E)</f>
        <v>0.015</v>
      </c>
      <c r="AN373" s="8">
        <f>IF($L373="AUD",VLOOKUP(RIGHT('Wk - Margins'!$J373,3),'AU Freight'!C:G,5,0),0)</f>
        <v>100</v>
      </c>
      <c r="AO373" s="49">
        <f t="shared" si="11"/>
        <v>0</v>
      </c>
      <c r="AP373" s="63">
        <f t="shared" si="12"/>
        <v>1083.25413</v>
      </c>
      <c r="AQ373" s="58">
        <f t="shared" si="13"/>
        <v>0.1556339214</v>
      </c>
      <c r="AR373" s="59">
        <f>IF(L373="AUD",O373*'Currency &amp; Conversion'!$L$7,'Wk - Margins'!O373)</f>
        <v>1436.967022</v>
      </c>
      <c r="AS373" s="59">
        <f>IF(L373="AUD",P373*'Currency &amp; Conversion'!$L$7,'Wk - Margins'!P373)</f>
        <v>861.4550148</v>
      </c>
    </row>
    <row r="374" ht="12.75" hidden="1" customHeight="1">
      <c r="A374" s="42" t="str">
        <f>'Input - Bookings'!A374</f>
        <v>27/06/2023</v>
      </c>
      <c r="B374" s="43" t="str">
        <f t="shared" si="1"/>
        <v>Australia</v>
      </c>
      <c r="C374" s="43" t="str">
        <f t="shared" si="2"/>
        <v>PAU</v>
      </c>
      <c r="D374" s="43" t="str">
        <f>'Input - Bookings'!D374</f>
        <v>P</v>
      </c>
      <c r="E374" s="43" t="str">
        <f>'Input - Bookings'!J374</f>
        <v>AU</v>
      </c>
      <c r="F374" s="44" t="str">
        <f>'Input - Bookings'!F374</f>
        <v>065</v>
      </c>
      <c r="G374" s="44" t="str">
        <f>'Input - Bookings'!I374</f>
        <v>ADAPT-A-LIFT GROUP (NSW)</v>
      </c>
      <c r="H374" s="45" t="str">
        <f>'Input - Bookings'!K374</f>
        <v>H39941</v>
      </c>
      <c r="I374" s="45" t="str">
        <f>VLOOKUP(H374,'Input - Bookings'!$G$2:$H$611,2,0)</f>
        <v>087585</v>
      </c>
      <c r="J374" s="44" t="str">
        <f>'Input - Bookings'!N374</f>
        <v>A6W9</v>
      </c>
      <c r="K374" s="44" t="str">
        <f>'Input - Bookings'!O374</f>
        <v>PC1.5</v>
      </c>
      <c r="L374" s="44" t="str">
        <f>'Input - Bookings'!C374</f>
        <v>AUD</v>
      </c>
      <c r="M374" s="46" t="str">
        <f t="array" ref="M374">IF(L374="USD",INDEX('AP Plants'!A:A,MATCH(J374,'AP Plants'!D:D,0)),INDEX('Australia Plants'!A:A,MATCH(J374,'Australia Plants'!D:D,0)))</f>
        <v>Staxx</v>
      </c>
      <c r="N374" s="10">
        <v>1.0</v>
      </c>
      <c r="O374" s="9">
        <v>2140.0</v>
      </c>
      <c r="P374" s="9">
        <v>1282.92</v>
      </c>
      <c r="Q374" s="47">
        <v>0.15563392142436872</v>
      </c>
      <c r="R374" s="48">
        <f t="shared" si="3"/>
        <v>0.4005046729</v>
      </c>
      <c r="S374" s="49">
        <f t="shared" si="4"/>
        <v>0</v>
      </c>
      <c r="T374" s="49">
        <f t="shared" si="21"/>
        <v>0.1556339214</v>
      </c>
      <c r="U374" s="50" t="str">
        <f t="shared" si="6"/>
        <v>AOP</v>
      </c>
      <c r="V374" s="51">
        <f t="shared" si="28"/>
        <v>199.6658705</v>
      </c>
      <c r="W374" s="52" t="str">
        <f t="shared" si="8"/>
        <v>#DIV/0!</v>
      </c>
      <c r="X374" s="9" t="str">
        <f t="shared" si="25"/>
        <v>#DIV/0!</v>
      </c>
      <c r="Y374" s="8"/>
      <c r="Z374" s="8"/>
      <c r="AA374" s="8"/>
      <c r="AB374" s="8" t="str">
        <f t="shared" si="10"/>
        <v>PAUH39941PC1.5</v>
      </c>
      <c r="AC374" s="8" t="str">
        <f>IF(AB374='Input - Bookings'!S607,"OK","Check")</f>
        <v>Check</v>
      </c>
      <c r="AD374" s="60"/>
      <c r="AE374" s="54"/>
      <c r="AF374" s="54"/>
      <c r="AG374" s="55">
        <f t="shared" si="46"/>
        <v>641.0258258</v>
      </c>
      <c r="AH374" s="55"/>
      <c r="AI374" s="8" t="str">
        <f t="array" ref="AI374">XLOOKUP($J374,'AP Plants'!D:D,'AP Plants'!B:B)</f>
        <v>Class 3</v>
      </c>
      <c r="AJ374" s="56">
        <f>(AG374*'Currency &amp; Conversion'!$L$6)</f>
        <v>954.6156597</v>
      </c>
      <c r="AK374" s="56"/>
      <c r="AL374" s="49">
        <v>0.015</v>
      </c>
      <c r="AM374" s="49">
        <f t="array" ref="AM374">XLOOKUP($AI374,Warranty!B:B,Warranty!E:E)</f>
        <v>0.015</v>
      </c>
      <c r="AN374" s="8">
        <f>IF($L374="AUD",VLOOKUP(RIGHT('Wk - Margins'!$J374,3),'AU Freight'!C:G,5,0),0)</f>
        <v>100</v>
      </c>
      <c r="AO374" s="49">
        <f t="shared" si="11"/>
        <v>0</v>
      </c>
      <c r="AP374" s="63">
        <f t="shared" si="12"/>
        <v>1083.25413</v>
      </c>
      <c r="AQ374" s="58">
        <f t="shared" si="13"/>
        <v>0.1556339214</v>
      </c>
      <c r="AR374" s="59">
        <f>IF(L374="AUD",O374*'Currency &amp; Conversion'!$L$7,'Wk - Margins'!O374)</f>
        <v>1436.967022</v>
      </c>
      <c r="AS374" s="59">
        <f>IF(L374="AUD",P374*'Currency &amp; Conversion'!$L$7,'Wk - Margins'!P374)</f>
        <v>861.4550148</v>
      </c>
    </row>
    <row r="375" ht="12.75" hidden="1" customHeight="1">
      <c r="A375" s="42" t="str">
        <f>'Input - Bookings'!A375</f>
        <v>27/06/2023</v>
      </c>
      <c r="B375" s="43" t="str">
        <f t="shared" si="1"/>
        <v>Australia</v>
      </c>
      <c r="C375" s="43" t="str">
        <f t="shared" si="2"/>
        <v>PAU</v>
      </c>
      <c r="D375" s="43" t="str">
        <f>'Input - Bookings'!D375</f>
        <v>P</v>
      </c>
      <c r="E375" s="43" t="str">
        <f>'Input - Bookings'!J375</f>
        <v>AU</v>
      </c>
      <c r="F375" s="44" t="str">
        <f>'Input - Bookings'!F375</f>
        <v>065</v>
      </c>
      <c r="G375" s="44" t="str">
        <f>'Input - Bookings'!I375</f>
        <v>ADAPT-A-LIFT GROUP (NSW)</v>
      </c>
      <c r="H375" s="45" t="str">
        <f>'Input - Bookings'!K375</f>
        <v>H39942</v>
      </c>
      <c r="I375" s="45" t="str">
        <f>VLOOKUP(H375,'Input - Bookings'!$G$2:$H$611,2,0)</f>
        <v>087585</v>
      </c>
      <c r="J375" s="44" t="str">
        <f>'Input - Bookings'!N375</f>
        <v>A6W9</v>
      </c>
      <c r="K375" s="44" t="str">
        <f>'Input - Bookings'!O375</f>
        <v>PC1.5</v>
      </c>
      <c r="L375" s="44" t="str">
        <f>'Input - Bookings'!C375</f>
        <v>AUD</v>
      </c>
      <c r="M375" s="46" t="str">
        <f t="array" ref="M375">IF(L375="USD",INDEX('AP Plants'!A:A,MATCH(J375,'AP Plants'!D:D,0)),INDEX('Australia Plants'!A:A,MATCH(J375,'Australia Plants'!D:D,0)))</f>
        <v>Staxx</v>
      </c>
      <c r="N375" s="10">
        <v>1.0</v>
      </c>
      <c r="O375" s="9">
        <v>2140.0</v>
      </c>
      <c r="P375" s="9">
        <v>1282.92</v>
      </c>
      <c r="Q375" s="47">
        <v>0.15563392142436872</v>
      </c>
      <c r="R375" s="48">
        <f t="shared" si="3"/>
        <v>0.4005046729</v>
      </c>
      <c r="S375" s="49">
        <f t="shared" si="4"/>
        <v>0</v>
      </c>
      <c r="T375" s="49">
        <f t="shared" si="21"/>
        <v>0.1556339214</v>
      </c>
      <c r="U375" s="50" t="str">
        <f t="shared" si="6"/>
        <v>AOP</v>
      </c>
      <c r="V375" s="51">
        <f t="shared" si="28"/>
        <v>199.6658705</v>
      </c>
      <c r="W375" s="52" t="str">
        <f t="shared" si="8"/>
        <v>#DIV/0!</v>
      </c>
      <c r="X375" s="9" t="str">
        <f t="shared" si="25"/>
        <v>#DIV/0!</v>
      </c>
      <c r="Y375" s="8"/>
      <c r="Z375" s="8"/>
      <c r="AA375" s="8"/>
      <c r="AB375" s="8" t="str">
        <f t="shared" si="10"/>
        <v>PAUH39942PC1.5</v>
      </c>
      <c r="AC375" s="8" t="str">
        <f>IF(AB375='Input - Bookings'!S608,"OK","Check")</f>
        <v>Check</v>
      </c>
      <c r="AD375" s="60"/>
      <c r="AE375" s="54"/>
      <c r="AF375" s="54"/>
      <c r="AG375" s="55">
        <f t="shared" si="46"/>
        <v>641.0258258</v>
      </c>
      <c r="AH375" s="62"/>
      <c r="AI375" s="8" t="str">
        <f t="array" ref="AI375">XLOOKUP($J375,'AP Plants'!D:D,'AP Plants'!B:B)</f>
        <v>Class 3</v>
      </c>
      <c r="AJ375" s="56">
        <f>(AG375*'Currency &amp; Conversion'!$L$6)</f>
        <v>954.6156597</v>
      </c>
      <c r="AK375" s="56"/>
      <c r="AL375" s="49">
        <v>0.015</v>
      </c>
      <c r="AM375" s="49">
        <f t="array" ref="AM375">XLOOKUP($AI375,Warranty!B:B,Warranty!E:E)</f>
        <v>0.015</v>
      </c>
      <c r="AN375" s="8">
        <f>IF($L375="AUD",VLOOKUP(RIGHT('Wk - Margins'!$J375,3),'AU Freight'!C:G,5,0),0)</f>
        <v>100</v>
      </c>
      <c r="AO375" s="49">
        <f t="shared" si="11"/>
        <v>0</v>
      </c>
      <c r="AP375" s="63">
        <f t="shared" si="12"/>
        <v>1083.25413</v>
      </c>
      <c r="AQ375" s="58">
        <f t="shared" si="13"/>
        <v>0.1556339214</v>
      </c>
      <c r="AR375" s="59">
        <f>IF(L375="AUD",O375*'Currency &amp; Conversion'!$L$7,'Wk - Margins'!O375)</f>
        <v>1436.967022</v>
      </c>
      <c r="AS375" s="59">
        <f>IF(L375="AUD",P375*'Currency &amp; Conversion'!$L$7,'Wk - Margins'!P375)</f>
        <v>861.4550148</v>
      </c>
    </row>
    <row r="376" ht="12.75" hidden="1" customHeight="1">
      <c r="A376" s="42" t="str">
        <f>'Input - Bookings'!A376</f>
        <v>27/06/2023</v>
      </c>
      <c r="B376" s="43" t="str">
        <f t="shared" si="1"/>
        <v>Australia</v>
      </c>
      <c r="C376" s="43" t="str">
        <f t="shared" si="2"/>
        <v>PAU</v>
      </c>
      <c r="D376" s="43" t="str">
        <f>'Input - Bookings'!D376</f>
        <v>P</v>
      </c>
      <c r="E376" s="43" t="str">
        <f>'Input - Bookings'!J376</f>
        <v>AU</v>
      </c>
      <c r="F376" s="44" t="str">
        <f>'Input - Bookings'!F376</f>
        <v>065</v>
      </c>
      <c r="G376" s="44" t="str">
        <f>'Input - Bookings'!I376</f>
        <v>ADAPT-A-LIFT GROUP (NSW)</v>
      </c>
      <c r="H376" s="45" t="str">
        <f>'Input - Bookings'!K376</f>
        <v>H39943</v>
      </c>
      <c r="I376" s="45" t="str">
        <f>VLOOKUP(H376,'Input - Bookings'!$G$2:$H$611,2,0)</f>
        <v>087585</v>
      </c>
      <c r="J376" s="44" t="str">
        <f>'Input - Bookings'!N376</f>
        <v>A6W9</v>
      </c>
      <c r="K376" s="44" t="str">
        <f>'Input - Bookings'!O376</f>
        <v>PC1.5</v>
      </c>
      <c r="L376" s="44" t="str">
        <f>'Input - Bookings'!C376</f>
        <v>AUD</v>
      </c>
      <c r="M376" s="46" t="str">
        <f t="array" ref="M376">IF(L376="USD",INDEX('AP Plants'!A:A,MATCH(J376,'AP Plants'!D:D,0)),INDEX('Australia Plants'!A:A,MATCH(J376,'Australia Plants'!D:D,0)))</f>
        <v>Staxx</v>
      </c>
      <c r="N376" s="10">
        <v>1.0</v>
      </c>
      <c r="O376" s="9">
        <v>2140.0</v>
      </c>
      <c r="P376" s="9">
        <v>1282.92</v>
      </c>
      <c r="Q376" s="47">
        <v>0.15563392142436872</v>
      </c>
      <c r="R376" s="48">
        <f t="shared" si="3"/>
        <v>0.4005046729</v>
      </c>
      <c r="S376" s="49">
        <f t="shared" si="4"/>
        <v>0</v>
      </c>
      <c r="T376" s="49">
        <f t="shared" si="21"/>
        <v>0.1556339214</v>
      </c>
      <c r="U376" s="50" t="str">
        <f t="shared" si="6"/>
        <v>AOP</v>
      </c>
      <c r="V376" s="51">
        <f t="shared" si="28"/>
        <v>199.6658705</v>
      </c>
      <c r="W376" s="52" t="str">
        <f t="shared" si="8"/>
        <v>#DIV/0!</v>
      </c>
      <c r="X376" s="9" t="str">
        <f t="shared" si="25"/>
        <v>#DIV/0!</v>
      </c>
      <c r="Y376" s="8"/>
      <c r="Z376" s="8"/>
      <c r="AA376" s="8"/>
      <c r="AB376" s="8" t="str">
        <f t="shared" si="10"/>
        <v>PAUH39943PC1.5</v>
      </c>
      <c r="AC376" s="8" t="str">
        <f>IF(AB376='Input - Bookings'!S609,"OK","Check")</f>
        <v>Check</v>
      </c>
      <c r="AD376" s="60"/>
      <c r="AE376" s="54"/>
      <c r="AF376" s="54"/>
      <c r="AG376" s="55">
        <f t="shared" si="46"/>
        <v>641.0258258</v>
      </c>
      <c r="AH376" s="55"/>
      <c r="AI376" s="8" t="str">
        <f t="array" ref="AI376">XLOOKUP($J376,'AP Plants'!D:D,'AP Plants'!B:B)</f>
        <v>Class 3</v>
      </c>
      <c r="AJ376" s="56">
        <f>(AG376*'Currency &amp; Conversion'!$L$6)</f>
        <v>954.6156597</v>
      </c>
      <c r="AK376" s="56"/>
      <c r="AL376" s="49">
        <v>0.015</v>
      </c>
      <c r="AM376" s="49">
        <f t="array" ref="AM376">XLOOKUP($AI376,Warranty!B:B,Warranty!E:E)</f>
        <v>0.015</v>
      </c>
      <c r="AN376" s="8">
        <f>IF($L376="AUD",VLOOKUP(RIGHT('Wk - Margins'!$J376,3),'AU Freight'!C:G,5,0),0)</f>
        <v>100</v>
      </c>
      <c r="AO376" s="49">
        <f t="shared" si="11"/>
        <v>0</v>
      </c>
      <c r="AP376" s="63">
        <f t="shared" si="12"/>
        <v>1083.25413</v>
      </c>
      <c r="AQ376" s="58">
        <f t="shared" si="13"/>
        <v>0.1556339214</v>
      </c>
      <c r="AR376" s="59">
        <f>IF(L376="AUD",O376*'Currency &amp; Conversion'!$L$7,'Wk - Margins'!O376)</f>
        <v>1436.967022</v>
      </c>
      <c r="AS376" s="59">
        <f>IF(L376="AUD",P376*'Currency &amp; Conversion'!$L$7,'Wk - Margins'!P376)</f>
        <v>861.4550148</v>
      </c>
    </row>
    <row r="377" ht="12.75" hidden="1" customHeight="1">
      <c r="A377" s="42" t="str">
        <f>'Input - Bookings'!A377</f>
        <v>27/06/2023</v>
      </c>
      <c r="B377" s="43" t="str">
        <f t="shared" si="1"/>
        <v>Australia</v>
      </c>
      <c r="C377" s="43" t="str">
        <f t="shared" si="2"/>
        <v>PAU</v>
      </c>
      <c r="D377" s="43" t="str">
        <f>'Input - Bookings'!D377</f>
        <v>P</v>
      </c>
      <c r="E377" s="43" t="str">
        <f>'Input - Bookings'!J377</f>
        <v>AU</v>
      </c>
      <c r="F377" s="44" t="str">
        <f>'Input - Bookings'!F377</f>
        <v>065</v>
      </c>
      <c r="G377" s="44" t="str">
        <f>'Input - Bookings'!I377</f>
        <v>ADAPT-A-LIFT GROUP (NSW)</v>
      </c>
      <c r="H377" s="45" t="str">
        <f>'Input - Bookings'!K377</f>
        <v>H39944</v>
      </c>
      <c r="I377" s="45" t="str">
        <f>VLOOKUP(H377,'Input - Bookings'!$G$2:$H$611,2,0)</f>
        <v>087585</v>
      </c>
      <c r="J377" s="44" t="str">
        <f>'Input - Bookings'!N377</f>
        <v>A6W9</v>
      </c>
      <c r="K377" s="44" t="str">
        <f>'Input - Bookings'!O377</f>
        <v>PC1.5</v>
      </c>
      <c r="L377" s="44" t="str">
        <f>'Input - Bookings'!C377</f>
        <v>AUD</v>
      </c>
      <c r="M377" s="46" t="str">
        <f t="array" ref="M377">IF(L377="USD",INDEX('AP Plants'!A:A,MATCH(J377,'AP Plants'!D:D,0)),INDEX('Australia Plants'!A:A,MATCH(J377,'Australia Plants'!D:D,0)))</f>
        <v>Staxx</v>
      </c>
      <c r="N377" s="10">
        <v>1.0</v>
      </c>
      <c r="O377" s="9">
        <v>2140.0</v>
      </c>
      <c r="P377" s="9">
        <v>1282.92</v>
      </c>
      <c r="Q377" s="47">
        <v>0.15563392142436872</v>
      </c>
      <c r="R377" s="48">
        <f t="shared" si="3"/>
        <v>0.4005046729</v>
      </c>
      <c r="S377" s="49">
        <f t="shared" si="4"/>
        <v>0</v>
      </c>
      <c r="T377" s="49">
        <f t="shared" si="21"/>
        <v>0.1556339214</v>
      </c>
      <c r="U377" s="50" t="str">
        <f t="shared" si="6"/>
        <v>AOP</v>
      </c>
      <c r="V377" s="51">
        <f t="shared" si="28"/>
        <v>199.6658705</v>
      </c>
      <c r="W377" s="52" t="str">
        <f t="shared" si="8"/>
        <v>#DIV/0!</v>
      </c>
      <c r="X377" s="9" t="str">
        <f t="shared" si="25"/>
        <v>#DIV/0!</v>
      </c>
      <c r="Y377" s="8"/>
      <c r="Z377" s="8"/>
      <c r="AA377" s="8"/>
      <c r="AB377" s="8" t="str">
        <f t="shared" si="10"/>
        <v>PAUH39944PC1.5</v>
      </c>
      <c r="AC377" s="8" t="str">
        <f>IF(AB377='Input - Bookings'!S610,"OK","Check")</f>
        <v>Check</v>
      </c>
      <c r="AD377" s="53"/>
      <c r="AE377" s="54"/>
      <c r="AF377" s="54"/>
      <c r="AG377" s="55">
        <f t="shared" si="46"/>
        <v>641.0258258</v>
      </c>
      <c r="AH377" s="55"/>
      <c r="AI377" s="8" t="str">
        <f t="array" ref="AI377">XLOOKUP($J377,'AP Plants'!D:D,'AP Plants'!B:B)</f>
        <v>Class 3</v>
      </c>
      <c r="AJ377" s="56">
        <f>(AG377*'Currency &amp; Conversion'!$L$6)</f>
        <v>954.6156597</v>
      </c>
      <c r="AK377" s="56"/>
      <c r="AL377" s="49">
        <v>0.015</v>
      </c>
      <c r="AM377" s="49">
        <f t="array" ref="AM377">XLOOKUP($AI377,Warranty!B:B,Warranty!E:E)</f>
        <v>0.015</v>
      </c>
      <c r="AN377" s="8">
        <f>IF($L377="AUD",VLOOKUP(RIGHT('Wk - Margins'!$J377,3),'AU Freight'!C:G,5,0),0)</f>
        <v>100</v>
      </c>
      <c r="AO377" s="49">
        <f t="shared" si="11"/>
        <v>0</v>
      </c>
      <c r="AP377" s="63">
        <f t="shared" si="12"/>
        <v>1083.25413</v>
      </c>
      <c r="AQ377" s="58">
        <f t="shared" si="13"/>
        <v>0.1556339214</v>
      </c>
      <c r="AR377" s="59">
        <f>IF(L377="AUD",O377*'Currency &amp; Conversion'!$L$7,'Wk - Margins'!O377)</f>
        <v>1436.967022</v>
      </c>
      <c r="AS377" s="59">
        <f>IF(L377="AUD",P377*'Currency &amp; Conversion'!$L$7,'Wk - Margins'!P377)</f>
        <v>861.4550148</v>
      </c>
    </row>
    <row r="378" ht="12.75" hidden="1" customHeight="1">
      <c r="A378" s="42" t="str">
        <f>'Input - Bookings'!A378</f>
        <v>27/06/2023</v>
      </c>
      <c r="B378" s="43" t="str">
        <f t="shared" si="1"/>
        <v>Australia</v>
      </c>
      <c r="C378" s="43" t="str">
        <f t="shared" si="2"/>
        <v>PAU</v>
      </c>
      <c r="D378" s="43" t="str">
        <f>'Input - Bookings'!D378</f>
        <v>P</v>
      </c>
      <c r="E378" s="43" t="str">
        <f>'Input - Bookings'!J378</f>
        <v>AU</v>
      </c>
      <c r="F378" s="44" t="str">
        <f>'Input - Bookings'!F378</f>
        <v>065</v>
      </c>
      <c r="G378" s="44" t="str">
        <f>'Input - Bookings'!I378</f>
        <v>ADAPT-A-LIFT GROUP (NSW)</v>
      </c>
      <c r="H378" s="45" t="str">
        <f>'Input - Bookings'!K378</f>
        <v>H39945</v>
      </c>
      <c r="I378" s="45" t="str">
        <f>VLOOKUP(H378,'Input - Bookings'!$G$2:$H$611,2,0)</f>
        <v>087585</v>
      </c>
      <c r="J378" s="44" t="str">
        <f>'Input - Bookings'!N378</f>
        <v>A6W9</v>
      </c>
      <c r="K378" s="44" t="str">
        <f>'Input - Bookings'!O378</f>
        <v>PC1.5</v>
      </c>
      <c r="L378" s="44" t="str">
        <f>'Input - Bookings'!C378</f>
        <v>AUD</v>
      </c>
      <c r="M378" s="46" t="str">
        <f t="array" ref="M378">IF(L378="USD",INDEX('AP Plants'!A:A,MATCH(J378,'AP Plants'!D:D,0)),INDEX('Australia Plants'!A:A,MATCH(J378,'Australia Plants'!D:D,0)))</f>
        <v>Staxx</v>
      </c>
      <c r="N378" s="10">
        <v>1.0</v>
      </c>
      <c r="O378" s="9">
        <v>2140.0</v>
      </c>
      <c r="P378" s="9">
        <v>1282.92</v>
      </c>
      <c r="Q378" s="47">
        <v>0.15563392142436872</v>
      </c>
      <c r="R378" s="48">
        <f t="shared" si="3"/>
        <v>0.4005046729</v>
      </c>
      <c r="S378" s="49">
        <f t="shared" si="4"/>
        <v>0</v>
      </c>
      <c r="T378" s="49">
        <f t="shared" si="21"/>
        <v>0.1556339214</v>
      </c>
      <c r="U378" s="50" t="str">
        <f t="shared" si="6"/>
        <v>AOP</v>
      </c>
      <c r="V378" s="51">
        <f t="shared" si="28"/>
        <v>199.6658705</v>
      </c>
      <c r="W378" s="52" t="str">
        <f t="shared" si="8"/>
        <v>#DIV/0!</v>
      </c>
      <c r="X378" s="9" t="str">
        <f t="shared" si="25"/>
        <v>#DIV/0!</v>
      </c>
      <c r="Y378" s="8"/>
      <c r="Z378" s="8"/>
      <c r="AA378" s="8"/>
      <c r="AB378" s="8" t="str">
        <f t="shared" si="10"/>
        <v>PAUH39945PC1.5</v>
      </c>
      <c r="AC378" s="8" t="str">
        <f>IF(AB378='Input - Bookings'!S611,"OK","Check")</f>
        <v>Check</v>
      </c>
      <c r="AD378" s="53"/>
      <c r="AE378" s="65"/>
      <c r="AF378" s="65"/>
      <c r="AG378" s="55">
        <f t="shared" si="46"/>
        <v>641.0258258</v>
      </c>
      <c r="AH378" s="55"/>
      <c r="AI378" s="8" t="str">
        <f t="array" ref="AI378">XLOOKUP($J378,'AP Plants'!D:D,'AP Plants'!B:B)</f>
        <v>Class 3</v>
      </c>
      <c r="AJ378" s="56">
        <f>(AG378*'Currency &amp; Conversion'!$L$6)</f>
        <v>954.6156597</v>
      </c>
      <c r="AK378" s="56"/>
      <c r="AL378" s="49">
        <v>0.015</v>
      </c>
      <c r="AM378" s="49">
        <f t="array" ref="AM378">XLOOKUP($AI378,Warranty!B:B,Warranty!E:E)</f>
        <v>0.015</v>
      </c>
      <c r="AN378" s="8">
        <f>IF($L378="AUD",VLOOKUP(RIGHT('Wk - Margins'!$J378,3),'AU Freight'!C:G,5,0),0)</f>
        <v>100</v>
      </c>
      <c r="AO378" s="49">
        <f t="shared" si="11"/>
        <v>0</v>
      </c>
      <c r="AP378" s="63">
        <f t="shared" si="12"/>
        <v>1083.25413</v>
      </c>
      <c r="AQ378" s="58">
        <f t="shared" si="13"/>
        <v>0.1556339214</v>
      </c>
      <c r="AR378" s="59">
        <f>IF(L378="AUD",O378*'Currency &amp; Conversion'!$L$7,'Wk - Margins'!O378)</f>
        <v>1436.967022</v>
      </c>
      <c r="AS378" s="59">
        <f>IF(L378="AUD",P378*'Currency &amp; Conversion'!$L$7,'Wk - Margins'!P378)</f>
        <v>861.4550148</v>
      </c>
    </row>
    <row r="379" ht="12.75" hidden="1" customHeight="1">
      <c r="A379" s="42" t="str">
        <f>'Input - Bookings'!A379</f>
        <v>27/06/2023</v>
      </c>
      <c r="B379" s="43" t="str">
        <f t="shared" si="1"/>
        <v>Australia</v>
      </c>
      <c r="C379" s="43" t="str">
        <f t="shared" si="2"/>
        <v>PAU</v>
      </c>
      <c r="D379" s="43" t="str">
        <f>'Input - Bookings'!D379</f>
        <v>P</v>
      </c>
      <c r="E379" s="43" t="str">
        <f>'Input - Bookings'!J379</f>
        <v>AU</v>
      </c>
      <c r="F379" s="44" t="str">
        <f>'Input - Bookings'!F379</f>
        <v>065</v>
      </c>
      <c r="G379" s="44" t="str">
        <f>'Input - Bookings'!I379</f>
        <v>ADAPT-A-LIFT GROUP (NSW)</v>
      </c>
      <c r="H379" s="45" t="str">
        <f>'Input - Bookings'!K379</f>
        <v>H39946</v>
      </c>
      <c r="I379" s="45" t="str">
        <f>VLOOKUP(H379,'Input - Bookings'!$G$2:$H$611,2,0)</f>
        <v>087585</v>
      </c>
      <c r="J379" s="44" t="str">
        <f>'Input - Bookings'!N379</f>
        <v>A6W9</v>
      </c>
      <c r="K379" s="44" t="str">
        <f>'Input - Bookings'!O379</f>
        <v>PC1.5</v>
      </c>
      <c r="L379" s="44" t="str">
        <f>'Input - Bookings'!C379</f>
        <v>AUD</v>
      </c>
      <c r="M379" s="46" t="str">
        <f t="array" ref="M379">IF(L379="USD",INDEX('AP Plants'!A:A,MATCH(J379,'AP Plants'!D:D,0)),INDEX('Australia Plants'!A:A,MATCH(J379,'Australia Plants'!D:D,0)))</f>
        <v>Staxx</v>
      </c>
      <c r="N379" s="10">
        <v>1.0</v>
      </c>
      <c r="O379" s="9">
        <v>2140.0</v>
      </c>
      <c r="P379" s="9">
        <v>1282.92</v>
      </c>
      <c r="Q379" s="47">
        <v>0.15563392142436872</v>
      </c>
      <c r="R379" s="48">
        <f t="shared" si="3"/>
        <v>0.4005046729</v>
      </c>
      <c r="S379" s="49">
        <f t="shared" si="4"/>
        <v>0</v>
      </c>
      <c r="T379" s="49">
        <f t="shared" si="21"/>
        <v>0.1556339214</v>
      </c>
      <c r="U379" s="50" t="str">
        <f t="shared" si="6"/>
        <v>AOP</v>
      </c>
      <c r="V379" s="51">
        <f t="shared" si="28"/>
        <v>199.6658705</v>
      </c>
      <c r="W379" s="52" t="str">
        <f t="shared" si="8"/>
        <v>#DIV/0!</v>
      </c>
      <c r="X379" s="9" t="str">
        <f t="shared" si="25"/>
        <v>#DIV/0!</v>
      </c>
      <c r="Y379" s="8"/>
      <c r="Z379" s="8"/>
      <c r="AA379" s="8"/>
      <c r="AB379" s="8" t="str">
        <f t="shared" si="10"/>
        <v>PAUH39946PC1.5</v>
      </c>
      <c r="AC379" s="8" t="str">
        <f>IF(AB379='Input - Bookings'!S612,"OK","Check")</f>
        <v>Check</v>
      </c>
      <c r="AD379" s="53"/>
      <c r="AE379" s="65"/>
      <c r="AF379" s="65"/>
      <c r="AG379" s="55">
        <f t="shared" si="46"/>
        <v>641.0258258</v>
      </c>
      <c r="AH379" s="55"/>
      <c r="AI379" s="8" t="str">
        <f t="array" ref="AI379">XLOOKUP($J379,'AP Plants'!D:D,'AP Plants'!B:B)</f>
        <v>Class 3</v>
      </c>
      <c r="AJ379" s="56">
        <f>(AG379*'Currency &amp; Conversion'!$L$6)</f>
        <v>954.6156597</v>
      </c>
      <c r="AK379" s="56"/>
      <c r="AL379" s="49">
        <v>0.015</v>
      </c>
      <c r="AM379" s="49">
        <f t="array" ref="AM379">XLOOKUP($AI379,Warranty!B:B,Warranty!E:E)</f>
        <v>0.015</v>
      </c>
      <c r="AN379" s="8">
        <f>IF($L379="AUD",VLOOKUP(RIGHT('Wk - Margins'!$J379,3),'AU Freight'!C:G,5,0),0)</f>
        <v>100</v>
      </c>
      <c r="AO379" s="49">
        <f t="shared" si="11"/>
        <v>0</v>
      </c>
      <c r="AP379" s="63">
        <f t="shared" si="12"/>
        <v>1083.25413</v>
      </c>
      <c r="AQ379" s="58">
        <f t="shared" si="13"/>
        <v>0.1556339214</v>
      </c>
      <c r="AR379" s="59">
        <f>IF(L379="AUD",O379*'Currency &amp; Conversion'!$L$7,'Wk - Margins'!O379)</f>
        <v>1436.967022</v>
      </c>
      <c r="AS379" s="59">
        <f>IF(L379="AUD",P379*'Currency &amp; Conversion'!$L$7,'Wk - Margins'!P379)</f>
        <v>861.4550148</v>
      </c>
    </row>
    <row r="380" ht="12.75" hidden="1" customHeight="1">
      <c r="A380" s="42" t="str">
        <f>'Input - Bookings'!A380</f>
        <v>27/06/2023</v>
      </c>
      <c r="B380" s="43" t="str">
        <f t="shared" si="1"/>
        <v>Australia</v>
      </c>
      <c r="C380" s="43" t="str">
        <f t="shared" si="2"/>
        <v>PAU</v>
      </c>
      <c r="D380" s="43" t="str">
        <f>'Input - Bookings'!D380</f>
        <v>P</v>
      </c>
      <c r="E380" s="43" t="str">
        <f>'Input - Bookings'!J380</f>
        <v>AU</v>
      </c>
      <c r="F380" s="44" t="str">
        <f>'Input - Bookings'!F380</f>
        <v>065</v>
      </c>
      <c r="G380" s="44" t="str">
        <f>'Input - Bookings'!I380</f>
        <v>ADAPT-A-LIFT GROUP (NSW)</v>
      </c>
      <c r="H380" s="45" t="str">
        <f>'Input - Bookings'!K380</f>
        <v>H39947</v>
      </c>
      <c r="I380" s="45" t="str">
        <f>VLOOKUP(H380,'Input - Bookings'!$G$2:$H$611,2,0)</f>
        <v>087585</v>
      </c>
      <c r="J380" s="44" t="str">
        <f>'Input - Bookings'!N380</f>
        <v>A6W9</v>
      </c>
      <c r="K380" s="44" t="str">
        <f>'Input - Bookings'!O380</f>
        <v>PC1.5</v>
      </c>
      <c r="L380" s="44" t="str">
        <f>'Input - Bookings'!C380</f>
        <v>AUD</v>
      </c>
      <c r="M380" s="46" t="str">
        <f t="array" ref="M380">IF(L380="USD",INDEX('AP Plants'!A:A,MATCH(J380,'AP Plants'!D:D,0)),INDEX('Australia Plants'!A:A,MATCH(J380,'Australia Plants'!D:D,0)))</f>
        <v>Staxx</v>
      </c>
      <c r="N380" s="10">
        <v>1.0</v>
      </c>
      <c r="O380" s="9">
        <v>2140.0</v>
      </c>
      <c r="P380" s="9">
        <v>1282.92</v>
      </c>
      <c r="Q380" s="47">
        <v>0.15563392142436872</v>
      </c>
      <c r="R380" s="48">
        <f t="shared" si="3"/>
        <v>0.4005046729</v>
      </c>
      <c r="S380" s="49">
        <f t="shared" si="4"/>
        <v>0</v>
      </c>
      <c r="T380" s="49">
        <f t="shared" si="21"/>
        <v>0.1556339214</v>
      </c>
      <c r="U380" s="50" t="str">
        <f t="shared" si="6"/>
        <v>AOP</v>
      </c>
      <c r="V380" s="51">
        <f t="shared" si="28"/>
        <v>199.6658705</v>
      </c>
      <c r="W380" s="52" t="str">
        <f t="shared" si="8"/>
        <v>#DIV/0!</v>
      </c>
      <c r="X380" s="9" t="str">
        <f t="shared" si="25"/>
        <v>#DIV/0!</v>
      </c>
      <c r="Y380" s="8"/>
      <c r="Z380" s="8"/>
      <c r="AA380" s="8"/>
      <c r="AB380" s="8" t="str">
        <f t="shared" si="10"/>
        <v>PAUH39947PC1.5</v>
      </c>
      <c r="AC380" s="8" t="str">
        <f>IF(AB380='Input - Bookings'!S613,"OK","Check")</f>
        <v>Check</v>
      </c>
      <c r="AD380" s="53"/>
      <c r="AE380" s="65"/>
      <c r="AF380" s="65"/>
      <c r="AG380" s="55">
        <f t="shared" si="46"/>
        <v>641.0258258</v>
      </c>
      <c r="AH380" s="55"/>
      <c r="AI380" s="8" t="str">
        <f t="array" ref="AI380">XLOOKUP($J380,'AP Plants'!D:D,'AP Plants'!B:B)</f>
        <v>Class 3</v>
      </c>
      <c r="AJ380" s="56">
        <f>(AG380*'Currency &amp; Conversion'!$L$6)</f>
        <v>954.6156597</v>
      </c>
      <c r="AK380" s="56"/>
      <c r="AL380" s="49">
        <v>0.015</v>
      </c>
      <c r="AM380" s="49">
        <f t="array" ref="AM380">XLOOKUP($AI380,Warranty!B:B,Warranty!E:E)</f>
        <v>0.015</v>
      </c>
      <c r="AN380" s="8">
        <f>IF($L380="AUD",VLOOKUP(RIGHT('Wk - Margins'!$J380,3),'AU Freight'!C:G,5,0),0)</f>
        <v>100</v>
      </c>
      <c r="AO380" s="49">
        <f t="shared" si="11"/>
        <v>0</v>
      </c>
      <c r="AP380" s="63">
        <f t="shared" si="12"/>
        <v>1083.25413</v>
      </c>
      <c r="AQ380" s="58">
        <f t="shared" si="13"/>
        <v>0.1556339214</v>
      </c>
      <c r="AR380" s="59">
        <f>IF(L380="AUD",O380*'Currency &amp; Conversion'!$L$7,'Wk - Margins'!O380)</f>
        <v>1436.967022</v>
      </c>
      <c r="AS380" s="59">
        <f>IF(L380="AUD",P380*'Currency &amp; Conversion'!$L$7,'Wk - Margins'!P380)</f>
        <v>861.4550148</v>
      </c>
    </row>
    <row r="381" ht="12.75" hidden="1" customHeight="1">
      <c r="A381" s="42" t="str">
        <f>'Input - Bookings'!A381</f>
        <v>27/06/2023</v>
      </c>
      <c r="B381" s="43" t="str">
        <f t="shared" si="1"/>
        <v>Australia</v>
      </c>
      <c r="C381" s="43" t="str">
        <f t="shared" si="2"/>
        <v>PAU</v>
      </c>
      <c r="D381" s="43" t="str">
        <f>'Input - Bookings'!D381</f>
        <v>P</v>
      </c>
      <c r="E381" s="43" t="str">
        <f>'Input - Bookings'!J381</f>
        <v>AU</v>
      </c>
      <c r="F381" s="44" t="str">
        <f>'Input - Bookings'!F381</f>
        <v>065</v>
      </c>
      <c r="G381" s="44" t="str">
        <f>'Input - Bookings'!I381</f>
        <v>ADAPT-A-LIFT GROUP (NSW)</v>
      </c>
      <c r="H381" s="45" t="str">
        <f>'Input - Bookings'!K381</f>
        <v>H39948</v>
      </c>
      <c r="I381" s="45" t="str">
        <f>VLOOKUP(H381,'Input - Bookings'!$G$2:$H$611,2,0)</f>
        <v>087585</v>
      </c>
      <c r="J381" s="44" t="str">
        <f>'Input - Bookings'!N381</f>
        <v>A6W9</v>
      </c>
      <c r="K381" s="44" t="str">
        <f>'Input - Bookings'!O381</f>
        <v>PC1.5</v>
      </c>
      <c r="L381" s="44" t="str">
        <f>'Input - Bookings'!C381</f>
        <v>AUD</v>
      </c>
      <c r="M381" s="46" t="str">
        <f t="array" ref="M381">IF(L381="USD",INDEX('AP Plants'!A:A,MATCH(J381,'AP Plants'!D:D,0)),INDEX('Australia Plants'!A:A,MATCH(J381,'Australia Plants'!D:D,0)))</f>
        <v>Staxx</v>
      </c>
      <c r="N381" s="10">
        <v>1.0</v>
      </c>
      <c r="O381" s="9">
        <v>2140.0</v>
      </c>
      <c r="P381" s="9">
        <v>1282.92</v>
      </c>
      <c r="Q381" s="47">
        <v>0.15563392142436872</v>
      </c>
      <c r="R381" s="48">
        <f t="shared" si="3"/>
        <v>0.4005046729</v>
      </c>
      <c r="S381" s="49">
        <f t="shared" si="4"/>
        <v>0</v>
      </c>
      <c r="T381" s="49">
        <f t="shared" si="21"/>
        <v>0.1556339214</v>
      </c>
      <c r="U381" s="50" t="str">
        <f t="shared" si="6"/>
        <v>AOP</v>
      </c>
      <c r="V381" s="51">
        <f t="shared" si="28"/>
        <v>199.6658705</v>
      </c>
      <c r="W381" s="52" t="str">
        <f t="shared" si="8"/>
        <v>#DIV/0!</v>
      </c>
      <c r="X381" s="9" t="str">
        <f t="shared" si="25"/>
        <v>#DIV/0!</v>
      </c>
      <c r="Y381" s="8"/>
      <c r="Z381" s="8"/>
      <c r="AA381" s="8"/>
      <c r="AB381" s="8" t="str">
        <f t="shared" si="10"/>
        <v>PAUH39948PC1.5</v>
      </c>
      <c r="AC381" s="8" t="str">
        <f>IF(AB381='Input - Bookings'!S614,"OK","Check")</f>
        <v>Check</v>
      </c>
      <c r="AD381" s="53"/>
      <c r="AE381" s="65"/>
      <c r="AF381" s="65"/>
      <c r="AG381" s="55">
        <f t="shared" si="46"/>
        <v>641.0258258</v>
      </c>
      <c r="AH381" s="55"/>
      <c r="AI381" s="8" t="str">
        <f t="array" ref="AI381">XLOOKUP($J381,'AP Plants'!D:D,'AP Plants'!B:B)</f>
        <v>Class 3</v>
      </c>
      <c r="AJ381" s="56">
        <f>(AG381*'Currency &amp; Conversion'!$L$6)</f>
        <v>954.6156597</v>
      </c>
      <c r="AK381" s="56"/>
      <c r="AL381" s="49">
        <v>0.015</v>
      </c>
      <c r="AM381" s="49">
        <f t="array" ref="AM381">XLOOKUP($AI381,Warranty!B:B,Warranty!E:E)</f>
        <v>0.015</v>
      </c>
      <c r="AN381" s="8">
        <f>IF($L381="AUD",VLOOKUP(RIGHT('Wk - Margins'!$J381,3),'AU Freight'!C:G,5,0),0)</f>
        <v>100</v>
      </c>
      <c r="AO381" s="49">
        <f t="shared" si="11"/>
        <v>0</v>
      </c>
      <c r="AP381" s="63">
        <f t="shared" si="12"/>
        <v>1083.25413</v>
      </c>
      <c r="AQ381" s="58">
        <f t="shared" si="13"/>
        <v>0.1556339214</v>
      </c>
      <c r="AR381" s="59">
        <f>IF(L381="AUD",O381*'Currency &amp; Conversion'!$L$7,'Wk - Margins'!O381)</f>
        <v>1436.967022</v>
      </c>
      <c r="AS381" s="59">
        <f>IF(L381="AUD",P381*'Currency &amp; Conversion'!$L$7,'Wk - Margins'!P381)</f>
        <v>861.4550148</v>
      </c>
    </row>
    <row r="382" ht="12.75" hidden="1" customHeight="1">
      <c r="A382" s="42" t="str">
        <f>'Input - Bookings'!A382</f>
        <v>27/06/2023</v>
      </c>
      <c r="B382" s="43" t="str">
        <f t="shared" si="1"/>
        <v>Australia</v>
      </c>
      <c r="C382" s="43" t="str">
        <f t="shared" si="2"/>
        <v>PAU</v>
      </c>
      <c r="D382" s="43" t="str">
        <f>'Input - Bookings'!D382</f>
        <v>P</v>
      </c>
      <c r="E382" s="43" t="str">
        <f>'Input - Bookings'!J382</f>
        <v>AU</v>
      </c>
      <c r="F382" s="44" t="str">
        <f>'Input - Bookings'!F382</f>
        <v>065</v>
      </c>
      <c r="G382" s="44" t="str">
        <f>'Input - Bookings'!I382</f>
        <v>ADAPT-A-LIFT GROUP (NSW)</v>
      </c>
      <c r="H382" s="45" t="str">
        <f>'Input - Bookings'!K382</f>
        <v>H39949</v>
      </c>
      <c r="I382" s="45" t="str">
        <f>VLOOKUP(H382,'Input - Bookings'!$G$2:$H$611,2,0)</f>
        <v>087585</v>
      </c>
      <c r="J382" s="44" t="str">
        <f>'Input - Bookings'!N382</f>
        <v>A6W9</v>
      </c>
      <c r="K382" s="44" t="str">
        <f>'Input - Bookings'!O382</f>
        <v>PC1.5</v>
      </c>
      <c r="L382" s="44" t="str">
        <f>'Input - Bookings'!C382</f>
        <v>AUD</v>
      </c>
      <c r="M382" s="46" t="str">
        <f t="array" ref="M382">IF(L382="USD",INDEX('AP Plants'!A:A,MATCH(J382,'AP Plants'!D:D,0)),INDEX('Australia Plants'!A:A,MATCH(J382,'Australia Plants'!D:D,0)))</f>
        <v>Staxx</v>
      </c>
      <c r="N382" s="10">
        <v>1.0</v>
      </c>
      <c r="O382" s="9">
        <v>2140.0</v>
      </c>
      <c r="P382" s="9">
        <v>1282.92</v>
      </c>
      <c r="Q382" s="47">
        <v>0.15563392142436872</v>
      </c>
      <c r="R382" s="48">
        <f t="shared" si="3"/>
        <v>0.4005046729</v>
      </c>
      <c r="S382" s="49">
        <f t="shared" si="4"/>
        <v>0</v>
      </c>
      <c r="T382" s="49">
        <f t="shared" si="21"/>
        <v>0.1556339214</v>
      </c>
      <c r="U382" s="50" t="str">
        <f t="shared" si="6"/>
        <v>AOP</v>
      </c>
      <c r="V382" s="51">
        <f t="shared" si="28"/>
        <v>199.6658705</v>
      </c>
      <c r="W382" s="52" t="str">
        <f t="shared" si="8"/>
        <v>#DIV/0!</v>
      </c>
      <c r="X382" s="9" t="str">
        <f t="shared" si="25"/>
        <v>#DIV/0!</v>
      </c>
      <c r="Y382" s="8"/>
      <c r="Z382" s="8"/>
      <c r="AA382" s="8"/>
      <c r="AB382" s="8" t="str">
        <f t="shared" si="10"/>
        <v>PAUH39949PC1.5</v>
      </c>
      <c r="AC382" s="8" t="str">
        <f>IF(AB382='Input - Bookings'!S615,"OK","Check")</f>
        <v>Check</v>
      </c>
      <c r="AD382" s="53"/>
      <c r="AE382" s="65"/>
      <c r="AF382" s="65"/>
      <c r="AG382" s="55">
        <f t="shared" si="46"/>
        <v>641.0258258</v>
      </c>
      <c r="AH382" s="55"/>
      <c r="AI382" s="8" t="str">
        <f t="array" ref="AI382">XLOOKUP($J382,'AP Plants'!D:D,'AP Plants'!B:B)</f>
        <v>Class 3</v>
      </c>
      <c r="AJ382" s="56">
        <f>(AG382*'Currency &amp; Conversion'!$L$6)</f>
        <v>954.6156597</v>
      </c>
      <c r="AK382" s="56"/>
      <c r="AL382" s="49">
        <v>0.015</v>
      </c>
      <c r="AM382" s="49">
        <f t="array" ref="AM382">XLOOKUP($AI382,Warranty!B:B,Warranty!E:E)</f>
        <v>0.015</v>
      </c>
      <c r="AN382" s="8">
        <f>IF($L382="AUD",VLOOKUP(RIGHT('Wk - Margins'!$J382,3),'AU Freight'!C:G,5,0),0)</f>
        <v>100</v>
      </c>
      <c r="AO382" s="49">
        <f t="shared" si="11"/>
        <v>0</v>
      </c>
      <c r="AP382" s="63">
        <f t="shared" si="12"/>
        <v>1083.25413</v>
      </c>
      <c r="AQ382" s="58">
        <f t="shared" si="13"/>
        <v>0.1556339214</v>
      </c>
      <c r="AR382" s="59">
        <f>IF(L382="AUD",O382*'Currency &amp; Conversion'!$L$7,'Wk - Margins'!O382)</f>
        <v>1436.967022</v>
      </c>
      <c r="AS382" s="59">
        <f>IF(L382="AUD",P382*'Currency &amp; Conversion'!$L$7,'Wk - Margins'!P382)</f>
        <v>861.4550148</v>
      </c>
    </row>
    <row r="383" ht="12.75" hidden="1" customHeight="1">
      <c r="A383" s="42" t="str">
        <f>'Input - Bookings'!A383</f>
        <v>27/06/2023</v>
      </c>
      <c r="B383" s="43" t="str">
        <f t="shared" si="1"/>
        <v>Australia</v>
      </c>
      <c r="C383" s="43" t="str">
        <f t="shared" si="2"/>
        <v>PAU</v>
      </c>
      <c r="D383" s="43" t="str">
        <f>'Input - Bookings'!D383</f>
        <v>P</v>
      </c>
      <c r="E383" s="43" t="str">
        <f>'Input - Bookings'!J383</f>
        <v>AU</v>
      </c>
      <c r="F383" s="44" t="str">
        <f>'Input - Bookings'!F383</f>
        <v>065</v>
      </c>
      <c r="G383" s="44" t="str">
        <f>'Input - Bookings'!I383</f>
        <v>ADAPT-A-LIFT GROUP (NSW)</v>
      </c>
      <c r="H383" s="45" t="str">
        <f>'Input - Bookings'!K383</f>
        <v>H39950</v>
      </c>
      <c r="I383" s="45" t="str">
        <f>VLOOKUP(H383,'Input - Bookings'!$G$2:$H$611,2,0)</f>
        <v>087585</v>
      </c>
      <c r="J383" s="44" t="str">
        <f>'Input - Bookings'!N383</f>
        <v>A6W9</v>
      </c>
      <c r="K383" s="44" t="str">
        <f>'Input - Bookings'!O383</f>
        <v>PC1.5</v>
      </c>
      <c r="L383" s="44" t="str">
        <f>'Input - Bookings'!C383</f>
        <v>AUD</v>
      </c>
      <c r="M383" s="46" t="str">
        <f t="array" ref="M383">IF(L383="USD",INDEX('AP Plants'!A:A,MATCH(J383,'AP Plants'!D:D,0)),INDEX('Australia Plants'!A:A,MATCH(J383,'Australia Plants'!D:D,0)))</f>
        <v>Staxx</v>
      </c>
      <c r="N383" s="10">
        <v>1.0</v>
      </c>
      <c r="O383" s="9">
        <v>2140.0</v>
      </c>
      <c r="P383" s="9">
        <v>1282.92</v>
      </c>
      <c r="Q383" s="47">
        <v>0.15563392142436872</v>
      </c>
      <c r="R383" s="48">
        <f t="shared" si="3"/>
        <v>0.4005046729</v>
      </c>
      <c r="S383" s="49">
        <f t="shared" si="4"/>
        <v>0</v>
      </c>
      <c r="T383" s="49">
        <f t="shared" si="21"/>
        <v>0.1556339214</v>
      </c>
      <c r="U383" s="50" t="str">
        <f t="shared" si="6"/>
        <v>AOP</v>
      </c>
      <c r="V383" s="51">
        <f t="shared" si="28"/>
        <v>199.6658705</v>
      </c>
      <c r="W383" s="52" t="str">
        <f t="shared" si="8"/>
        <v>#DIV/0!</v>
      </c>
      <c r="X383" s="9" t="str">
        <f t="shared" si="25"/>
        <v>#DIV/0!</v>
      </c>
      <c r="Y383" s="8"/>
      <c r="Z383" s="8"/>
      <c r="AA383" s="8"/>
      <c r="AB383" s="8" t="str">
        <f t="shared" si="10"/>
        <v>PAUH39950PC1.5</v>
      </c>
      <c r="AC383" s="8" t="str">
        <f>IF(AB383='Input - Bookings'!S616,"OK","Check")</f>
        <v>Check</v>
      </c>
      <c r="AD383" s="60"/>
      <c r="AE383" s="65"/>
      <c r="AF383" s="65"/>
      <c r="AG383" s="55">
        <f t="shared" si="46"/>
        <v>641.0258258</v>
      </c>
      <c r="AH383" s="55"/>
      <c r="AI383" s="8" t="str">
        <f t="array" ref="AI383">XLOOKUP($J383,'AP Plants'!D:D,'AP Plants'!B:B)</f>
        <v>Class 3</v>
      </c>
      <c r="AJ383" s="56">
        <f>(AG383*'Currency &amp; Conversion'!$L$6)</f>
        <v>954.6156597</v>
      </c>
      <c r="AK383" s="56"/>
      <c r="AL383" s="49">
        <v>0.015</v>
      </c>
      <c r="AM383" s="49">
        <f t="array" ref="AM383">XLOOKUP($AI383,Warranty!B:B,Warranty!E:E)</f>
        <v>0.015</v>
      </c>
      <c r="AN383" s="8">
        <f>IF($L383="AUD",VLOOKUP(RIGHT('Wk - Margins'!$J383,3),'AU Freight'!C:G,5,0),0)</f>
        <v>100</v>
      </c>
      <c r="AO383" s="49">
        <f t="shared" si="11"/>
        <v>0</v>
      </c>
      <c r="AP383" s="63">
        <f t="shared" si="12"/>
        <v>1083.25413</v>
      </c>
      <c r="AQ383" s="58">
        <f t="shared" si="13"/>
        <v>0.1556339214</v>
      </c>
      <c r="AR383" s="59">
        <f>IF(L383="AUD",O383*'Currency &amp; Conversion'!$L$7,'Wk - Margins'!O383)</f>
        <v>1436.967022</v>
      </c>
      <c r="AS383" s="59">
        <f>IF(L383="AUD",P383*'Currency &amp; Conversion'!$L$7,'Wk - Margins'!P383)</f>
        <v>861.4550148</v>
      </c>
    </row>
    <row r="384" ht="12.75" hidden="1" customHeight="1">
      <c r="A384" s="42" t="str">
        <f>'Input - Bookings'!A384</f>
        <v>27/06/2023</v>
      </c>
      <c r="B384" s="43" t="str">
        <f t="shared" si="1"/>
        <v>Australia</v>
      </c>
      <c r="C384" s="43" t="str">
        <f t="shared" si="2"/>
        <v>PAU</v>
      </c>
      <c r="D384" s="43" t="str">
        <f>'Input - Bookings'!D384</f>
        <v>P</v>
      </c>
      <c r="E384" s="43" t="str">
        <f>'Input - Bookings'!J384</f>
        <v>AU</v>
      </c>
      <c r="F384" s="44" t="str">
        <f>'Input - Bookings'!F384</f>
        <v>065</v>
      </c>
      <c r="G384" s="44" t="str">
        <f>'Input - Bookings'!I384</f>
        <v>ADAPT-A-LIFT GROUP (NSW)</v>
      </c>
      <c r="H384" s="45" t="str">
        <f>'Input - Bookings'!K384</f>
        <v>H39951</v>
      </c>
      <c r="I384" s="45" t="str">
        <f>VLOOKUP(H384,'Input - Bookings'!$G$2:$H$611,2,0)</f>
        <v>087585</v>
      </c>
      <c r="J384" s="44" t="str">
        <f>'Input - Bookings'!N384</f>
        <v>A6W9</v>
      </c>
      <c r="K384" s="44" t="str">
        <f>'Input - Bookings'!O384</f>
        <v>PC1.5</v>
      </c>
      <c r="L384" s="44" t="str">
        <f>'Input - Bookings'!C384</f>
        <v>AUD</v>
      </c>
      <c r="M384" s="46" t="str">
        <f t="array" ref="M384">IF(L384="USD",INDEX('AP Plants'!A:A,MATCH(J384,'AP Plants'!D:D,0)),INDEX('Australia Plants'!A:A,MATCH(J384,'Australia Plants'!D:D,0)))</f>
        <v>Staxx</v>
      </c>
      <c r="N384" s="10">
        <v>1.0</v>
      </c>
      <c r="O384" s="9">
        <v>2140.0</v>
      </c>
      <c r="P384" s="9">
        <v>1282.92</v>
      </c>
      <c r="Q384" s="47">
        <v>0.15563392142436872</v>
      </c>
      <c r="R384" s="48">
        <f t="shared" si="3"/>
        <v>0.4005046729</v>
      </c>
      <c r="S384" s="49">
        <f t="shared" si="4"/>
        <v>0</v>
      </c>
      <c r="T384" s="49">
        <f t="shared" si="21"/>
        <v>0.1556339214</v>
      </c>
      <c r="U384" s="50" t="str">
        <f t="shared" si="6"/>
        <v>AOP</v>
      </c>
      <c r="V384" s="51">
        <f t="shared" si="28"/>
        <v>199.6658705</v>
      </c>
      <c r="W384" s="52" t="str">
        <f t="shared" si="8"/>
        <v>#DIV/0!</v>
      </c>
      <c r="X384" s="9" t="str">
        <f t="shared" si="25"/>
        <v>#DIV/0!</v>
      </c>
      <c r="Y384" s="8"/>
      <c r="Z384" s="8"/>
      <c r="AA384" s="8"/>
      <c r="AB384" s="8" t="str">
        <f t="shared" si="10"/>
        <v>PAUH39951PC1.5</v>
      </c>
      <c r="AC384" s="8" t="str">
        <f>IF(AB384='Input - Bookings'!S617,"OK","Check")</f>
        <v>Check</v>
      </c>
      <c r="AD384" s="53"/>
      <c r="AE384" s="65"/>
      <c r="AF384" s="65"/>
      <c r="AG384" s="55">
        <f t="shared" si="46"/>
        <v>641.0258258</v>
      </c>
      <c r="AH384" s="55"/>
      <c r="AI384" s="8" t="str">
        <f t="array" ref="AI384">XLOOKUP($J384,'AP Plants'!D:D,'AP Plants'!B:B)</f>
        <v>Class 3</v>
      </c>
      <c r="AJ384" s="56">
        <f>(AG384*'Currency &amp; Conversion'!$L$6)</f>
        <v>954.6156597</v>
      </c>
      <c r="AK384" s="56"/>
      <c r="AL384" s="49">
        <v>0.015</v>
      </c>
      <c r="AM384" s="49">
        <f t="array" ref="AM384">XLOOKUP($AI384,Warranty!B:B,Warranty!E:E)</f>
        <v>0.015</v>
      </c>
      <c r="AN384" s="8">
        <f>IF($L384="AUD",VLOOKUP(RIGHT('Wk - Margins'!$J384,3),'AU Freight'!C:G,5,0),0)</f>
        <v>100</v>
      </c>
      <c r="AO384" s="49">
        <f t="shared" si="11"/>
        <v>0</v>
      </c>
      <c r="AP384" s="63">
        <f t="shared" si="12"/>
        <v>1083.25413</v>
      </c>
      <c r="AQ384" s="58">
        <f t="shared" si="13"/>
        <v>0.1556339214</v>
      </c>
      <c r="AR384" s="59">
        <f>IF(L384="AUD",O384*'Currency &amp; Conversion'!$L$7,'Wk - Margins'!O384)</f>
        <v>1436.967022</v>
      </c>
      <c r="AS384" s="59">
        <f>IF(L384="AUD",P384*'Currency &amp; Conversion'!$L$7,'Wk - Margins'!P384)</f>
        <v>861.4550148</v>
      </c>
    </row>
    <row r="385" ht="12.75" hidden="1" customHeight="1">
      <c r="A385" s="42" t="str">
        <f>'Input - Bookings'!A385</f>
        <v>27/06/2023</v>
      </c>
      <c r="B385" s="43" t="str">
        <f t="shared" si="1"/>
        <v>Australia</v>
      </c>
      <c r="C385" s="43" t="str">
        <f t="shared" si="2"/>
        <v>PAU</v>
      </c>
      <c r="D385" s="43" t="str">
        <f>'Input - Bookings'!D385</f>
        <v>P</v>
      </c>
      <c r="E385" s="43" t="str">
        <f>'Input - Bookings'!J385</f>
        <v>AU</v>
      </c>
      <c r="F385" s="44" t="str">
        <f>'Input - Bookings'!F385</f>
        <v>065</v>
      </c>
      <c r="G385" s="44" t="str">
        <f>'Input - Bookings'!I385</f>
        <v>ADAPT-A-LIFT GROUP (NSW)</v>
      </c>
      <c r="H385" s="45" t="str">
        <f>'Input - Bookings'!K385</f>
        <v>H39952</v>
      </c>
      <c r="I385" s="45" t="str">
        <f>VLOOKUP(H385,'Input - Bookings'!$G$2:$H$611,2,0)</f>
        <v>087585</v>
      </c>
      <c r="J385" s="44" t="str">
        <f>'Input - Bookings'!N385</f>
        <v>A6W9</v>
      </c>
      <c r="K385" s="44" t="str">
        <f>'Input - Bookings'!O385</f>
        <v>PC1.5</v>
      </c>
      <c r="L385" s="44" t="str">
        <f>'Input - Bookings'!C385</f>
        <v>AUD</v>
      </c>
      <c r="M385" s="46" t="str">
        <f t="array" ref="M385">IF(L385="USD",INDEX('AP Plants'!A:A,MATCH(J385,'AP Plants'!D:D,0)),INDEX('Australia Plants'!A:A,MATCH(J385,'Australia Plants'!D:D,0)))</f>
        <v>Staxx</v>
      </c>
      <c r="N385" s="10">
        <v>1.0</v>
      </c>
      <c r="O385" s="9">
        <v>2140.0</v>
      </c>
      <c r="P385" s="9">
        <v>1282.92</v>
      </c>
      <c r="Q385" s="47">
        <v>0.15563392142436872</v>
      </c>
      <c r="R385" s="48">
        <f t="shared" si="3"/>
        <v>0.4005046729</v>
      </c>
      <c r="S385" s="49">
        <f t="shared" si="4"/>
        <v>0</v>
      </c>
      <c r="T385" s="49">
        <f t="shared" si="21"/>
        <v>0.1556339214</v>
      </c>
      <c r="U385" s="50" t="str">
        <f t="shared" si="6"/>
        <v>AOP</v>
      </c>
      <c r="V385" s="51">
        <f t="shared" si="28"/>
        <v>199.6658705</v>
      </c>
      <c r="W385" s="52" t="str">
        <f t="shared" si="8"/>
        <v>#DIV/0!</v>
      </c>
      <c r="X385" s="9" t="str">
        <f t="shared" si="25"/>
        <v>#DIV/0!</v>
      </c>
      <c r="Y385" s="8"/>
      <c r="Z385" s="8"/>
      <c r="AA385" s="8"/>
      <c r="AB385" s="8" t="str">
        <f t="shared" si="10"/>
        <v>PAUH39952PC1.5</v>
      </c>
      <c r="AC385" s="8" t="str">
        <f>IF(AB385='Input - Bookings'!S618,"OK","Check")</f>
        <v>Check</v>
      </c>
      <c r="AD385" s="53"/>
      <c r="AE385" s="65"/>
      <c r="AF385" s="65"/>
      <c r="AG385" s="55">
        <f t="shared" si="46"/>
        <v>641.0258258</v>
      </c>
      <c r="AH385" s="55"/>
      <c r="AI385" s="8" t="str">
        <f t="array" ref="AI385">XLOOKUP($J385,'AP Plants'!D:D,'AP Plants'!B:B)</f>
        <v>Class 3</v>
      </c>
      <c r="AJ385" s="56">
        <f>(AG385*'Currency &amp; Conversion'!$L$6)</f>
        <v>954.6156597</v>
      </c>
      <c r="AK385" s="56"/>
      <c r="AL385" s="49">
        <v>0.015</v>
      </c>
      <c r="AM385" s="49">
        <f t="array" ref="AM385">XLOOKUP($AI385,Warranty!B:B,Warranty!E:E)</f>
        <v>0.015</v>
      </c>
      <c r="AN385" s="8">
        <f>IF($L385="AUD",VLOOKUP(RIGHT('Wk - Margins'!$J385,3),'AU Freight'!C:G,5,0),0)</f>
        <v>100</v>
      </c>
      <c r="AO385" s="49">
        <f t="shared" si="11"/>
        <v>0</v>
      </c>
      <c r="AP385" s="63">
        <f t="shared" si="12"/>
        <v>1083.25413</v>
      </c>
      <c r="AQ385" s="58">
        <f t="shared" si="13"/>
        <v>0.1556339214</v>
      </c>
      <c r="AR385" s="59">
        <f>IF(L385="AUD",O385*'Currency &amp; Conversion'!$L$7,'Wk - Margins'!O385)</f>
        <v>1436.967022</v>
      </c>
      <c r="AS385" s="59">
        <f>IF(L385="AUD",P385*'Currency &amp; Conversion'!$L$7,'Wk - Margins'!P385)</f>
        <v>861.4550148</v>
      </c>
    </row>
    <row r="386" ht="12.75" hidden="1" customHeight="1">
      <c r="A386" s="42" t="str">
        <f>'Input - Bookings'!A386</f>
        <v>27/06/2023</v>
      </c>
      <c r="B386" s="43" t="str">
        <f t="shared" si="1"/>
        <v>Australia</v>
      </c>
      <c r="C386" s="43" t="str">
        <f t="shared" si="2"/>
        <v>PAU</v>
      </c>
      <c r="D386" s="43" t="str">
        <f>'Input - Bookings'!D386</f>
        <v>P</v>
      </c>
      <c r="E386" s="43" t="str">
        <f>'Input - Bookings'!J386</f>
        <v>AU</v>
      </c>
      <c r="F386" s="44" t="str">
        <f>'Input - Bookings'!F386</f>
        <v>065</v>
      </c>
      <c r="G386" s="44" t="str">
        <f>'Input - Bookings'!I386</f>
        <v>ADAPT-A-LIFT GROUP (NSW)</v>
      </c>
      <c r="H386" s="45" t="str">
        <f>'Input - Bookings'!K386</f>
        <v>H39953</v>
      </c>
      <c r="I386" s="45" t="str">
        <f>VLOOKUP(H386,'Input - Bookings'!$G$2:$H$611,2,0)</f>
        <v>087585</v>
      </c>
      <c r="J386" s="44" t="str">
        <f>'Input - Bookings'!N386</f>
        <v>A6W9</v>
      </c>
      <c r="K386" s="44" t="str">
        <f>'Input - Bookings'!O386</f>
        <v>PC1.5</v>
      </c>
      <c r="L386" s="44" t="str">
        <f>'Input - Bookings'!C386</f>
        <v>AUD</v>
      </c>
      <c r="M386" s="46" t="str">
        <f t="array" ref="M386">IF(L386="USD",INDEX('AP Plants'!A:A,MATCH(J386,'AP Plants'!D:D,0)),INDEX('Australia Plants'!A:A,MATCH(J386,'Australia Plants'!D:D,0)))</f>
        <v>Staxx</v>
      </c>
      <c r="N386" s="10">
        <v>1.0</v>
      </c>
      <c r="O386" s="9">
        <v>2140.0</v>
      </c>
      <c r="P386" s="9">
        <v>1282.92</v>
      </c>
      <c r="Q386" s="47">
        <v>0.15563392142436872</v>
      </c>
      <c r="R386" s="48">
        <f t="shared" si="3"/>
        <v>0.4005046729</v>
      </c>
      <c r="S386" s="49">
        <f t="shared" si="4"/>
        <v>0</v>
      </c>
      <c r="T386" s="49">
        <f t="shared" si="21"/>
        <v>0.1556339214</v>
      </c>
      <c r="U386" s="50" t="str">
        <f t="shared" si="6"/>
        <v>AOP</v>
      </c>
      <c r="V386" s="51">
        <f t="shared" si="28"/>
        <v>199.6658705</v>
      </c>
      <c r="W386" s="52" t="str">
        <f t="shared" si="8"/>
        <v>#DIV/0!</v>
      </c>
      <c r="X386" s="9" t="str">
        <f t="shared" si="25"/>
        <v>#DIV/0!</v>
      </c>
      <c r="Y386" s="8"/>
      <c r="Z386" s="8"/>
      <c r="AA386" s="8"/>
      <c r="AB386" s="8" t="str">
        <f t="shared" si="10"/>
        <v>PAUH39953PC1.5</v>
      </c>
      <c r="AC386" s="8" t="str">
        <f>IF(AB386='Input - Bookings'!S619,"OK","Check")</f>
        <v>Check</v>
      </c>
      <c r="AD386" s="53"/>
      <c r="AE386" s="65"/>
      <c r="AF386" s="65"/>
      <c r="AG386" s="55">
        <f t="shared" si="46"/>
        <v>641.0258258</v>
      </c>
      <c r="AH386" s="55"/>
      <c r="AI386" s="8" t="str">
        <f t="array" ref="AI386">XLOOKUP($J386,'AP Plants'!D:D,'AP Plants'!B:B)</f>
        <v>Class 3</v>
      </c>
      <c r="AJ386" s="56">
        <f>(AG386*'Currency &amp; Conversion'!$L$6)</f>
        <v>954.6156597</v>
      </c>
      <c r="AK386" s="56"/>
      <c r="AL386" s="49">
        <v>0.015</v>
      </c>
      <c r="AM386" s="49">
        <f t="array" ref="AM386">XLOOKUP($AI386,Warranty!B:B,Warranty!E:E)</f>
        <v>0.015</v>
      </c>
      <c r="AN386" s="8">
        <f>IF($L386="AUD",VLOOKUP(RIGHT('Wk - Margins'!$J386,3),'AU Freight'!C:G,5,0),0)</f>
        <v>100</v>
      </c>
      <c r="AO386" s="49">
        <f t="shared" si="11"/>
        <v>0</v>
      </c>
      <c r="AP386" s="63">
        <f t="shared" si="12"/>
        <v>1083.25413</v>
      </c>
      <c r="AQ386" s="58">
        <f t="shared" si="13"/>
        <v>0.1556339214</v>
      </c>
      <c r="AR386" s="59">
        <f>IF(L386="AUD",O386*'Currency &amp; Conversion'!$L$7,'Wk - Margins'!O386)</f>
        <v>1436.967022</v>
      </c>
      <c r="AS386" s="59">
        <f>IF(L386="AUD",P386*'Currency &amp; Conversion'!$L$7,'Wk - Margins'!P386)</f>
        <v>861.4550148</v>
      </c>
    </row>
    <row r="387" ht="12.75" hidden="1" customHeight="1">
      <c r="A387" s="42" t="str">
        <f>'Input - Bookings'!A387</f>
        <v>27/06/2023</v>
      </c>
      <c r="B387" s="43" t="str">
        <f t="shared" si="1"/>
        <v>Australia</v>
      </c>
      <c r="C387" s="43" t="str">
        <f t="shared" si="2"/>
        <v>PAU</v>
      </c>
      <c r="D387" s="43" t="str">
        <f>'Input - Bookings'!D387</f>
        <v>P</v>
      </c>
      <c r="E387" s="43" t="str">
        <f>'Input - Bookings'!J387</f>
        <v>AU</v>
      </c>
      <c r="F387" s="44" t="str">
        <f>'Input - Bookings'!F387</f>
        <v>065</v>
      </c>
      <c r="G387" s="44" t="str">
        <f>'Input - Bookings'!I387</f>
        <v>ADAPT-A-LIFT GROUP (NSW)</v>
      </c>
      <c r="H387" s="45" t="str">
        <f>'Input - Bookings'!K387</f>
        <v>H39954</v>
      </c>
      <c r="I387" s="45" t="str">
        <f>VLOOKUP(H387,'Input - Bookings'!$G$2:$H$611,2,0)</f>
        <v>087585</v>
      </c>
      <c r="J387" s="44" t="str">
        <f>'Input - Bookings'!N387</f>
        <v>A6W9</v>
      </c>
      <c r="K387" s="44" t="str">
        <f>'Input - Bookings'!O387</f>
        <v>PC1.5</v>
      </c>
      <c r="L387" s="44" t="str">
        <f>'Input - Bookings'!C387</f>
        <v>AUD</v>
      </c>
      <c r="M387" s="46" t="str">
        <f t="array" ref="M387">IF(L387="USD",INDEX('AP Plants'!A:A,MATCH(J387,'AP Plants'!D:D,0)),INDEX('Australia Plants'!A:A,MATCH(J387,'Australia Plants'!D:D,0)))</f>
        <v>Staxx</v>
      </c>
      <c r="N387" s="10">
        <v>1.0</v>
      </c>
      <c r="O387" s="9">
        <v>2140.0</v>
      </c>
      <c r="P387" s="9">
        <v>1282.92</v>
      </c>
      <c r="Q387" s="47">
        <v>0.15563392142436872</v>
      </c>
      <c r="R387" s="48">
        <f t="shared" si="3"/>
        <v>0.4005046729</v>
      </c>
      <c r="S387" s="49">
        <f t="shared" si="4"/>
        <v>0</v>
      </c>
      <c r="T387" s="49">
        <f t="shared" si="21"/>
        <v>0.1556339214</v>
      </c>
      <c r="U387" s="50" t="str">
        <f t="shared" si="6"/>
        <v>AOP</v>
      </c>
      <c r="V387" s="51">
        <f t="shared" si="28"/>
        <v>199.6658705</v>
      </c>
      <c r="W387" s="52" t="str">
        <f t="shared" si="8"/>
        <v>#DIV/0!</v>
      </c>
      <c r="X387" s="9" t="str">
        <f t="shared" si="25"/>
        <v>#DIV/0!</v>
      </c>
      <c r="Y387" s="8"/>
      <c r="Z387" s="8"/>
      <c r="AA387" s="8"/>
      <c r="AB387" s="8" t="str">
        <f t="shared" si="10"/>
        <v>PAUH39954PC1.5</v>
      </c>
      <c r="AC387" s="8" t="str">
        <f>IF(AB387='Input - Bookings'!S620,"OK","Check")</f>
        <v>Check</v>
      </c>
      <c r="AD387" s="53"/>
      <c r="AE387" s="65"/>
      <c r="AF387" s="65"/>
      <c r="AG387" s="55">
        <f t="shared" si="46"/>
        <v>641.0258258</v>
      </c>
      <c r="AH387" s="55"/>
      <c r="AI387" s="8" t="str">
        <f t="array" ref="AI387">XLOOKUP($J387,'AP Plants'!D:D,'AP Plants'!B:B)</f>
        <v>Class 3</v>
      </c>
      <c r="AJ387" s="56">
        <f>(AG387*'Currency &amp; Conversion'!$L$6)</f>
        <v>954.6156597</v>
      </c>
      <c r="AK387" s="56"/>
      <c r="AL387" s="49">
        <v>0.015</v>
      </c>
      <c r="AM387" s="49">
        <f t="array" ref="AM387">XLOOKUP($AI387,Warranty!B:B,Warranty!E:E)</f>
        <v>0.015</v>
      </c>
      <c r="AN387" s="8">
        <f>IF($L387="AUD",VLOOKUP(RIGHT('Wk - Margins'!$J387,3),'AU Freight'!C:G,5,0),0)</f>
        <v>100</v>
      </c>
      <c r="AO387" s="49">
        <f t="shared" si="11"/>
        <v>0</v>
      </c>
      <c r="AP387" s="63">
        <f t="shared" si="12"/>
        <v>1083.25413</v>
      </c>
      <c r="AQ387" s="58">
        <f t="shared" si="13"/>
        <v>0.1556339214</v>
      </c>
      <c r="AR387" s="59">
        <f>IF(L387="AUD",O387*'Currency &amp; Conversion'!$L$7,'Wk - Margins'!O387)</f>
        <v>1436.967022</v>
      </c>
      <c r="AS387" s="59">
        <f>IF(L387="AUD",P387*'Currency &amp; Conversion'!$L$7,'Wk - Margins'!P387)</f>
        <v>861.4550148</v>
      </c>
    </row>
    <row r="388" ht="12.75" hidden="1" customHeight="1">
      <c r="A388" s="42" t="str">
        <f>'Input - Bookings'!A388</f>
        <v>27/06/2023</v>
      </c>
      <c r="B388" s="43" t="str">
        <f t="shared" si="1"/>
        <v>Australia</v>
      </c>
      <c r="C388" s="43" t="str">
        <f t="shared" si="2"/>
        <v>PAU</v>
      </c>
      <c r="D388" s="43" t="str">
        <f>'Input - Bookings'!D388</f>
        <v>P</v>
      </c>
      <c r="E388" s="43" t="str">
        <f>'Input - Bookings'!J388</f>
        <v>AU</v>
      </c>
      <c r="F388" s="44" t="str">
        <f>'Input - Bookings'!F388</f>
        <v>065</v>
      </c>
      <c r="G388" s="44" t="str">
        <f>'Input - Bookings'!I388</f>
        <v>ADAPT-A-LIFT GROUP (NSW)</v>
      </c>
      <c r="H388" s="45" t="str">
        <f>'Input - Bookings'!K388</f>
        <v>H39955</v>
      </c>
      <c r="I388" s="45" t="str">
        <f>VLOOKUP(H388,'Input - Bookings'!$G$2:$H$611,2,0)</f>
        <v>087585</v>
      </c>
      <c r="J388" s="44" t="str">
        <f>'Input - Bookings'!N388</f>
        <v>A6W9</v>
      </c>
      <c r="K388" s="44" t="str">
        <f>'Input - Bookings'!O388</f>
        <v>PC1.5</v>
      </c>
      <c r="L388" s="44" t="str">
        <f>'Input - Bookings'!C388</f>
        <v>AUD</v>
      </c>
      <c r="M388" s="46" t="str">
        <f t="array" ref="M388">IF(L388="USD",INDEX('AP Plants'!A:A,MATCH(J388,'AP Plants'!D:D,0)),INDEX('Australia Plants'!A:A,MATCH(J388,'Australia Plants'!D:D,0)))</f>
        <v>Staxx</v>
      </c>
      <c r="N388" s="10">
        <v>1.0</v>
      </c>
      <c r="O388" s="9">
        <v>2140.0</v>
      </c>
      <c r="P388" s="9">
        <v>1282.92</v>
      </c>
      <c r="Q388" s="47">
        <v>0.15563392142436872</v>
      </c>
      <c r="R388" s="48">
        <f t="shared" si="3"/>
        <v>0.4005046729</v>
      </c>
      <c r="S388" s="49">
        <f t="shared" si="4"/>
        <v>0</v>
      </c>
      <c r="T388" s="49">
        <f t="shared" si="21"/>
        <v>0.1556339214</v>
      </c>
      <c r="U388" s="50" t="str">
        <f t="shared" si="6"/>
        <v>AOP</v>
      </c>
      <c r="V388" s="51">
        <f t="shared" si="28"/>
        <v>199.6658705</v>
      </c>
      <c r="W388" s="52" t="str">
        <f t="shared" si="8"/>
        <v>#DIV/0!</v>
      </c>
      <c r="X388" s="9" t="str">
        <f t="shared" si="25"/>
        <v>#DIV/0!</v>
      </c>
      <c r="Y388" s="8"/>
      <c r="Z388" s="8"/>
      <c r="AA388" s="8"/>
      <c r="AB388" s="8" t="str">
        <f t="shared" si="10"/>
        <v>PAUH39955PC1.5</v>
      </c>
      <c r="AC388" s="8" t="str">
        <f>IF(AB388='Input - Bookings'!S621,"OK","Check")</f>
        <v>Check</v>
      </c>
      <c r="AD388" s="53"/>
      <c r="AE388" s="65"/>
      <c r="AF388" s="65"/>
      <c r="AG388" s="55">
        <f t="shared" si="46"/>
        <v>641.0258258</v>
      </c>
      <c r="AH388" s="55"/>
      <c r="AI388" s="8" t="str">
        <f t="array" ref="AI388">XLOOKUP($J388,'AP Plants'!D:D,'AP Plants'!B:B)</f>
        <v>Class 3</v>
      </c>
      <c r="AJ388" s="56">
        <f>(AG388*'Currency &amp; Conversion'!$L$6)</f>
        <v>954.6156597</v>
      </c>
      <c r="AK388" s="56"/>
      <c r="AL388" s="49">
        <v>0.015</v>
      </c>
      <c r="AM388" s="49">
        <f t="array" ref="AM388">XLOOKUP($AI388,Warranty!B:B,Warranty!E:E)</f>
        <v>0.015</v>
      </c>
      <c r="AN388" s="8">
        <f>IF($L388="AUD",VLOOKUP(RIGHT('Wk - Margins'!$J388,3),'AU Freight'!C:G,5,0),0)</f>
        <v>100</v>
      </c>
      <c r="AO388" s="49">
        <f t="shared" si="11"/>
        <v>0</v>
      </c>
      <c r="AP388" s="63">
        <f t="shared" si="12"/>
        <v>1083.25413</v>
      </c>
      <c r="AQ388" s="58">
        <f t="shared" si="13"/>
        <v>0.1556339214</v>
      </c>
      <c r="AR388" s="59">
        <f>IF(L388="AUD",O388*'Currency &amp; Conversion'!$L$7,'Wk - Margins'!O388)</f>
        <v>1436.967022</v>
      </c>
      <c r="AS388" s="59">
        <f>IF(L388="AUD",P388*'Currency &amp; Conversion'!$L$7,'Wk - Margins'!P388)</f>
        <v>861.4550148</v>
      </c>
    </row>
    <row r="389" ht="12.75" hidden="1" customHeight="1">
      <c r="A389" s="42" t="str">
        <f>'Input - Bookings'!A389</f>
        <v>27/06/2023</v>
      </c>
      <c r="B389" s="43" t="str">
        <f t="shared" si="1"/>
        <v>Australia</v>
      </c>
      <c r="C389" s="43" t="str">
        <f t="shared" si="2"/>
        <v>PAU</v>
      </c>
      <c r="D389" s="43" t="str">
        <f>'Input - Bookings'!D389</f>
        <v>P</v>
      </c>
      <c r="E389" s="43" t="str">
        <f>'Input - Bookings'!J389</f>
        <v>AU</v>
      </c>
      <c r="F389" s="44" t="str">
        <f>'Input - Bookings'!F389</f>
        <v>065</v>
      </c>
      <c r="G389" s="44" t="str">
        <f>'Input - Bookings'!I389</f>
        <v>ADAPT-A-LIFT GROUP (NSW)</v>
      </c>
      <c r="H389" s="45" t="str">
        <f>'Input - Bookings'!K389</f>
        <v>H39956</v>
      </c>
      <c r="I389" s="45" t="str">
        <f>VLOOKUP(H389,'Input - Bookings'!$G$2:$H$611,2,0)</f>
        <v>087585</v>
      </c>
      <c r="J389" s="44" t="str">
        <f>'Input - Bookings'!N389</f>
        <v>A6W9</v>
      </c>
      <c r="K389" s="44" t="str">
        <f>'Input - Bookings'!O389</f>
        <v>PC1.5</v>
      </c>
      <c r="L389" s="44" t="str">
        <f>'Input - Bookings'!C389</f>
        <v>AUD</v>
      </c>
      <c r="M389" s="46" t="str">
        <f t="array" ref="M389">IF(L389="USD",INDEX('AP Plants'!A:A,MATCH(J389,'AP Plants'!D:D,0)),INDEX('Australia Plants'!A:A,MATCH(J389,'Australia Plants'!D:D,0)))</f>
        <v>Staxx</v>
      </c>
      <c r="N389" s="10">
        <v>1.0</v>
      </c>
      <c r="O389" s="9">
        <v>2140.0</v>
      </c>
      <c r="P389" s="9">
        <v>1282.92</v>
      </c>
      <c r="Q389" s="47">
        <v>0.15563392142436872</v>
      </c>
      <c r="R389" s="48">
        <f t="shared" si="3"/>
        <v>0.4005046729</v>
      </c>
      <c r="S389" s="49">
        <f t="shared" si="4"/>
        <v>0</v>
      </c>
      <c r="T389" s="49">
        <f t="shared" si="21"/>
        <v>0.1556339214</v>
      </c>
      <c r="U389" s="50" t="str">
        <f t="shared" si="6"/>
        <v>AOP</v>
      </c>
      <c r="V389" s="51">
        <f t="shared" si="28"/>
        <v>199.6658705</v>
      </c>
      <c r="W389" s="52" t="str">
        <f t="shared" si="8"/>
        <v>#DIV/0!</v>
      </c>
      <c r="X389" s="9" t="str">
        <f t="shared" si="25"/>
        <v>#DIV/0!</v>
      </c>
      <c r="Y389" s="8"/>
      <c r="Z389" s="8"/>
      <c r="AA389" s="8"/>
      <c r="AB389" s="8" t="str">
        <f t="shared" si="10"/>
        <v>PAUH39956PC1.5</v>
      </c>
      <c r="AC389" s="8" t="str">
        <f>IF(AB389='Input - Bookings'!S622,"OK","Check")</f>
        <v>Check</v>
      </c>
      <c r="AD389" s="53"/>
      <c r="AE389" s="65"/>
      <c r="AF389" s="65"/>
      <c r="AG389" s="55">
        <f t="shared" si="46"/>
        <v>641.0258258</v>
      </c>
      <c r="AH389" s="55"/>
      <c r="AI389" s="8" t="str">
        <f t="array" ref="AI389">XLOOKUP($J389,'AP Plants'!D:D,'AP Plants'!B:B)</f>
        <v>Class 3</v>
      </c>
      <c r="AJ389" s="56">
        <f>(AG389*'Currency &amp; Conversion'!$L$6)</f>
        <v>954.6156597</v>
      </c>
      <c r="AK389" s="56"/>
      <c r="AL389" s="49">
        <v>0.015</v>
      </c>
      <c r="AM389" s="49">
        <f t="array" ref="AM389">XLOOKUP($AI389,Warranty!B:B,Warranty!E:E)</f>
        <v>0.015</v>
      </c>
      <c r="AN389" s="8">
        <f>IF($L389="AUD",VLOOKUP(RIGHT('Wk - Margins'!$J389,3),'AU Freight'!C:G,5,0),0)</f>
        <v>100</v>
      </c>
      <c r="AO389" s="49">
        <f t="shared" si="11"/>
        <v>0</v>
      </c>
      <c r="AP389" s="63">
        <f t="shared" si="12"/>
        <v>1083.25413</v>
      </c>
      <c r="AQ389" s="58">
        <f t="shared" si="13"/>
        <v>0.1556339214</v>
      </c>
      <c r="AR389" s="59">
        <f>IF(L389="AUD",O389*'Currency &amp; Conversion'!$L$7,'Wk - Margins'!O389)</f>
        <v>1436.967022</v>
      </c>
      <c r="AS389" s="59">
        <f>IF(L389="AUD",P389*'Currency &amp; Conversion'!$L$7,'Wk - Margins'!P389)</f>
        <v>861.4550148</v>
      </c>
    </row>
    <row r="390" ht="12.75" hidden="1" customHeight="1">
      <c r="A390" s="42" t="str">
        <f>'Input - Bookings'!A390</f>
        <v>27/06/2023</v>
      </c>
      <c r="B390" s="43" t="str">
        <f t="shared" si="1"/>
        <v>Australia</v>
      </c>
      <c r="C390" s="43" t="str">
        <f t="shared" si="2"/>
        <v>PAU</v>
      </c>
      <c r="D390" s="43" t="str">
        <f>'Input - Bookings'!D390</f>
        <v>P</v>
      </c>
      <c r="E390" s="43" t="str">
        <f>'Input - Bookings'!J390</f>
        <v>AU</v>
      </c>
      <c r="F390" s="44" t="str">
        <f>'Input - Bookings'!F390</f>
        <v>065</v>
      </c>
      <c r="G390" s="44" t="str">
        <f>'Input - Bookings'!I390</f>
        <v>ADAPT-A-LIFT GROUP (NSW)</v>
      </c>
      <c r="H390" s="45" t="str">
        <f>'Input - Bookings'!K390</f>
        <v>H39957</v>
      </c>
      <c r="I390" s="45" t="str">
        <f>VLOOKUP(H390,'Input - Bookings'!$G$2:$H$611,2,0)</f>
        <v>087585</v>
      </c>
      <c r="J390" s="44" t="str">
        <f>'Input - Bookings'!N390</f>
        <v>A6W9</v>
      </c>
      <c r="K390" s="44" t="str">
        <f>'Input - Bookings'!O390</f>
        <v>PC1.5</v>
      </c>
      <c r="L390" s="44" t="str">
        <f>'Input - Bookings'!C390</f>
        <v>AUD</v>
      </c>
      <c r="M390" s="46" t="str">
        <f t="array" ref="M390">IF(L390="USD",INDEX('AP Plants'!A:A,MATCH(J390,'AP Plants'!D:D,0)),INDEX('Australia Plants'!A:A,MATCH(J390,'Australia Plants'!D:D,0)))</f>
        <v>Staxx</v>
      </c>
      <c r="N390" s="10">
        <v>1.0</v>
      </c>
      <c r="O390" s="9">
        <v>2140.0</v>
      </c>
      <c r="P390" s="9">
        <v>1282.92</v>
      </c>
      <c r="Q390" s="47">
        <v>0.15563392142436872</v>
      </c>
      <c r="R390" s="48">
        <f t="shared" si="3"/>
        <v>0.4005046729</v>
      </c>
      <c r="S390" s="49">
        <f t="shared" si="4"/>
        <v>0</v>
      </c>
      <c r="T390" s="49">
        <f t="shared" si="21"/>
        <v>0.1556339214</v>
      </c>
      <c r="U390" s="50" t="str">
        <f t="shared" si="6"/>
        <v>AOP</v>
      </c>
      <c r="V390" s="51">
        <f t="shared" si="28"/>
        <v>199.6658705</v>
      </c>
      <c r="W390" s="52" t="str">
        <f t="shared" si="8"/>
        <v>#DIV/0!</v>
      </c>
      <c r="X390" s="9" t="str">
        <f t="shared" si="25"/>
        <v>#DIV/0!</v>
      </c>
      <c r="Y390" s="8"/>
      <c r="Z390" s="8"/>
      <c r="AA390" s="8"/>
      <c r="AB390" s="8" t="str">
        <f t="shared" si="10"/>
        <v>PAUH39957PC1.5</v>
      </c>
      <c r="AC390" s="8" t="str">
        <f>IF(AB390='Input - Bookings'!S623,"OK","Check")</f>
        <v>Check</v>
      </c>
      <c r="AD390" s="53"/>
      <c r="AE390" s="65"/>
      <c r="AF390" s="65"/>
      <c r="AG390" s="55">
        <f t="shared" si="46"/>
        <v>641.0258258</v>
      </c>
      <c r="AH390" s="55"/>
      <c r="AI390" s="8" t="str">
        <f t="array" ref="AI390">XLOOKUP($J390,'AP Plants'!D:D,'AP Plants'!B:B)</f>
        <v>Class 3</v>
      </c>
      <c r="AJ390" s="56">
        <f>(AG390*'Currency &amp; Conversion'!$L$6)</f>
        <v>954.6156597</v>
      </c>
      <c r="AK390" s="56"/>
      <c r="AL390" s="49">
        <v>0.015</v>
      </c>
      <c r="AM390" s="49">
        <f t="array" ref="AM390">XLOOKUP($AI390,Warranty!B:B,Warranty!E:E)</f>
        <v>0.015</v>
      </c>
      <c r="AN390" s="8">
        <f>IF($L390="AUD",VLOOKUP(RIGHT('Wk - Margins'!$J390,3),'AU Freight'!C:G,5,0),0)</f>
        <v>100</v>
      </c>
      <c r="AO390" s="49">
        <f t="shared" si="11"/>
        <v>0</v>
      </c>
      <c r="AP390" s="63">
        <f t="shared" si="12"/>
        <v>1083.25413</v>
      </c>
      <c r="AQ390" s="58">
        <f t="shared" si="13"/>
        <v>0.1556339214</v>
      </c>
      <c r="AR390" s="59">
        <f>IF(L390="AUD",O390*'Currency &amp; Conversion'!$L$7,'Wk - Margins'!O390)</f>
        <v>1436.967022</v>
      </c>
      <c r="AS390" s="59">
        <f>IF(L390="AUD",P390*'Currency &amp; Conversion'!$L$7,'Wk - Margins'!P390)</f>
        <v>861.4550148</v>
      </c>
    </row>
    <row r="391" ht="12.75" hidden="1" customHeight="1">
      <c r="A391" s="42" t="str">
        <f>'Input - Bookings'!A391</f>
        <v>27/06/2023</v>
      </c>
      <c r="B391" s="43" t="str">
        <f t="shared" si="1"/>
        <v>Australia</v>
      </c>
      <c r="C391" s="43" t="str">
        <f t="shared" si="2"/>
        <v>PAU</v>
      </c>
      <c r="D391" s="43" t="str">
        <f>'Input - Bookings'!D391</f>
        <v>P</v>
      </c>
      <c r="E391" s="43" t="str">
        <f>'Input - Bookings'!J391</f>
        <v>AU</v>
      </c>
      <c r="F391" s="44" t="str">
        <f>'Input - Bookings'!F391</f>
        <v>065</v>
      </c>
      <c r="G391" s="44" t="str">
        <f>'Input - Bookings'!I391</f>
        <v>ADAPT-A-LIFT GROUP (NSW)</v>
      </c>
      <c r="H391" s="45" t="str">
        <f>'Input - Bookings'!K391</f>
        <v>H39958</v>
      </c>
      <c r="I391" s="45" t="str">
        <f>VLOOKUP(H391,'Input - Bookings'!$G$2:$H$611,2,0)</f>
        <v>087585</v>
      </c>
      <c r="J391" s="44" t="str">
        <f>'Input - Bookings'!N391</f>
        <v>A6W9</v>
      </c>
      <c r="K391" s="44" t="str">
        <f>'Input - Bookings'!O391</f>
        <v>PC1.5</v>
      </c>
      <c r="L391" s="44" t="str">
        <f>'Input - Bookings'!C391</f>
        <v>AUD</v>
      </c>
      <c r="M391" s="46" t="str">
        <f t="array" ref="M391">IF(L391="USD",INDEX('AP Plants'!A:A,MATCH(J391,'AP Plants'!D:D,0)),INDEX('Australia Plants'!A:A,MATCH(J391,'Australia Plants'!D:D,0)))</f>
        <v>Staxx</v>
      </c>
      <c r="N391" s="10">
        <v>1.0</v>
      </c>
      <c r="O391" s="9">
        <v>2140.0</v>
      </c>
      <c r="P391" s="9">
        <v>1282.92</v>
      </c>
      <c r="Q391" s="47">
        <v>0.15563392142436872</v>
      </c>
      <c r="R391" s="48">
        <f t="shared" si="3"/>
        <v>0.4005046729</v>
      </c>
      <c r="S391" s="49">
        <f t="shared" si="4"/>
        <v>0</v>
      </c>
      <c r="T391" s="49">
        <f t="shared" si="21"/>
        <v>0.1556339214</v>
      </c>
      <c r="U391" s="50" t="str">
        <f t="shared" si="6"/>
        <v>AOP</v>
      </c>
      <c r="V391" s="51">
        <f t="shared" si="28"/>
        <v>199.6658705</v>
      </c>
      <c r="W391" s="52" t="str">
        <f t="shared" si="8"/>
        <v>#DIV/0!</v>
      </c>
      <c r="X391" s="9" t="str">
        <f t="shared" si="25"/>
        <v>#DIV/0!</v>
      </c>
      <c r="Y391" s="8"/>
      <c r="Z391" s="8"/>
      <c r="AA391" s="8"/>
      <c r="AB391" s="8" t="str">
        <f t="shared" si="10"/>
        <v>PAUH39958PC1.5</v>
      </c>
      <c r="AC391" s="8" t="str">
        <f>IF(AB391='Input - Bookings'!S624,"OK","Check")</f>
        <v>Check</v>
      </c>
      <c r="AD391" s="53"/>
      <c r="AE391" s="65"/>
      <c r="AF391" s="65"/>
      <c r="AG391" s="55">
        <f t="shared" si="46"/>
        <v>641.0258258</v>
      </c>
      <c r="AH391" s="55"/>
      <c r="AI391" s="8" t="str">
        <f t="array" ref="AI391">XLOOKUP($J391,'AP Plants'!D:D,'AP Plants'!B:B)</f>
        <v>Class 3</v>
      </c>
      <c r="AJ391" s="56">
        <f>(AG391*'Currency &amp; Conversion'!$L$6)</f>
        <v>954.6156597</v>
      </c>
      <c r="AK391" s="56"/>
      <c r="AL391" s="49">
        <v>0.015</v>
      </c>
      <c r="AM391" s="49">
        <f t="array" ref="AM391">XLOOKUP($AI391,Warranty!B:B,Warranty!E:E)</f>
        <v>0.015</v>
      </c>
      <c r="AN391" s="8">
        <f>IF($L391="AUD",VLOOKUP(RIGHT('Wk - Margins'!$J391,3),'AU Freight'!C:G,5,0),0)</f>
        <v>100</v>
      </c>
      <c r="AO391" s="49">
        <f t="shared" si="11"/>
        <v>0</v>
      </c>
      <c r="AP391" s="63">
        <f t="shared" si="12"/>
        <v>1083.25413</v>
      </c>
      <c r="AQ391" s="58">
        <f t="shared" si="13"/>
        <v>0.1556339214</v>
      </c>
      <c r="AR391" s="59">
        <f>IF(L391="AUD",O391*'Currency &amp; Conversion'!$L$7,'Wk - Margins'!O391)</f>
        <v>1436.967022</v>
      </c>
      <c r="AS391" s="59">
        <f>IF(L391="AUD",P391*'Currency &amp; Conversion'!$L$7,'Wk - Margins'!P391)</f>
        <v>861.4550148</v>
      </c>
    </row>
    <row r="392" ht="12.75" hidden="1" customHeight="1">
      <c r="A392" s="42" t="str">
        <f>'Input - Bookings'!A392</f>
        <v>27/06/2023</v>
      </c>
      <c r="B392" s="43" t="str">
        <f t="shared" si="1"/>
        <v>Australia</v>
      </c>
      <c r="C392" s="43" t="str">
        <f t="shared" si="2"/>
        <v>PAU</v>
      </c>
      <c r="D392" s="43" t="str">
        <f>'Input - Bookings'!D392</f>
        <v>P</v>
      </c>
      <c r="E392" s="43" t="str">
        <f>'Input - Bookings'!J392</f>
        <v>AU</v>
      </c>
      <c r="F392" s="44" t="str">
        <f>'Input - Bookings'!F392</f>
        <v>065</v>
      </c>
      <c r="G392" s="44" t="str">
        <f>'Input - Bookings'!I392</f>
        <v>ADAPT-A-LIFT GROUP (NSW)</v>
      </c>
      <c r="H392" s="45" t="str">
        <f>'Input - Bookings'!K392</f>
        <v>H39959</v>
      </c>
      <c r="I392" s="45" t="str">
        <f>VLOOKUP(H392,'Input - Bookings'!$G$2:$H$611,2,0)</f>
        <v>087585</v>
      </c>
      <c r="J392" s="44" t="str">
        <f>'Input - Bookings'!N392</f>
        <v>A6W9</v>
      </c>
      <c r="K392" s="44" t="str">
        <f>'Input - Bookings'!O392</f>
        <v>PC1.5</v>
      </c>
      <c r="L392" s="44" t="str">
        <f>'Input - Bookings'!C392</f>
        <v>AUD</v>
      </c>
      <c r="M392" s="46" t="str">
        <f t="array" ref="M392">IF(L392="USD",INDEX('AP Plants'!A:A,MATCH(J392,'AP Plants'!D:D,0)),INDEX('Australia Plants'!A:A,MATCH(J392,'Australia Plants'!D:D,0)))</f>
        <v>Staxx</v>
      </c>
      <c r="N392" s="10">
        <v>1.0</v>
      </c>
      <c r="O392" s="9">
        <v>2140.0</v>
      </c>
      <c r="P392" s="9">
        <v>1282.92</v>
      </c>
      <c r="Q392" s="47">
        <v>0.15563392142436872</v>
      </c>
      <c r="R392" s="48">
        <f t="shared" si="3"/>
        <v>0.4005046729</v>
      </c>
      <c r="S392" s="49">
        <f t="shared" si="4"/>
        <v>0</v>
      </c>
      <c r="T392" s="49">
        <f t="shared" si="21"/>
        <v>0.1556339214</v>
      </c>
      <c r="U392" s="50" t="str">
        <f t="shared" si="6"/>
        <v>AOP</v>
      </c>
      <c r="V392" s="51">
        <f t="shared" si="28"/>
        <v>199.6658705</v>
      </c>
      <c r="W392" s="52" t="str">
        <f t="shared" si="8"/>
        <v>#DIV/0!</v>
      </c>
      <c r="X392" s="9" t="str">
        <f t="shared" si="25"/>
        <v>#DIV/0!</v>
      </c>
      <c r="Y392" s="8"/>
      <c r="Z392" s="8"/>
      <c r="AA392" s="8"/>
      <c r="AB392" s="8" t="str">
        <f t="shared" si="10"/>
        <v>PAUH39959PC1.5</v>
      </c>
      <c r="AC392" s="8" t="str">
        <f>IF(AB392='Input - Bookings'!S625,"OK","Check")</f>
        <v>Check</v>
      </c>
      <c r="AD392" s="53"/>
      <c r="AE392" s="54"/>
      <c r="AF392" s="54"/>
      <c r="AG392" s="55">
        <f t="shared" si="46"/>
        <v>641.0258258</v>
      </c>
      <c r="AH392" s="55"/>
      <c r="AI392" s="8" t="str">
        <f t="array" ref="AI392">XLOOKUP($J392,'AP Plants'!D:D,'AP Plants'!B:B)</f>
        <v>Class 3</v>
      </c>
      <c r="AJ392" s="56">
        <f>(AG392*'Currency &amp; Conversion'!$L$6)</f>
        <v>954.6156597</v>
      </c>
      <c r="AK392" s="56"/>
      <c r="AL392" s="49">
        <v>0.015</v>
      </c>
      <c r="AM392" s="49">
        <f t="array" ref="AM392">XLOOKUP($AI392,Warranty!B:B,Warranty!E:E)</f>
        <v>0.015</v>
      </c>
      <c r="AN392" s="8">
        <f>IF($L392="AUD",VLOOKUP(RIGHT('Wk - Margins'!$J392,3),'AU Freight'!C:G,5,0),0)</f>
        <v>100</v>
      </c>
      <c r="AO392" s="49">
        <f t="shared" si="11"/>
        <v>0</v>
      </c>
      <c r="AP392" s="63">
        <f t="shared" si="12"/>
        <v>1083.25413</v>
      </c>
      <c r="AQ392" s="58">
        <f t="shared" si="13"/>
        <v>0.1556339214</v>
      </c>
      <c r="AR392" s="59">
        <f>IF(L392="AUD",O392*'Currency &amp; Conversion'!$L$7,'Wk - Margins'!O392)</f>
        <v>1436.967022</v>
      </c>
      <c r="AS392" s="59">
        <f>IF(L392="AUD",P392*'Currency &amp; Conversion'!$L$7,'Wk - Margins'!P392)</f>
        <v>861.4550148</v>
      </c>
    </row>
    <row r="393" ht="12.75" hidden="1" customHeight="1">
      <c r="A393" s="42" t="str">
        <f>'Input - Bookings'!A393</f>
        <v>27/06/2023</v>
      </c>
      <c r="B393" s="43" t="str">
        <f t="shared" si="1"/>
        <v>Australia</v>
      </c>
      <c r="C393" s="43" t="str">
        <f t="shared" si="2"/>
        <v>PAU</v>
      </c>
      <c r="D393" s="43" t="str">
        <f>'Input - Bookings'!D393</f>
        <v>P</v>
      </c>
      <c r="E393" s="43" t="str">
        <f>'Input - Bookings'!J393</f>
        <v>AU</v>
      </c>
      <c r="F393" s="44" t="str">
        <f>'Input - Bookings'!F393</f>
        <v>065</v>
      </c>
      <c r="G393" s="44" t="str">
        <f>'Input - Bookings'!I393</f>
        <v>ADAPT-A-LIFT GROUP (NSW)</v>
      </c>
      <c r="H393" s="45" t="str">
        <f>'Input - Bookings'!K393</f>
        <v>H39960</v>
      </c>
      <c r="I393" s="45" t="str">
        <f>VLOOKUP(H393,'Input - Bookings'!$G$2:$H$611,2,0)</f>
        <v>087585</v>
      </c>
      <c r="J393" s="44" t="str">
        <f>'Input - Bookings'!N393</f>
        <v>A6W9</v>
      </c>
      <c r="K393" s="44" t="str">
        <f>'Input - Bookings'!O393</f>
        <v>PC1.5</v>
      </c>
      <c r="L393" s="44" t="str">
        <f>'Input - Bookings'!C393</f>
        <v>AUD</v>
      </c>
      <c r="M393" s="46" t="str">
        <f t="array" ref="M393">IF(L393="USD",INDEX('AP Plants'!A:A,MATCH(J393,'AP Plants'!D:D,0)),INDEX('Australia Plants'!A:A,MATCH(J393,'Australia Plants'!D:D,0)))</f>
        <v>Staxx</v>
      </c>
      <c r="N393" s="10">
        <v>1.0</v>
      </c>
      <c r="O393" s="9">
        <v>2140.0</v>
      </c>
      <c r="P393" s="9">
        <v>1282.92</v>
      </c>
      <c r="Q393" s="47">
        <v>0.15563392142436872</v>
      </c>
      <c r="R393" s="48">
        <f t="shared" si="3"/>
        <v>0.4005046729</v>
      </c>
      <c r="S393" s="49">
        <f t="shared" si="4"/>
        <v>0</v>
      </c>
      <c r="T393" s="49">
        <f t="shared" si="21"/>
        <v>0.1556339214</v>
      </c>
      <c r="U393" s="50" t="str">
        <f t="shared" si="6"/>
        <v>AOP</v>
      </c>
      <c r="V393" s="51">
        <f t="shared" si="28"/>
        <v>199.6658705</v>
      </c>
      <c r="W393" s="52" t="str">
        <f t="shared" si="8"/>
        <v>#DIV/0!</v>
      </c>
      <c r="X393" s="9" t="str">
        <f t="shared" si="25"/>
        <v>#DIV/0!</v>
      </c>
      <c r="Y393" s="8"/>
      <c r="Z393" s="8"/>
      <c r="AA393" s="8"/>
      <c r="AB393" s="8" t="str">
        <f t="shared" si="10"/>
        <v>PAUH39960PC1.5</v>
      </c>
      <c r="AC393" s="8" t="str">
        <f>IF(AB393='Input - Bookings'!S626,"OK","Check")</f>
        <v>Check</v>
      </c>
      <c r="AD393" s="53"/>
      <c r="AE393" s="54"/>
      <c r="AF393" s="54"/>
      <c r="AG393" s="55">
        <f t="shared" si="46"/>
        <v>641.0258258</v>
      </c>
      <c r="AH393" s="55"/>
      <c r="AI393" s="8" t="str">
        <f t="array" ref="AI393">XLOOKUP($J393,'AP Plants'!D:D,'AP Plants'!B:B)</f>
        <v>Class 3</v>
      </c>
      <c r="AJ393" s="56">
        <f>(AG393*'Currency &amp; Conversion'!$L$6)</f>
        <v>954.6156597</v>
      </c>
      <c r="AK393" s="56"/>
      <c r="AL393" s="49">
        <v>0.015</v>
      </c>
      <c r="AM393" s="49">
        <f t="array" ref="AM393">XLOOKUP($AI393,Warranty!B:B,Warranty!E:E)</f>
        <v>0.015</v>
      </c>
      <c r="AN393" s="8">
        <f>IF($L393="AUD",VLOOKUP(RIGHT('Wk - Margins'!$J393,3),'AU Freight'!C:G,5,0),0)</f>
        <v>100</v>
      </c>
      <c r="AO393" s="49">
        <f t="shared" si="11"/>
        <v>0</v>
      </c>
      <c r="AP393" s="63">
        <f t="shared" si="12"/>
        <v>1083.25413</v>
      </c>
      <c r="AQ393" s="58">
        <f t="shared" si="13"/>
        <v>0.1556339214</v>
      </c>
      <c r="AR393" s="59">
        <f>IF(L393="AUD",O393*'Currency &amp; Conversion'!$L$7,'Wk - Margins'!O393)</f>
        <v>1436.967022</v>
      </c>
      <c r="AS393" s="59">
        <f>IF(L393="AUD",P393*'Currency &amp; Conversion'!$L$7,'Wk - Margins'!P393)</f>
        <v>861.4550148</v>
      </c>
    </row>
    <row r="394" ht="12.75" hidden="1" customHeight="1">
      <c r="A394" s="42" t="str">
        <f>'Input - Bookings'!A394</f>
        <v>27/06/2023</v>
      </c>
      <c r="B394" s="43" t="str">
        <f t="shared" si="1"/>
        <v>Australia</v>
      </c>
      <c r="C394" s="43" t="str">
        <f t="shared" si="2"/>
        <v>PAU</v>
      </c>
      <c r="D394" s="43" t="str">
        <f>'Input - Bookings'!D394</f>
        <v>P</v>
      </c>
      <c r="E394" s="43" t="str">
        <f>'Input - Bookings'!J394</f>
        <v>AU</v>
      </c>
      <c r="F394" s="44" t="str">
        <f>'Input - Bookings'!F394</f>
        <v>065</v>
      </c>
      <c r="G394" s="44" t="str">
        <f>'Input - Bookings'!I394</f>
        <v>ADAPT-A-LIFT GROUP (NSW)</v>
      </c>
      <c r="H394" s="45" t="str">
        <f>'Input - Bookings'!K394</f>
        <v>H39961</v>
      </c>
      <c r="I394" s="45" t="str">
        <f>VLOOKUP(H394,'Input - Bookings'!$G$2:$H$611,2,0)</f>
        <v>087585</v>
      </c>
      <c r="J394" s="44" t="str">
        <f>'Input - Bookings'!N394</f>
        <v>A6W9</v>
      </c>
      <c r="K394" s="44" t="str">
        <f>'Input - Bookings'!O394</f>
        <v>PC1.5</v>
      </c>
      <c r="L394" s="44" t="str">
        <f>'Input - Bookings'!C394</f>
        <v>AUD</v>
      </c>
      <c r="M394" s="46" t="str">
        <f t="array" ref="M394">IF(L394="USD",INDEX('AP Plants'!A:A,MATCH(J394,'AP Plants'!D:D,0)),INDEX('Australia Plants'!A:A,MATCH(J394,'Australia Plants'!D:D,0)))</f>
        <v>Staxx</v>
      </c>
      <c r="N394" s="10">
        <v>1.0</v>
      </c>
      <c r="O394" s="9">
        <v>2140.0</v>
      </c>
      <c r="P394" s="9">
        <v>1282.92</v>
      </c>
      <c r="Q394" s="47">
        <v>0.15563392142436872</v>
      </c>
      <c r="R394" s="48">
        <f t="shared" si="3"/>
        <v>0.4005046729</v>
      </c>
      <c r="S394" s="49">
        <f t="shared" si="4"/>
        <v>0</v>
      </c>
      <c r="T394" s="49">
        <f t="shared" si="21"/>
        <v>0.1556339214</v>
      </c>
      <c r="U394" s="50" t="str">
        <f t="shared" si="6"/>
        <v>AOP</v>
      </c>
      <c r="V394" s="51">
        <f t="shared" si="28"/>
        <v>199.6658705</v>
      </c>
      <c r="W394" s="52" t="str">
        <f t="shared" si="8"/>
        <v>#DIV/0!</v>
      </c>
      <c r="X394" s="9" t="str">
        <f t="shared" si="25"/>
        <v>#DIV/0!</v>
      </c>
      <c r="Y394" s="8"/>
      <c r="Z394" s="8"/>
      <c r="AA394" s="8"/>
      <c r="AB394" s="8" t="str">
        <f t="shared" si="10"/>
        <v>PAUH39961PC1.5</v>
      </c>
      <c r="AC394" s="8" t="str">
        <f>IF(AB394='Input - Bookings'!S627,"OK","Check")</f>
        <v>Check</v>
      </c>
      <c r="AD394" s="53"/>
      <c r="AE394" s="65"/>
      <c r="AF394" s="65"/>
      <c r="AG394" s="55">
        <f t="shared" si="46"/>
        <v>641.0258258</v>
      </c>
      <c r="AH394" s="55"/>
      <c r="AI394" s="8" t="str">
        <f t="array" ref="AI394">XLOOKUP($J394,'AP Plants'!D:D,'AP Plants'!B:B)</f>
        <v>Class 3</v>
      </c>
      <c r="AJ394" s="56">
        <f>(AG394*'Currency &amp; Conversion'!$L$6)</f>
        <v>954.6156597</v>
      </c>
      <c r="AK394" s="56"/>
      <c r="AL394" s="49">
        <v>0.015</v>
      </c>
      <c r="AM394" s="49">
        <f t="array" ref="AM394">XLOOKUP($AI394,Warranty!B:B,Warranty!E:E)</f>
        <v>0.015</v>
      </c>
      <c r="AN394" s="8">
        <f>IF($L394="AUD",VLOOKUP(RIGHT('Wk - Margins'!$J394,3),'AU Freight'!C:G,5,0),0)</f>
        <v>100</v>
      </c>
      <c r="AO394" s="49">
        <f t="shared" si="11"/>
        <v>0</v>
      </c>
      <c r="AP394" s="63">
        <f t="shared" si="12"/>
        <v>1083.25413</v>
      </c>
      <c r="AQ394" s="58">
        <f t="shared" si="13"/>
        <v>0.1556339214</v>
      </c>
      <c r="AR394" s="59">
        <f>IF(L394="AUD",O394*'Currency &amp; Conversion'!$L$7,'Wk - Margins'!O394)</f>
        <v>1436.967022</v>
      </c>
      <c r="AS394" s="59">
        <f>IF(L394="AUD",P394*'Currency &amp; Conversion'!$L$7,'Wk - Margins'!P394)</f>
        <v>861.4550148</v>
      </c>
    </row>
    <row r="395" ht="12.75" hidden="1" customHeight="1">
      <c r="A395" s="42" t="str">
        <f>'Input - Bookings'!A395</f>
        <v>27/06/2023</v>
      </c>
      <c r="B395" s="43" t="str">
        <f t="shared" si="1"/>
        <v>Australia</v>
      </c>
      <c r="C395" s="43" t="str">
        <f t="shared" si="2"/>
        <v>PAU</v>
      </c>
      <c r="D395" s="43" t="str">
        <f>'Input - Bookings'!D395</f>
        <v>P</v>
      </c>
      <c r="E395" s="43" t="str">
        <f>'Input - Bookings'!J395</f>
        <v>AU</v>
      </c>
      <c r="F395" s="44" t="str">
        <f>'Input - Bookings'!F395</f>
        <v>065</v>
      </c>
      <c r="G395" s="44" t="str">
        <f>'Input - Bookings'!I395</f>
        <v>ADAPT-A-LIFT GROUP (NSW)</v>
      </c>
      <c r="H395" s="45" t="str">
        <f>'Input - Bookings'!K395</f>
        <v>H39962</v>
      </c>
      <c r="I395" s="45" t="str">
        <f>VLOOKUP(H395,'Input - Bookings'!$G$2:$H$611,2,0)</f>
        <v>087585</v>
      </c>
      <c r="J395" s="44" t="str">
        <f>'Input - Bookings'!N395</f>
        <v>A6W9</v>
      </c>
      <c r="K395" s="44" t="str">
        <f>'Input - Bookings'!O395</f>
        <v>PC1.5</v>
      </c>
      <c r="L395" s="44" t="str">
        <f>'Input - Bookings'!C395</f>
        <v>AUD</v>
      </c>
      <c r="M395" s="46" t="str">
        <f t="array" ref="M395">IF(L395="USD",INDEX('AP Plants'!A:A,MATCH(J395,'AP Plants'!D:D,0)),INDEX('Australia Plants'!A:A,MATCH(J395,'Australia Plants'!D:D,0)))</f>
        <v>Staxx</v>
      </c>
      <c r="N395" s="10">
        <v>1.0</v>
      </c>
      <c r="O395" s="9">
        <v>2140.0</v>
      </c>
      <c r="P395" s="9">
        <v>1282.92</v>
      </c>
      <c r="Q395" s="47">
        <v>0.15563392142436872</v>
      </c>
      <c r="R395" s="48">
        <f t="shared" si="3"/>
        <v>0.4005046729</v>
      </c>
      <c r="S395" s="49">
        <f t="shared" si="4"/>
        <v>0</v>
      </c>
      <c r="T395" s="49">
        <f t="shared" si="21"/>
        <v>0.1556339214</v>
      </c>
      <c r="U395" s="50" t="str">
        <f t="shared" si="6"/>
        <v>AOP</v>
      </c>
      <c r="V395" s="51">
        <f t="shared" si="28"/>
        <v>199.6658705</v>
      </c>
      <c r="W395" s="52" t="str">
        <f t="shared" si="8"/>
        <v>#DIV/0!</v>
      </c>
      <c r="X395" s="9" t="str">
        <f t="shared" si="25"/>
        <v>#DIV/0!</v>
      </c>
      <c r="Y395" s="8"/>
      <c r="Z395" s="8"/>
      <c r="AA395" s="8"/>
      <c r="AB395" s="8" t="str">
        <f t="shared" si="10"/>
        <v>PAUH39962PC1.5</v>
      </c>
      <c r="AC395" s="8" t="str">
        <f>IF(AB395='Input - Bookings'!S628,"OK","Check")</f>
        <v>Check</v>
      </c>
      <c r="AD395" s="53"/>
      <c r="AE395" s="65"/>
      <c r="AF395" s="65"/>
      <c r="AG395" s="55">
        <f t="shared" si="46"/>
        <v>641.0258258</v>
      </c>
      <c r="AH395" s="55"/>
      <c r="AI395" s="8" t="str">
        <f t="array" ref="AI395">XLOOKUP($J395,'AP Plants'!D:D,'AP Plants'!B:B)</f>
        <v>Class 3</v>
      </c>
      <c r="AJ395" s="56">
        <f>(AG395*'Currency &amp; Conversion'!$L$6)</f>
        <v>954.6156597</v>
      </c>
      <c r="AK395" s="56"/>
      <c r="AL395" s="49">
        <v>0.015</v>
      </c>
      <c r="AM395" s="49">
        <f t="array" ref="AM395">XLOOKUP($AI395,Warranty!B:B,Warranty!E:E)</f>
        <v>0.015</v>
      </c>
      <c r="AN395" s="8">
        <f>IF($L395="AUD",VLOOKUP(RIGHT('Wk - Margins'!$J395,3),'AU Freight'!C:G,5,0),0)</f>
        <v>100</v>
      </c>
      <c r="AO395" s="49">
        <f t="shared" si="11"/>
        <v>0</v>
      </c>
      <c r="AP395" s="63">
        <f t="shared" si="12"/>
        <v>1083.25413</v>
      </c>
      <c r="AQ395" s="58">
        <f t="shared" si="13"/>
        <v>0.1556339214</v>
      </c>
      <c r="AR395" s="59">
        <f>IF(L395="AUD",O395*'Currency &amp; Conversion'!$L$7,'Wk - Margins'!O395)</f>
        <v>1436.967022</v>
      </c>
      <c r="AS395" s="59">
        <f>IF(L395="AUD",P395*'Currency &amp; Conversion'!$L$7,'Wk - Margins'!P395)</f>
        <v>861.4550148</v>
      </c>
    </row>
    <row r="396" ht="12.75" hidden="1" customHeight="1">
      <c r="A396" s="42" t="str">
        <f>'Input - Bookings'!A396</f>
        <v>27/06/2023</v>
      </c>
      <c r="B396" s="43" t="str">
        <f t="shared" si="1"/>
        <v>Australia</v>
      </c>
      <c r="C396" s="43" t="str">
        <f t="shared" si="2"/>
        <v>PAU</v>
      </c>
      <c r="D396" s="43" t="str">
        <f>'Input - Bookings'!D396</f>
        <v>P</v>
      </c>
      <c r="E396" s="43" t="str">
        <f>'Input - Bookings'!J396</f>
        <v>AU</v>
      </c>
      <c r="F396" s="44" t="str">
        <f>'Input - Bookings'!F396</f>
        <v>065</v>
      </c>
      <c r="G396" s="44" t="str">
        <f>'Input - Bookings'!I396</f>
        <v>ADAPT-A-LIFT GROUP (QLD)</v>
      </c>
      <c r="H396" s="45" t="str">
        <f>'Input - Bookings'!K396</f>
        <v>H39903</v>
      </c>
      <c r="I396" s="45" t="str">
        <f>VLOOKUP(H396,'Input - Bookings'!$G$2:$H$611,2,0)</f>
        <v>087575</v>
      </c>
      <c r="J396" s="44" t="str">
        <f>'Input - Bookings'!N396</f>
        <v>A6W9</v>
      </c>
      <c r="K396" s="44" t="str">
        <f>'Input - Bookings'!O396</f>
        <v>PC1.5</v>
      </c>
      <c r="L396" s="44" t="str">
        <f>'Input - Bookings'!C396</f>
        <v>AUD</v>
      </c>
      <c r="M396" s="46" t="str">
        <f t="array" ref="M396">IF(L396="USD",INDEX('AP Plants'!A:A,MATCH(J396,'AP Plants'!D:D,0)),INDEX('Australia Plants'!A:A,MATCH(J396,'Australia Plants'!D:D,0)))</f>
        <v>Staxx</v>
      </c>
      <c r="N396" s="10">
        <v>1.0</v>
      </c>
      <c r="O396" s="9">
        <v>2140.0</v>
      </c>
      <c r="P396" s="9">
        <v>1282.92</v>
      </c>
      <c r="Q396" s="47">
        <v>0.15563392142436872</v>
      </c>
      <c r="R396" s="48">
        <f t="shared" si="3"/>
        <v>0.4005046729</v>
      </c>
      <c r="S396" s="49">
        <f t="shared" si="4"/>
        <v>0</v>
      </c>
      <c r="T396" s="49">
        <f t="shared" si="21"/>
        <v>0.1556339214</v>
      </c>
      <c r="U396" s="50" t="str">
        <f t="shared" si="6"/>
        <v>AOP</v>
      </c>
      <c r="V396" s="51">
        <f t="shared" si="28"/>
        <v>199.6658705</v>
      </c>
      <c r="W396" s="52" t="str">
        <f t="shared" si="8"/>
        <v>#DIV/0!</v>
      </c>
      <c r="X396" s="9" t="str">
        <f t="shared" si="25"/>
        <v>#DIV/0!</v>
      </c>
      <c r="Y396" s="8"/>
      <c r="Z396" s="8"/>
      <c r="AA396" s="8"/>
      <c r="AB396" s="8" t="str">
        <f t="shared" si="10"/>
        <v>PAUH39903PC1.5</v>
      </c>
      <c r="AC396" s="8" t="str">
        <f>IF(AB396='Input - Bookings'!S629,"OK","Check")</f>
        <v>Check</v>
      </c>
      <c r="AD396" s="53"/>
      <c r="AE396" s="65"/>
      <c r="AF396" s="65"/>
      <c r="AG396" s="55">
        <f t="shared" si="46"/>
        <v>641.0258258</v>
      </c>
      <c r="AH396" s="62"/>
      <c r="AI396" s="8" t="str">
        <f t="array" ref="AI396">XLOOKUP($J396,'AP Plants'!D:D,'AP Plants'!B:B)</f>
        <v>Class 3</v>
      </c>
      <c r="AJ396" s="56">
        <f>(AG396*'Currency &amp; Conversion'!$L$6)</f>
        <v>954.6156597</v>
      </c>
      <c r="AK396" s="56"/>
      <c r="AL396" s="49">
        <v>0.015</v>
      </c>
      <c r="AM396" s="49">
        <f t="array" ref="AM396">XLOOKUP($AI396,Warranty!B:B,Warranty!E:E)</f>
        <v>0.015</v>
      </c>
      <c r="AN396" s="8">
        <f>IF($L396="AUD",VLOOKUP(RIGHT('Wk - Margins'!$J396,3),'AU Freight'!C:G,5,0),0)</f>
        <v>100</v>
      </c>
      <c r="AO396" s="49">
        <f t="shared" si="11"/>
        <v>0</v>
      </c>
      <c r="AP396" s="63">
        <f t="shared" si="12"/>
        <v>1083.25413</v>
      </c>
      <c r="AQ396" s="58">
        <f t="shared" si="13"/>
        <v>0.1556339214</v>
      </c>
      <c r="AR396" s="59">
        <f>IF(L396="AUD",O396*'Currency &amp; Conversion'!$L$7,'Wk - Margins'!O396)</f>
        <v>1436.967022</v>
      </c>
      <c r="AS396" s="59">
        <f>IF(L396="AUD",P396*'Currency &amp; Conversion'!$L$7,'Wk - Margins'!P396)</f>
        <v>861.4550148</v>
      </c>
    </row>
    <row r="397" ht="12.75" hidden="1" customHeight="1">
      <c r="A397" s="42" t="str">
        <f>'Input - Bookings'!A397</f>
        <v>27/06/2023</v>
      </c>
      <c r="B397" s="43" t="str">
        <f t="shared" si="1"/>
        <v>Australia</v>
      </c>
      <c r="C397" s="43" t="str">
        <f t="shared" si="2"/>
        <v>PAU</v>
      </c>
      <c r="D397" s="43" t="str">
        <f>'Input - Bookings'!D397</f>
        <v>P</v>
      </c>
      <c r="E397" s="43" t="str">
        <f>'Input - Bookings'!J397</f>
        <v>AU</v>
      </c>
      <c r="F397" s="44" t="str">
        <f>'Input - Bookings'!F397</f>
        <v>065</v>
      </c>
      <c r="G397" s="44" t="str">
        <f>'Input - Bookings'!I397</f>
        <v>ADAPT-A-LIFT GROUP (QLD)</v>
      </c>
      <c r="H397" s="45" t="str">
        <f>'Input - Bookings'!K397</f>
        <v>H39904</v>
      </c>
      <c r="I397" s="45" t="str">
        <f>VLOOKUP(H397,'Input - Bookings'!$G$2:$H$611,2,0)</f>
        <v>087575</v>
      </c>
      <c r="J397" s="44" t="str">
        <f>'Input - Bookings'!N397</f>
        <v>A6W9</v>
      </c>
      <c r="K397" s="44" t="str">
        <f>'Input - Bookings'!O397</f>
        <v>PC1.5</v>
      </c>
      <c r="L397" s="44" t="str">
        <f>'Input - Bookings'!C397</f>
        <v>AUD</v>
      </c>
      <c r="M397" s="46" t="str">
        <f t="array" ref="M397">IF(L397="USD",INDEX('AP Plants'!A:A,MATCH(J397,'AP Plants'!D:D,0)),INDEX('Australia Plants'!A:A,MATCH(J397,'Australia Plants'!D:D,0)))</f>
        <v>Staxx</v>
      </c>
      <c r="N397" s="10">
        <v>1.0</v>
      </c>
      <c r="O397" s="9">
        <v>2140.0</v>
      </c>
      <c r="P397" s="9">
        <v>1282.92</v>
      </c>
      <c r="Q397" s="47">
        <v>0.15563392142436872</v>
      </c>
      <c r="R397" s="48">
        <f t="shared" si="3"/>
        <v>0.4005046729</v>
      </c>
      <c r="S397" s="49">
        <f t="shared" si="4"/>
        <v>0</v>
      </c>
      <c r="T397" s="49">
        <f t="shared" si="21"/>
        <v>0.1556339214</v>
      </c>
      <c r="U397" s="50" t="str">
        <f t="shared" si="6"/>
        <v>AOP</v>
      </c>
      <c r="V397" s="51">
        <f t="shared" si="28"/>
        <v>199.6658705</v>
      </c>
      <c r="W397" s="52" t="str">
        <f t="shared" si="8"/>
        <v>#DIV/0!</v>
      </c>
      <c r="X397" s="9" t="str">
        <f t="shared" si="25"/>
        <v>#DIV/0!</v>
      </c>
      <c r="Y397" s="8"/>
      <c r="Z397" s="8"/>
      <c r="AA397" s="8"/>
      <c r="AB397" s="8" t="str">
        <f t="shared" si="10"/>
        <v>PAUH39904PC1.5</v>
      </c>
      <c r="AC397" s="8" t="str">
        <f>IF(AB397='Input - Bookings'!S630,"OK","Check")</f>
        <v>Check</v>
      </c>
      <c r="AD397" s="53"/>
      <c r="AE397" s="65"/>
      <c r="AF397" s="65"/>
      <c r="AG397" s="55">
        <f t="shared" si="46"/>
        <v>641.0258258</v>
      </c>
      <c r="AH397" s="55"/>
      <c r="AI397" s="8" t="str">
        <f t="array" ref="AI397">XLOOKUP($J397,'AP Plants'!D:D,'AP Plants'!B:B)</f>
        <v>Class 3</v>
      </c>
      <c r="AJ397" s="56">
        <f>(AG397*'Currency &amp; Conversion'!$L$6)</f>
        <v>954.6156597</v>
      </c>
      <c r="AK397" s="56"/>
      <c r="AL397" s="49">
        <v>0.015</v>
      </c>
      <c r="AM397" s="49">
        <f t="array" ref="AM397">XLOOKUP($AI397,Warranty!B:B,Warranty!E:E)</f>
        <v>0.015</v>
      </c>
      <c r="AN397" s="8">
        <f>IF($L397="AUD",VLOOKUP(RIGHT('Wk - Margins'!$J397,3),'AU Freight'!C:G,5,0),0)</f>
        <v>100</v>
      </c>
      <c r="AO397" s="49">
        <f t="shared" si="11"/>
        <v>0</v>
      </c>
      <c r="AP397" s="63">
        <f t="shared" si="12"/>
        <v>1083.25413</v>
      </c>
      <c r="AQ397" s="58">
        <f t="shared" si="13"/>
        <v>0.1556339214</v>
      </c>
      <c r="AR397" s="59">
        <f>IF(L397="AUD",O397*'Currency &amp; Conversion'!$L$7,'Wk - Margins'!O397)</f>
        <v>1436.967022</v>
      </c>
      <c r="AS397" s="59">
        <f>IF(L397="AUD",P397*'Currency &amp; Conversion'!$L$7,'Wk - Margins'!P397)</f>
        <v>861.4550148</v>
      </c>
    </row>
    <row r="398" ht="12.75" hidden="1" customHeight="1">
      <c r="A398" s="42" t="str">
        <f>'Input - Bookings'!A398</f>
        <v>27/06/2023</v>
      </c>
      <c r="B398" s="43" t="str">
        <f t="shared" si="1"/>
        <v>Australia</v>
      </c>
      <c r="C398" s="43" t="str">
        <f t="shared" si="2"/>
        <v>PAU</v>
      </c>
      <c r="D398" s="43" t="str">
        <f>'Input - Bookings'!D398</f>
        <v>P</v>
      </c>
      <c r="E398" s="43" t="str">
        <f>'Input - Bookings'!J398</f>
        <v>AU</v>
      </c>
      <c r="F398" s="44" t="str">
        <f>'Input - Bookings'!F398</f>
        <v>065</v>
      </c>
      <c r="G398" s="44" t="str">
        <f>'Input - Bookings'!I398</f>
        <v>ADAPT-A-LIFT GROUP (QLD)</v>
      </c>
      <c r="H398" s="45" t="str">
        <f>'Input - Bookings'!K398</f>
        <v>H39905</v>
      </c>
      <c r="I398" s="45" t="str">
        <f>VLOOKUP(H398,'Input - Bookings'!$G$2:$H$611,2,0)</f>
        <v>087575</v>
      </c>
      <c r="J398" s="44" t="str">
        <f>'Input - Bookings'!N398</f>
        <v>A6W9</v>
      </c>
      <c r="K398" s="44" t="str">
        <f>'Input - Bookings'!O398</f>
        <v>PC1.5</v>
      </c>
      <c r="L398" s="44" t="str">
        <f>'Input - Bookings'!C398</f>
        <v>AUD</v>
      </c>
      <c r="M398" s="46" t="str">
        <f t="array" ref="M398">IF(L398="USD",INDEX('AP Plants'!A:A,MATCH(J398,'AP Plants'!D:D,0)),INDEX('Australia Plants'!A:A,MATCH(J398,'Australia Plants'!D:D,0)))</f>
        <v>Staxx</v>
      </c>
      <c r="N398" s="10">
        <v>1.0</v>
      </c>
      <c r="O398" s="9">
        <v>2140.0</v>
      </c>
      <c r="P398" s="9">
        <v>1282.92</v>
      </c>
      <c r="Q398" s="47">
        <v>0.15563392142436872</v>
      </c>
      <c r="R398" s="48">
        <f t="shared" si="3"/>
        <v>0.4005046729</v>
      </c>
      <c r="S398" s="49">
        <f t="shared" si="4"/>
        <v>0</v>
      </c>
      <c r="T398" s="49">
        <f t="shared" si="21"/>
        <v>0.1556339214</v>
      </c>
      <c r="U398" s="50" t="str">
        <f t="shared" si="6"/>
        <v>AOP</v>
      </c>
      <c r="V398" s="51">
        <f t="shared" si="28"/>
        <v>199.6658705</v>
      </c>
      <c r="W398" s="52" t="str">
        <f t="shared" si="8"/>
        <v>#DIV/0!</v>
      </c>
      <c r="X398" s="9" t="str">
        <f t="shared" si="25"/>
        <v>#DIV/0!</v>
      </c>
      <c r="Y398" s="8"/>
      <c r="Z398" s="8"/>
      <c r="AA398" s="8"/>
      <c r="AB398" s="8" t="str">
        <f t="shared" si="10"/>
        <v>PAUH39905PC1.5</v>
      </c>
      <c r="AC398" s="8" t="str">
        <f>IF(AB398='Input - Bookings'!S631,"OK","Check")</f>
        <v>Check</v>
      </c>
      <c r="AD398" s="53"/>
      <c r="AE398" s="65"/>
      <c r="AF398" s="65"/>
      <c r="AG398" s="55">
        <f t="shared" si="46"/>
        <v>641.0258258</v>
      </c>
      <c r="AH398" s="55"/>
      <c r="AI398" s="8" t="str">
        <f t="array" ref="AI398">XLOOKUP($J398,'AP Plants'!D:D,'AP Plants'!B:B)</f>
        <v>Class 3</v>
      </c>
      <c r="AJ398" s="56">
        <f>(AG398*'Currency &amp; Conversion'!$L$6)</f>
        <v>954.6156597</v>
      </c>
      <c r="AK398" s="56"/>
      <c r="AL398" s="49">
        <v>0.015</v>
      </c>
      <c r="AM398" s="49">
        <f t="array" ref="AM398">XLOOKUP($AI398,Warranty!B:B,Warranty!E:E)</f>
        <v>0.015</v>
      </c>
      <c r="AN398" s="8">
        <f>IF($L398="AUD",VLOOKUP(RIGHT('Wk - Margins'!$J398,3),'AU Freight'!C:G,5,0),0)</f>
        <v>100</v>
      </c>
      <c r="AO398" s="49">
        <f t="shared" si="11"/>
        <v>0</v>
      </c>
      <c r="AP398" s="63">
        <f t="shared" si="12"/>
        <v>1083.25413</v>
      </c>
      <c r="AQ398" s="58">
        <f t="shared" si="13"/>
        <v>0.1556339214</v>
      </c>
      <c r="AR398" s="59">
        <f>IF(L398="AUD",O398*'Currency &amp; Conversion'!$L$7,'Wk - Margins'!O398)</f>
        <v>1436.967022</v>
      </c>
      <c r="AS398" s="59">
        <f>IF(L398="AUD",P398*'Currency &amp; Conversion'!$L$7,'Wk - Margins'!P398)</f>
        <v>861.4550148</v>
      </c>
    </row>
    <row r="399" ht="12.75" hidden="1" customHeight="1">
      <c r="A399" s="42" t="str">
        <f>'Input - Bookings'!A399</f>
        <v>27/06/2023</v>
      </c>
      <c r="B399" s="43" t="str">
        <f t="shared" si="1"/>
        <v>Australia</v>
      </c>
      <c r="C399" s="43" t="str">
        <f t="shared" si="2"/>
        <v>PAU</v>
      </c>
      <c r="D399" s="43" t="str">
        <f>'Input - Bookings'!D399</f>
        <v>P</v>
      </c>
      <c r="E399" s="43" t="str">
        <f>'Input - Bookings'!J399</f>
        <v>AU</v>
      </c>
      <c r="F399" s="44" t="str">
        <f>'Input - Bookings'!F399</f>
        <v>065</v>
      </c>
      <c r="G399" s="44" t="str">
        <f>'Input - Bookings'!I399</f>
        <v>ADAPT-A-LIFT GROUP (QLD)</v>
      </c>
      <c r="H399" s="45" t="str">
        <f>'Input - Bookings'!K399</f>
        <v>H39906</v>
      </c>
      <c r="I399" s="45" t="str">
        <f>VLOOKUP(H399,'Input - Bookings'!$G$2:$H$611,2,0)</f>
        <v>087575</v>
      </c>
      <c r="J399" s="44" t="str">
        <f>'Input - Bookings'!N399</f>
        <v>A6W9</v>
      </c>
      <c r="K399" s="44" t="str">
        <f>'Input - Bookings'!O399</f>
        <v>PC1.5</v>
      </c>
      <c r="L399" s="44" t="str">
        <f>'Input - Bookings'!C399</f>
        <v>AUD</v>
      </c>
      <c r="M399" s="46" t="str">
        <f t="array" ref="M399">IF(L399="USD",INDEX('AP Plants'!A:A,MATCH(J399,'AP Plants'!D:D,0)),INDEX('Australia Plants'!A:A,MATCH(J399,'Australia Plants'!D:D,0)))</f>
        <v>Staxx</v>
      </c>
      <c r="N399" s="10">
        <v>1.0</v>
      </c>
      <c r="O399" s="9">
        <v>2140.0</v>
      </c>
      <c r="P399" s="9">
        <v>1282.92</v>
      </c>
      <c r="Q399" s="47">
        <v>0.15563392142436872</v>
      </c>
      <c r="R399" s="48">
        <f t="shared" si="3"/>
        <v>0.4005046729</v>
      </c>
      <c r="S399" s="49">
        <f t="shared" si="4"/>
        <v>0</v>
      </c>
      <c r="T399" s="49">
        <f t="shared" si="21"/>
        <v>0.1556339214</v>
      </c>
      <c r="U399" s="50" t="str">
        <f t="shared" si="6"/>
        <v>AOP</v>
      </c>
      <c r="V399" s="51">
        <f t="shared" si="28"/>
        <v>199.6658705</v>
      </c>
      <c r="W399" s="52" t="str">
        <f t="shared" si="8"/>
        <v>#DIV/0!</v>
      </c>
      <c r="X399" s="9" t="str">
        <f t="shared" si="25"/>
        <v>#DIV/0!</v>
      </c>
      <c r="Y399" s="8"/>
      <c r="Z399" s="8"/>
      <c r="AA399" s="8"/>
      <c r="AB399" s="8" t="str">
        <f t="shared" si="10"/>
        <v>PAUH39906PC1.5</v>
      </c>
      <c r="AC399" s="8" t="str">
        <f>IF(AB399='Input - Bookings'!S632,"OK","Check")</f>
        <v>Check</v>
      </c>
      <c r="AD399" s="53"/>
      <c r="AE399" s="65"/>
      <c r="AF399" s="65"/>
      <c r="AG399" s="55">
        <f t="shared" si="46"/>
        <v>641.0258258</v>
      </c>
      <c r="AH399" s="55"/>
      <c r="AI399" s="8" t="str">
        <f t="array" ref="AI399">XLOOKUP($J399,'AP Plants'!D:D,'AP Plants'!B:B)</f>
        <v>Class 3</v>
      </c>
      <c r="AJ399" s="56">
        <f>(AG399*'Currency &amp; Conversion'!$L$6)</f>
        <v>954.6156597</v>
      </c>
      <c r="AK399" s="56"/>
      <c r="AL399" s="49">
        <v>0.015</v>
      </c>
      <c r="AM399" s="49">
        <f t="array" ref="AM399">XLOOKUP($AI399,Warranty!B:B,Warranty!E:E)</f>
        <v>0.015</v>
      </c>
      <c r="AN399" s="8">
        <f>IF($L399="AUD",VLOOKUP(RIGHT('Wk - Margins'!$J399,3),'AU Freight'!C:G,5,0),0)</f>
        <v>100</v>
      </c>
      <c r="AO399" s="49">
        <f t="shared" si="11"/>
        <v>0</v>
      </c>
      <c r="AP399" s="63">
        <f t="shared" si="12"/>
        <v>1083.25413</v>
      </c>
      <c r="AQ399" s="58">
        <f t="shared" si="13"/>
        <v>0.1556339214</v>
      </c>
      <c r="AR399" s="59">
        <f>IF(L399="AUD",O399*'Currency &amp; Conversion'!$L$7,'Wk - Margins'!O399)</f>
        <v>1436.967022</v>
      </c>
      <c r="AS399" s="59">
        <f>IF(L399="AUD",P399*'Currency &amp; Conversion'!$L$7,'Wk - Margins'!P399)</f>
        <v>861.4550148</v>
      </c>
    </row>
    <row r="400" ht="12.75" hidden="1" customHeight="1">
      <c r="A400" s="42" t="str">
        <f>'Input - Bookings'!A400</f>
        <v>27/06/2023</v>
      </c>
      <c r="B400" s="43" t="str">
        <f t="shared" si="1"/>
        <v>Australia</v>
      </c>
      <c r="C400" s="43" t="str">
        <f t="shared" si="2"/>
        <v>PAU</v>
      </c>
      <c r="D400" s="43" t="str">
        <f>'Input - Bookings'!D400</f>
        <v>P</v>
      </c>
      <c r="E400" s="43" t="str">
        <f>'Input - Bookings'!J400</f>
        <v>AU</v>
      </c>
      <c r="F400" s="44" t="str">
        <f>'Input - Bookings'!F400</f>
        <v>065</v>
      </c>
      <c r="G400" s="44" t="str">
        <f>'Input - Bookings'!I400</f>
        <v>ADAPT-A-LIFT GROUP (QLD)</v>
      </c>
      <c r="H400" s="45" t="str">
        <f>'Input - Bookings'!K400</f>
        <v>H39907</v>
      </c>
      <c r="I400" s="45" t="str">
        <f>VLOOKUP(H400,'Input - Bookings'!$G$2:$H$611,2,0)</f>
        <v>087575</v>
      </c>
      <c r="J400" s="44" t="str">
        <f>'Input - Bookings'!N400</f>
        <v>A6W9</v>
      </c>
      <c r="K400" s="44" t="str">
        <f>'Input - Bookings'!O400</f>
        <v>PC1.5</v>
      </c>
      <c r="L400" s="44" t="str">
        <f>'Input - Bookings'!C400</f>
        <v>AUD</v>
      </c>
      <c r="M400" s="46" t="str">
        <f t="array" ref="M400">IF(L400="USD",INDEX('AP Plants'!A:A,MATCH(J400,'AP Plants'!D:D,0)),INDEX('Australia Plants'!A:A,MATCH(J400,'Australia Plants'!D:D,0)))</f>
        <v>Staxx</v>
      </c>
      <c r="N400" s="10">
        <v>1.0</v>
      </c>
      <c r="O400" s="9">
        <v>2140.0</v>
      </c>
      <c r="P400" s="9">
        <v>1282.92</v>
      </c>
      <c r="Q400" s="47">
        <v>0.15563392142436872</v>
      </c>
      <c r="R400" s="48">
        <f t="shared" si="3"/>
        <v>0.4005046729</v>
      </c>
      <c r="S400" s="49">
        <f t="shared" si="4"/>
        <v>0</v>
      </c>
      <c r="T400" s="49">
        <f t="shared" si="21"/>
        <v>0.1556339214</v>
      </c>
      <c r="U400" s="50" t="str">
        <f t="shared" si="6"/>
        <v>AOP</v>
      </c>
      <c r="V400" s="51">
        <f t="shared" si="28"/>
        <v>199.6658705</v>
      </c>
      <c r="W400" s="52" t="str">
        <f t="shared" si="8"/>
        <v>#DIV/0!</v>
      </c>
      <c r="X400" s="9" t="str">
        <f t="shared" si="25"/>
        <v>#DIV/0!</v>
      </c>
      <c r="Y400" s="8"/>
      <c r="Z400" s="8"/>
      <c r="AA400" s="8"/>
      <c r="AB400" s="8" t="str">
        <f t="shared" si="10"/>
        <v>PAUH39907PC1.5</v>
      </c>
      <c r="AC400" s="8" t="str">
        <f>IF(AB400='Input - Bookings'!S633,"OK","Check")</f>
        <v>Check</v>
      </c>
      <c r="AD400" s="53"/>
      <c r="AE400" s="65"/>
      <c r="AF400" s="65"/>
      <c r="AG400" s="55">
        <f t="shared" si="46"/>
        <v>641.0258258</v>
      </c>
      <c r="AH400" s="55"/>
      <c r="AI400" s="8" t="str">
        <f t="array" ref="AI400">XLOOKUP($J400,'AP Plants'!D:D,'AP Plants'!B:B)</f>
        <v>Class 3</v>
      </c>
      <c r="AJ400" s="56">
        <f>(AG400*'Currency &amp; Conversion'!$L$6)</f>
        <v>954.6156597</v>
      </c>
      <c r="AK400" s="56"/>
      <c r="AL400" s="49">
        <v>0.015</v>
      </c>
      <c r="AM400" s="49">
        <f t="array" ref="AM400">XLOOKUP($AI400,Warranty!B:B,Warranty!E:E)</f>
        <v>0.015</v>
      </c>
      <c r="AN400" s="8">
        <f>IF($L400="AUD",VLOOKUP(RIGHT('Wk - Margins'!$J400,3),'AU Freight'!C:G,5,0),0)</f>
        <v>100</v>
      </c>
      <c r="AO400" s="49">
        <f t="shared" si="11"/>
        <v>0</v>
      </c>
      <c r="AP400" s="63">
        <f t="shared" si="12"/>
        <v>1083.25413</v>
      </c>
      <c r="AQ400" s="58">
        <f t="shared" si="13"/>
        <v>0.1556339214</v>
      </c>
      <c r="AR400" s="59">
        <f>IF(L400="AUD",O400*'Currency &amp; Conversion'!$L$7,'Wk - Margins'!O400)</f>
        <v>1436.967022</v>
      </c>
      <c r="AS400" s="59">
        <f>IF(L400="AUD",P400*'Currency &amp; Conversion'!$L$7,'Wk - Margins'!P400)</f>
        <v>861.4550148</v>
      </c>
    </row>
    <row r="401" ht="12.75" hidden="1" customHeight="1">
      <c r="A401" s="42" t="str">
        <f>'Input - Bookings'!A401</f>
        <v>27/06/2023</v>
      </c>
      <c r="B401" s="43" t="str">
        <f t="shared" si="1"/>
        <v>Australia</v>
      </c>
      <c r="C401" s="43" t="str">
        <f t="shared" si="2"/>
        <v>PAU</v>
      </c>
      <c r="D401" s="43" t="str">
        <f>'Input - Bookings'!D401</f>
        <v>P</v>
      </c>
      <c r="E401" s="43" t="str">
        <f>'Input - Bookings'!J401</f>
        <v>AU</v>
      </c>
      <c r="F401" s="44" t="str">
        <f>'Input - Bookings'!F401</f>
        <v>065</v>
      </c>
      <c r="G401" s="44" t="str">
        <f>'Input - Bookings'!I401</f>
        <v>ADAPT-A-LIFT GROUP (QLD)</v>
      </c>
      <c r="H401" s="45" t="str">
        <f>'Input - Bookings'!K401</f>
        <v>H39908</v>
      </c>
      <c r="I401" s="45" t="str">
        <f>VLOOKUP(H401,'Input - Bookings'!$G$2:$H$611,2,0)</f>
        <v>087575</v>
      </c>
      <c r="J401" s="44" t="str">
        <f>'Input - Bookings'!N401</f>
        <v>A6W9</v>
      </c>
      <c r="K401" s="44" t="str">
        <f>'Input - Bookings'!O401</f>
        <v>PC1.5</v>
      </c>
      <c r="L401" s="44" t="str">
        <f>'Input - Bookings'!C401</f>
        <v>AUD</v>
      </c>
      <c r="M401" s="46" t="str">
        <f t="array" ref="M401">IF(L401="USD",INDEX('AP Plants'!A:A,MATCH(J401,'AP Plants'!D:D,0)),INDEX('Australia Plants'!A:A,MATCH(J401,'Australia Plants'!D:D,0)))</f>
        <v>Staxx</v>
      </c>
      <c r="N401" s="10">
        <v>1.0</v>
      </c>
      <c r="O401" s="9">
        <v>2140.0</v>
      </c>
      <c r="P401" s="9">
        <v>1282.92</v>
      </c>
      <c r="Q401" s="47">
        <v>0.15563392142436872</v>
      </c>
      <c r="R401" s="48">
        <f t="shared" si="3"/>
        <v>0.4005046729</v>
      </c>
      <c r="S401" s="49">
        <f t="shared" si="4"/>
        <v>0</v>
      </c>
      <c r="T401" s="49">
        <f t="shared" si="21"/>
        <v>0.1556339214</v>
      </c>
      <c r="U401" s="50" t="str">
        <f t="shared" si="6"/>
        <v>AOP</v>
      </c>
      <c r="V401" s="51">
        <f t="shared" si="28"/>
        <v>199.6658705</v>
      </c>
      <c r="W401" s="52" t="str">
        <f t="shared" si="8"/>
        <v>#DIV/0!</v>
      </c>
      <c r="X401" s="9" t="str">
        <f t="shared" si="25"/>
        <v>#DIV/0!</v>
      </c>
      <c r="Y401" s="8"/>
      <c r="Z401" s="8"/>
      <c r="AA401" s="8"/>
      <c r="AB401" s="8" t="str">
        <f t="shared" si="10"/>
        <v>PAUH39908PC1.5</v>
      </c>
      <c r="AC401" s="8" t="str">
        <f>IF(AB401='Input - Bookings'!S634,"OK","Check")</f>
        <v>Check</v>
      </c>
      <c r="AD401" s="53"/>
      <c r="AE401" s="65"/>
      <c r="AF401" s="65"/>
      <c r="AG401" s="55">
        <f t="shared" si="46"/>
        <v>641.0258258</v>
      </c>
      <c r="AH401" s="55"/>
      <c r="AI401" s="8" t="str">
        <f t="array" ref="AI401">XLOOKUP($J401,'AP Plants'!D:D,'AP Plants'!B:B)</f>
        <v>Class 3</v>
      </c>
      <c r="AJ401" s="56">
        <f>(AG401*'Currency &amp; Conversion'!$L$6)</f>
        <v>954.6156597</v>
      </c>
      <c r="AK401" s="56"/>
      <c r="AL401" s="49">
        <v>0.015</v>
      </c>
      <c r="AM401" s="49">
        <f t="array" ref="AM401">XLOOKUP($AI401,Warranty!B:B,Warranty!E:E)</f>
        <v>0.015</v>
      </c>
      <c r="AN401" s="8">
        <f>IF($L401="AUD",VLOOKUP(RIGHT('Wk - Margins'!$J401,3),'AU Freight'!C:G,5,0),0)</f>
        <v>100</v>
      </c>
      <c r="AO401" s="49">
        <f t="shared" si="11"/>
        <v>0</v>
      </c>
      <c r="AP401" s="63">
        <f t="shared" si="12"/>
        <v>1083.25413</v>
      </c>
      <c r="AQ401" s="58">
        <f t="shared" si="13"/>
        <v>0.1556339214</v>
      </c>
      <c r="AR401" s="59">
        <f>IF(L401="AUD",O401*'Currency &amp; Conversion'!$L$7,'Wk - Margins'!O401)</f>
        <v>1436.967022</v>
      </c>
      <c r="AS401" s="59">
        <f>IF(L401="AUD",P401*'Currency &amp; Conversion'!$L$7,'Wk - Margins'!P401)</f>
        <v>861.4550148</v>
      </c>
    </row>
    <row r="402" ht="12.75" hidden="1" customHeight="1">
      <c r="A402" s="42" t="str">
        <f>'Input - Bookings'!A402</f>
        <v>27/06/2023</v>
      </c>
      <c r="B402" s="43" t="str">
        <f t="shared" si="1"/>
        <v>Australia</v>
      </c>
      <c r="C402" s="43" t="str">
        <f t="shared" si="2"/>
        <v>PAU</v>
      </c>
      <c r="D402" s="43" t="str">
        <f>'Input - Bookings'!D402</f>
        <v>P</v>
      </c>
      <c r="E402" s="43" t="str">
        <f>'Input - Bookings'!J402</f>
        <v>AU</v>
      </c>
      <c r="F402" s="44" t="str">
        <f>'Input - Bookings'!F402</f>
        <v>065</v>
      </c>
      <c r="G402" s="44" t="str">
        <f>'Input - Bookings'!I402</f>
        <v>ADAPT-A-LIFT GROUP (QLD)</v>
      </c>
      <c r="H402" s="45" t="str">
        <f>'Input - Bookings'!K402</f>
        <v>H39909</v>
      </c>
      <c r="I402" s="45" t="str">
        <f>VLOOKUP(H402,'Input - Bookings'!$G$2:$H$611,2,0)</f>
        <v>087575</v>
      </c>
      <c r="J402" s="44" t="str">
        <f>'Input - Bookings'!N402</f>
        <v>A6W9</v>
      </c>
      <c r="K402" s="44" t="str">
        <f>'Input - Bookings'!O402</f>
        <v>PC1.5</v>
      </c>
      <c r="L402" s="44" t="str">
        <f>'Input - Bookings'!C402</f>
        <v>AUD</v>
      </c>
      <c r="M402" s="46" t="str">
        <f t="array" ref="M402">IF(L402="USD",INDEX('AP Plants'!A:A,MATCH(J402,'AP Plants'!D:D,0)),INDEX('Australia Plants'!A:A,MATCH(J402,'Australia Plants'!D:D,0)))</f>
        <v>Staxx</v>
      </c>
      <c r="N402" s="10">
        <v>1.0</v>
      </c>
      <c r="O402" s="9">
        <v>2140.0</v>
      </c>
      <c r="P402" s="9">
        <v>1282.92</v>
      </c>
      <c r="Q402" s="47">
        <v>0.15563392142436872</v>
      </c>
      <c r="R402" s="48">
        <f t="shared" si="3"/>
        <v>0.4005046729</v>
      </c>
      <c r="S402" s="49">
        <f t="shared" si="4"/>
        <v>0</v>
      </c>
      <c r="T402" s="49">
        <f t="shared" si="21"/>
        <v>0.1556339214</v>
      </c>
      <c r="U402" s="50" t="str">
        <f t="shared" si="6"/>
        <v>AOP</v>
      </c>
      <c r="V402" s="51">
        <f t="shared" si="28"/>
        <v>199.6658705</v>
      </c>
      <c r="W402" s="52" t="str">
        <f t="shared" si="8"/>
        <v>#DIV/0!</v>
      </c>
      <c r="X402" s="9" t="str">
        <f t="shared" si="25"/>
        <v>#DIV/0!</v>
      </c>
      <c r="Y402" s="8"/>
      <c r="Z402" s="8"/>
      <c r="AA402" s="8"/>
      <c r="AB402" s="8" t="str">
        <f t="shared" si="10"/>
        <v>PAUH39909PC1.5</v>
      </c>
      <c r="AC402" s="8" t="str">
        <f>IF(AB402='Input - Bookings'!S635,"OK","Check")</f>
        <v>Check</v>
      </c>
      <c r="AD402" s="53"/>
      <c r="AE402" s="65"/>
      <c r="AF402" s="65"/>
      <c r="AG402" s="55">
        <f t="shared" si="46"/>
        <v>641.0258258</v>
      </c>
      <c r="AH402" s="55"/>
      <c r="AI402" s="8" t="str">
        <f t="array" ref="AI402">XLOOKUP($J402,'AP Plants'!D:D,'AP Plants'!B:B)</f>
        <v>Class 3</v>
      </c>
      <c r="AJ402" s="56">
        <f>(AG402*'Currency &amp; Conversion'!$L$6)</f>
        <v>954.6156597</v>
      </c>
      <c r="AK402" s="56"/>
      <c r="AL402" s="49">
        <v>0.015</v>
      </c>
      <c r="AM402" s="49">
        <f t="array" ref="AM402">XLOOKUP($AI402,Warranty!B:B,Warranty!E:E)</f>
        <v>0.015</v>
      </c>
      <c r="AN402" s="8">
        <f>IF($L402="AUD",VLOOKUP(RIGHT('Wk - Margins'!$J402,3),'AU Freight'!C:G,5,0),0)</f>
        <v>100</v>
      </c>
      <c r="AO402" s="49">
        <f t="shared" si="11"/>
        <v>0</v>
      </c>
      <c r="AP402" s="63">
        <f t="shared" si="12"/>
        <v>1083.25413</v>
      </c>
      <c r="AQ402" s="58">
        <f t="shared" si="13"/>
        <v>0.1556339214</v>
      </c>
      <c r="AR402" s="59">
        <f>IF(L402="AUD",O402*'Currency &amp; Conversion'!$L$7,'Wk - Margins'!O402)</f>
        <v>1436.967022</v>
      </c>
      <c r="AS402" s="59">
        <f>IF(L402="AUD",P402*'Currency &amp; Conversion'!$L$7,'Wk - Margins'!P402)</f>
        <v>861.4550148</v>
      </c>
    </row>
    <row r="403" ht="12.75" hidden="1" customHeight="1">
      <c r="A403" s="42" t="str">
        <f>'Input - Bookings'!A403</f>
        <v>27/06/2023</v>
      </c>
      <c r="B403" s="43" t="str">
        <f t="shared" si="1"/>
        <v>Australia</v>
      </c>
      <c r="C403" s="43" t="str">
        <f t="shared" si="2"/>
        <v>PAU</v>
      </c>
      <c r="D403" s="43" t="str">
        <f>'Input - Bookings'!D403</f>
        <v>P</v>
      </c>
      <c r="E403" s="43" t="str">
        <f>'Input - Bookings'!J403</f>
        <v>AU</v>
      </c>
      <c r="F403" s="44" t="str">
        <f>'Input - Bookings'!F403</f>
        <v>065</v>
      </c>
      <c r="G403" s="44" t="str">
        <f>'Input - Bookings'!I403</f>
        <v>ADAPT-A-LIFT GROUP (QLD)</v>
      </c>
      <c r="H403" s="45" t="str">
        <f>'Input - Bookings'!K403</f>
        <v>H39910</v>
      </c>
      <c r="I403" s="45" t="str">
        <f>VLOOKUP(H403,'Input - Bookings'!$G$2:$H$611,2,0)</f>
        <v>087575</v>
      </c>
      <c r="J403" s="44" t="str">
        <f>'Input - Bookings'!N403</f>
        <v>A6W9</v>
      </c>
      <c r="K403" s="44" t="str">
        <f>'Input - Bookings'!O403</f>
        <v>PC1.5</v>
      </c>
      <c r="L403" s="44" t="str">
        <f>'Input - Bookings'!C403</f>
        <v>AUD</v>
      </c>
      <c r="M403" s="46" t="str">
        <f t="array" ref="M403">IF(L403="USD",INDEX('AP Plants'!A:A,MATCH(J403,'AP Plants'!D:D,0)),INDEX('Australia Plants'!A:A,MATCH(J403,'Australia Plants'!D:D,0)))</f>
        <v>Staxx</v>
      </c>
      <c r="N403" s="10">
        <v>1.0</v>
      </c>
      <c r="O403" s="9">
        <v>2140.0</v>
      </c>
      <c r="P403" s="9">
        <v>1282.92</v>
      </c>
      <c r="Q403" s="47">
        <v>0.15563392142436872</v>
      </c>
      <c r="R403" s="48">
        <f t="shared" si="3"/>
        <v>0.4005046729</v>
      </c>
      <c r="S403" s="49">
        <f t="shared" si="4"/>
        <v>0</v>
      </c>
      <c r="T403" s="49">
        <f t="shared" si="21"/>
        <v>0.1556339214</v>
      </c>
      <c r="U403" s="50" t="str">
        <f t="shared" si="6"/>
        <v>AOP</v>
      </c>
      <c r="V403" s="51">
        <f t="shared" si="28"/>
        <v>199.6658705</v>
      </c>
      <c r="W403" s="52" t="str">
        <f t="shared" si="8"/>
        <v>#DIV/0!</v>
      </c>
      <c r="X403" s="9" t="str">
        <f t="shared" si="25"/>
        <v>#DIV/0!</v>
      </c>
      <c r="Y403" s="8"/>
      <c r="Z403" s="8"/>
      <c r="AA403" s="8"/>
      <c r="AB403" s="8" t="str">
        <f t="shared" si="10"/>
        <v>PAUH39910PC1.5</v>
      </c>
      <c r="AC403" s="8" t="str">
        <f>IF(AB403='Input - Bookings'!S636,"OK","Check")</f>
        <v>Check</v>
      </c>
      <c r="AD403" s="53"/>
      <c r="AE403" s="65"/>
      <c r="AF403" s="65"/>
      <c r="AG403" s="55">
        <f t="shared" si="46"/>
        <v>641.0258258</v>
      </c>
      <c r="AH403" s="55"/>
      <c r="AI403" s="8" t="str">
        <f t="array" ref="AI403">XLOOKUP($J403,'AP Plants'!D:D,'AP Plants'!B:B)</f>
        <v>Class 3</v>
      </c>
      <c r="AJ403" s="56">
        <f>(AG403*'Currency &amp; Conversion'!$L$6)</f>
        <v>954.6156597</v>
      </c>
      <c r="AK403" s="56"/>
      <c r="AL403" s="49">
        <v>0.015</v>
      </c>
      <c r="AM403" s="49">
        <f t="array" ref="AM403">XLOOKUP($AI403,Warranty!B:B,Warranty!E:E)</f>
        <v>0.015</v>
      </c>
      <c r="AN403" s="8">
        <f>IF($L403="AUD",VLOOKUP(RIGHT('Wk - Margins'!$J403,3),'AU Freight'!C:G,5,0),0)</f>
        <v>100</v>
      </c>
      <c r="AO403" s="49">
        <f t="shared" si="11"/>
        <v>0</v>
      </c>
      <c r="AP403" s="63">
        <f t="shared" si="12"/>
        <v>1083.25413</v>
      </c>
      <c r="AQ403" s="58">
        <f t="shared" si="13"/>
        <v>0.1556339214</v>
      </c>
      <c r="AR403" s="59">
        <f>IF(L403="AUD",O403*'Currency &amp; Conversion'!$L$7,'Wk - Margins'!O403)</f>
        <v>1436.967022</v>
      </c>
      <c r="AS403" s="59">
        <f>IF(L403="AUD",P403*'Currency &amp; Conversion'!$L$7,'Wk - Margins'!P403)</f>
        <v>861.4550148</v>
      </c>
    </row>
    <row r="404" ht="12.75" hidden="1" customHeight="1">
      <c r="A404" s="42" t="str">
        <f>'Input - Bookings'!A404</f>
        <v>27/06/2023</v>
      </c>
      <c r="B404" s="43" t="str">
        <f t="shared" si="1"/>
        <v>Australia</v>
      </c>
      <c r="C404" s="43" t="str">
        <f t="shared" si="2"/>
        <v>PAU</v>
      </c>
      <c r="D404" s="43" t="str">
        <f>'Input - Bookings'!D404</f>
        <v>P</v>
      </c>
      <c r="E404" s="43" t="str">
        <f>'Input - Bookings'!J404</f>
        <v>AU</v>
      </c>
      <c r="F404" s="44" t="str">
        <f>'Input - Bookings'!F404</f>
        <v>065</v>
      </c>
      <c r="G404" s="44" t="str">
        <f>'Input - Bookings'!I404</f>
        <v>ADAPT-A-LIFT GROUP (QLD)</v>
      </c>
      <c r="H404" s="45" t="str">
        <f>'Input - Bookings'!K404</f>
        <v>H39911</v>
      </c>
      <c r="I404" s="45" t="str">
        <f>VLOOKUP(H404,'Input - Bookings'!$G$2:$H$611,2,0)</f>
        <v>087575</v>
      </c>
      <c r="J404" s="44" t="str">
        <f>'Input - Bookings'!N404</f>
        <v>A6W9</v>
      </c>
      <c r="K404" s="44" t="str">
        <f>'Input - Bookings'!O404</f>
        <v>PC1.5</v>
      </c>
      <c r="L404" s="44" t="str">
        <f>'Input - Bookings'!C404</f>
        <v>AUD</v>
      </c>
      <c r="M404" s="46" t="str">
        <f t="array" ref="M404">IF(L404="USD",INDEX('AP Plants'!A:A,MATCH(J404,'AP Plants'!D:D,0)),INDEX('Australia Plants'!A:A,MATCH(J404,'Australia Plants'!D:D,0)))</f>
        <v>Staxx</v>
      </c>
      <c r="N404" s="10">
        <v>1.0</v>
      </c>
      <c r="O404" s="9">
        <v>2140.0</v>
      </c>
      <c r="P404" s="9">
        <v>1282.92</v>
      </c>
      <c r="Q404" s="47">
        <v>0.15563392142436872</v>
      </c>
      <c r="R404" s="48">
        <f t="shared" si="3"/>
        <v>0.4005046729</v>
      </c>
      <c r="S404" s="49">
        <f t="shared" si="4"/>
        <v>0</v>
      </c>
      <c r="T404" s="49">
        <f t="shared" si="21"/>
        <v>0.1556339214</v>
      </c>
      <c r="U404" s="50" t="str">
        <f t="shared" si="6"/>
        <v>AOP</v>
      </c>
      <c r="V404" s="51">
        <f t="shared" si="28"/>
        <v>199.6658705</v>
      </c>
      <c r="W404" s="52" t="str">
        <f t="shared" si="8"/>
        <v>#DIV/0!</v>
      </c>
      <c r="X404" s="9" t="str">
        <f t="shared" si="25"/>
        <v>#DIV/0!</v>
      </c>
      <c r="Y404" s="8"/>
      <c r="Z404" s="8"/>
      <c r="AA404" s="8"/>
      <c r="AB404" s="8" t="str">
        <f t="shared" si="10"/>
        <v>PAUH39911PC1.5</v>
      </c>
      <c r="AC404" s="8" t="str">
        <f>IF(AB404='Input - Bookings'!S637,"OK","Check")</f>
        <v>Check</v>
      </c>
      <c r="AD404" s="53"/>
      <c r="AE404" s="65"/>
      <c r="AF404" s="65"/>
      <c r="AG404" s="55">
        <f t="shared" si="46"/>
        <v>641.0258258</v>
      </c>
      <c r="AH404" s="55"/>
      <c r="AI404" s="8" t="str">
        <f t="array" ref="AI404">XLOOKUP($J404,'AP Plants'!D:D,'AP Plants'!B:B)</f>
        <v>Class 3</v>
      </c>
      <c r="AJ404" s="56">
        <f>(AG404*'Currency &amp; Conversion'!$L$6)</f>
        <v>954.6156597</v>
      </c>
      <c r="AK404" s="56"/>
      <c r="AL404" s="49">
        <v>0.015</v>
      </c>
      <c r="AM404" s="49">
        <f t="array" ref="AM404">XLOOKUP($AI404,Warranty!B:B,Warranty!E:E)</f>
        <v>0.015</v>
      </c>
      <c r="AN404" s="8">
        <f>IF($L404="AUD",VLOOKUP(RIGHT('Wk - Margins'!$J404,3),'AU Freight'!C:G,5,0),0)</f>
        <v>100</v>
      </c>
      <c r="AO404" s="49">
        <f t="shared" si="11"/>
        <v>0</v>
      </c>
      <c r="AP404" s="63">
        <f t="shared" si="12"/>
        <v>1083.25413</v>
      </c>
      <c r="AQ404" s="58">
        <f t="shared" si="13"/>
        <v>0.1556339214</v>
      </c>
      <c r="AR404" s="59">
        <f>IF(L404="AUD",O404*'Currency &amp; Conversion'!$L$7,'Wk - Margins'!O404)</f>
        <v>1436.967022</v>
      </c>
      <c r="AS404" s="59">
        <f>IF(L404="AUD",P404*'Currency &amp; Conversion'!$L$7,'Wk - Margins'!P404)</f>
        <v>861.4550148</v>
      </c>
    </row>
    <row r="405" ht="12.75" hidden="1" customHeight="1">
      <c r="A405" s="42" t="str">
        <f>'Input - Bookings'!A405</f>
        <v>27/06/2023</v>
      </c>
      <c r="B405" s="43" t="str">
        <f t="shared" si="1"/>
        <v>Australia</v>
      </c>
      <c r="C405" s="43" t="str">
        <f t="shared" si="2"/>
        <v>PAU</v>
      </c>
      <c r="D405" s="43" t="str">
        <f>'Input - Bookings'!D405</f>
        <v>P</v>
      </c>
      <c r="E405" s="43" t="str">
        <f>'Input - Bookings'!J405</f>
        <v>AU</v>
      </c>
      <c r="F405" s="44" t="str">
        <f>'Input - Bookings'!F405</f>
        <v>065</v>
      </c>
      <c r="G405" s="44" t="str">
        <f>'Input - Bookings'!I405</f>
        <v>ADAPT-A-LIFT GROUP (QLD)</v>
      </c>
      <c r="H405" s="45" t="str">
        <f>'Input - Bookings'!K405</f>
        <v>H39912</v>
      </c>
      <c r="I405" s="45" t="str">
        <f>VLOOKUP(H405,'Input - Bookings'!$G$2:$H$611,2,0)</f>
        <v>087575</v>
      </c>
      <c r="J405" s="44" t="str">
        <f>'Input - Bookings'!N405</f>
        <v>A6W9</v>
      </c>
      <c r="K405" s="44" t="str">
        <f>'Input - Bookings'!O405</f>
        <v>PC1.5</v>
      </c>
      <c r="L405" s="44" t="str">
        <f>'Input - Bookings'!C405</f>
        <v>AUD</v>
      </c>
      <c r="M405" s="46" t="str">
        <f t="array" ref="M405">IF(L405="USD",INDEX('AP Plants'!A:A,MATCH(J405,'AP Plants'!D:D,0)),INDEX('Australia Plants'!A:A,MATCH(J405,'Australia Plants'!D:D,0)))</f>
        <v>Staxx</v>
      </c>
      <c r="N405" s="10">
        <v>1.0</v>
      </c>
      <c r="O405" s="9">
        <v>2140.0</v>
      </c>
      <c r="P405" s="9">
        <v>1282.92</v>
      </c>
      <c r="Q405" s="47">
        <v>0.15563392142436872</v>
      </c>
      <c r="R405" s="48">
        <f t="shared" si="3"/>
        <v>0.4005046729</v>
      </c>
      <c r="S405" s="49">
        <f t="shared" si="4"/>
        <v>0</v>
      </c>
      <c r="T405" s="49">
        <f t="shared" si="21"/>
        <v>0.1556339214</v>
      </c>
      <c r="U405" s="50" t="str">
        <f t="shared" si="6"/>
        <v>AOP</v>
      </c>
      <c r="V405" s="51">
        <f t="shared" si="28"/>
        <v>199.6658705</v>
      </c>
      <c r="W405" s="52" t="str">
        <f t="shared" si="8"/>
        <v>#DIV/0!</v>
      </c>
      <c r="X405" s="9" t="str">
        <f t="shared" si="25"/>
        <v>#DIV/0!</v>
      </c>
      <c r="Y405" s="8"/>
      <c r="Z405" s="8"/>
      <c r="AA405" s="8"/>
      <c r="AB405" s="8" t="str">
        <f t="shared" si="10"/>
        <v>PAUH39912PC1.5</v>
      </c>
      <c r="AC405" s="8" t="str">
        <f>IF(AB405='Input - Bookings'!S638,"OK","Check")</f>
        <v>Check</v>
      </c>
      <c r="AD405" s="53"/>
      <c r="AE405" s="65"/>
      <c r="AF405" s="65"/>
      <c r="AG405" s="55">
        <f t="shared" si="46"/>
        <v>641.0258258</v>
      </c>
      <c r="AH405" s="55"/>
      <c r="AI405" s="8" t="str">
        <f t="array" ref="AI405">XLOOKUP($J405,'AP Plants'!D:D,'AP Plants'!B:B)</f>
        <v>Class 3</v>
      </c>
      <c r="AJ405" s="56">
        <f>(AG405*'Currency &amp; Conversion'!$L$6)</f>
        <v>954.6156597</v>
      </c>
      <c r="AK405" s="56"/>
      <c r="AL405" s="49">
        <v>0.015</v>
      </c>
      <c r="AM405" s="49">
        <f t="array" ref="AM405">XLOOKUP($AI405,Warranty!B:B,Warranty!E:E)</f>
        <v>0.015</v>
      </c>
      <c r="AN405" s="8">
        <f>IF($L405="AUD",VLOOKUP(RIGHT('Wk - Margins'!$J405,3),'AU Freight'!C:G,5,0),0)</f>
        <v>100</v>
      </c>
      <c r="AO405" s="49">
        <f t="shared" si="11"/>
        <v>0</v>
      </c>
      <c r="AP405" s="63">
        <f t="shared" si="12"/>
        <v>1083.25413</v>
      </c>
      <c r="AQ405" s="58">
        <f t="shared" si="13"/>
        <v>0.1556339214</v>
      </c>
      <c r="AR405" s="59">
        <f>IF(L405="AUD",O405*'Currency &amp; Conversion'!$L$7,'Wk - Margins'!O405)</f>
        <v>1436.967022</v>
      </c>
      <c r="AS405" s="59">
        <f>IF(L405="AUD",P405*'Currency &amp; Conversion'!$L$7,'Wk - Margins'!P405)</f>
        <v>861.4550148</v>
      </c>
    </row>
    <row r="406" ht="12.75" hidden="1" customHeight="1">
      <c r="A406" s="42" t="str">
        <f>'Input - Bookings'!A406</f>
        <v>27/06/2023</v>
      </c>
      <c r="B406" s="43" t="str">
        <f t="shared" si="1"/>
        <v>Australia</v>
      </c>
      <c r="C406" s="43" t="str">
        <f t="shared" si="2"/>
        <v>PAU</v>
      </c>
      <c r="D406" s="43" t="str">
        <f>'Input - Bookings'!D406</f>
        <v>P</v>
      </c>
      <c r="E406" s="43" t="str">
        <f>'Input - Bookings'!J406</f>
        <v>AU</v>
      </c>
      <c r="F406" s="44" t="str">
        <f>'Input - Bookings'!F406</f>
        <v>065</v>
      </c>
      <c r="G406" s="44" t="str">
        <f>'Input - Bookings'!I406</f>
        <v>ADAPT-A-LIFT GROUP (QLD)</v>
      </c>
      <c r="H406" s="45" t="str">
        <f>'Input - Bookings'!K406</f>
        <v>H39913</v>
      </c>
      <c r="I406" s="45" t="str">
        <f>VLOOKUP(H406,'Input - Bookings'!$G$2:$H$611,2,0)</f>
        <v>087575</v>
      </c>
      <c r="J406" s="44" t="str">
        <f>'Input - Bookings'!N406</f>
        <v>A6W9</v>
      </c>
      <c r="K406" s="44" t="str">
        <f>'Input - Bookings'!O406</f>
        <v>PC1.5</v>
      </c>
      <c r="L406" s="44" t="str">
        <f>'Input - Bookings'!C406</f>
        <v>AUD</v>
      </c>
      <c r="M406" s="46" t="str">
        <f t="array" ref="M406">IF(L406="USD",INDEX('AP Plants'!A:A,MATCH(J406,'AP Plants'!D:D,0)),INDEX('Australia Plants'!A:A,MATCH(J406,'Australia Plants'!D:D,0)))</f>
        <v>Staxx</v>
      </c>
      <c r="N406" s="10">
        <v>1.0</v>
      </c>
      <c r="O406" s="9">
        <v>2140.0</v>
      </c>
      <c r="P406" s="9">
        <v>1282.92</v>
      </c>
      <c r="Q406" s="47">
        <v>0.15563392142436872</v>
      </c>
      <c r="R406" s="48">
        <f t="shared" si="3"/>
        <v>0.4005046729</v>
      </c>
      <c r="S406" s="49">
        <f t="shared" si="4"/>
        <v>0</v>
      </c>
      <c r="T406" s="49">
        <f t="shared" si="21"/>
        <v>0.1556339214</v>
      </c>
      <c r="U406" s="50" t="str">
        <f t="shared" si="6"/>
        <v>AOP</v>
      </c>
      <c r="V406" s="51">
        <f t="shared" si="28"/>
        <v>199.6658705</v>
      </c>
      <c r="W406" s="52" t="str">
        <f t="shared" si="8"/>
        <v>#DIV/0!</v>
      </c>
      <c r="X406" s="9" t="str">
        <f t="shared" si="25"/>
        <v>#DIV/0!</v>
      </c>
      <c r="Y406" s="8"/>
      <c r="Z406" s="8"/>
      <c r="AA406" s="8"/>
      <c r="AB406" s="8" t="str">
        <f t="shared" si="10"/>
        <v>PAUH39913PC1.5</v>
      </c>
      <c r="AC406" s="8" t="str">
        <f>IF(AB406='Input - Bookings'!S639,"OK","Check")</f>
        <v>Check</v>
      </c>
      <c r="AD406" s="53"/>
      <c r="AE406" s="65"/>
      <c r="AF406" s="65"/>
      <c r="AG406" s="55">
        <f t="shared" si="46"/>
        <v>641.0258258</v>
      </c>
      <c r="AH406" s="55"/>
      <c r="AI406" s="8" t="str">
        <f t="array" ref="AI406">XLOOKUP($J406,'AP Plants'!D:D,'AP Plants'!B:B)</f>
        <v>Class 3</v>
      </c>
      <c r="AJ406" s="56">
        <f>(AG406*'Currency &amp; Conversion'!$L$6)</f>
        <v>954.6156597</v>
      </c>
      <c r="AK406" s="56"/>
      <c r="AL406" s="49">
        <v>0.015</v>
      </c>
      <c r="AM406" s="49">
        <f t="array" ref="AM406">XLOOKUP($AI406,Warranty!B:B,Warranty!E:E)</f>
        <v>0.015</v>
      </c>
      <c r="AN406" s="8">
        <f>IF($L406="AUD",VLOOKUP(RIGHT('Wk - Margins'!$J406,3),'AU Freight'!C:G,5,0),0)</f>
        <v>100</v>
      </c>
      <c r="AO406" s="49">
        <f t="shared" si="11"/>
        <v>0</v>
      </c>
      <c r="AP406" s="63">
        <f t="shared" si="12"/>
        <v>1083.25413</v>
      </c>
      <c r="AQ406" s="58">
        <f t="shared" si="13"/>
        <v>0.1556339214</v>
      </c>
      <c r="AR406" s="59">
        <f>IF(L406="AUD",O406*'Currency &amp; Conversion'!$L$7,'Wk - Margins'!O406)</f>
        <v>1436.967022</v>
      </c>
      <c r="AS406" s="59">
        <f>IF(L406="AUD",P406*'Currency &amp; Conversion'!$L$7,'Wk - Margins'!P406)</f>
        <v>861.4550148</v>
      </c>
    </row>
    <row r="407" ht="12.75" hidden="1" customHeight="1">
      <c r="A407" s="42" t="str">
        <f>'Input - Bookings'!A407</f>
        <v>27/06/2023</v>
      </c>
      <c r="B407" s="43" t="str">
        <f t="shared" si="1"/>
        <v>Australia</v>
      </c>
      <c r="C407" s="43" t="str">
        <f t="shared" si="2"/>
        <v>PAU</v>
      </c>
      <c r="D407" s="43" t="str">
        <f>'Input - Bookings'!D407</f>
        <v>P</v>
      </c>
      <c r="E407" s="43" t="str">
        <f>'Input - Bookings'!J407</f>
        <v>AU</v>
      </c>
      <c r="F407" s="44" t="str">
        <f>'Input - Bookings'!F407</f>
        <v>065</v>
      </c>
      <c r="G407" s="44" t="str">
        <f>'Input - Bookings'!I407</f>
        <v>ADAPT-A-LIFT GROUP (QLD)</v>
      </c>
      <c r="H407" s="45" t="str">
        <f>'Input - Bookings'!K407</f>
        <v>H39914</v>
      </c>
      <c r="I407" s="45" t="str">
        <f>VLOOKUP(H407,'Input - Bookings'!$G$2:$H$611,2,0)</f>
        <v>087575</v>
      </c>
      <c r="J407" s="44" t="str">
        <f>'Input - Bookings'!N407</f>
        <v>A6W9</v>
      </c>
      <c r="K407" s="44" t="str">
        <f>'Input - Bookings'!O407</f>
        <v>PC1.5</v>
      </c>
      <c r="L407" s="44" t="str">
        <f>'Input - Bookings'!C407</f>
        <v>AUD</v>
      </c>
      <c r="M407" s="46" t="str">
        <f t="array" ref="M407">IF(L407="USD",INDEX('AP Plants'!A:A,MATCH(J407,'AP Plants'!D:D,0)),INDEX('Australia Plants'!A:A,MATCH(J407,'Australia Plants'!D:D,0)))</f>
        <v>Staxx</v>
      </c>
      <c r="N407" s="10">
        <v>1.0</v>
      </c>
      <c r="O407" s="9">
        <v>2140.0</v>
      </c>
      <c r="P407" s="9">
        <v>1282.92</v>
      </c>
      <c r="Q407" s="47">
        <v>0.15563392142436872</v>
      </c>
      <c r="R407" s="48">
        <f t="shared" si="3"/>
        <v>0.4005046729</v>
      </c>
      <c r="S407" s="49">
        <f t="shared" si="4"/>
        <v>0</v>
      </c>
      <c r="T407" s="49">
        <f t="shared" si="21"/>
        <v>0.1556339214</v>
      </c>
      <c r="U407" s="50" t="str">
        <f t="shared" si="6"/>
        <v>AOP</v>
      </c>
      <c r="V407" s="51">
        <f t="shared" si="28"/>
        <v>199.6658705</v>
      </c>
      <c r="W407" s="52" t="str">
        <f t="shared" si="8"/>
        <v>#DIV/0!</v>
      </c>
      <c r="X407" s="9" t="str">
        <f t="shared" si="25"/>
        <v>#DIV/0!</v>
      </c>
      <c r="Y407" s="8"/>
      <c r="Z407" s="8"/>
      <c r="AA407" s="8"/>
      <c r="AB407" s="8" t="str">
        <f t="shared" si="10"/>
        <v>PAUH39914PC1.5</v>
      </c>
      <c r="AC407" s="8" t="str">
        <f>IF(AB407='Input - Bookings'!S640,"OK","Check")</f>
        <v>Check</v>
      </c>
      <c r="AD407" s="53"/>
      <c r="AE407" s="65"/>
      <c r="AF407" s="65"/>
      <c r="AG407" s="55">
        <f t="shared" si="46"/>
        <v>641.0258258</v>
      </c>
      <c r="AH407" s="55"/>
      <c r="AI407" s="8" t="str">
        <f t="array" ref="AI407">XLOOKUP($J407,'AP Plants'!D:D,'AP Plants'!B:B)</f>
        <v>Class 3</v>
      </c>
      <c r="AJ407" s="56">
        <f>(AG407*'Currency &amp; Conversion'!$L$6)</f>
        <v>954.6156597</v>
      </c>
      <c r="AK407" s="56"/>
      <c r="AL407" s="49">
        <v>0.015</v>
      </c>
      <c r="AM407" s="49">
        <f t="array" ref="AM407">XLOOKUP($AI407,Warranty!B:B,Warranty!E:E)</f>
        <v>0.015</v>
      </c>
      <c r="AN407" s="8">
        <f>IF($L407="AUD",VLOOKUP(RIGHT('Wk - Margins'!$J407,3),'AU Freight'!C:G,5,0),0)</f>
        <v>100</v>
      </c>
      <c r="AO407" s="49">
        <f t="shared" si="11"/>
        <v>0</v>
      </c>
      <c r="AP407" s="63">
        <f t="shared" si="12"/>
        <v>1083.25413</v>
      </c>
      <c r="AQ407" s="58">
        <f t="shared" si="13"/>
        <v>0.1556339214</v>
      </c>
      <c r="AR407" s="59">
        <f>IF(L407="AUD",O407*'Currency &amp; Conversion'!$L$7,'Wk - Margins'!O407)</f>
        <v>1436.967022</v>
      </c>
      <c r="AS407" s="59">
        <f>IF(L407="AUD",P407*'Currency &amp; Conversion'!$L$7,'Wk - Margins'!P407)</f>
        <v>861.4550148</v>
      </c>
    </row>
    <row r="408" ht="12.75" hidden="1" customHeight="1">
      <c r="A408" s="42" t="str">
        <f>'Input - Bookings'!A408</f>
        <v>27/06/2023</v>
      </c>
      <c r="B408" s="43" t="str">
        <f t="shared" si="1"/>
        <v>Australia</v>
      </c>
      <c r="C408" s="43" t="str">
        <f t="shared" si="2"/>
        <v>PAU</v>
      </c>
      <c r="D408" s="43" t="str">
        <f>'Input - Bookings'!D408</f>
        <v>P</v>
      </c>
      <c r="E408" s="43" t="str">
        <f>'Input - Bookings'!J408</f>
        <v>AU</v>
      </c>
      <c r="F408" s="44" t="str">
        <f>'Input - Bookings'!F408</f>
        <v>065</v>
      </c>
      <c r="G408" s="44" t="str">
        <f>'Input - Bookings'!I408</f>
        <v>ADAPT-A-LIFT GROUP (QLD)</v>
      </c>
      <c r="H408" s="45" t="str">
        <f>'Input - Bookings'!K408</f>
        <v>H39915</v>
      </c>
      <c r="I408" s="45" t="str">
        <f>VLOOKUP(H408,'Input - Bookings'!$G$2:$H$611,2,0)</f>
        <v>087575</v>
      </c>
      <c r="J408" s="44" t="str">
        <f>'Input - Bookings'!N408</f>
        <v>A6W9</v>
      </c>
      <c r="K408" s="44" t="str">
        <f>'Input - Bookings'!O408</f>
        <v>PC1.5</v>
      </c>
      <c r="L408" s="44" t="str">
        <f>'Input - Bookings'!C408</f>
        <v>AUD</v>
      </c>
      <c r="M408" s="46" t="str">
        <f t="array" ref="M408">IF(L408="USD",INDEX('AP Plants'!A:A,MATCH(J408,'AP Plants'!D:D,0)),INDEX('Australia Plants'!A:A,MATCH(J408,'Australia Plants'!D:D,0)))</f>
        <v>Staxx</v>
      </c>
      <c r="N408" s="10">
        <v>1.0</v>
      </c>
      <c r="O408" s="9">
        <v>2140.0</v>
      </c>
      <c r="P408" s="9">
        <v>1282.92</v>
      </c>
      <c r="Q408" s="47">
        <v>0.15563392142436872</v>
      </c>
      <c r="R408" s="48">
        <f t="shared" si="3"/>
        <v>0.4005046729</v>
      </c>
      <c r="S408" s="49">
        <f t="shared" si="4"/>
        <v>0</v>
      </c>
      <c r="T408" s="49">
        <f t="shared" si="21"/>
        <v>0.1556339214</v>
      </c>
      <c r="U408" s="50" t="str">
        <f t="shared" si="6"/>
        <v>AOP</v>
      </c>
      <c r="V408" s="51">
        <f t="shared" si="28"/>
        <v>199.6658705</v>
      </c>
      <c r="W408" s="52" t="str">
        <f t="shared" si="8"/>
        <v>#DIV/0!</v>
      </c>
      <c r="X408" s="9" t="str">
        <f t="shared" si="25"/>
        <v>#DIV/0!</v>
      </c>
      <c r="Y408" s="8"/>
      <c r="Z408" s="8"/>
      <c r="AA408" s="8"/>
      <c r="AB408" s="8" t="str">
        <f t="shared" si="10"/>
        <v>PAUH39915PC1.5</v>
      </c>
      <c r="AC408" s="8" t="str">
        <f>IF(AB408='Input - Bookings'!S641,"OK","Check")</f>
        <v>Check</v>
      </c>
      <c r="AD408" s="53"/>
      <c r="AE408" s="65"/>
      <c r="AF408" s="65"/>
      <c r="AG408" s="55">
        <f t="shared" si="46"/>
        <v>641.0258258</v>
      </c>
      <c r="AH408" s="55"/>
      <c r="AI408" s="8" t="str">
        <f t="array" ref="AI408">XLOOKUP($J408,'AP Plants'!D:D,'AP Plants'!B:B)</f>
        <v>Class 3</v>
      </c>
      <c r="AJ408" s="56">
        <f>(AG408*'Currency &amp; Conversion'!$L$6)</f>
        <v>954.6156597</v>
      </c>
      <c r="AK408" s="56"/>
      <c r="AL408" s="49">
        <v>0.015</v>
      </c>
      <c r="AM408" s="49">
        <f t="array" ref="AM408">XLOOKUP($AI408,Warranty!B:B,Warranty!E:E)</f>
        <v>0.015</v>
      </c>
      <c r="AN408" s="8">
        <f>IF($L408="AUD",VLOOKUP(RIGHT('Wk - Margins'!$J408,3),'AU Freight'!C:G,5,0),0)</f>
        <v>100</v>
      </c>
      <c r="AO408" s="49">
        <f t="shared" si="11"/>
        <v>0</v>
      </c>
      <c r="AP408" s="63">
        <f t="shared" si="12"/>
        <v>1083.25413</v>
      </c>
      <c r="AQ408" s="58">
        <f t="shared" si="13"/>
        <v>0.1556339214</v>
      </c>
      <c r="AR408" s="59">
        <f>IF(L408="AUD",O408*'Currency &amp; Conversion'!$L$7,'Wk - Margins'!O408)</f>
        <v>1436.967022</v>
      </c>
      <c r="AS408" s="59">
        <f>IF(L408="AUD",P408*'Currency &amp; Conversion'!$L$7,'Wk - Margins'!P408)</f>
        <v>861.4550148</v>
      </c>
    </row>
    <row r="409" ht="12.75" hidden="1" customHeight="1">
      <c r="A409" s="42" t="str">
        <f>'Input - Bookings'!A409</f>
        <v>27/06/2023</v>
      </c>
      <c r="B409" s="43" t="str">
        <f t="shared" si="1"/>
        <v>Australia</v>
      </c>
      <c r="C409" s="43" t="str">
        <f t="shared" si="2"/>
        <v>PAU</v>
      </c>
      <c r="D409" s="43" t="str">
        <f>'Input - Bookings'!D409</f>
        <v>P</v>
      </c>
      <c r="E409" s="43" t="str">
        <f>'Input - Bookings'!J409</f>
        <v>AU</v>
      </c>
      <c r="F409" s="44" t="str">
        <f>'Input - Bookings'!F409</f>
        <v>065</v>
      </c>
      <c r="G409" s="44" t="str">
        <f>'Input - Bookings'!I409</f>
        <v>ADAPT-A-LIFT GROUP (QLD)</v>
      </c>
      <c r="H409" s="45" t="str">
        <f>'Input - Bookings'!K409</f>
        <v>H39916</v>
      </c>
      <c r="I409" s="45" t="str">
        <f>VLOOKUP(H409,'Input - Bookings'!$G$2:$H$611,2,0)</f>
        <v>087575</v>
      </c>
      <c r="J409" s="44" t="str">
        <f>'Input - Bookings'!N409</f>
        <v>A6W9</v>
      </c>
      <c r="K409" s="44" t="str">
        <f>'Input - Bookings'!O409</f>
        <v>PC1.5</v>
      </c>
      <c r="L409" s="44" t="str">
        <f>'Input - Bookings'!C409</f>
        <v>AUD</v>
      </c>
      <c r="M409" s="46" t="str">
        <f t="array" ref="M409">IF(L409="USD",INDEX('AP Plants'!A:A,MATCH(J409,'AP Plants'!D:D,0)),INDEX('Australia Plants'!A:A,MATCH(J409,'Australia Plants'!D:D,0)))</f>
        <v>Staxx</v>
      </c>
      <c r="N409" s="10">
        <v>1.0</v>
      </c>
      <c r="O409" s="9">
        <v>2140.0</v>
      </c>
      <c r="P409" s="9">
        <v>1282.92</v>
      </c>
      <c r="Q409" s="47">
        <v>0.15563392142436872</v>
      </c>
      <c r="R409" s="48">
        <f t="shared" si="3"/>
        <v>0.4005046729</v>
      </c>
      <c r="S409" s="49">
        <f t="shared" si="4"/>
        <v>0</v>
      </c>
      <c r="T409" s="49">
        <f t="shared" si="21"/>
        <v>0.1556339214</v>
      </c>
      <c r="U409" s="50" t="str">
        <f t="shared" si="6"/>
        <v>AOP</v>
      </c>
      <c r="V409" s="51">
        <f t="shared" si="28"/>
        <v>199.6658705</v>
      </c>
      <c r="W409" s="52" t="str">
        <f t="shared" si="8"/>
        <v>#DIV/0!</v>
      </c>
      <c r="X409" s="9" t="str">
        <f t="shared" si="25"/>
        <v>#DIV/0!</v>
      </c>
      <c r="Y409" s="8"/>
      <c r="Z409" s="8"/>
      <c r="AA409" s="8"/>
      <c r="AB409" s="8" t="str">
        <f t="shared" si="10"/>
        <v>PAUH39916PC1.5</v>
      </c>
      <c r="AC409" s="8" t="str">
        <f>IF(AB409='Input - Bookings'!S642,"OK","Check")</f>
        <v>Check</v>
      </c>
      <c r="AD409" s="53"/>
      <c r="AE409" s="65"/>
      <c r="AF409" s="65"/>
      <c r="AG409" s="55">
        <f t="shared" si="46"/>
        <v>641.0258258</v>
      </c>
      <c r="AH409" s="55"/>
      <c r="AI409" s="8" t="str">
        <f t="array" ref="AI409">XLOOKUP($J409,'AP Plants'!D:D,'AP Plants'!B:B)</f>
        <v>Class 3</v>
      </c>
      <c r="AJ409" s="56">
        <f>(AG409*'Currency &amp; Conversion'!$L$6)</f>
        <v>954.6156597</v>
      </c>
      <c r="AK409" s="56"/>
      <c r="AL409" s="49">
        <v>0.015</v>
      </c>
      <c r="AM409" s="49">
        <f t="array" ref="AM409">XLOOKUP($AI409,Warranty!B:B,Warranty!E:E)</f>
        <v>0.015</v>
      </c>
      <c r="AN409" s="8">
        <f>IF($L409="AUD",VLOOKUP(RIGHT('Wk - Margins'!$J409,3),'AU Freight'!C:G,5,0),0)</f>
        <v>100</v>
      </c>
      <c r="AO409" s="49">
        <f t="shared" si="11"/>
        <v>0</v>
      </c>
      <c r="AP409" s="63">
        <f t="shared" si="12"/>
        <v>1083.25413</v>
      </c>
      <c r="AQ409" s="58">
        <f t="shared" si="13"/>
        <v>0.1556339214</v>
      </c>
      <c r="AR409" s="59">
        <f>IF(L409="AUD",O409*'Currency &amp; Conversion'!$L$7,'Wk - Margins'!O409)</f>
        <v>1436.967022</v>
      </c>
      <c r="AS409" s="59">
        <f>IF(L409="AUD",P409*'Currency &amp; Conversion'!$L$7,'Wk - Margins'!P409)</f>
        <v>861.4550148</v>
      </c>
    </row>
    <row r="410" ht="12.75" hidden="1" customHeight="1">
      <c r="A410" s="42" t="str">
        <f>'Input - Bookings'!A410</f>
        <v>27/06/2023</v>
      </c>
      <c r="B410" s="43" t="str">
        <f t="shared" si="1"/>
        <v>Australia</v>
      </c>
      <c r="C410" s="43" t="str">
        <f t="shared" si="2"/>
        <v>PAU</v>
      </c>
      <c r="D410" s="43" t="str">
        <f>'Input - Bookings'!D410</f>
        <v>P</v>
      </c>
      <c r="E410" s="43" t="str">
        <f>'Input - Bookings'!J410</f>
        <v>AU</v>
      </c>
      <c r="F410" s="44" t="str">
        <f>'Input - Bookings'!F410</f>
        <v>065</v>
      </c>
      <c r="G410" s="44" t="str">
        <f>'Input - Bookings'!I410</f>
        <v>ADAPT-A-LIFT GROUP (QLD)</v>
      </c>
      <c r="H410" s="45" t="str">
        <f>'Input - Bookings'!K410</f>
        <v>H39917</v>
      </c>
      <c r="I410" s="45" t="str">
        <f>VLOOKUP(H410,'Input - Bookings'!$G$2:$H$611,2,0)</f>
        <v>087575</v>
      </c>
      <c r="J410" s="44" t="str">
        <f>'Input - Bookings'!N410</f>
        <v>A6W9</v>
      </c>
      <c r="K410" s="44" t="str">
        <f>'Input - Bookings'!O410</f>
        <v>PC1.5</v>
      </c>
      <c r="L410" s="44" t="str">
        <f>'Input - Bookings'!C410</f>
        <v>AUD</v>
      </c>
      <c r="M410" s="46" t="str">
        <f t="array" ref="M410">IF(L410="USD",INDEX('AP Plants'!A:A,MATCH(J410,'AP Plants'!D:D,0)),INDEX('Australia Plants'!A:A,MATCH(J410,'Australia Plants'!D:D,0)))</f>
        <v>Staxx</v>
      </c>
      <c r="N410" s="10">
        <v>1.0</v>
      </c>
      <c r="O410" s="9">
        <v>2140.0</v>
      </c>
      <c r="P410" s="9">
        <v>1282.92</v>
      </c>
      <c r="Q410" s="47">
        <v>0.15563392142436872</v>
      </c>
      <c r="R410" s="48">
        <f t="shared" si="3"/>
        <v>0.4005046729</v>
      </c>
      <c r="S410" s="49">
        <f t="shared" si="4"/>
        <v>0</v>
      </c>
      <c r="T410" s="49">
        <f t="shared" si="21"/>
        <v>0.1556339214</v>
      </c>
      <c r="U410" s="50" t="str">
        <f t="shared" si="6"/>
        <v>AOP</v>
      </c>
      <c r="V410" s="51">
        <f t="shared" si="28"/>
        <v>199.6658705</v>
      </c>
      <c r="W410" s="52" t="str">
        <f t="shared" si="8"/>
        <v>#DIV/0!</v>
      </c>
      <c r="X410" s="9" t="str">
        <f t="shared" si="25"/>
        <v>#DIV/0!</v>
      </c>
      <c r="Y410" s="8"/>
      <c r="Z410" s="8"/>
      <c r="AA410" s="8"/>
      <c r="AB410" s="8" t="str">
        <f t="shared" si="10"/>
        <v>PAUH39917PC1.5</v>
      </c>
      <c r="AC410" s="8" t="str">
        <f>IF(AB410='Input - Bookings'!S643,"OK","Check")</f>
        <v>Check</v>
      </c>
      <c r="AD410" s="53"/>
      <c r="AE410" s="65"/>
      <c r="AF410" s="65"/>
      <c r="AG410" s="55">
        <f t="shared" si="46"/>
        <v>641.0258258</v>
      </c>
      <c r="AH410" s="55"/>
      <c r="AI410" s="8" t="str">
        <f t="array" ref="AI410">XLOOKUP($J410,'AP Plants'!D:D,'AP Plants'!B:B)</f>
        <v>Class 3</v>
      </c>
      <c r="AJ410" s="56">
        <f>(AG410*'Currency &amp; Conversion'!$L$6)</f>
        <v>954.6156597</v>
      </c>
      <c r="AK410" s="56"/>
      <c r="AL410" s="49">
        <v>0.015</v>
      </c>
      <c r="AM410" s="49">
        <f t="array" ref="AM410">XLOOKUP($AI410,Warranty!B:B,Warranty!E:E)</f>
        <v>0.015</v>
      </c>
      <c r="AN410" s="8">
        <f>IF($L410="AUD",VLOOKUP(RIGHT('Wk - Margins'!$J410,3),'AU Freight'!C:G,5,0),0)</f>
        <v>100</v>
      </c>
      <c r="AO410" s="49">
        <f t="shared" si="11"/>
        <v>0</v>
      </c>
      <c r="AP410" s="63">
        <f t="shared" si="12"/>
        <v>1083.25413</v>
      </c>
      <c r="AQ410" s="58">
        <f t="shared" si="13"/>
        <v>0.1556339214</v>
      </c>
      <c r="AR410" s="59">
        <f>IF(L410="AUD",O410*'Currency &amp; Conversion'!$L$7,'Wk - Margins'!O410)</f>
        <v>1436.967022</v>
      </c>
      <c r="AS410" s="59">
        <f>IF(L410="AUD",P410*'Currency &amp; Conversion'!$L$7,'Wk - Margins'!P410)</f>
        <v>861.4550148</v>
      </c>
    </row>
    <row r="411" ht="12.75" hidden="1" customHeight="1">
      <c r="A411" s="42" t="str">
        <f>'Input - Bookings'!A411</f>
        <v>27/06/2023</v>
      </c>
      <c r="B411" s="43" t="str">
        <f t="shared" si="1"/>
        <v>Australia</v>
      </c>
      <c r="C411" s="43" t="str">
        <f t="shared" si="2"/>
        <v>PAU</v>
      </c>
      <c r="D411" s="43" t="str">
        <f>'Input - Bookings'!D411</f>
        <v>P</v>
      </c>
      <c r="E411" s="43" t="str">
        <f>'Input - Bookings'!J411</f>
        <v>AU</v>
      </c>
      <c r="F411" s="44" t="str">
        <f>'Input - Bookings'!F411</f>
        <v>065</v>
      </c>
      <c r="G411" s="44" t="str">
        <f>'Input - Bookings'!I411</f>
        <v>ADAPT-A-LIFT GROUP (QLD)</v>
      </c>
      <c r="H411" s="45" t="str">
        <f>'Input - Bookings'!K411</f>
        <v>H39918</v>
      </c>
      <c r="I411" s="45" t="str">
        <f>VLOOKUP(H411,'Input - Bookings'!$G$2:$H$611,2,0)</f>
        <v>087575</v>
      </c>
      <c r="J411" s="44" t="str">
        <f>'Input - Bookings'!N411</f>
        <v>A6W9</v>
      </c>
      <c r="K411" s="44" t="str">
        <f>'Input - Bookings'!O411</f>
        <v>PC1.5</v>
      </c>
      <c r="L411" s="44" t="str">
        <f>'Input - Bookings'!C411</f>
        <v>AUD</v>
      </c>
      <c r="M411" s="46" t="str">
        <f t="array" ref="M411">IF(L411="USD",INDEX('AP Plants'!A:A,MATCH(J411,'AP Plants'!D:D,0)),INDEX('Australia Plants'!A:A,MATCH(J411,'Australia Plants'!D:D,0)))</f>
        <v>Staxx</v>
      </c>
      <c r="N411" s="10">
        <v>1.0</v>
      </c>
      <c r="O411" s="9">
        <v>2140.0</v>
      </c>
      <c r="P411" s="9">
        <v>1282.92</v>
      </c>
      <c r="Q411" s="47">
        <v>0.15563392142436872</v>
      </c>
      <c r="R411" s="48">
        <f t="shared" si="3"/>
        <v>0.4005046729</v>
      </c>
      <c r="S411" s="49">
        <f t="shared" si="4"/>
        <v>0</v>
      </c>
      <c r="T411" s="49">
        <f t="shared" si="21"/>
        <v>0.1556339214</v>
      </c>
      <c r="U411" s="50" t="str">
        <f t="shared" si="6"/>
        <v>AOP</v>
      </c>
      <c r="V411" s="51">
        <f t="shared" si="28"/>
        <v>199.6658705</v>
      </c>
      <c r="W411" s="52" t="str">
        <f t="shared" si="8"/>
        <v>#DIV/0!</v>
      </c>
      <c r="X411" s="9" t="str">
        <f t="shared" si="25"/>
        <v>#DIV/0!</v>
      </c>
      <c r="Y411" s="8"/>
      <c r="Z411" s="8"/>
      <c r="AA411" s="8"/>
      <c r="AB411" s="8" t="str">
        <f t="shared" si="10"/>
        <v>PAUH39918PC1.5</v>
      </c>
      <c r="AC411" s="8" t="str">
        <f>IF(AB411='Input - Bookings'!S644,"OK","Check")</f>
        <v>Check</v>
      </c>
      <c r="AD411" s="53"/>
      <c r="AE411" s="65"/>
      <c r="AF411" s="65"/>
      <c r="AG411" s="55">
        <f t="shared" si="46"/>
        <v>641.0258258</v>
      </c>
      <c r="AH411" s="55"/>
      <c r="AI411" s="8" t="str">
        <f t="array" ref="AI411">XLOOKUP($J411,'AP Plants'!D:D,'AP Plants'!B:B)</f>
        <v>Class 3</v>
      </c>
      <c r="AJ411" s="56">
        <f>(AG411*'Currency &amp; Conversion'!$L$6)</f>
        <v>954.6156597</v>
      </c>
      <c r="AK411" s="56"/>
      <c r="AL411" s="49">
        <v>0.015</v>
      </c>
      <c r="AM411" s="49">
        <f t="array" ref="AM411">XLOOKUP($AI411,Warranty!B:B,Warranty!E:E)</f>
        <v>0.015</v>
      </c>
      <c r="AN411" s="8">
        <f>IF($L411="AUD",VLOOKUP(RIGHT('Wk - Margins'!$J411,3),'AU Freight'!C:G,5,0),0)</f>
        <v>100</v>
      </c>
      <c r="AO411" s="49">
        <f t="shared" si="11"/>
        <v>0</v>
      </c>
      <c r="AP411" s="63">
        <f t="shared" si="12"/>
        <v>1083.25413</v>
      </c>
      <c r="AQ411" s="58">
        <f t="shared" si="13"/>
        <v>0.1556339214</v>
      </c>
      <c r="AR411" s="59">
        <f>IF(L411="AUD",O411*'Currency &amp; Conversion'!$L$7,'Wk - Margins'!O411)</f>
        <v>1436.967022</v>
      </c>
      <c r="AS411" s="59">
        <f>IF(L411="AUD",P411*'Currency &amp; Conversion'!$L$7,'Wk - Margins'!P411)</f>
        <v>861.4550148</v>
      </c>
    </row>
    <row r="412" ht="12.75" hidden="1" customHeight="1">
      <c r="A412" s="42" t="str">
        <f>'Input - Bookings'!A412</f>
        <v>27/06/2023</v>
      </c>
      <c r="B412" s="43" t="str">
        <f t="shared" si="1"/>
        <v>Australia</v>
      </c>
      <c r="C412" s="43" t="str">
        <f t="shared" si="2"/>
        <v>PAU</v>
      </c>
      <c r="D412" s="43" t="str">
        <f>'Input - Bookings'!D412</f>
        <v>P</v>
      </c>
      <c r="E412" s="43" t="str">
        <f>'Input - Bookings'!J412</f>
        <v>AU</v>
      </c>
      <c r="F412" s="44" t="str">
        <f>'Input - Bookings'!F412</f>
        <v>065</v>
      </c>
      <c r="G412" s="44" t="str">
        <f>'Input - Bookings'!I412</f>
        <v>ADAPT-A-LIFT GROUP (QLD)</v>
      </c>
      <c r="H412" s="45" t="str">
        <f>'Input - Bookings'!K412</f>
        <v>H39919</v>
      </c>
      <c r="I412" s="45" t="str">
        <f>VLOOKUP(H412,'Input - Bookings'!$G$2:$H$611,2,0)</f>
        <v>087575</v>
      </c>
      <c r="J412" s="44" t="str">
        <f>'Input - Bookings'!N412</f>
        <v>A6W9</v>
      </c>
      <c r="K412" s="44" t="str">
        <f>'Input - Bookings'!O412</f>
        <v>PC1.5</v>
      </c>
      <c r="L412" s="44" t="str">
        <f>'Input - Bookings'!C412</f>
        <v>AUD</v>
      </c>
      <c r="M412" s="46" t="str">
        <f t="array" ref="M412">IF(L412="USD",INDEX('AP Plants'!A:A,MATCH(J412,'AP Plants'!D:D,0)),INDEX('Australia Plants'!A:A,MATCH(J412,'Australia Plants'!D:D,0)))</f>
        <v>Staxx</v>
      </c>
      <c r="N412" s="10">
        <v>1.0</v>
      </c>
      <c r="O412" s="9">
        <v>2140.0</v>
      </c>
      <c r="P412" s="9">
        <v>1282.92</v>
      </c>
      <c r="Q412" s="47">
        <v>0.15563392142436872</v>
      </c>
      <c r="R412" s="48">
        <f t="shared" si="3"/>
        <v>0.4005046729</v>
      </c>
      <c r="S412" s="49">
        <f t="shared" si="4"/>
        <v>0</v>
      </c>
      <c r="T412" s="49">
        <f t="shared" si="21"/>
        <v>0.1556339214</v>
      </c>
      <c r="U412" s="50" t="str">
        <f t="shared" si="6"/>
        <v>AOP</v>
      </c>
      <c r="V412" s="51">
        <f t="shared" si="28"/>
        <v>199.6658705</v>
      </c>
      <c r="W412" s="52" t="str">
        <f t="shared" si="8"/>
        <v>#DIV/0!</v>
      </c>
      <c r="X412" s="9" t="str">
        <f t="shared" si="25"/>
        <v>#DIV/0!</v>
      </c>
      <c r="Y412" s="8"/>
      <c r="Z412" s="8"/>
      <c r="AA412" s="8"/>
      <c r="AB412" s="8" t="str">
        <f t="shared" si="10"/>
        <v>PAUH39919PC1.5</v>
      </c>
      <c r="AC412" s="8" t="str">
        <f>IF(AB412='Input - Bookings'!S645,"OK","Check")</f>
        <v>Check</v>
      </c>
      <c r="AD412" s="53"/>
      <c r="AE412" s="65"/>
      <c r="AF412" s="65"/>
      <c r="AG412" s="55">
        <f t="shared" si="46"/>
        <v>641.0258258</v>
      </c>
      <c r="AH412" s="55"/>
      <c r="AI412" s="8" t="str">
        <f t="array" ref="AI412">XLOOKUP($J412,'AP Plants'!D:D,'AP Plants'!B:B)</f>
        <v>Class 3</v>
      </c>
      <c r="AJ412" s="56">
        <f>(AG412*'Currency &amp; Conversion'!$L$6)</f>
        <v>954.6156597</v>
      </c>
      <c r="AK412" s="56"/>
      <c r="AL412" s="49">
        <v>0.015</v>
      </c>
      <c r="AM412" s="49">
        <f t="array" ref="AM412">XLOOKUP($AI412,Warranty!B:B,Warranty!E:E)</f>
        <v>0.015</v>
      </c>
      <c r="AN412" s="8">
        <f>IF($L412="AUD",VLOOKUP(RIGHT('Wk - Margins'!$J412,3),'AU Freight'!C:G,5,0),0)</f>
        <v>100</v>
      </c>
      <c r="AO412" s="49">
        <f t="shared" si="11"/>
        <v>0</v>
      </c>
      <c r="AP412" s="63">
        <f t="shared" si="12"/>
        <v>1083.25413</v>
      </c>
      <c r="AQ412" s="58">
        <f t="shared" si="13"/>
        <v>0.1556339214</v>
      </c>
      <c r="AR412" s="59">
        <f>IF(L412="AUD",O412*'Currency &amp; Conversion'!$L$7,'Wk - Margins'!O412)</f>
        <v>1436.967022</v>
      </c>
      <c r="AS412" s="59">
        <f>IF(L412="AUD",P412*'Currency &amp; Conversion'!$L$7,'Wk - Margins'!P412)</f>
        <v>861.4550148</v>
      </c>
    </row>
    <row r="413" ht="12.75" hidden="1" customHeight="1">
      <c r="A413" s="42" t="str">
        <f>'Input - Bookings'!A413</f>
        <v>27/06/2023</v>
      </c>
      <c r="B413" s="43" t="str">
        <f t="shared" si="1"/>
        <v>Australia</v>
      </c>
      <c r="C413" s="43" t="str">
        <f t="shared" si="2"/>
        <v>PAU</v>
      </c>
      <c r="D413" s="43" t="str">
        <f>'Input - Bookings'!D413</f>
        <v>P</v>
      </c>
      <c r="E413" s="43" t="str">
        <f>'Input - Bookings'!J413</f>
        <v>AU</v>
      </c>
      <c r="F413" s="44" t="str">
        <f>'Input - Bookings'!F413</f>
        <v>065</v>
      </c>
      <c r="G413" s="44" t="str">
        <f>'Input - Bookings'!I413</f>
        <v>ADAPT-A-LIFT GROUP (QLD)</v>
      </c>
      <c r="H413" s="45" t="str">
        <f>'Input - Bookings'!K413</f>
        <v>H39920</v>
      </c>
      <c r="I413" s="45" t="str">
        <f>VLOOKUP(H413,'Input - Bookings'!$G$2:$H$611,2,0)</f>
        <v>087575</v>
      </c>
      <c r="J413" s="44" t="str">
        <f>'Input - Bookings'!N413</f>
        <v>A6W9</v>
      </c>
      <c r="K413" s="44" t="str">
        <f>'Input - Bookings'!O413</f>
        <v>PC1.5</v>
      </c>
      <c r="L413" s="44" t="str">
        <f>'Input - Bookings'!C413</f>
        <v>AUD</v>
      </c>
      <c r="M413" s="46" t="str">
        <f t="array" ref="M413">IF(L413="USD",INDEX('AP Plants'!A:A,MATCH(J413,'AP Plants'!D:D,0)),INDEX('Australia Plants'!A:A,MATCH(J413,'Australia Plants'!D:D,0)))</f>
        <v>Staxx</v>
      </c>
      <c r="N413" s="10">
        <v>1.0</v>
      </c>
      <c r="O413" s="9">
        <v>2140.0</v>
      </c>
      <c r="P413" s="9">
        <v>1282.92</v>
      </c>
      <c r="Q413" s="47">
        <v>0.15563392142436872</v>
      </c>
      <c r="R413" s="48">
        <f t="shared" si="3"/>
        <v>0.4005046729</v>
      </c>
      <c r="S413" s="49">
        <f t="shared" si="4"/>
        <v>0</v>
      </c>
      <c r="T413" s="49">
        <f t="shared" si="21"/>
        <v>0.1556339214</v>
      </c>
      <c r="U413" s="50" t="str">
        <f t="shared" si="6"/>
        <v>AOP</v>
      </c>
      <c r="V413" s="51">
        <f t="shared" si="28"/>
        <v>199.6658705</v>
      </c>
      <c r="W413" s="52" t="str">
        <f t="shared" si="8"/>
        <v>#DIV/0!</v>
      </c>
      <c r="X413" s="9" t="str">
        <f t="shared" si="25"/>
        <v>#DIV/0!</v>
      </c>
      <c r="Y413" s="8"/>
      <c r="Z413" s="8"/>
      <c r="AA413" s="8"/>
      <c r="AB413" s="8" t="str">
        <f t="shared" si="10"/>
        <v>PAUH39920PC1.5</v>
      </c>
      <c r="AC413" s="8" t="str">
        <f>IF(AB413='Input - Bookings'!S646,"OK","Check")</f>
        <v>Check</v>
      </c>
      <c r="AD413" s="53"/>
      <c r="AE413" s="65"/>
      <c r="AF413" s="65"/>
      <c r="AG413" s="55">
        <f t="shared" si="46"/>
        <v>641.0258258</v>
      </c>
      <c r="AH413" s="55"/>
      <c r="AI413" s="8" t="str">
        <f t="array" ref="AI413">XLOOKUP($J413,'AP Plants'!D:D,'AP Plants'!B:B)</f>
        <v>Class 3</v>
      </c>
      <c r="AJ413" s="56">
        <f>(AG413*'Currency &amp; Conversion'!$L$6)</f>
        <v>954.6156597</v>
      </c>
      <c r="AK413" s="56"/>
      <c r="AL413" s="49">
        <v>0.015</v>
      </c>
      <c r="AM413" s="49">
        <f t="array" ref="AM413">XLOOKUP($AI413,Warranty!B:B,Warranty!E:E)</f>
        <v>0.015</v>
      </c>
      <c r="AN413" s="8">
        <f>IF($L413="AUD",VLOOKUP(RIGHT('Wk - Margins'!$J413,3),'AU Freight'!C:G,5,0),0)</f>
        <v>100</v>
      </c>
      <c r="AO413" s="49">
        <f t="shared" si="11"/>
        <v>0</v>
      </c>
      <c r="AP413" s="63">
        <f t="shared" si="12"/>
        <v>1083.25413</v>
      </c>
      <c r="AQ413" s="58">
        <f t="shared" si="13"/>
        <v>0.1556339214</v>
      </c>
      <c r="AR413" s="59">
        <f>IF(L413="AUD",O413*'Currency &amp; Conversion'!$L$7,'Wk - Margins'!O413)</f>
        <v>1436.967022</v>
      </c>
      <c r="AS413" s="59">
        <f>IF(L413="AUD",P413*'Currency &amp; Conversion'!$L$7,'Wk - Margins'!P413)</f>
        <v>861.4550148</v>
      </c>
    </row>
    <row r="414" ht="12.75" hidden="1" customHeight="1">
      <c r="A414" s="42" t="str">
        <f>'Input - Bookings'!A414</f>
        <v>27/06/2023</v>
      </c>
      <c r="B414" s="43" t="str">
        <f t="shared" si="1"/>
        <v>Australia</v>
      </c>
      <c r="C414" s="43" t="str">
        <f t="shared" si="2"/>
        <v>PAU</v>
      </c>
      <c r="D414" s="43" t="str">
        <f>'Input - Bookings'!D414</f>
        <v>P</v>
      </c>
      <c r="E414" s="43" t="str">
        <f>'Input - Bookings'!J414</f>
        <v>AU</v>
      </c>
      <c r="F414" s="44" t="str">
        <f>'Input - Bookings'!F414</f>
        <v>065</v>
      </c>
      <c r="G414" s="44" t="str">
        <f>'Input - Bookings'!I414</f>
        <v>ADAPT-A-LIFT GROUP (QLD)</v>
      </c>
      <c r="H414" s="45" t="str">
        <f>'Input - Bookings'!K414</f>
        <v>H39921</v>
      </c>
      <c r="I414" s="45" t="str">
        <f>VLOOKUP(H414,'Input - Bookings'!$G$2:$H$611,2,0)</f>
        <v>087575</v>
      </c>
      <c r="J414" s="44" t="str">
        <f>'Input - Bookings'!N414</f>
        <v>A6W9</v>
      </c>
      <c r="K414" s="44" t="str">
        <f>'Input - Bookings'!O414</f>
        <v>PC1.5</v>
      </c>
      <c r="L414" s="44" t="str">
        <f>'Input - Bookings'!C414</f>
        <v>AUD</v>
      </c>
      <c r="M414" s="46" t="str">
        <f t="array" ref="M414">IF(L414="USD",INDEX('AP Plants'!A:A,MATCH(J414,'AP Plants'!D:D,0)),INDEX('Australia Plants'!A:A,MATCH(J414,'Australia Plants'!D:D,0)))</f>
        <v>Staxx</v>
      </c>
      <c r="N414" s="10">
        <v>1.0</v>
      </c>
      <c r="O414" s="9">
        <v>2140.0</v>
      </c>
      <c r="P414" s="9">
        <v>1282.92</v>
      </c>
      <c r="Q414" s="47">
        <v>0.15563392142436872</v>
      </c>
      <c r="R414" s="48">
        <f t="shared" si="3"/>
        <v>0.4005046729</v>
      </c>
      <c r="S414" s="49">
        <f t="shared" si="4"/>
        <v>0</v>
      </c>
      <c r="T414" s="49">
        <f t="shared" si="21"/>
        <v>0.1556339214</v>
      </c>
      <c r="U414" s="50" t="str">
        <f t="shared" si="6"/>
        <v>AOP</v>
      </c>
      <c r="V414" s="51">
        <f t="shared" si="28"/>
        <v>199.6658705</v>
      </c>
      <c r="W414" s="52" t="str">
        <f t="shared" si="8"/>
        <v>#DIV/0!</v>
      </c>
      <c r="X414" s="9" t="str">
        <f t="shared" si="25"/>
        <v>#DIV/0!</v>
      </c>
      <c r="Y414" s="8"/>
      <c r="Z414" s="8"/>
      <c r="AA414" s="8"/>
      <c r="AB414" s="8" t="str">
        <f t="shared" si="10"/>
        <v>PAUH39921PC1.5</v>
      </c>
      <c r="AC414" s="8" t="str">
        <f>IF(AB414='Input - Bookings'!S647,"OK","Check")</f>
        <v>Check</v>
      </c>
      <c r="AD414" s="53"/>
      <c r="AE414" s="65"/>
      <c r="AF414" s="65"/>
      <c r="AG414" s="55">
        <f t="shared" si="46"/>
        <v>641.0258258</v>
      </c>
      <c r="AH414" s="62"/>
      <c r="AI414" s="8" t="str">
        <f t="array" ref="AI414">XLOOKUP($J414,'AP Plants'!D:D,'AP Plants'!B:B)</f>
        <v>Class 3</v>
      </c>
      <c r="AJ414" s="56">
        <f>(AG414*'Currency &amp; Conversion'!$L$6)</f>
        <v>954.6156597</v>
      </c>
      <c r="AK414" s="56"/>
      <c r="AL414" s="49">
        <v>0.015</v>
      </c>
      <c r="AM414" s="49">
        <f t="array" ref="AM414">XLOOKUP($AI414,Warranty!B:B,Warranty!E:E)</f>
        <v>0.015</v>
      </c>
      <c r="AN414" s="8">
        <f>IF($L414="AUD",VLOOKUP(RIGHT('Wk - Margins'!$J414,3),'AU Freight'!C:G,5,0),0)</f>
        <v>100</v>
      </c>
      <c r="AO414" s="49">
        <f t="shared" si="11"/>
        <v>0</v>
      </c>
      <c r="AP414" s="63">
        <f t="shared" si="12"/>
        <v>1083.25413</v>
      </c>
      <c r="AQ414" s="58">
        <f t="shared" si="13"/>
        <v>0.1556339214</v>
      </c>
      <c r="AR414" s="59">
        <f>IF(L414="AUD",O414*'Currency &amp; Conversion'!$L$7,'Wk - Margins'!O414)</f>
        <v>1436.967022</v>
      </c>
      <c r="AS414" s="59">
        <f>IF(L414="AUD",P414*'Currency &amp; Conversion'!$L$7,'Wk - Margins'!P414)</f>
        <v>861.4550148</v>
      </c>
    </row>
    <row r="415" ht="12.75" hidden="1" customHeight="1">
      <c r="A415" s="42" t="str">
        <f>'Input - Bookings'!A415</f>
        <v>27/06/2023</v>
      </c>
      <c r="B415" s="43" t="str">
        <f t="shared" si="1"/>
        <v>Australia</v>
      </c>
      <c r="C415" s="43" t="str">
        <f t="shared" si="2"/>
        <v>PAU</v>
      </c>
      <c r="D415" s="43" t="str">
        <f>'Input - Bookings'!D415</f>
        <v>P</v>
      </c>
      <c r="E415" s="43" t="str">
        <f>'Input - Bookings'!J415</f>
        <v>AU</v>
      </c>
      <c r="F415" s="44" t="str">
        <f>'Input - Bookings'!F415</f>
        <v>065</v>
      </c>
      <c r="G415" s="44" t="str">
        <f>'Input - Bookings'!I415</f>
        <v>ADAPT-A-LIFT GROUP (QLD)</v>
      </c>
      <c r="H415" s="45" t="str">
        <f>'Input - Bookings'!K415</f>
        <v>H39922</v>
      </c>
      <c r="I415" s="45" t="str">
        <f>VLOOKUP(H415,'Input - Bookings'!$G$2:$H$611,2,0)</f>
        <v>087575</v>
      </c>
      <c r="J415" s="44" t="str">
        <f>'Input - Bookings'!N415</f>
        <v>A6W9</v>
      </c>
      <c r="K415" s="44" t="str">
        <f>'Input - Bookings'!O415</f>
        <v>PC1.5</v>
      </c>
      <c r="L415" s="44" t="str">
        <f>'Input - Bookings'!C415</f>
        <v>AUD</v>
      </c>
      <c r="M415" s="46" t="str">
        <f t="array" ref="M415">IF(L415="USD",INDEX('AP Plants'!A:A,MATCH(J415,'AP Plants'!D:D,0)),INDEX('Australia Plants'!A:A,MATCH(J415,'Australia Plants'!D:D,0)))</f>
        <v>Staxx</v>
      </c>
      <c r="N415" s="10">
        <v>1.0</v>
      </c>
      <c r="O415" s="9">
        <v>2140.0</v>
      </c>
      <c r="P415" s="9">
        <v>1282.92</v>
      </c>
      <c r="Q415" s="47">
        <v>0.15563392142436872</v>
      </c>
      <c r="R415" s="48">
        <f t="shared" si="3"/>
        <v>0.4005046729</v>
      </c>
      <c r="S415" s="49">
        <f t="shared" si="4"/>
        <v>0</v>
      </c>
      <c r="T415" s="49">
        <f t="shared" si="21"/>
        <v>0.1556339214</v>
      </c>
      <c r="U415" s="50" t="str">
        <f t="shared" si="6"/>
        <v>AOP</v>
      </c>
      <c r="V415" s="51">
        <f t="shared" si="28"/>
        <v>199.6658705</v>
      </c>
      <c r="W415" s="52" t="str">
        <f t="shared" si="8"/>
        <v>#DIV/0!</v>
      </c>
      <c r="X415" s="9" t="str">
        <f t="shared" si="25"/>
        <v>#DIV/0!</v>
      </c>
      <c r="Y415" s="8"/>
      <c r="Z415" s="8"/>
      <c r="AA415" s="8"/>
      <c r="AB415" s="8" t="str">
        <f t="shared" si="10"/>
        <v>PAUH39922PC1.5</v>
      </c>
      <c r="AC415" s="8" t="str">
        <f>IF(AB415='Input - Bookings'!S648,"OK","Check")</f>
        <v>Check</v>
      </c>
      <c r="AD415" s="53"/>
      <c r="AE415" s="65"/>
      <c r="AF415" s="65"/>
      <c r="AG415" s="55">
        <f t="shared" si="46"/>
        <v>641.0258258</v>
      </c>
      <c r="AH415" s="55"/>
      <c r="AI415" s="8" t="str">
        <f t="array" ref="AI415">XLOOKUP($J415,'AP Plants'!D:D,'AP Plants'!B:B)</f>
        <v>Class 3</v>
      </c>
      <c r="AJ415" s="56">
        <f>(AG415*'Currency &amp; Conversion'!$L$6)</f>
        <v>954.6156597</v>
      </c>
      <c r="AK415" s="56"/>
      <c r="AL415" s="49">
        <v>0.015</v>
      </c>
      <c r="AM415" s="49">
        <f t="array" ref="AM415">XLOOKUP($AI415,Warranty!B:B,Warranty!E:E)</f>
        <v>0.015</v>
      </c>
      <c r="AN415" s="8">
        <f>IF($L415="AUD",VLOOKUP(RIGHT('Wk - Margins'!$J415,3),'AU Freight'!C:G,5,0),0)</f>
        <v>100</v>
      </c>
      <c r="AO415" s="49">
        <f t="shared" si="11"/>
        <v>0</v>
      </c>
      <c r="AP415" s="63">
        <f t="shared" si="12"/>
        <v>1083.25413</v>
      </c>
      <c r="AQ415" s="58">
        <f t="shared" si="13"/>
        <v>0.1556339214</v>
      </c>
      <c r="AR415" s="59">
        <f>IF(L415="AUD",O415*'Currency &amp; Conversion'!$L$7,'Wk - Margins'!O415)</f>
        <v>1436.967022</v>
      </c>
      <c r="AS415" s="59">
        <f>IF(L415="AUD",P415*'Currency &amp; Conversion'!$L$7,'Wk - Margins'!P415)</f>
        <v>861.4550148</v>
      </c>
    </row>
    <row r="416" ht="12.75" hidden="1" customHeight="1">
      <c r="A416" s="42" t="str">
        <f>'Input - Bookings'!A416</f>
        <v>27/06/2023</v>
      </c>
      <c r="B416" s="43" t="str">
        <f t="shared" si="1"/>
        <v>Australia</v>
      </c>
      <c r="C416" s="43" t="str">
        <f t="shared" si="2"/>
        <v>PAU</v>
      </c>
      <c r="D416" s="43" t="str">
        <f>'Input - Bookings'!D416</f>
        <v>P</v>
      </c>
      <c r="E416" s="43" t="str">
        <f>'Input - Bookings'!J416</f>
        <v>AU</v>
      </c>
      <c r="F416" s="44" t="str">
        <f>'Input - Bookings'!F416</f>
        <v>065</v>
      </c>
      <c r="G416" s="44" t="str">
        <f>'Input - Bookings'!I416</f>
        <v>ADAPT-A-LIFT GROUP (QLD)</v>
      </c>
      <c r="H416" s="45" t="str">
        <f>'Input - Bookings'!K416</f>
        <v>H39923</v>
      </c>
      <c r="I416" s="45" t="str">
        <f>VLOOKUP(H416,'Input - Bookings'!$G$2:$H$611,2,0)</f>
        <v>087575</v>
      </c>
      <c r="J416" s="44" t="str">
        <f>'Input - Bookings'!N416</f>
        <v>A6W9</v>
      </c>
      <c r="K416" s="44" t="str">
        <f>'Input - Bookings'!O416</f>
        <v>PC1.5</v>
      </c>
      <c r="L416" s="44" t="str">
        <f>'Input - Bookings'!C416</f>
        <v>AUD</v>
      </c>
      <c r="M416" s="46" t="str">
        <f t="array" ref="M416">IF(L416="USD",INDEX('AP Plants'!A:A,MATCH(J416,'AP Plants'!D:D,0)),INDEX('Australia Plants'!A:A,MATCH(J416,'Australia Plants'!D:D,0)))</f>
        <v>Staxx</v>
      </c>
      <c r="N416" s="10">
        <v>1.0</v>
      </c>
      <c r="O416" s="9">
        <v>2140.0</v>
      </c>
      <c r="P416" s="9">
        <v>1282.92</v>
      </c>
      <c r="Q416" s="47">
        <v>0.15563392142436872</v>
      </c>
      <c r="R416" s="48">
        <f t="shared" si="3"/>
        <v>0.4005046729</v>
      </c>
      <c r="S416" s="49">
        <f t="shared" si="4"/>
        <v>0</v>
      </c>
      <c r="T416" s="49">
        <f t="shared" si="21"/>
        <v>0.1556339214</v>
      </c>
      <c r="U416" s="50" t="str">
        <f t="shared" si="6"/>
        <v>AOP</v>
      </c>
      <c r="V416" s="51">
        <f t="shared" si="28"/>
        <v>199.6658705</v>
      </c>
      <c r="W416" s="52" t="str">
        <f t="shared" si="8"/>
        <v>#DIV/0!</v>
      </c>
      <c r="X416" s="9" t="str">
        <f t="shared" si="25"/>
        <v>#DIV/0!</v>
      </c>
      <c r="Y416" s="8"/>
      <c r="Z416" s="8"/>
      <c r="AA416" s="8"/>
      <c r="AB416" s="8" t="str">
        <f t="shared" si="10"/>
        <v>PAUH39923PC1.5</v>
      </c>
      <c r="AC416" s="8" t="str">
        <f>IF(AB416='Input - Bookings'!S649,"OK","Check")</f>
        <v>Check</v>
      </c>
      <c r="AD416" s="53"/>
      <c r="AE416" s="65"/>
      <c r="AF416" s="65"/>
      <c r="AG416" s="55">
        <f t="shared" si="46"/>
        <v>641.0258258</v>
      </c>
      <c r="AH416" s="55"/>
      <c r="AI416" s="8" t="str">
        <f t="array" ref="AI416">XLOOKUP($J416,'AP Plants'!D:D,'AP Plants'!B:B)</f>
        <v>Class 3</v>
      </c>
      <c r="AJ416" s="56">
        <f>(AG416*'Currency &amp; Conversion'!$L$6)</f>
        <v>954.6156597</v>
      </c>
      <c r="AK416" s="56"/>
      <c r="AL416" s="49">
        <v>0.015</v>
      </c>
      <c r="AM416" s="49">
        <f t="array" ref="AM416">XLOOKUP($AI416,Warranty!B:B,Warranty!E:E)</f>
        <v>0.015</v>
      </c>
      <c r="AN416" s="8">
        <f>IF($L416="AUD",VLOOKUP(RIGHT('Wk - Margins'!$J416,3),'AU Freight'!C:G,5,0),0)</f>
        <v>100</v>
      </c>
      <c r="AO416" s="49">
        <f t="shared" si="11"/>
        <v>0</v>
      </c>
      <c r="AP416" s="63">
        <f t="shared" si="12"/>
        <v>1083.25413</v>
      </c>
      <c r="AQ416" s="58">
        <f t="shared" si="13"/>
        <v>0.1556339214</v>
      </c>
      <c r="AR416" s="59">
        <f>IF(L416="AUD",O416*'Currency &amp; Conversion'!$L$7,'Wk - Margins'!O416)</f>
        <v>1436.967022</v>
      </c>
      <c r="AS416" s="59">
        <f>IF(L416="AUD",P416*'Currency &amp; Conversion'!$L$7,'Wk - Margins'!P416)</f>
        <v>861.4550148</v>
      </c>
    </row>
    <row r="417" ht="12.75" hidden="1" customHeight="1">
      <c r="A417" s="42" t="str">
        <f>'Input - Bookings'!A417</f>
        <v>27/06/2023</v>
      </c>
      <c r="B417" s="43" t="str">
        <f t="shared" si="1"/>
        <v>Australia</v>
      </c>
      <c r="C417" s="43" t="str">
        <f t="shared" si="2"/>
        <v>PAU</v>
      </c>
      <c r="D417" s="43" t="str">
        <f>'Input - Bookings'!D417</f>
        <v>P</v>
      </c>
      <c r="E417" s="43" t="str">
        <f>'Input - Bookings'!J417</f>
        <v>AU</v>
      </c>
      <c r="F417" s="44" t="str">
        <f>'Input - Bookings'!F417</f>
        <v>065</v>
      </c>
      <c r="G417" s="44" t="str">
        <f>'Input - Bookings'!I417</f>
        <v>ADAPT-A-LIFT GROUP (QLD)</v>
      </c>
      <c r="H417" s="45" t="str">
        <f>'Input - Bookings'!K417</f>
        <v>H39924</v>
      </c>
      <c r="I417" s="45" t="str">
        <f>VLOOKUP(H417,'Input - Bookings'!$G$2:$H$611,2,0)</f>
        <v>087575</v>
      </c>
      <c r="J417" s="44" t="str">
        <f>'Input - Bookings'!N417</f>
        <v>A6W9</v>
      </c>
      <c r="K417" s="44" t="str">
        <f>'Input - Bookings'!O417</f>
        <v>PC1.5</v>
      </c>
      <c r="L417" s="44" t="str">
        <f>'Input - Bookings'!C417</f>
        <v>AUD</v>
      </c>
      <c r="M417" s="46" t="str">
        <f t="array" ref="M417">IF(L417="USD",INDEX('AP Plants'!A:A,MATCH(J417,'AP Plants'!D:D,0)),INDEX('Australia Plants'!A:A,MATCH(J417,'Australia Plants'!D:D,0)))</f>
        <v>Staxx</v>
      </c>
      <c r="N417" s="10">
        <v>1.0</v>
      </c>
      <c r="O417" s="9">
        <v>2140.0</v>
      </c>
      <c r="P417" s="9">
        <v>1282.92</v>
      </c>
      <c r="Q417" s="47">
        <v>0.15563392142436872</v>
      </c>
      <c r="R417" s="48">
        <f t="shared" si="3"/>
        <v>0.4005046729</v>
      </c>
      <c r="S417" s="49">
        <f t="shared" si="4"/>
        <v>0</v>
      </c>
      <c r="T417" s="49">
        <f t="shared" si="21"/>
        <v>0.1556339214</v>
      </c>
      <c r="U417" s="50" t="str">
        <f t="shared" si="6"/>
        <v>AOP</v>
      </c>
      <c r="V417" s="51">
        <f t="shared" si="28"/>
        <v>199.6658705</v>
      </c>
      <c r="W417" s="52" t="str">
        <f t="shared" si="8"/>
        <v>#DIV/0!</v>
      </c>
      <c r="X417" s="9" t="str">
        <f t="shared" si="25"/>
        <v>#DIV/0!</v>
      </c>
      <c r="Y417" s="8"/>
      <c r="Z417" s="8"/>
      <c r="AA417" s="8"/>
      <c r="AB417" s="8" t="str">
        <f t="shared" si="10"/>
        <v>PAUH39924PC1.5</v>
      </c>
      <c r="AC417" s="8" t="str">
        <f>IF(AB417='Input - Bookings'!S650,"OK","Check")</f>
        <v>Check</v>
      </c>
      <c r="AD417" s="53"/>
      <c r="AE417" s="65"/>
      <c r="AF417" s="65"/>
      <c r="AG417" s="55">
        <f t="shared" si="46"/>
        <v>641.0258258</v>
      </c>
      <c r="AH417" s="55"/>
      <c r="AI417" s="8" t="str">
        <f t="array" ref="AI417">XLOOKUP($J417,'AP Plants'!D:D,'AP Plants'!B:B)</f>
        <v>Class 3</v>
      </c>
      <c r="AJ417" s="56">
        <f>(AG417*'Currency &amp; Conversion'!$L$6)</f>
        <v>954.6156597</v>
      </c>
      <c r="AK417" s="56"/>
      <c r="AL417" s="49">
        <v>0.015</v>
      </c>
      <c r="AM417" s="49">
        <f t="array" ref="AM417">XLOOKUP($AI417,Warranty!B:B,Warranty!E:E)</f>
        <v>0.015</v>
      </c>
      <c r="AN417" s="8">
        <f>IF($L417="AUD",VLOOKUP(RIGHT('Wk - Margins'!$J417,3),'AU Freight'!C:G,5,0),0)</f>
        <v>100</v>
      </c>
      <c r="AO417" s="49">
        <f t="shared" si="11"/>
        <v>0</v>
      </c>
      <c r="AP417" s="63">
        <f t="shared" si="12"/>
        <v>1083.25413</v>
      </c>
      <c r="AQ417" s="58">
        <f t="shared" si="13"/>
        <v>0.1556339214</v>
      </c>
      <c r="AR417" s="59">
        <f>IF(L417="AUD",O417*'Currency &amp; Conversion'!$L$7,'Wk - Margins'!O417)</f>
        <v>1436.967022</v>
      </c>
      <c r="AS417" s="59">
        <f>IF(L417="AUD",P417*'Currency &amp; Conversion'!$L$7,'Wk - Margins'!P417)</f>
        <v>861.4550148</v>
      </c>
    </row>
    <row r="418" ht="12.75" hidden="1" customHeight="1">
      <c r="A418" s="42" t="str">
        <f>'Input - Bookings'!A418</f>
        <v>27/06/2023</v>
      </c>
      <c r="B418" s="43" t="str">
        <f t="shared" si="1"/>
        <v>Australia</v>
      </c>
      <c r="C418" s="43" t="str">
        <f t="shared" si="2"/>
        <v>PAU</v>
      </c>
      <c r="D418" s="43" t="str">
        <f>'Input - Bookings'!D418</f>
        <v>P</v>
      </c>
      <c r="E418" s="43" t="str">
        <f>'Input - Bookings'!J418</f>
        <v>AU</v>
      </c>
      <c r="F418" s="44" t="str">
        <f>'Input - Bookings'!F418</f>
        <v>065</v>
      </c>
      <c r="G418" s="44" t="str">
        <f>'Input - Bookings'!I418</f>
        <v>ADAPT-A-LIFT GROUP (QLD)</v>
      </c>
      <c r="H418" s="45" t="str">
        <f>'Input - Bookings'!K418</f>
        <v>H39925</v>
      </c>
      <c r="I418" s="45" t="str">
        <f>VLOOKUP(H418,'Input - Bookings'!$G$2:$H$611,2,0)</f>
        <v>087575</v>
      </c>
      <c r="J418" s="44" t="str">
        <f>'Input - Bookings'!N418</f>
        <v>A6W9</v>
      </c>
      <c r="K418" s="44" t="str">
        <f>'Input - Bookings'!O418</f>
        <v>PC1.5</v>
      </c>
      <c r="L418" s="44" t="str">
        <f>'Input - Bookings'!C418</f>
        <v>AUD</v>
      </c>
      <c r="M418" s="46" t="str">
        <f t="array" ref="M418">IF(L418="USD",INDEX('AP Plants'!A:A,MATCH(J418,'AP Plants'!D:D,0)),INDEX('Australia Plants'!A:A,MATCH(J418,'Australia Plants'!D:D,0)))</f>
        <v>Staxx</v>
      </c>
      <c r="N418" s="10">
        <v>1.0</v>
      </c>
      <c r="O418" s="9">
        <v>2140.0</v>
      </c>
      <c r="P418" s="9">
        <v>1282.92</v>
      </c>
      <c r="Q418" s="47">
        <v>0.15563392142436872</v>
      </c>
      <c r="R418" s="48">
        <f t="shared" si="3"/>
        <v>0.4005046729</v>
      </c>
      <c r="S418" s="49">
        <f t="shared" si="4"/>
        <v>0</v>
      </c>
      <c r="T418" s="49">
        <f t="shared" si="21"/>
        <v>0.1556339214</v>
      </c>
      <c r="U418" s="50" t="str">
        <f t="shared" si="6"/>
        <v>AOP</v>
      </c>
      <c r="V418" s="51">
        <f t="shared" si="28"/>
        <v>199.6658705</v>
      </c>
      <c r="W418" s="52" t="str">
        <f t="shared" si="8"/>
        <v>#DIV/0!</v>
      </c>
      <c r="X418" s="9" t="str">
        <f t="shared" si="25"/>
        <v>#DIV/0!</v>
      </c>
      <c r="Y418" s="8"/>
      <c r="Z418" s="8"/>
      <c r="AA418" s="8"/>
      <c r="AB418" s="8" t="str">
        <f t="shared" si="10"/>
        <v>PAUH39925PC1.5</v>
      </c>
      <c r="AC418" s="8" t="str">
        <f>IF(AB418='Input - Bookings'!S651,"OK","Check")</f>
        <v>Check</v>
      </c>
      <c r="AD418" s="53"/>
      <c r="AE418" s="65"/>
      <c r="AF418" s="65"/>
      <c r="AG418" s="55">
        <f t="shared" si="46"/>
        <v>641.0258258</v>
      </c>
      <c r="AH418" s="55"/>
      <c r="AI418" s="8" t="str">
        <f t="array" ref="AI418">XLOOKUP($J418,'AP Plants'!D:D,'AP Plants'!B:B)</f>
        <v>Class 3</v>
      </c>
      <c r="AJ418" s="56">
        <f>(AG418*'Currency &amp; Conversion'!$L$6)</f>
        <v>954.6156597</v>
      </c>
      <c r="AK418" s="56"/>
      <c r="AL418" s="49">
        <v>0.015</v>
      </c>
      <c r="AM418" s="49">
        <f t="array" ref="AM418">XLOOKUP($AI418,Warranty!B:B,Warranty!E:E)</f>
        <v>0.015</v>
      </c>
      <c r="AN418" s="8">
        <f>IF($L418="AUD",VLOOKUP(RIGHT('Wk - Margins'!$J418,3),'AU Freight'!C:G,5,0),0)</f>
        <v>100</v>
      </c>
      <c r="AO418" s="49">
        <f t="shared" si="11"/>
        <v>0</v>
      </c>
      <c r="AP418" s="63">
        <f t="shared" si="12"/>
        <v>1083.25413</v>
      </c>
      <c r="AQ418" s="58">
        <f t="shared" si="13"/>
        <v>0.1556339214</v>
      </c>
      <c r="AR418" s="59">
        <f>IF(L418="AUD",O418*'Currency &amp; Conversion'!$L$7,'Wk - Margins'!O418)</f>
        <v>1436.967022</v>
      </c>
      <c r="AS418" s="59">
        <f>IF(L418="AUD",P418*'Currency &amp; Conversion'!$L$7,'Wk - Margins'!P418)</f>
        <v>861.4550148</v>
      </c>
    </row>
    <row r="419" ht="12.75" hidden="1" customHeight="1">
      <c r="A419" s="42" t="str">
        <f>'Input - Bookings'!A419</f>
        <v>27/06/2023</v>
      </c>
      <c r="B419" s="43" t="str">
        <f t="shared" si="1"/>
        <v>Australia</v>
      </c>
      <c r="C419" s="43" t="str">
        <f t="shared" si="2"/>
        <v>PAU</v>
      </c>
      <c r="D419" s="43" t="str">
        <f>'Input - Bookings'!D419</f>
        <v>P</v>
      </c>
      <c r="E419" s="43" t="str">
        <f>'Input - Bookings'!J419</f>
        <v>AU</v>
      </c>
      <c r="F419" s="44" t="str">
        <f>'Input - Bookings'!F419</f>
        <v>065</v>
      </c>
      <c r="G419" s="44" t="str">
        <f>'Input - Bookings'!I419</f>
        <v>ADAPT-A-LIFT GROUP (QLD)</v>
      </c>
      <c r="H419" s="45" t="str">
        <f>'Input - Bookings'!K419</f>
        <v>H39926</v>
      </c>
      <c r="I419" s="45" t="str">
        <f>VLOOKUP(H419,'Input - Bookings'!$G$2:$H$611,2,0)</f>
        <v>087575</v>
      </c>
      <c r="J419" s="44" t="str">
        <f>'Input - Bookings'!N419</f>
        <v>A6W9</v>
      </c>
      <c r="K419" s="44" t="str">
        <f>'Input - Bookings'!O419</f>
        <v>PC1.5</v>
      </c>
      <c r="L419" s="44" t="str">
        <f>'Input - Bookings'!C419</f>
        <v>AUD</v>
      </c>
      <c r="M419" s="46" t="str">
        <f t="array" ref="M419">IF(L419="USD",INDEX('AP Plants'!A:A,MATCH(J419,'AP Plants'!D:D,0)),INDEX('Australia Plants'!A:A,MATCH(J419,'Australia Plants'!D:D,0)))</f>
        <v>Staxx</v>
      </c>
      <c r="N419" s="10">
        <v>1.0</v>
      </c>
      <c r="O419" s="9">
        <v>2140.0</v>
      </c>
      <c r="P419" s="9">
        <v>1282.92</v>
      </c>
      <c r="Q419" s="47">
        <v>0.15563392142436872</v>
      </c>
      <c r="R419" s="48">
        <f t="shared" si="3"/>
        <v>0.4005046729</v>
      </c>
      <c r="S419" s="49">
        <f t="shared" si="4"/>
        <v>0</v>
      </c>
      <c r="T419" s="49">
        <f t="shared" si="21"/>
        <v>0.1556339214</v>
      </c>
      <c r="U419" s="50" t="str">
        <f t="shared" si="6"/>
        <v>AOP</v>
      </c>
      <c r="V419" s="51">
        <f t="shared" si="28"/>
        <v>199.6658705</v>
      </c>
      <c r="W419" s="52" t="str">
        <f t="shared" si="8"/>
        <v>#DIV/0!</v>
      </c>
      <c r="X419" s="9" t="str">
        <f t="shared" si="25"/>
        <v>#DIV/0!</v>
      </c>
      <c r="Y419" s="8"/>
      <c r="Z419" s="8"/>
      <c r="AA419" s="8"/>
      <c r="AB419" s="8" t="str">
        <f t="shared" si="10"/>
        <v>PAUH39926PC1.5</v>
      </c>
      <c r="AC419" s="8" t="str">
        <f>IF(AB419='Input - Bookings'!S652,"OK","Check")</f>
        <v>Check</v>
      </c>
      <c r="AD419" s="53"/>
      <c r="AE419" s="65"/>
      <c r="AF419" s="65"/>
      <c r="AG419" s="55">
        <f t="shared" si="46"/>
        <v>641.0258258</v>
      </c>
      <c r="AH419" s="55"/>
      <c r="AI419" s="8" t="str">
        <f t="array" ref="AI419">XLOOKUP($J419,'AP Plants'!D:D,'AP Plants'!B:B)</f>
        <v>Class 3</v>
      </c>
      <c r="AJ419" s="56">
        <f>(AG419*'Currency &amp; Conversion'!$L$6)</f>
        <v>954.6156597</v>
      </c>
      <c r="AK419" s="56"/>
      <c r="AL419" s="49">
        <v>0.015</v>
      </c>
      <c r="AM419" s="49">
        <f t="array" ref="AM419">XLOOKUP($AI419,Warranty!B:B,Warranty!E:E)</f>
        <v>0.015</v>
      </c>
      <c r="AN419" s="8">
        <f>IF($L419="AUD",VLOOKUP(RIGHT('Wk - Margins'!$J419,3),'AU Freight'!C:G,5,0),0)</f>
        <v>100</v>
      </c>
      <c r="AO419" s="49">
        <f t="shared" si="11"/>
        <v>0</v>
      </c>
      <c r="AP419" s="63">
        <f t="shared" si="12"/>
        <v>1083.25413</v>
      </c>
      <c r="AQ419" s="58">
        <f t="shared" si="13"/>
        <v>0.1556339214</v>
      </c>
      <c r="AR419" s="59">
        <f>IF(L419="AUD",O419*'Currency &amp; Conversion'!$L$7,'Wk - Margins'!O419)</f>
        <v>1436.967022</v>
      </c>
      <c r="AS419" s="59">
        <f>IF(L419="AUD",P419*'Currency &amp; Conversion'!$L$7,'Wk - Margins'!P419)</f>
        <v>861.4550148</v>
      </c>
    </row>
    <row r="420" ht="12.75" hidden="1" customHeight="1">
      <c r="A420" s="42" t="str">
        <f>'Input - Bookings'!A420</f>
        <v>27/06/2023</v>
      </c>
      <c r="B420" s="43" t="str">
        <f t="shared" si="1"/>
        <v>Australia</v>
      </c>
      <c r="C420" s="43" t="str">
        <f t="shared" si="2"/>
        <v>PAU</v>
      </c>
      <c r="D420" s="43" t="str">
        <f>'Input - Bookings'!D420</f>
        <v>P</v>
      </c>
      <c r="E420" s="43" t="str">
        <f>'Input - Bookings'!J420</f>
        <v>AU</v>
      </c>
      <c r="F420" s="44" t="str">
        <f>'Input - Bookings'!F420</f>
        <v>065</v>
      </c>
      <c r="G420" s="44" t="str">
        <f>'Input - Bookings'!I420</f>
        <v>ADAPT-A-LIFT GROUP (QLD)</v>
      </c>
      <c r="H420" s="45" t="str">
        <f>'Input - Bookings'!K420</f>
        <v>H39927</v>
      </c>
      <c r="I420" s="45" t="str">
        <f>VLOOKUP(H420,'Input - Bookings'!$G$2:$H$611,2,0)</f>
        <v>087575</v>
      </c>
      <c r="J420" s="44" t="str">
        <f>'Input - Bookings'!N420</f>
        <v>A6W9</v>
      </c>
      <c r="K420" s="44" t="str">
        <f>'Input - Bookings'!O420</f>
        <v>PC1.5</v>
      </c>
      <c r="L420" s="44" t="str">
        <f>'Input - Bookings'!C420</f>
        <v>AUD</v>
      </c>
      <c r="M420" s="46" t="str">
        <f t="array" ref="M420">IF(L420="USD",INDEX('AP Plants'!A:A,MATCH(J420,'AP Plants'!D:D,0)),INDEX('Australia Plants'!A:A,MATCH(J420,'Australia Plants'!D:D,0)))</f>
        <v>Staxx</v>
      </c>
      <c r="N420" s="10">
        <v>1.0</v>
      </c>
      <c r="O420" s="9">
        <v>2140.0</v>
      </c>
      <c r="P420" s="9">
        <v>1282.92</v>
      </c>
      <c r="Q420" s="47">
        <v>0.15563392142436872</v>
      </c>
      <c r="R420" s="48">
        <f t="shared" si="3"/>
        <v>0.4005046729</v>
      </c>
      <c r="S420" s="49">
        <f t="shared" si="4"/>
        <v>0</v>
      </c>
      <c r="T420" s="49">
        <f t="shared" si="21"/>
        <v>0.1556339214</v>
      </c>
      <c r="U420" s="50" t="str">
        <f t="shared" si="6"/>
        <v>AOP</v>
      </c>
      <c r="V420" s="51">
        <f t="shared" si="28"/>
        <v>199.6658705</v>
      </c>
      <c r="W420" s="52" t="str">
        <f t="shared" si="8"/>
        <v>#DIV/0!</v>
      </c>
      <c r="X420" s="9" t="str">
        <f t="shared" si="25"/>
        <v>#DIV/0!</v>
      </c>
      <c r="Y420" s="8"/>
      <c r="Z420" s="8"/>
      <c r="AA420" s="8"/>
      <c r="AB420" s="8" t="str">
        <f t="shared" si="10"/>
        <v>PAUH39927PC1.5</v>
      </c>
      <c r="AC420" s="8" t="str">
        <f>IF(AB420='Input - Bookings'!S653,"OK","Check")</f>
        <v>Check</v>
      </c>
      <c r="AD420" s="53"/>
      <c r="AE420" s="65"/>
      <c r="AF420" s="65"/>
      <c r="AG420" s="55">
        <f t="shared" si="46"/>
        <v>641.0258258</v>
      </c>
      <c r="AH420" s="55"/>
      <c r="AI420" s="8" t="str">
        <f t="array" ref="AI420">XLOOKUP($J420,'AP Plants'!D:D,'AP Plants'!B:B)</f>
        <v>Class 3</v>
      </c>
      <c r="AJ420" s="56">
        <f>(AG420*'Currency &amp; Conversion'!$L$6)</f>
        <v>954.6156597</v>
      </c>
      <c r="AK420" s="56"/>
      <c r="AL420" s="49">
        <v>0.015</v>
      </c>
      <c r="AM420" s="49">
        <f t="array" ref="AM420">XLOOKUP($AI420,Warranty!B:B,Warranty!E:E)</f>
        <v>0.015</v>
      </c>
      <c r="AN420" s="8">
        <f>IF($L420="AUD",VLOOKUP(RIGHT('Wk - Margins'!$J420,3),'AU Freight'!C:G,5,0),0)</f>
        <v>100</v>
      </c>
      <c r="AO420" s="49">
        <f t="shared" si="11"/>
        <v>0</v>
      </c>
      <c r="AP420" s="63">
        <f t="shared" si="12"/>
        <v>1083.25413</v>
      </c>
      <c r="AQ420" s="58">
        <f t="shared" si="13"/>
        <v>0.1556339214</v>
      </c>
      <c r="AR420" s="59">
        <f>IF(L420="AUD",O420*'Currency &amp; Conversion'!$L$7,'Wk - Margins'!O420)</f>
        <v>1436.967022</v>
      </c>
      <c r="AS420" s="59">
        <f>IF(L420="AUD",P420*'Currency &amp; Conversion'!$L$7,'Wk - Margins'!P420)</f>
        <v>861.4550148</v>
      </c>
    </row>
    <row r="421" ht="12.75" hidden="1" customHeight="1">
      <c r="A421" s="42" t="str">
        <f>'Input - Bookings'!A421</f>
        <v>27/06/2023</v>
      </c>
      <c r="B421" s="43" t="str">
        <f t="shared" si="1"/>
        <v>Australia</v>
      </c>
      <c r="C421" s="43" t="str">
        <f t="shared" si="2"/>
        <v>PAU</v>
      </c>
      <c r="D421" s="43" t="str">
        <f>'Input - Bookings'!D421</f>
        <v>P</v>
      </c>
      <c r="E421" s="43" t="str">
        <f>'Input - Bookings'!J421</f>
        <v>AU</v>
      </c>
      <c r="F421" s="44" t="str">
        <f>'Input - Bookings'!F421</f>
        <v>065</v>
      </c>
      <c r="G421" s="44" t="str">
        <f>'Input - Bookings'!I421</f>
        <v>ADAPT-A-LIFT GROUP (QLD)</v>
      </c>
      <c r="H421" s="45" t="str">
        <f>'Input - Bookings'!K421</f>
        <v>H39928</v>
      </c>
      <c r="I421" s="45" t="str">
        <f>VLOOKUP(H421,'Input - Bookings'!$G$2:$H$611,2,0)</f>
        <v>087575</v>
      </c>
      <c r="J421" s="44" t="str">
        <f>'Input - Bookings'!N421</f>
        <v>A6W9</v>
      </c>
      <c r="K421" s="44" t="str">
        <f>'Input - Bookings'!O421</f>
        <v>PC1.5</v>
      </c>
      <c r="L421" s="44" t="str">
        <f>'Input - Bookings'!C421</f>
        <v>AUD</v>
      </c>
      <c r="M421" s="46" t="str">
        <f t="array" ref="M421">IF(L421="USD",INDEX('AP Plants'!A:A,MATCH(J421,'AP Plants'!D:D,0)),INDEX('Australia Plants'!A:A,MATCH(J421,'Australia Plants'!D:D,0)))</f>
        <v>Staxx</v>
      </c>
      <c r="N421" s="10">
        <v>1.0</v>
      </c>
      <c r="O421" s="9">
        <v>2140.0</v>
      </c>
      <c r="P421" s="9">
        <v>1282.92</v>
      </c>
      <c r="Q421" s="47">
        <v>0.15563392142436872</v>
      </c>
      <c r="R421" s="48">
        <f t="shared" si="3"/>
        <v>0.4005046729</v>
      </c>
      <c r="S421" s="49">
        <f t="shared" si="4"/>
        <v>0</v>
      </c>
      <c r="T421" s="49">
        <f t="shared" si="21"/>
        <v>0.1556339214</v>
      </c>
      <c r="U421" s="50" t="str">
        <f t="shared" si="6"/>
        <v>AOP</v>
      </c>
      <c r="V421" s="51">
        <f t="shared" si="28"/>
        <v>199.6658705</v>
      </c>
      <c r="W421" s="52" t="str">
        <f t="shared" si="8"/>
        <v>#DIV/0!</v>
      </c>
      <c r="X421" s="9" t="str">
        <f t="shared" si="25"/>
        <v>#DIV/0!</v>
      </c>
      <c r="Y421" s="8"/>
      <c r="Z421" s="8"/>
      <c r="AA421" s="8"/>
      <c r="AB421" s="8" t="str">
        <f t="shared" si="10"/>
        <v>PAUH39928PC1.5</v>
      </c>
      <c r="AC421" s="8" t="str">
        <f>IF(AB421='Input - Bookings'!S654,"OK","Check")</f>
        <v>Check</v>
      </c>
      <c r="AD421" s="53"/>
      <c r="AE421" s="65"/>
      <c r="AF421" s="65"/>
      <c r="AG421" s="55">
        <f t="shared" si="46"/>
        <v>641.0258258</v>
      </c>
      <c r="AH421" s="55"/>
      <c r="AI421" s="8" t="str">
        <f t="array" ref="AI421">XLOOKUP($J421,'AP Plants'!D:D,'AP Plants'!B:B)</f>
        <v>Class 3</v>
      </c>
      <c r="AJ421" s="56">
        <f>(AG421*'Currency &amp; Conversion'!$L$6)</f>
        <v>954.6156597</v>
      </c>
      <c r="AK421" s="56"/>
      <c r="AL421" s="49">
        <v>0.015</v>
      </c>
      <c r="AM421" s="49">
        <f t="array" ref="AM421">XLOOKUP($AI421,Warranty!B:B,Warranty!E:E)</f>
        <v>0.015</v>
      </c>
      <c r="AN421" s="8">
        <f>IF($L421="AUD",VLOOKUP(RIGHT('Wk - Margins'!$J421,3),'AU Freight'!C:G,5,0),0)</f>
        <v>100</v>
      </c>
      <c r="AO421" s="49">
        <f t="shared" si="11"/>
        <v>0</v>
      </c>
      <c r="AP421" s="63">
        <f t="shared" si="12"/>
        <v>1083.25413</v>
      </c>
      <c r="AQ421" s="58">
        <f t="shared" si="13"/>
        <v>0.1556339214</v>
      </c>
      <c r="AR421" s="59">
        <f>IF(L421="AUD",O421*'Currency &amp; Conversion'!$L$7,'Wk - Margins'!O421)</f>
        <v>1436.967022</v>
      </c>
      <c r="AS421" s="59">
        <f>IF(L421="AUD",P421*'Currency &amp; Conversion'!$L$7,'Wk - Margins'!P421)</f>
        <v>861.4550148</v>
      </c>
    </row>
    <row r="422" ht="12.75" hidden="1" customHeight="1">
      <c r="A422" s="42" t="str">
        <f>'Input - Bookings'!A422</f>
        <v>27/06/2023</v>
      </c>
      <c r="B422" s="43" t="str">
        <f t="shared" si="1"/>
        <v>Australia</v>
      </c>
      <c r="C422" s="43" t="str">
        <f t="shared" si="2"/>
        <v>PAU</v>
      </c>
      <c r="D422" s="43" t="str">
        <f>'Input - Bookings'!D422</f>
        <v>P</v>
      </c>
      <c r="E422" s="43" t="str">
        <f>'Input - Bookings'!J422</f>
        <v>AU</v>
      </c>
      <c r="F422" s="44" t="str">
        <f>'Input - Bookings'!F422</f>
        <v>065</v>
      </c>
      <c r="G422" s="44" t="str">
        <f>'Input - Bookings'!I422</f>
        <v>ADAPT-A-LIFT GROUP (QLD)</v>
      </c>
      <c r="H422" s="45" t="str">
        <f>'Input - Bookings'!K422</f>
        <v>H39929</v>
      </c>
      <c r="I422" s="45" t="str">
        <f>VLOOKUP(H422,'Input - Bookings'!$G$2:$H$611,2,0)</f>
        <v>087575</v>
      </c>
      <c r="J422" s="44" t="str">
        <f>'Input - Bookings'!N422</f>
        <v>A6W9</v>
      </c>
      <c r="K422" s="44" t="str">
        <f>'Input - Bookings'!O422</f>
        <v>PC1.5</v>
      </c>
      <c r="L422" s="44" t="str">
        <f>'Input - Bookings'!C422</f>
        <v>AUD</v>
      </c>
      <c r="M422" s="46" t="str">
        <f t="array" ref="M422">IF(L422="USD",INDEX('AP Plants'!A:A,MATCH(J422,'AP Plants'!D:D,0)),INDEX('Australia Plants'!A:A,MATCH(J422,'Australia Plants'!D:D,0)))</f>
        <v>Staxx</v>
      </c>
      <c r="N422" s="10">
        <v>1.0</v>
      </c>
      <c r="O422" s="9">
        <v>2140.0</v>
      </c>
      <c r="P422" s="9">
        <v>1282.92</v>
      </c>
      <c r="Q422" s="47">
        <v>0.15563392142436872</v>
      </c>
      <c r="R422" s="48">
        <f t="shared" si="3"/>
        <v>0.4005046729</v>
      </c>
      <c r="S422" s="49">
        <f t="shared" si="4"/>
        <v>0</v>
      </c>
      <c r="T422" s="49">
        <f t="shared" si="21"/>
        <v>0.1556339214</v>
      </c>
      <c r="U422" s="50" t="str">
        <f t="shared" si="6"/>
        <v>AOP</v>
      </c>
      <c r="V422" s="51">
        <f t="shared" si="28"/>
        <v>199.6658705</v>
      </c>
      <c r="W422" s="52" t="str">
        <f t="shared" si="8"/>
        <v>#DIV/0!</v>
      </c>
      <c r="X422" s="9" t="str">
        <f t="shared" si="25"/>
        <v>#DIV/0!</v>
      </c>
      <c r="Y422" s="8"/>
      <c r="Z422" s="8"/>
      <c r="AA422" s="8"/>
      <c r="AB422" s="8" t="str">
        <f t="shared" si="10"/>
        <v>PAUH39929PC1.5</v>
      </c>
      <c r="AC422" s="8" t="str">
        <f>IF(AB422='Input - Bookings'!S655,"OK","Check")</f>
        <v>Check</v>
      </c>
      <c r="AD422" s="53"/>
      <c r="AE422" s="65"/>
      <c r="AF422" s="65"/>
      <c r="AG422" s="55">
        <f t="shared" si="46"/>
        <v>641.0258258</v>
      </c>
      <c r="AH422" s="55"/>
      <c r="AI422" s="8" t="str">
        <f t="array" ref="AI422">XLOOKUP($J422,'AP Plants'!D:D,'AP Plants'!B:B)</f>
        <v>Class 3</v>
      </c>
      <c r="AJ422" s="56">
        <f>(AG422*'Currency &amp; Conversion'!$L$6)</f>
        <v>954.6156597</v>
      </c>
      <c r="AK422" s="56"/>
      <c r="AL422" s="49">
        <v>0.015</v>
      </c>
      <c r="AM422" s="49">
        <f t="array" ref="AM422">XLOOKUP($AI422,Warranty!B:B,Warranty!E:E)</f>
        <v>0.015</v>
      </c>
      <c r="AN422" s="8">
        <f>IF($L422="AUD",VLOOKUP(RIGHT('Wk - Margins'!$J422,3),'AU Freight'!C:G,5,0),0)</f>
        <v>100</v>
      </c>
      <c r="AO422" s="49">
        <f t="shared" si="11"/>
        <v>0</v>
      </c>
      <c r="AP422" s="63">
        <f t="shared" si="12"/>
        <v>1083.25413</v>
      </c>
      <c r="AQ422" s="58">
        <f t="shared" si="13"/>
        <v>0.1556339214</v>
      </c>
      <c r="AR422" s="59">
        <f>IF(L422="AUD",O422*'Currency &amp; Conversion'!$L$7,'Wk - Margins'!O422)</f>
        <v>1436.967022</v>
      </c>
      <c r="AS422" s="59">
        <f>IF(L422="AUD",P422*'Currency &amp; Conversion'!$L$7,'Wk - Margins'!P422)</f>
        <v>861.4550148</v>
      </c>
    </row>
    <row r="423" ht="12.75" hidden="1" customHeight="1">
      <c r="A423" s="42" t="str">
        <f>'Input - Bookings'!A423</f>
        <v>27/06/2023</v>
      </c>
      <c r="B423" s="43" t="str">
        <f t="shared" si="1"/>
        <v>Australia</v>
      </c>
      <c r="C423" s="43" t="str">
        <f t="shared" si="2"/>
        <v>PAU</v>
      </c>
      <c r="D423" s="43" t="str">
        <f>'Input - Bookings'!D423</f>
        <v>P</v>
      </c>
      <c r="E423" s="43" t="str">
        <f>'Input - Bookings'!J423</f>
        <v>AU</v>
      </c>
      <c r="F423" s="44" t="str">
        <f>'Input - Bookings'!F423</f>
        <v>065</v>
      </c>
      <c r="G423" s="44" t="str">
        <f>'Input - Bookings'!I423</f>
        <v>ADAPT-A-LIFT GROUP (QLD)</v>
      </c>
      <c r="H423" s="45" t="str">
        <f>'Input - Bookings'!K423</f>
        <v>H39930</v>
      </c>
      <c r="I423" s="45" t="str">
        <f>VLOOKUP(H423,'Input - Bookings'!$G$2:$H$611,2,0)</f>
        <v>087575</v>
      </c>
      <c r="J423" s="44" t="str">
        <f>'Input - Bookings'!N423</f>
        <v>A6W9</v>
      </c>
      <c r="K423" s="44" t="str">
        <f>'Input - Bookings'!O423</f>
        <v>PC1.5</v>
      </c>
      <c r="L423" s="44" t="str">
        <f>'Input - Bookings'!C423</f>
        <v>AUD</v>
      </c>
      <c r="M423" s="46" t="str">
        <f t="array" ref="M423">IF(L423="USD",INDEX('AP Plants'!A:A,MATCH(J423,'AP Plants'!D:D,0)),INDEX('Australia Plants'!A:A,MATCH(J423,'Australia Plants'!D:D,0)))</f>
        <v>Staxx</v>
      </c>
      <c r="N423" s="10">
        <v>1.0</v>
      </c>
      <c r="O423" s="9">
        <v>2140.0</v>
      </c>
      <c r="P423" s="9">
        <v>1282.92</v>
      </c>
      <c r="Q423" s="47">
        <v>0.15563392142436872</v>
      </c>
      <c r="R423" s="48">
        <f t="shared" si="3"/>
        <v>0.4005046729</v>
      </c>
      <c r="S423" s="49">
        <f t="shared" si="4"/>
        <v>0</v>
      </c>
      <c r="T423" s="49">
        <f t="shared" si="21"/>
        <v>0.1556339214</v>
      </c>
      <c r="U423" s="50" t="str">
        <f t="shared" si="6"/>
        <v>AOP</v>
      </c>
      <c r="V423" s="51">
        <f t="shared" si="28"/>
        <v>199.6658705</v>
      </c>
      <c r="W423" s="52" t="str">
        <f t="shared" si="8"/>
        <v>#DIV/0!</v>
      </c>
      <c r="X423" s="9" t="str">
        <f t="shared" si="25"/>
        <v>#DIV/0!</v>
      </c>
      <c r="Y423" s="8"/>
      <c r="Z423" s="8"/>
      <c r="AA423" s="8"/>
      <c r="AB423" s="8" t="str">
        <f t="shared" si="10"/>
        <v>PAUH39930PC1.5</v>
      </c>
      <c r="AC423" s="8" t="str">
        <f>IF(AB423='Input - Bookings'!S656,"OK","Check")</f>
        <v>Check</v>
      </c>
      <c r="AD423" s="53"/>
      <c r="AE423" s="65"/>
      <c r="AF423" s="65"/>
      <c r="AG423" s="55">
        <f t="shared" si="46"/>
        <v>641.0258258</v>
      </c>
      <c r="AH423" s="55"/>
      <c r="AI423" s="8" t="str">
        <f t="array" ref="AI423">XLOOKUP($J423,'AP Plants'!D:D,'AP Plants'!B:B)</f>
        <v>Class 3</v>
      </c>
      <c r="AJ423" s="56">
        <f>(AG423*'Currency &amp; Conversion'!$L$6)</f>
        <v>954.6156597</v>
      </c>
      <c r="AK423" s="56"/>
      <c r="AL423" s="49">
        <v>0.015</v>
      </c>
      <c r="AM423" s="49">
        <f t="array" ref="AM423">XLOOKUP($AI423,Warranty!B:B,Warranty!E:E)</f>
        <v>0.015</v>
      </c>
      <c r="AN423" s="8">
        <f>IF($L423="AUD",VLOOKUP(RIGHT('Wk - Margins'!$J423,3),'AU Freight'!C:G,5,0),0)</f>
        <v>100</v>
      </c>
      <c r="AO423" s="49">
        <f t="shared" si="11"/>
        <v>0</v>
      </c>
      <c r="AP423" s="63">
        <f t="shared" si="12"/>
        <v>1083.25413</v>
      </c>
      <c r="AQ423" s="58">
        <f t="shared" si="13"/>
        <v>0.1556339214</v>
      </c>
      <c r="AR423" s="59">
        <f>IF(L423="AUD",O423*'Currency &amp; Conversion'!$L$7,'Wk - Margins'!O423)</f>
        <v>1436.967022</v>
      </c>
      <c r="AS423" s="59">
        <f>IF(L423="AUD",P423*'Currency &amp; Conversion'!$L$7,'Wk - Margins'!P423)</f>
        <v>861.4550148</v>
      </c>
    </row>
    <row r="424" ht="12.75" hidden="1" customHeight="1">
      <c r="A424" s="42" t="str">
        <f>'Input - Bookings'!A424</f>
        <v>27/06/2023</v>
      </c>
      <c r="B424" s="43" t="str">
        <f t="shared" si="1"/>
        <v>Australia</v>
      </c>
      <c r="C424" s="43" t="str">
        <f t="shared" si="2"/>
        <v>PAU</v>
      </c>
      <c r="D424" s="43" t="str">
        <f>'Input - Bookings'!D424</f>
        <v>P</v>
      </c>
      <c r="E424" s="43" t="str">
        <f>'Input - Bookings'!J424</f>
        <v>AU</v>
      </c>
      <c r="F424" s="44" t="str">
        <f>'Input - Bookings'!F424</f>
        <v>065</v>
      </c>
      <c r="G424" s="44" t="str">
        <f>'Input - Bookings'!I424</f>
        <v>ADAPT-A-LIFT GROUP (QLD)</v>
      </c>
      <c r="H424" s="45" t="str">
        <f>'Input - Bookings'!K424</f>
        <v>H39931</v>
      </c>
      <c r="I424" s="45" t="str">
        <f>VLOOKUP(H424,'Input - Bookings'!$G$2:$H$611,2,0)</f>
        <v>087575</v>
      </c>
      <c r="J424" s="44" t="str">
        <f>'Input - Bookings'!N424</f>
        <v>A6W9</v>
      </c>
      <c r="K424" s="44" t="str">
        <f>'Input - Bookings'!O424</f>
        <v>PC1.5</v>
      </c>
      <c r="L424" s="44" t="str">
        <f>'Input - Bookings'!C424</f>
        <v>AUD</v>
      </c>
      <c r="M424" s="46" t="str">
        <f t="array" ref="M424">IF(L424="USD",INDEX('AP Plants'!A:A,MATCH(J424,'AP Plants'!D:D,0)),INDEX('Australia Plants'!A:A,MATCH(J424,'Australia Plants'!D:D,0)))</f>
        <v>Staxx</v>
      </c>
      <c r="N424" s="10">
        <v>1.0</v>
      </c>
      <c r="O424" s="9">
        <v>2140.0</v>
      </c>
      <c r="P424" s="9">
        <v>1282.92</v>
      </c>
      <c r="Q424" s="47">
        <v>0.15563392142436872</v>
      </c>
      <c r="R424" s="48">
        <f t="shared" si="3"/>
        <v>0.4005046729</v>
      </c>
      <c r="S424" s="49">
        <f t="shared" si="4"/>
        <v>0</v>
      </c>
      <c r="T424" s="49">
        <f t="shared" si="21"/>
        <v>0.1556339214</v>
      </c>
      <c r="U424" s="50" t="str">
        <f t="shared" si="6"/>
        <v>AOP</v>
      </c>
      <c r="V424" s="51">
        <f t="shared" si="28"/>
        <v>199.6658705</v>
      </c>
      <c r="W424" s="52" t="str">
        <f t="shared" si="8"/>
        <v>#DIV/0!</v>
      </c>
      <c r="X424" s="9" t="str">
        <f t="shared" si="25"/>
        <v>#DIV/0!</v>
      </c>
      <c r="Y424" s="8"/>
      <c r="Z424" s="8"/>
      <c r="AA424" s="8"/>
      <c r="AB424" s="8" t="str">
        <f t="shared" si="10"/>
        <v>PAUH39931PC1.5</v>
      </c>
      <c r="AC424" s="8" t="str">
        <f>IF(AB424='Input - Bookings'!S657,"OK","Check")</f>
        <v>Check</v>
      </c>
      <c r="AD424" s="53"/>
      <c r="AE424" s="65"/>
      <c r="AF424" s="65"/>
      <c r="AG424" s="55">
        <f t="shared" si="46"/>
        <v>641.0258258</v>
      </c>
      <c r="AH424" s="55"/>
      <c r="AI424" s="8" t="str">
        <f t="array" ref="AI424">XLOOKUP($J424,'AP Plants'!D:D,'AP Plants'!B:B)</f>
        <v>Class 3</v>
      </c>
      <c r="AJ424" s="56">
        <f>(AG424*'Currency &amp; Conversion'!$L$6)</f>
        <v>954.6156597</v>
      </c>
      <c r="AK424" s="56"/>
      <c r="AL424" s="49">
        <v>0.015</v>
      </c>
      <c r="AM424" s="49">
        <f t="array" ref="AM424">XLOOKUP($AI424,Warranty!B:B,Warranty!E:E)</f>
        <v>0.015</v>
      </c>
      <c r="AN424" s="8">
        <f>IF($L424="AUD",VLOOKUP(RIGHT('Wk - Margins'!$J424,3),'AU Freight'!C:G,5,0),0)</f>
        <v>100</v>
      </c>
      <c r="AO424" s="49">
        <f t="shared" si="11"/>
        <v>0</v>
      </c>
      <c r="AP424" s="63">
        <f t="shared" si="12"/>
        <v>1083.25413</v>
      </c>
      <c r="AQ424" s="58">
        <f t="shared" si="13"/>
        <v>0.1556339214</v>
      </c>
      <c r="AR424" s="59">
        <f>IF(L424="AUD",O424*'Currency &amp; Conversion'!$L$7,'Wk - Margins'!O424)</f>
        <v>1436.967022</v>
      </c>
      <c r="AS424" s="59">
        <f>IF(L424="AUD",P424*'Currency &amp; Conversion'!$L$7,'Wk - Margins'!P424)</f>
        <v>861.4550148</v>
      </c>
    </row>
    <row r="425" ht="12.75" hidden="1" customHeight="1">
      <c r="A425" s="42" t="str">
        <f>'Input - Bookings'!A425</f>
        <v>27/06/2023</v>
      </c>
      <c r="B425" s="43" t="str">
        <f t="shared" si="1"/>
        <v>Australia</v>
      </c>
      <c r="C425" s="43" t="str">
        <f t="shared" si="2"/>
        <v>PAU</v>
      </c>
      <c r="D425" s="43" t="str">
        <f>'Input - Bookings'!D425</f>
        <v>P</v>
      </c>
      <c r="E425" s="43" t="str">
        <f>'Input - Bookings'!J425</f>
        <v>AU</v>
      </c>
      <c r="F425" s="44" t="str">
        <f>'Input - Bookings'!F425</f>
        <v>065</v>
      </c>
      <c r="G425" s="44" t="str">
        <f>'Input - Bookings'!I425</f>
        <v>ADAPT-A-LIFT GROUP (QLD)</v>
      </c>
      <c r="H425" s="45" t="str">
        <f>'Input - Bookings'!K425</f>
        <v>H39932</v>
      </c>
      <c r="I425" s="45" t="str">
        <f>VLOOKUP(H425,'Input - Bookings'!$G$2:$H$611,2,0)</f>
        <v>087575</v>
      </c>
      <c r="J425" s="44" t="str">
        <f>'Input - Bookings'!N425</f>
        <v>A6W9</v>
      </c>
      <c r="K425" s="44" t="str">
        <f>'Input - Bookings'!O425</f>
        <v>PC1.5</v>
      </c>
      <c r="L425" s="44" t="str">
        <f>'Input - Bookings'!C425</f>
        <v>AUD</v>
      </c>
      <c r="M425" s="46" t="str">
        <f t="array" ref="M425">IF(L425="USD",INDEX('AP Plants'!A:A,MATCH(J425,'AP Plants'!D:D,0)),INDEX('Australia Plants'!A:A,MATCH(J425,'Australia Plants'!D:D,0)))</f>
        <v>Staxx</v>
      </c>
      <c r="N425" s="10">
        <v>1.0</v>
      </c>
      <c r="O425" s="9">
        <v>2140.0</v>
      </c>
      <c r="P425" s="9">
        <v>1282.92</v>
      </c>
      <c r="Q425" s="47">
        <v>0.15563392142436872</v>
      </c>
      <c r="R425" s="48">
        <f t="shared" si="3"/>
        <v>0.4005046729</v>
      </c>
      <c r="S425" s="49">
        <f t="shared" si="4"/>
        <v>0</v>
      </c>
      <c r="T425" s="49">
        <f t="shared" si="21"/>
        <v>0.1556339214</v>
      </c>
      <c r="U425" s="50" t="str">
        <f t="shared" si="6"/>
        <v>AOP</v>
      </c>
      <c r="V425" s="51">
        <f t="shared" si="28"/>
        <v>199.6658705</v>
      </c>
      <c r="W425" s="52" t="str">
        <f t="shared" si="8"/>
        <v>#DIV/0!</v>
      </c>
      <c r="X425" s="9" t="str">
        <f t="shared" si="25"/>
        <v>#DIV/0!</v>
      </c>
      <c r="Y425" s="8"/>
      <c r="Z425" s="8"/>
      <c r="AA425" s="8"/>
      <c r="AB425" s="8" t="str">
        <f t="shared" si="10"/>
        <v>PAUH39932PC1.5</v>
      </c>
      <c r="AC425" s="8" t="str">
        <f>IF(AB425='Input - Bookings'!S658,"OK","Check")</f>
        <v>Check</v>
      </c>
      <c r="AD425" s="53"/>
      <c r="AE425" s="65"/>
      <c r="AF425" s="65"/>
      <c r="AG425" s="55">
        <f t="shared" si="46"/>
        <v>641.0258258</v>
      </c>
      <c r="AH425" s="55"/>
      <c r="AI425" s="8" t="str">
        <f t="array" ref="AI425">XLOOKUP($J425,'AP Plants'!D:D,'AP Plants'!B:B)</f>
        <v>Class 3</v>
      </c>
      <c r="AJ425" s="56">
        <f>(AG425*'Currency &amp; Conversion'!$L$6)</f>
        <v>954.6156597</v>
      </c>
      <c r="AK425" s="56"/>
      <c r="AL425" s="49">
        <v>0.015</v>
      </c>
      <c r="AM425" s="49">
        <f t="array" ref="AM425">XLOOKUP($AI425,Warranty!B:B,Warranty!E:E)</f>
        <v>0.015</v>
      </c>
      <c r="AN425" s="8">
        <f>IF($L425="AUD",VLOOKUP(RIGHT('Wk - Margins'!$J425,3),'AU Freight'!C:G,5,0),0)</f>
        <v>100</v>
      </c>
      <c r="AO425" s="49">
        <f t="shared" si="11"/>
        <v>0</v>
      </c>
      <c r="AP425" s="63">
        <f t="shared" si="12"/>
        <v>1083.25413</v>
      </c>
      <c r="AQ425" s="58">
        <f t="shared" si="13"/>
        <v>0.1556339214</v>
      </c>
      <c r="AR425" s="59">
        <f>IF(L425="AUD",O425*'Currency &amp; Conversion'!$L$7,'Wk - Margins'!O425)</f>
        <v>1436.967022</v>
      </c>
      <c r="AS425" s="59">
        <f>IF(L425="AUD",P425*'Currency &amp; Conversion'!$L$7,'Wk - Margins'!P425)</f>
        <v>861.4550148</v>
      </c>
    </row>
    <row r="426" ht="12.75" hidden="1" customHeight="1">
      <c r="A426" s="42" t="str">
        <f>'Input - Bookings'!A426</f>
        <v>27/06/2023</v>
      </c>
      <c r="B426" s="43" t="str">
        <f t="shared" si="1"/>
        <v>Australia</v>
      </c>
      <c r="C426" s="43" t="str">
        <f t="shared" si="2"/>
        <v>PAU</v>
      </c>
      <c r="D426" s="43" t="str">
        <f>'Input - Bookings'!D426</f>
        <v>P</v>
      </c>
      <c r="E426" s="43" t="str">
        <f>'Input - Bookings'!J426</f>
        <v>AU</v>
      </c>
      <c r="F426" s="44" t="str">
        <f>'Input - Bookings'!F426</f>
        <v>065</v>
      </c>
      <c r="G426" s="44" t="str">
        <f>'Input - Bookings'!I426</f>
        <v>ADAPT-A-LIFT GROUP (VIC)</v>
      </c>
      <c r="H426" s="45" t="str">
        <f>'Input - Bookings'!K426</f>
        <v>H39963</v>
      </c>
      <c r="I426" s="45" t="str">
        <f>VLOOKUP(H426,'Input - Bookings'!$G$2:$H$611,2,0)</f>
        <v>087565</v>
      </c>
      <c r="J426" s="44" t="str">
        <f>'Input - Bookings'!N426</f>
        <v>A6W9</v>
      </c>
      <c r="K426" s="44" t="str">
        <f>'Input - Bookings'!O426</f>
        <v>PC1.5</v>
      </c>
      <c r="L426" s="44" t="str">
        <f>'Input - Bookings'!C426</f>
        <v>AUD</v>
      </c>
      <c r="M426" s="46" t="str">
        <f t="array" ref="M426">IF(L426="USD",INDEX('AP Plants'!A:A,MATCH(J426,'AP Plants'!D:D,0)),INDEX('Australia Plants'!A:A,MATCH(J426,'Australia Plants'!D:D,0)))</f>
        <v>Staxx</v>
      </c>
      <c r="N426" s="10">
        <v>1.0</v>
      </c>
      <c r="O426" s="9">
        <v>2140.0</v>
      </c>
      <c r="P426" s="9">
        <v>1282.92</v>
      </c>
      <c r="Q426" s="47">
        <v>0.15563392142436872</v>
      </c>
      <c r="R426" s="48">
        <f t="shared" si="3"/>
        <v>0.4005046729</v>
      </c>
      <c r="S426" s="49">
        <f t="shared" si="4"/>
        <v>0</v>
      </c>
      <c r="T426" s="49">
        <f t="shared" si="21"/>
        <v>0.1556339214</v>
      </c>
      <c r="U426" s="50" t="str">
        <f t="shared" si="6"/>
        <v>AOP</v>
      </c>
      <c r="V426" s="51">
        <f t="shared" si="28"/>
        <v>199.6658705</v>
      </c>
      <c r="W426" s="52" t="str">
        <f t="shared" si="8"/>
        <v>#DIV/0!</v>
      </c>
      <c r="X426" s="9" t="str">
        <f t="shared" si="25"/>
        <v>#DIV/0!</v>
      </c>
      <c r="Y426" s="8"/>
      <c r="Z426" s="8"/>
      <c r="AA426" s="8"/>
      <c r="AB426" s="8" t="str">
        <f t="shared" si="10"/>
        <v>PAUH39963PC1.5</v>
      </c>
      <c r="AC426" s="8" t="str">
        <f>IF(AB426='Input - Bookings'!S659,"OK","Check")</f>
        <v>Check</v>
      </c>
      <c r="AD426" s="53"/>
      <c r="AE426" s="65"/>
      <c r="AF426" s="65"/>
      <c r="AG426" s="55">
        <f t="shared" si="46"/>
        <v>641.0258258</v>
      </c>
      <c r="AH426" s="55"/>
      <c r="AI426" s="8" t="str">
        <f t="array" ref="AI426">XLOOKUP($J426,'AP Plants'!D:D,'AP Plants'!B:B)</f>
        <v>Class 3</v>
      </c>
      <c r="AJ426" s="56">
        <f>(AG426*'Currency &amp; Conversion'!$L$6)</f>
        <v>954.6156597</v>
      </c>
      <c r="AK426" s="56"/>
      <c r="AL426" s="49">
        <v>0.015</v>
      </c>
      <c r="AM426" s="49">
        <f t="array" ref="AM426">XLOOKUP($AI426,Warranty!B:B,Warranty!E:E)</f>
        <v>0.015</v>
      </c>
      <c r="AN426" s="8">
        <f>IF($L426="AUD",VLOOKUP(RIGHT('Wk - Margins'!$J426,3),'AU Freight'!C:G,5,0),0)</f>
        <v>100</v>
      </c>
      <c r="AO426" s="49">
        <f t="shared" si="11"/>
        <v>0</v>
      </c>
      <c r="AP426" s="63">
        <f t="shared" si="12"/>
        <v>1083.25413</v>
      </c>
      <c r="AQ426" s="58">
        <f t="shared" si="13"/>
        <v>0.1556339214</v>
      </c>
      <c r="AR426" s="59">
        <f>IF(L426="AUD",O426*'Currency &amp; Conversion'!$L$7,'Wk - Margins'!O426)</f>
        <v>1436.967022</v>
      </c>
      <c r="AS426" s="59">
        <f>IF(L426="AUD",P426*'Currency &amp; Conversion'!$L$7,'Wk - Margins'!P426)</f>
        <v>861.4550148</v>
      </c>
    </row>
    <row r="427" ht="12.75" hidden="1" customHeight="1">
      <c r="A427" s="42" t="str">
        <f>'Input - Bookings'!A427</f>
        <v>27/06/2023</v>
      </c>
      <c r="B427" s="43" t="str">
        <f t="shared" si="1"/>
        <v>Australia</v>
      </c>
      <c r="C427" s="43" t="str">
        <f t="shared" si="2"/>
        <v>PAU</v>
      </c>
      <c r="D427" s="43" t="str">
        <f>'Input - Bookings'!D427</f>
        <v>P</v>
      </c>
      <c r="E427" s="43" t="str">
        <f>'Input - Bookings'!J427</f>
        <v>AU</v>
      </c>
      <c r="F427" s="44" t="str">
        <f>'Input - Bookings'!F427</f>
        <v>065</v>
      </c>
      <c r="G427" s="44" t="str">
        <f>'Input - Bookings'!I427</f>
        <v>ADAPT-A-LIFT GROUP (VIC)</v>
      </c>
      <c r="H427" s="45" t="str">
        <f>'Input - Bookings'!K427</f>
        <v>H39964</v>
      </c>
      <c r="I427" s="45" t="str">
        <f>VLOOKUP(H427,'Input - Bookings'!$G$2:$H$611,2,0)</f>
        <v>087565</v>
      </c>
      <c r="J427" s="44" t="str">
        <f>'Input - Bookings'!N427</f>
        <v>A6W9</v>
      </c>
      <c r="K427" s="44" t="str">
        <f>'Input - Bookings'!O427</f>
        <v>PC1.5</v>
      </c>
      <c r="L427" s="44" t="str">
        <f>'Input - Bookings'!C427</f>
        <v>AUD</v>
      </c>
      <c r="M427" s="46" t="str">
        <f t="array" ref="M427">IF(L427="USD",INDEX('AP Plants'!A:A,MATCH(J427,'AP Plants'!D:D,0)),INDEX('Australia Plants'!A:A,MATCH(J427,'Australia Plants'!D:D,0)))</f>
        <v>Staxx</v>
      </c>
      <c r="N427" s="10">
        <v>1.0</v>
      </c>
      <c r="O427" s="9">
        <v>2140.0</v>
      </c>
      <c r="P427" s="9">
        <v>1282.92</v>
      </c>
      <c r="Q427" s="47">
        <v>0.15563392142436872</v>
      </c>
      <c r="R427" s="48">
        <f t="shared" si="3"/>
        <v>0.4005046729</v>
      </c>
      <c r="S427" s="49">
        <f t="shared" si="4"/>
        <v>0</v>
      </c>
      <c r="T427" s="49">
        <f t="shared" si="21"/>
        <v>0.1556339214</v>
      </c>
      <c r="U427" s="50" t="str">
        <f t="shared" si="6"/>
        <v>AOP</v>
      </c>
      <c r="V427" s="51">
        <f t="shared" si="28"/>
        <v>199.6658705</v>
      </c>
      <c r="W427" s="52" t="str">
        <f t="shared" si="8"/>
        <v>#DIV/0!</v>
      </c>
      <c r="X427" s="9" t="str">
        <f t="shared" si="25"/>
        <v>#DIV/0!</v>
      </c>
      <c r="Y427" s="8"/>
      <c r="Z427" s="8"/>
      <c r="AA427" s="8"/>
      <c r="AB427" s="8" t="str">
        <f t="shared" si="10"/>
        <v>PAUH39964PC1.5</v>
      </c>
      <c r="AC427" s="8" t="str">
        <f>IF(AB427='Input - Bookings'!S660,"OK","Check")</f>
        <v>Check</v>
      </c>
      <c r="AD427" s="53"/>
      <c r="AE427" s="65"/>
      <c r="AF427" s="65"/>
      <c r="AG427" s="55">
        <f t="shared" si="46"/>
        <v>641.0258258</v>
      </c>
      <c r="AH427" s="55"/>
      <c r="AI427" s="8" t="str">
        <f t="array" ref="AI427">XLOOKUP($J427,'AP Plants'!D:D,'AP Plants'!B:B)</f>
        <v>Class 3</v>
      </c>
      <c r="AJ427" s="56">
        <f>(AG427*'Currency &amp; Conversion'!$L$6)</f>
        <v>954.6156597</v>
      </c>
      <c r="AK427" s="56"/>
      <c r="AL427" s="49">
        <v>0.015</v>
      </c>
      <c r="AM427" s="49">
        <f t="array" ref="AM427">XLOOKUP($AI427,Warranty!B:B,Warranty!E:E)</f>
        <v>0.015</v>
      </c>
      <c r="AN427" s="8">
        <f>IF($L427="AUD",VLOOKUP(RIGHT('Wk - Margins'!$J427,3),'AU Freight'!C:G,5,0),0)</f>
        <v>100</v>
      </c>
      <c r="AO427" s="49">
        <f t="shared" si="11"/>
        <v>0</v>
      </c>
      <c r="AP427" s="63">
        <f t="shared" si="12"/>
        <v>1083.25413</v>
      </c>
      <c r="AQ427" s="58">
        <f t="shared" si="13"/>
        <v>0.1556339214</v>
      </c>
      <c r="AR427" s="59">
        <f>IF(L427="AUD",O427*'Currency &amp; Conversion'!$L$7,'Wk - Margins'!O427)</f>
        <v>1436.967022</v>
      </c>
      <c r="AS427" s="59">
        <f>IF(L427="AUD",P427*'Currency &amp; Conversion'!$L$7,'Wk - Margins'!P427)</f>
        <v>861.4550148</v>
      </c>
    </row>
    <row r="428" ht="12.75" hidden="1" customHeight="1">
      <c r="A428" s="42" t="str">
        <f>'Input - Bookings'!A428</f>
        <v>27/06/2023</v>
      </c>
      <c r="B428" s="43" t="str">
        <f t="shared" si="1"/>
        <v>Australia</v>
      </c>
      <c r="C428" s="43" t="str">
        <f t="shared" si="2"/>
        <v>PAU</v>
      </c>
      <c r="D428" s="43" t="str">
        <f>'Input - Bookings'!D428</f>
        <v>P</v>
      </c>
      <c r="E428" s="43" t="str">
        <f>'Input - Bookings'!J428</f>
        <v>AU</v>
      </c>
      <c r="F428" s="44" t="str">
        <f>'Input - Bookings'!F428</f>
        <v>065</v>
      </c>
      <c r="G428" s="44" t="str">
        <f>'Input - Bookings'!I428</f>
        <v>ADAPT-A-LIFT GROUP (VIC)</v>
      </c>
      <c r="H428" s="45" t="str">
        <f>'Input - Bookings'!K428</f>
        <v>H39965</v>
      </c>
      <c r="I428" s="45" t="str">
        <f>VLOOKUP(H428,'Input - Bookings'!$G$2:$H$611,2,0)</f>
        <v>087565</v>
      </c>
      <c r="J428" s="44" t="str">
        <f>'Input - Bookings'!N428</f>
        <v>A6W9</v>
      </c>
      <c r="K428" s="44" t="str">
        <f>'Input - Bookings'!O428</f>
        <v>PC1.5</v>
      </c>
      <c r="L428" s="44" t="str">
        <f>'Input - Bookings'!C428</f>
        <v>AUD</v>
      </c>
      <c r="M428" s="46" t="str">
        <f t="array" ref="M428">IF(L428="USD",INDEX('AP Plants'!A:A,MATCH(J428,'AP Plants'!D:D,0)),INDEX('Australia Plants'!A:A,MATCH(J428,'Australia Plants'!D:D,0)))</f>
        <v>Staxx</v>
      </c>
      <c r="N428" s="10">
        <v>1.0</v>
      </c>
      <c r="O428" s="9">
        <v>2140.0</v>
      </c>
      <c r="P428" s="9">
        <v>1282.92</v>
      </c>
      <c r="Q428" s="47">
        <v>0.15563392142436872</v>
      </c>
      <c r="R428" s="48">
        <f t="shared" si="3"/>
        <v>0.4005046729</v>
      </c>
      <c r="S428" s="49">
        <f t="shared" si="4"/>
        <v>0</v>
      </c>
      <c r="T428" s="49">
        <f t="shared" si="21"/>
        <v>0.1556339214</v>
      </c>
      <c r="U428" s="50" t="str">
        <f t="shared" si="6"/>
        <v>AOP</v>
      </c>
      <c r="V428" s="51">
        <f t="shared" si="28"/>
        <v>199.6658705</v>
      </c>
      <c r="W428" s="52" t="str">
        <f t="shared" si="8"/>
        <v>#DIV/0!</v>
      </c>
      <c r="X428" s="9" t="str">
        <f t="shared" si="25"/>
        <v>#DIV/0!</v>
      </c>
      <c r="Y428" s="8"/>
      <c r="Z428" s="8"/>
      <c r="AA428" s="8"/>
      <c r="AB428" s="8" t="str">
        <f t="shared" si="10"/>
        <v>PAUH39965PC1.5</v>
      </c>
      <c r="AC428" s="8" t="str">
        <f>IF(AB428='Input - Bookings'!S661,"OK","Check")</f>
        <v>Check</v>
      </c>
      <c r="AD428" s="53"/>
      <c r="AE428" s="65"/>
      <c r="AF428" s="65"/>
      <c r="AG428" s="55">
        <f t="shared" si="46"/>
        <v>641.0258258</v>
      </c>
      <c r="AH428" s="55"/>
      <c r="AI428" s="8" t="str">
        <f t="array" ref="AI428">XLOOKUP($J428,'AP Plants'!D:D,'AP Plants'!B:B)</f>
        <v>Class 3</v>
      </c>
      <c r="AJ428" s="56">
        <f>(AG428*'Currency &amp; Conversion'!$L$6)</f>
        <v>954.6156597</v>
      </c>
      <c r="AK428" s="56"/>
      <c r="AL428" s="49">
        <v>0.015</v>
      </c>
      <c r="AM428" s="49">
        <f t="array" ref="AM428">XLOOKUP($AI428,Warranty!B:B,Warranty!E:E)</f>
        <v>0.015</v>
      </c>
      <c r="AN428" s="8">
        <f>IF($L428="AUD",VLOOKUP(RIGHT('Wk - Margins'!$J428,3),'AU Freight'!C:G,5,0),0)</f>
        <v>100</v>
      </c>
      <c r="AO428" s="49">
        <f t="shared" si="11"/>
        <v>0</v>
      </c>
      <c r="AP428" s="63">
        <f t="shared" si="12"/>
        <v>1083.25413</v>
      </c>
      <c r="AQ428" s="58">
        <f t="shared" si="13"/>
        <v>0.1556339214</v>
      </c>
      <c r="AR428" s="59">
        <f>IF(L428="AUD",O428*'Currency &amp; Conversion'!$L$7,'Wk - Margins'!O428)</f>
        <v>1436.967022</v>
      </c>
      <c r="AS428" s="59">
        <f>IF(L428="AUD",P428*'Currency &amp; Conversion'!$L$7,'Wk - Margins'!P428)</f>
        <v>861.4550148</v>
      </c>
    </row>
    <row r="429" ht="12.75" hidden="1" customHeight="1">
      <c r="A429" s="42" t="str">
        <f>'Input - Bookings'!A429</f>
        <v>27/06/2023</v>
      </c>
      <c r="B429" s="43" t="str">
        <f t="shared" si="1"/>
        <v>Australia</v>
      </c>
      <c r="C429" s="43" t="str">
        <f t="shared" si="2"/>
        <v>PAU</v>
      </c>
      <c r="D429" s="43" t="str">
        <f>'Input - Bookings'!D429</f>
        <v>P</v>
      </c>
      <c r="E429" s="43" t="str">
        <f>'Input - Bookings'!J429</f>
        <v>AU</v>
      </c>
      <c r="F429" s="44" t="str">
        <f>'Input - Bookings'!F429</f>
        <v>065</v>
      </c>
      <c r="G429" s="44" t="str">
        <f>'Input - Bookings'!I429</f>
        <v>ADAPT-A-LIFT GROUP (VIC)</v>
      </c>
      <c r="H429" s="45" t="str">
        <f>'Input - Bookings'!K429</f>
        <v>H39966</v>
      </c>
      <c r="I429" s="45" t="str">
        <f>VLOOKUP(H429,'Input - Bookings'!$G$2:$H$611,2,0)</f>
        <v>087565</v>
      </c>
      <c r="J429" s="44" t="str">
        <f>'Input - Bookings'!N429</f>
        <v>A6W9</v>
      </c>
      <c r="K429" s="44" t="str">
        <f>'Input - Bookings'!O429</f>
        <v>PC1.5</v>
      </c>
      <c r="L429" s="44" t="str">
        <f>'Input - Bookings'!C429</f>
        <v>AUD</v>
      </c>
      <c r="M429" s="46" t="str">
        <f t="array" ref="M429">IF(L429="USD",INDEX('AP Plants'!A:A,MATCH(J429,'AP Plants'!D:D,0)),INDEX('Australia Plants'!A:A,MATCH(J429,'Australia Plants'!D:D,0)))</f>
        <v>Staxx</v>
      </c>
      <c r="N429" s="10">
        <v>1.0</v>
      </c>
      <c r="O429" s="9">
        <v>2140.0</v>
      </c>
      <c r="P429" s="9">
        <v>1282.92</v>
      </c>
      <c r="Q429" s="47">
        <v>0.15563392142436872</v>
      </c>
      <c r="R429" s="48">
        <f t="shared" si="3"/>
        <v>0.4005046729</v>
      </c>
      <c r="S429" s="49">
        <f t="shared" si="4"/>
        <v>0</v>
      </c>
      <c r="T429" s="49">
        <f t="shared" si="21"/>
        <v>0.1556339214</v>
      </c>
      <c r="U429" s="50" t="str">
        <f t="shared" si="6"/>
        <v>AOP</v>
      </c>
      <c r="V429" s="51">
        <f t="shared" si="28"/>
        <v>199.6658705</v>
      </c>
      <c r="W429" s="52" t="str">
        <f t="shared" si="8"/>
        <v>#DIV/0!</v>
      </c>
      <c r="X429" s="9" t="str">
        <f t="shared" si="25"/>
        <v>#DIV/0!</v>
      </c>
      <c r="Y429" s="8"/>
      <c r="Z429" s="8"/>
      <c r="AA429" s="8"/>
      <c r="AB429" s="8" t="str">
        <f t="shared" si="10"/>
        <v>PAUH39966PC1.5</v>
      </c>
      <c r="AC429" s="8" t="str">
        <f>IF(AB429='Input - Bookings'!S662,"OK","Check")</f>
        <v>Check</v>
      </c>
      <c r="AD429" s="53"/>
      <c r="AE429" s="65"/>
      <c r="AF429" s="65"/>
      <c r="AG429" s="55">
        <f t="shared" si="46"/>
        <v>641.0258258</v>
      </c>
      <c r="AH429" s="55"/>
      <c r="AI429" s="8" t="str">
        <f t="array" ref="AI429">XLOOKUP($J429,'AP Plants'!D:D,'AP Plants'!B:B)</f>
        <v>Class 3</v>
      </c>
      <c r="AJ429" s="56">
        <f>(AG429*'Currency &amp; Conversion'!$L$6)</f>
        <v>954.6156597</v>
      </c>
      <c r="AK429" s="56"/>
      <c r="AL429" s="49">
        <v>0.015</v>
      </c>
      <c r="AM429" s="49">
        <f t="array" ref="AM429">XLOOKUP($AI429,Warranty!B:B,Warranty!E:E)</f>
        <v>0.015</v>
      </c>
      <c r="AN429" s="8">
        <f>IF($L429="AUD",VLOOKUP(RIGHT('Wk - Margins'!$J429,3),'AU Freight'!C:G,5,0),0)</f>
        <v>100</v>
      </c>
      <c r="AO429" s="49">
        <f t="shared" si="11"/>
        <v>0</v>
      </c>
      <c r="AP429" s="63">
        <f t="shared" si="12"/>
        <v>1083.25413</v>
      </c>
      <c r="AQ429" s="58">
        <f t="shared" si="13"/>
        <v>0.1556339214</v>
      </c>
      <c r="AR429" s="59">
        <f>IF(L429="AUD",O429*'Currency &amp; Conversion'!$L$7,'Wk - Margins'!O429)</f>
        <v>1436.967022</v>
      </c>
      <c r="AS429" s="59">
        <f>IF(L429="AUD",P429*'Currency &amp; Conversion'!$L$7,'Wk - Margins'!P429)</f>
        <v>861.4550148</v>
      </c>
    </row>
    <row r="430" ht="12.75" hidden="1" customHeight="1">
      <c r="A430" s="42" t="str">
        <f>'Input - Bookings'!A430</f>
        <v>27/06/2023</v>
      </c>
      <c r="B430" s="43" t="str">
        <f t="shared" si="1"/>
        <v>Australia</v>
      </c>
      <c r="C430" s="43" t="str">
        <f t="shared" si="2"/>
        <v>PAU</v>
      </c>
      <c r="D430" s="43" t="str">
        <f>'Input - Bookings'!D430</f>
        <v>P</v>
      </c>
      <c r="E430" s="43" t="str">
        <f>'Input - Bookings'!J430</f>
        <v>AU</v>
      </c>
      <c r="F430" s="44" t="str">
        <f>'Input - Bookings'!F430</f>
        <v>065</v>
      </c>
      <c r="G430" s="44" t="str">
        <f>'Input - Bookings'!I430</f>
        <v>ADAPT-A-LIFT GROUP (VIC)</v>
      </c>
      <c r="H430" s="45" t="str">
        <f>'Input - Bookings'!K430</f>
        <v>H39967</v>
      </c>
      <c r="I430" s="45" t="str">
        <f>VLOOKUP(H430,'Input - Bookings'!$G$2:$H$611,2,0)</f>
        <v>087565</v>
      </c>
      <c r="J430" s="44" t="str">
        <f>'Input - Bookings'!N430</f>
        <v>A6W9</v>
      </c>
      <c r="K430" s="44" t="str">
        <f>'Input - Bookings'!O430</f>
        <v>PC1.5</v>
      </c>
      <c r="L430" s="44" t="str">
        <f>'Input - Bookings'!C430</f>
        <v>AUD</v>
      </c>
      <c r="M430" s="46" t="str">
        <f t="array" ref="M430">IF(L430="USD",INDEX('AP Plants'!A:A,MATCH(J430,'AP Plants'!D:D,0)),INDEX('Australia Plants'!A:A,MATCH(J430,'Australia Plants'!D:D,0)))</f>
        <v>Staxx</v>
      </c>
      <c r="N430" s="10">
        <v>1.0</v>
      </c>
      <c r="O430" s="9">
        <v>2140.0</v>
      </c>
      <c r="P430" s="9">
        <v>1282.92</v>
      </c>
      <c r="Q430" s="47">
        <v>0.15563392142436872</v>
      </c>
      <c r="R430" s="48">
        <f t="shared" si="3"/>
        <v>0.4005046729</v>
      </c>
      <c r="S430" s="49">
        <f t="shared" si="4"/>
        <v>0</v>
      </c>
      <c r="T430" s="49">
        <f t="shared" si="21"/>
        <v>0.1556339214</v>
      </c>
      <c r="U430" s="50" t="str">
        <f t="shared" si="6"/>
        <v>AOP</v>
      </c>
      <c r="V430" s="51">
        <f t="shared" si="28"/>
        <v>199.6658705</v>
      </c>
      <c r="W430" s="52" t="str">
        <f t="shared" si="8"/>
        <v>#DIV/0!</v>
      </c>
      <c r="X430" s="9" t="str">
        <f t="shared" si="25"/>
        <v>#DIV/0!</v>
      </c>
      <c r="Y430" s="8"/>
      <c r="Z430" s="8"/>
      <c r="AA430" s="8"/>
      <c r="AB430" s="8" t="str">
        <f t="shared" si="10"/>
        <v>PAUH39967PC1.5</v>
      </c>
      <c r="AC430" s="8" t="str">
        <f>IF(AB430='Input - Bookings'!S663,"OK","Check")</f>
        <v>Check</v>
      </c>
      <c r="AD430" s="53"/>
      <c r="AE430" s="65"/>
      <c r="AF430" s="65"/>
      <c r="AG430" s="55">
        <f t="shared" si="46"/>
        <v>641.0258258</v>
      </c>
      <c r="AH430" s="55"/>
      <c r="AI430" s="8" t="str">
        <f t="array" ref="AI430">XLOOKUP($J430,'AP Plants'!D:D,'AP Plants'!B:B)</f>
        <v>Class 3</v>
      </c>
      <c r="AJ430" s="56">
        <f>(AG430*'Currency &amp; Conversion'!$L$6)</f>
        <v>954.6156597</v>
      </c>
      <c r="AK430" s="56"/>
      <c r="AL430" s="49">
        <v>0.015</v>
      </c>
      <c r="AM430" s="49">
        <f t="array" ref="AM430">XLOOKUP($AI430,Warranty!B:B,Warranty!E:E)</f>
        <v>0.015</v>
      </c>
      <c r="AN430" s="8">
        <f>IF($L430="AUD",VLOOKUP(RIGHT('Wk - Margins'!$J430,3),'AU Freight'!C:G,5,0),0)</f>
        <v>100</v>
      </c>
      <c r="AO430" s="49">
        <f t="shared" si="11"/>
        <v>0</v>
      </c>
      <c r="AP430" s="63">
        <f t="shared" si="12"/>
        <v>1083.25413</v>
      </c>
      <c r="AQ430" s="58">
        <f t="shared" si="13"/>
        <v>0.1556339214</v>
      </c>
      <c r="AR430" s="59">
        <f>IF(L430="AUD",O430*'Currency &amp; Conversion'!$L$7,'Wk - Margins'!O430)</f>
        <v>1436.967022</v>
      </c>
      <c r="AS430" s="59">
        <f>IF(L430="AUD",P430*'Currency &amp; Conversion'!$L$7,'Wk - Margins'!P430)</f>
        <v>861.4550148</v>
      </c>
    </row>
    <row r="431" ht="12.75" hidden="1" customHeight="1">
      <c r="A431" s="42" t="str">
        <f>'Input - Bookings'!A431</f>
        <v>27/06/2023</v>
      </c>
      <c r="B431" s="43" t="str">
        <f t="shared" si="1"/>
        <v>Australia</v>
      </c>
      <c r="C431" s="43" t="str">
        <f t="shared" si="2"/>
        <v>PAU</v>
      </c>
      <c r="D431" s="43" t="str">
        <f>'Input - Bookings'!D431</f>
        <v>P</v>
      </c>
      <c r="E431" s="43" t="str">
        <f>'Input - Bookings'!J431</f>
        <v>AU</v>
      </c>
      <c r="F431" s="44" t="str">
        <f>'Input - Bookings'!F431</f>
        <v>065</v>
      </c>
      <c r="G431" s="44" t="str">
        <f>'Input - Bookings'!I431</f>
        <v>ADAPT-A-LIFT GROUP (VIC)</v>
      </c>
      <c r="H431" s="45" t="str">
        <f>'Input - Bookings'!K431</f>
        <v>H39968</v>
      </c>
      <c r="I431" s="45" t="str">
        <f>VLOOKUP(H431,'Input - Bookings'!$G$2:$H$611,2,0)</f>
        <v>087565</v>
      </c>
      <c r="J431" s="44" t="str">
        <f>'Input - Bookings'!N431</f>
        <v>A6W9</v>
      </c>
      <c r="K431" s="44" t="str">
        <f>'Input - Bookings'!O431</f>
        <v>PC1.5</v>
      </c>
      <c r="L431" s="44" t="str">
        <f>'Input - Bookings'!C431</f>
        <v>AUD</v>
      </c>
      <c r="M431" s="46" t="str">
        <f t="array" ref="M431">IF(L431="USD",INDEX('AP Plants'!A:A,MATCH(J431,'AP Plants'!D:D,0)),INDEX('Australia Plants'!A:A,MATCH(J431,'Australia Plants'!D:D,0)))</f>
        <v>Staxx</v>
      </c>
      <c r="N431" s="10">
        <v>1.0</v>
      </c>
      <c r="O431" s="9">
        <v>2140.0</v>
      </c>
      <c r="P431" s="9">
        <v>1282.92</v>
      </c>
      <c r="Q431" s="47">
        <v>0.15563392142436872</v>
      </c>
      <c r="R431" s="48">
        <f t="shared" si="3"/>
        <v>0.4005046729</v>
      </c>
      <c r="S431" s="49">
        <f t="shared" si="4"/>
        <v>0</v>
      </c>
      <c r="T431" s="49">
        <f t="shared" si="21"/>
        <v>0.1556339214</v>
      </c>
      <c r="U431" s="50" t="str">
        <f t="shared" si="6"/>
        <v>AOP</v>
      </c>
      <c r="V431" s="51">
        <f t="shared" si="28"/>
        <v>199.6658705</v>
      </c>
      <c r="W431" s="52" t="str">
        <f t="shared" si="8"/>
        <v>#DIV/0!</v>
      </c>
      <c r="X431" s="9" t="str">
        <f t="shared" si="25"/>
        <v>#DIV/0!</v>
      </c>
      <c r="Y431" s="8"/>
      <c r="Z431" s="8"/>
      <c r="AA431" s="8"/>
      <c r="AB431" s="8" t="str">
        <f t="shared" si="10"/>
        <v>PAUH39968PC1.5</v>
      </c>
      <c r="AC431" s="8" t="str">
        <f>IF(AB431='Input - Bookings'!S664,"OK","Check")</f>
        <v>Check</v>
      </c>
      <c r="AD431" s="53"/>
      <c r="AE431" s="65"/>
      <c r="AF431" s="65"/>
      <c r="AG431" s="55">
        <f t="shared" si="46"/>
        <v>641.0258258</v>
      </c>
      <c r="AH431" s="62"/>
      <c r="AI431" s="8" t="str">
        <f t="array" ref="AI431">XLOOKUP($J431,'AP Plants'!D:D,'AP Plants'!B:B)</f>
        <v>Class 3</v>
      </c>
      <c r="AJ431" s="56">
        <f>(AG431*'Currency &amp; Conversion'!$L$6)</f>
        <v>954.6156597</v>
      </c>
      <c r="AK431" s="56"/>
      <c r="AL431" s="49">
        <v>0.015</v>
      </c>
      <c r="AM431" s="49">
        <f t="array" ref="AM431">XLOOKUP($AI431,Warranty!B:B,Warranty!E:E)</f>
        <v>0.015</v>
      </c>
      <c r="AN431" s="8">
        <f>IF($L431="AUD",VLOOKUP(RIGHT('Wk - Margins'!$J431,3),'AU Freight'!C:G,5,0),0)</f>
        <v>100</v>
      </c>
      <c r="AO431" s="49">
        <f t="shared" si="11"/>
        <v>0</v>
      </c>
      <c r="AP431" s="63">
        <f t="shared" si="12"/>
        <v>1083.25413</v>
      </c>
      <c r="AQ431" s="58">
        <f t="shared" si="13"/>
        <v>0.1556339214</v>
      </c>
      <c r="AR431" s="59">
        <f>IF(L431="AUD",O431*'Currency &amp; Conversion'!$L$7,'Wk - Margins'!O431)</f>
        <v>1436.967022</v>
      </c>
      <c r="AS431" s="59">
        <f>IF(L431="AUD",P431*'Currency &amp; Conversion'!$L$7,'Wk - Margins'!P431)</f>
        <v>861.4550148</v>
      </c>
    </row>
    <row r="432" ht="12.75" hidden="1" customHeight="1">
      <c r="A432" s="42" t="str">
        <f>'Input - Bookings'!A432</f>
        <v>27/06/2023</v>
      </c>
      <c r="B432" s="43" t="str">
        <f t="shared" si="1"/>
        <v>Australia</v>
      </c>
      <c r="C432" s="43" t="str">
        <f t="shared" si="2"/>
        <v>PAU</v>
      </c>
      <c r="D432" s="43" t="str">
        <f>'Input - Bookings'!D432</f>
        <v>P</v>
      </c>
      <c r="E432" s="43" t="str">
        <f>'Input - Bookings'!J432</f>
        <v>AU</v>
      </c>
      <c r="F432" s="44" t="str">
        <f>'Input - Bookings'!F432</f>
        <v>065</v>
      </c>
      <c r="G432" s="44" t="str">
        <f>'Input - Bookings'!I432</f>
        <v>ADAPT-A-LIFT GROUP (VIC)</v>
      </c>
      <c r="H432" s="45" t="str">
        <f>'Input - Bookings'!K432</f>
        <v>H39969</v>
      </c>
      <c r="I432" s="45" t="str">
        <f>VLOOKUP(H432,'Input - Bookings'!$G$2:$H$611,2,0)</f>
        <v>087565</v>
      </c>
      <c r="J432" s="44" t="str">
        <f>'Input - Bookings'!N432</f>
        <v>A6W9</v>
      </c>
      <c r="K432" s="44" t="str">
        <f>'Input - Bookings'!O432</f>
        <v>PC1.5</v>
      </c>
      <c r="L432" s="44" t="str">
        <f>'Input - Bookings'!C432</f>
        <v>AUD</v>
      </c>
      <c r="M432" s="46" t="str">
        <f t="array" ref="M432">IF(L432="USD",INDEX('AP Plants'!A:A,MATCH(J432,'AP Plants'!D:D,0)),INDEX('Australia Plants'!A:A,MATCH(J432,'Australia Plants'!D:D,0)))</f>
        <v>Staxx</v>
      </c>
      <c r="N432" s="10">
        <v>1.0</v>
      </c>
      <c r="O432" s="9">
        <v>2140.0</v>
      </c>
      <c r="P432" s="9">
        <v>1282.92</v>
      </c>
      <c r="Q432" s="47">
        <v>0.15563392142436872</v>
      </c>
      <c r="R432" s="48">
        <f t="shared" si="3"/>
        <v>0.4005046729</v>
      </c>
      <c r="S432" s="49">
        <f t="shared" si="4"/>
        <v>0</v>
      </c>
      <c r="T432" s="49">
        <f t="shared" si="21"/>
        <v>0.1556339214</v>
      </c>
      <c r="U432" s="50" t="str">
        <f t="shared" si="6"/>
        <v>AOP</v>
      </c>
      <c r="V432" s="51">
        <f t="shared" si="28"/>
        <v>199.6658705</v>
      </c>
      <c r="W432" s="52" t="str">
        <f t="shared" si="8"/>
        <v>#DIV/0!</v>
      </c>
      <c r="X432" s="9" t="str">
        <f t="shared" si="25"/>
        <v>#DIV/0!</v>
      </c>
      <c r="Y432" s="8"/>
      <c r="Z432" s="8"/>
      <c r="AA432" s="8"/>
      <c r="AB432" s="8" t="str">
        <f t="shared" si="10"/>
        <v>PAUH39969PC1.5</v>
      </c>
      <c r="AC432" s="8" t="str">
        <f>IF(AB432='Input - Bookings'!S665,"OK","Check")</f>
        <v>Check</v>
      </c>
      <c r="AD432" s="53"/>
      <c r="AE432" s="65"/>
      <c r="AF432" s="65"/>
      <c r="AG432" s="55">
        <f t="shared" si="46"/>
        <v>641.0258258</v>
      </c>
      <c r="AH432" s="55"/>
      <c r="AI432" s="8" t="str">
        <f t="array" ref="AI432">XLOOKUP($J432,'AP Plants'!D:D,'AP Plants'!B:B)</f>
        <v>Class 3</v>
      </c>
      <c r="AJ432" s="56">
        <f>(AG432*'Currency &amp; Conversion'!$L$6)</f>
        <v>954.6156597</v>
      </c>
      <c r="AK432" s="56"/>
      <c r="AL432" s="49">
        <v>0.015</v>
      </c>
      <c r="AM432" s="49">
        <f t="array" ref="AM432">XLOOKUP($AI432,Warranty!B:B,Warranty!E:E)</f>
        <v>0.015</v>
      </c>
      <c r="AN432" s="8">
        <f>IF($L432="AUD",VLOOKUP(RIGHT('Wk - Margins'!$J432,3),'AU Freight'!C:G,5,0),0)</f>
        <v>100</v>
      </c>
      <c r="AO432" s="49">
        <f t="shared" si="11"/>
        <v>0</v>
      </c>
      <c r="AP432" s="63">
        <f t="shared" si="12"/>
        <v>1083.25413</v>
      </c>
      <c r="AQ432" s="58">
        <f t="shared" si="13"/>
        <v>0.1556339214</v>
      </c>
      <c r="AR432" s="59">
        <f>IF(L432="AUD",O432*'Currency &amp; Conversion'!$L$7,'Wk - Margins'!O432)</f>
        <v>1436.967022</v>
      </c>
      <c r="AS432" s="59">
        <f>IF(L432="AUD",P432*'Currency &amp; Conversion'!$L$7,'Wk - Margins'!P432)</f>
        <v>861.4550148</v>
      </c>
    </row>
    <row r="433" ht="12.75" hidden="1" customHeight="1">
      <c r="A433" s="42" t="str">
        <f>'Input - Bookings'!A433</f>
        <v>27/06/2023</v>
      </c>
      <c r="B433" s="43" t="str">
        <f t="shared" si="1"/>
        <v>Australia</v>
      </c>
      <c r="C433" s="43" t="str">
        <f t="shared" si="2"/>
        <v>PAU</v>
      </c>
      <c r="D433" s="43" t="str">
        <f>'Input - Bookings'!D433</f>
        <v>P</v>
      </c>
      <c r="E433" s="43" t="str">
        <f>'Input - Bookings'!J433</f>
        <v>AU</v>
      </c>
      <c r="F433" s="44" t="str">
        <f>'Input - Bookings'!F433</f>
        <v>065</v>
      </c>
      <c r="G433" s="44" t="str">
        <f>'Input - Bookings'!I433</f>
        <v>ADAPT-A-LIFT GROUP (VIC)</v>
      </c>
      <c r="H433" s="45" t="str">
        <f>'Input - Bookings'!K433</f>
        <v>H39970</v>
      </c>
      <c r="I433" s="45" t="str">
        <f>VLOOKUP(H433,'Input - Bookings'!$G$2:$H$611,2,0)</f>
        <v>087565</v>
      </c>
      <c r="J433" s="44" t="str">
        <f>'Input - Bookings'!N433</f>
        <v>A6W9</v>
      </c>
      <c r="K433" s="44" t="str">
        <f>'Input - Bookings'!O433</f>
        <v>PC1.5</v>
      </c>
      <c r="L433" s="44" t="str">
        <f>'Input - Bookings'!C433</f>
        <v>AUD</v>
      </c>
      <c r="M433" s="46" t="str">
        <f t="array" ref="M433">IF(L433="USD",INDEX('AP Plants'!A:A,MATCH(J433,'AP Plants'!D:D,0)),INDEX('Australia Plants'!A:A,MATCH(J433,'Australia Plants'!D:D,0)))</f>
        <v>Staxx</v>
      </c>
      <c r="N433" s="10">
        <v>1.0</v>
      </c>
      <c r="O433" s="9">
        <v>2140.0</v>
      </c>
      <c r="P433" s="9">
        <v>1282.92</v>
      </c>
      <c r="Q433" s="47">
        <v>0.15563392142436872</v>
      </c>
      <c r="R433" s="48">
        <f t="shared" si="3"/>
        <v>0.4005046729</v>
      </c>
      <c r="S433" s="49">
        <f t="shared" si="4"/>
        <v>0</v>
      </c>
      <c r="T433" s="49">
        <f t="shared" si="21"/>
        <v>0.1556339214</v>
      </c>
      <c r="U433" s="50" t="str">
        <f t="shared" si="6"/>
        <v>AOP</v>
      </c>
      <c r="V433" s="51">
        <f t="shared" si="28"/>
        <v>199.6658705</v>
      </c>
      <c r="W433" s="52" t="str">
        <f t="shared" si="8"/>
        <v>#DIV/0!</v>
      </c>
      <c r="X433" s="9" t="str">
        <f t="shared" si="25"/>
        <v>#DIV/0!</v>
      </c>
      <c r="Y433" s="8"/>
      <c r="Z433" s="8"/>
      <c r="AA433" s="8"/>
      <c r="AB433" s="8" t="str">
        <f t="shared" si="10"/>
        <v>PAUH39970PC1.5</v>
      </c>
      <c r="AC433" s="8" t="str">
        <f>IF(AB433='Input - Bookings'!S666,"OK","Check")</f>
        <v>Check</v>
      </c>
      <c r="AD433" s="53"/>
      <c r="AE433" s="65"/>
      <c r="AF433" s="65"/>
      <c r="AG433" s="55">
        <f t="shared" si="46"/>
        <v>641.0258258</v>
      </c>
      <c r="AH433" s="62"/>
      <c r="AI433" s="8" t="str">
        <f t="array" ref="AI433">XLOOKUP($J433,'AP Plants'!D:D,'AP Plants'!B:B)</f>
        <v>Class 3</v>
      </c>
      <c r="AJ433" s="56">
        <f>(AG433*'Currency &amp; Conversion'!$L$6)</f>
        <v>954.6156597</v>
      </c>
      <c r="AK433" s="56"/>
      <c r="AL433" s="49">
        <v>0.015</v>
      </c>
      <c r="AM433" s="49">
        <f t="array" ref="AM433">XLOOKUP($AI433,Warranty!B:B,Warranty!E:E)</f>
        <v>0.015</v>
      </c>
      <c r="AN433" s="8">
        <f>IF($L433="AUD",VLOOKUP(RIGHT('Wk - Margins'!$J433,3),'AU Freight'!C:G,5,0),0)</f>
        <v>100</v>
      </c>
      <c r="AO433" s="49">
        <f t="shared" si="11"/>
        <v>0</v>
      </c>
      <c r="AP433" s="63">
        <f t="shared" si="12"/>
        <v>1083.25413</v>
      </c>
      <c r="AQ433" s="58">
        <f t="shared" si="13"/>
        <v>0.1556339214</v>
      </c>
      <c r="AR433" s="59">
        <f>IF(L433="AUD",O433*'Currency &amp; Conversion'!$L$7,'Wk - Margins'!O433)</f>
        <v>1436.967022</v>
      </c>
      <c r="AS433" s="59">
        <f>IF(L433="AUD",P433*'Currency &amp; Conversion'!$L$7,'Wk - Margins'!P433)</f>
        <v>861.4550148</v>
      </c>
    </row>
    <row r="434" ht="12.75" hidden="1" customHeight="1">
      <c r="A434" s="42" t="str">
        <f>'Input - Bookings'!A434</f>
        <v>27/06/2023</v>
      </c>
      <c r="B434" s="43" t="str">
        <f t="shared" si="1"/>
        <v>Australia</v>
      </c>
      <c r="C434" s="43" t="str">
        <f t="shared" si="2"/>
        <v>PAU</v>
      </c>
      <c r="D434" s="43" t="str">
        <f>'Input - Bookings'!D434</f>
        <v>P</v>
      </c>
      <c r="E434" s="43" t="str">
        <f>'Input - Bookings'!J434</f>
        <v>AU</v>
      </c>
      <c r="F434" s="44" t="str">
        <f>'Input - Bookings'!F434</f>
        <v>065</v>
      </c>
      <c r="G434" s="44" t="str">
        <f>'Input - Bookings'!I434</f>
        <v>ADAPT-A-LIFT GROUP (VIC)</v>
      </c>
      <c r="H434" s="45" t="str">
        <f>'Input - Bookings'!K434</f>
        <v>H39971</v>
      </c>
      <c r="I434" s="45" t="str">
        <f>VLOOKUP(H434,'Input - Bookings'!$G$2:$H$611,2,0)</f>
        <v>087565</v>
      </c>
      <c r="J434" s="44" t="str">
        <f>'Input - Bookings'!N434</f>
        <v>A6W9</v>
      </c>
      <c r="K434" s="44" t="str">
        <f>'Input - Bookings'!O434</f>
        <v>PC1.5</v>
      </c>
      <c r="L434" s="44" t="str">
        <f>'Input - Bookings'!C434</f>
        <v>AUD</v>
      </c>
      <c r="M434" s="46" t="str">
        <f t="array" ref="M434">IF(L434="USD",INDEX('AP Plants'!A:A,MATCH(J434,'AP Plants'!D:D,0)),INDEX('Australia Plants'!A:A,MATCH(J434,'Australia Plants'!D:D,0)))</f>
        <v>Staxx</v>
      </c>
      <c r="N434" s="10">
        <v>1.0</v>
      </c>
      <c r="O434" s="9">
        <v>2140.0</v>
      </c>
      <c r="P434" s="9">
        <v>1282.92</v>
      </c>
      <c r="Q434" s="47">
        <v>0.15563392142436872</v>
      </c>
      <c r="R434" s="48">
        <f t="shared" si="3"/>
        <v>0.4005046729</v>
      </c>
      <c r="S434" s="49">
        <f t="shared" si="4"/>
        <v>0</v>
      </c>
      <c r="T434" s="49">
        <f t="shared" si="21"/>
        <v>0.1556339214</v>
      </c>
      <c r="U434" s="50" t="str">
        <f t="shared" si="6"/>
        <v>AOP</v>
      </c>
      <c r="V434" s="51">
        <f t="shared" si="28"/>
        <v>199.6658705</v>
      </c>
      <c r="W434" s="52" t="str">
        <f t="shared" si="8"/>
        <v>#DIV/0!</v>
      </c>
      <c r="X434" s="9" t="str">
        <f t="shared" si="25"/>
        <v>#DIV/0!</v>
      </c>
      <c r="Y434" s="8"/>
      <c r="Z434" s="8"/>
      <c r="AA434" s="8"/>
      <c r="AB434" s="8" t="str">
        <f t="shared" si="10"/>
        <v>PAUH39971PC1.5</v>
      </c>
      <c r="AC434" s="8" t="str">
        <f>IF(AB434='Input - Bookings'!S667,"OK","Check")</f>
        <v>Check</v>
      </c>
      <c r="AD434" s="53"/>
      <c r="AE434" s="65"/>
      <c r="AF434" s="65"/>
      <c r="AG434" s="55">
        <f t="shared" si="46"/>
        <v>641.0258258</v>
      </c>
      <c r="AH434" s="62"/>
      <c r="AI434" s="8" t="str">
        <f t="array" ref="AI434">XLOOKUP($J434,'AP Plants'!D:D,'AP Plants'!B:B)</f>
        <v>Class 3</v>
      </c>
      <c r="AJ434" s="56">
        <f>(AG434*'Currency &amp; Conversion'!$L$6)</f>
        <v>954.6156597</v>
      </c>
      <c r="AK434" s="56"/>
      <c r="AL434" s="49">
        <v>0.015</v>
      </c>
      <c r="AM434" s="49">
        <f t="array" ref="AM434">XLOOKUP($AI434,Warranty!B:B,Warranty!E:E)</f>
        <v>0.015</v>
      </c>
      <c r="AN434" s="8">
        <f>IF($L434="AUD",VLOOKUP(RIGHT('Wk - Margins'!$J434,3),'AU Freight'!C:G,5,0),0)</f>
        <v>100</v>
      </c>
      <c r="AO434" s="49">
        <f t="shared" si="11"/>
        <v>0</v>
      </c>
      <c r="AP434" s="63">
        <f t="shared" si="12"/>
        <v>1083.25413</v>
      </c>
      <c r="AQ434" s="58">
        <f t="shared" si="13"/>
        <v>0.1556339214</v>
      </c>
      <c r="AR434" s="59">
        <f>IF(L434="AUD",O434*'Currency &amp; Conversion'!$L$7,'Wk - Margins'!O434)</f>
        <v>1436.967022</v>
      </c>
      <c r="AS434" s="59">
        <f>IF(L434="AUD",P434*'Currency &amp; Conversion'!$L$7,'Wk - Margins'!P434)</f>
        <v>861.4550148</v>
      </c>
    </row>
    <row r="435" ht="12.75" hidden="1" customHeight="1">
      <c r="A435" s="42" t="str">
        <f>'Input - Bookings'!A435</f>
        <v>27/06/2023</v>
      </c>
      <c r="B435" s="43" t="str">
        <f t="shared" si="1"/>
        <v>Australia</v>
      </c>
      <c r="C435" s="43" t="str">
        <f t="shared" si="2"/>
        <v>PAU</v>
      </c>
      <c r="D435" s="43" t="str">
        <f>'Input - Bookings'!D435</f>
        <v>P</v>
      </c>
      <c r="E435" s="43" t="str">
        <f>'Input - Bookings'!J435</f>
        <v>AU</v>
      </c>
      <c r="F435" s="44" t="str">
        <f>'Input - Bookings'!F435</f>
        <v>065</v>
      </c>
      <c r="G435" s="44" t="str">
        <f>'Input - Bookings'!I435</f>
        <v>ADAPT-A-LIFT GROUP (VIC)</v>
      </c>
      <c r="H435" s="45" t="str">
        <f>'Input - Bookings'!K435</f>
        <v>H39972</v>
      </c>
      <c r="I435" s="45" t="str">
        <f>VLOOKUP(H435,'Input - Bookings'!$G$2:$H$611,2,0)</f>
        <v>087565</v>
      </c>
      <c r="J435" s="44" t="str">
        <f>'Input - Bookings'!N435</f>
        <v>A6W9</v>
      </c>
      <c r="K435" s="44" t="str">
        <f>'Input - Bookings'!O435</f>
        <v>PC1.5</v>
      </c>
      <c r="L435" s="44" t="str">
        <f>'Input - Bookings'!C435</f>
        <v>AUD</v>
      </c>
      <c r="M435" s="46" t="str">
        <f t="array" ref="M435">IF(L435="USD",INDEX('AP Plants'!A:A,MATCH(J435,'AP Plants'!D:D,0)),INDEX('Australia Plants'!A:A,MATCH(J435,'Australia Plants'!D:D,0)))</f>
        <v>Staxx</v>
      </c>
      <c r="N435" s="10">
        <v>1.0</v>
      </c>
      <c r="O435" s="9">
        <v>2140.0</v>
      </c>
      <c r="P435" s="9">
        <v>1282.92</v>
      </c>
      <c r="Q435" s="47">
        <v>0.15563392142436872</v>
      </c>
      <c r="R435" s="48">
        <f t="shared" si="3"/>
        <v>0.4005046729</v>
      </c>
      <c r="S435" s="49">
        <f t="shared" si="4"/>
        <v>0</v>
      </c>
      <c r="T435" s="49">
        <f t="shared" si="21"/>
        <v>0.1556339214</v>
      </c>
      <c r="U435" s="50" t="str">
        <f t="shared" si="6"/>
        <v>AOP</v>
      </c>
      <c r="V435" s="51">
        <f t="shared" si="28"/>
        <v>199.6658705</v>
      </c>
      <c r="W435" s="52" t="str">
        <f t="shared" si="8"/>
        <v>#DIV/0!</v>
      </c>
      <c r="X435" s="9" t="str">
        <f t="shared" si="25"/>
        <v>#DIV/0!</v>
      </c>
      <c r="Y435" s="8"/>
      <c r="Z435" s="8"/>
      <c r="AA435" s="8"/>
      <c r="AB435" s="8" t="str">
        <f t="shared" si="10"/>
        <v>PAUH39972PC1.5</v>
      </c>
      <c r="AC435" s="8" t="str">
        <f>IF(AB435='Input - Bookings'!S668,"OK","Check")</f>
        <v>Check</v>
      </c>
      <c r="AD435" s="53"/>
      <c r="AE435" s="65"/>
      <c r="AF435" s="65"/>
      <c r="AG435" s="55">
        <f t="shared" si="46"/>
        <v>641.0258258</v>
      </c>
      <c r="AH435" s="62"/>
      <c r="AI435" s="8" t="str">
        <f t="array" ref="AI435">XLOOKUP($J435,'AP Plants'!D:D,'AP Plants'!B:B)</f>
        <v>Class 3</v>
      </c>
      <c r="AJ435" s="56">
        <f>(AG435*'Currency &amp; Conversion'!$L$6)</f>
        <v>954.6156597</v>
      </c>
      <c r="AK435" s="56"/>
      <c r="AL435" s="49">
        <v>0.015</v>
      </c>
      <c r="AM435" s="49">
        <f t="array" ref="AM435">XLOOKUP($AI435,Warranty!B:B,Warranty!E:E)</f>
        <v>0.015</v>
      </c>
      <c r="AN435" s="8">
        <f>IF($L435="AUD",VLOOKUP(RIGHT('Wk - Margins'!$J435,3),'AU Freight'!C:G,5,0),0)</f>
        <v>100</v>
      </c>
      <c r="AO435" s="49">
        <f t="shared" si="11"/>
        <v>0</v>
      </c>
      <c r="AP435" s="63">
        <f t="shared" si="12"/>
        <v>1083.25413</v>
      </c>
      <c r="AQ435" s="58">
        <f t="shared" si="13"/>
        <v>0.1556339214</v>
      </c>
      <c r="AR435" s="59">
        <f>IF(L435="AUD",O435*'Currency &amp; Conversion'!$L$7,'Wk - Margins'!O435)</f>
        <v>1436.967022</v>
      </c>
      <c r="AS435" s="59">
        <f>IF(L435="AUD",P435*'Currency &amp; Conversion'!$L$7,'Wk - Margins'!P435)</f>
        <v>861.4550148</v>
      </c>
    </row>
    <row r="436" ht="12.75" customHeight="1">
      <c r="A436" s="42" t="str">
        <f>'Input - Bookings'!A436</f>
        <v>27/06/2023</v>
      </c>
      <c r="B436" s="43" t="str">
        <f t="shared" si="1"/>
        <v>Australia</v>
      </c>
      <c r="C436" s="43" t="str">
        <f t="shared" si="2"/>
        <v>PAU</v>
      </c>
      <c r="D436" s="43" t="str">
        <f>'Input - Bookings'!D436</f>
        <v>P</v>
      </c>
      <c r="E436" s="43" t="str">
        <f>'Input - Bookings'!J436</f>
        <v>AU</v>
      </c>
      <c r="F436" s="44" t="str">
        <f>'Input - Bookings'!F436</f>
        <v>065</v>
      </c>
      <c r="G436" s="44" t="str">
        <f>'Input - Bookings'!I436</f>
        <v>ADAPT-A-LIFT GROUP (VIC)</v>
      </c>
      <c r="H436" s="44" t="str">
        <f>'Input - Bookings'!K436</f>
        <v>H39461</v>
      </c>
      <c r="I436" s="45" t="str">
        <f>VLOOKUP(H436,'Input - Bookings'!$G$2:$H$611,2,0)</f>
        <v>087565</v>
      </c>
      <c r="J436" s="44" t="str">
        <f>'Input - Bookings'!N436</f>
        <v>U005</v>
      </c>
      <c r="K436" s="44" t="str">
        <f>'Input - Bookings'!O436</f>
        <v>H5.0FT</v>
      </c>
      <c r="L436" s="44" t="str">
        <f>'Input - Bookings'!C436</f>
        <v>AUD</v>
      </c>
      <c r="M436" s="46" t="str">
        <f t="array" ref="M436">IF(L436="USD",INDEX('AP Plants'!A:A,MATCH(J436,'AP Plants'!D:D,0)),INDEX('Australia Plants'!A:A,MATCH(J436,'Australia Plants'!D:D,0)))</f>
        <v>Craigavon</v>
      </c>
      <c r="N436" s="10">
        <v>1.0</v>
      </c>
      <c r="O436" s="9">
        <v>109475.0</v>
      </c>
      <c r="P436" s="9">
        <v>78025.43999999999</v>
      </c>
      <c r="Q436" s="47">
        <f>AQ436</f>
        <v>0.1892492006</v>
      </c>
      <c r="R436" s="48">
        <f t="shared" si="3"/>
        <v>0.2872761818</v>
      </c>
      <c r="S436" s="49">
        <f t="shared" si="4"/>
        <v>0</v>
      </c>
      <c r="T436" s="49">
        <f t="shared" si="21"/>
        <v>0.1892492006</v>
      </c>
      <c r="U436" s="50" t="str">
        <f t="shared" si="6"/>
        <v>AOP</v>
      </c>
      <c r="V436" s="51">
        <f t="shared" si="28"/>
        <v>14766.25215</v>
      </c>
      <c r="W436" s="52" t="str">
        <f t="shared" si="8"/>
        <v>#DIV/0!</v>
      </c>
      <c r="X436" s="9" t="str">
        <f t="shared" si="25"/>
        <v>#DIV/0!</v>
      </c>
      <c r="Y436" s="8"/>
      <c r="Z436" s="8"/>
      <c r="AA436" s="8"/>
      <c r="AB436" s="8" t="str">
        <f t="shared" si="10"/>
        <v>PAUH39461H5.0FT</v>
      </c>
      <c r="AC436" s="8" t="str">
        <f>IF(AB436='Input - Bookings'!S669,"OK","Check")</f>
        <v>Check</v>
      </c>
      <c r="AD436" s="53"/>
      <c r="AE436" s="54">
        <v>976.05</v>
      </c>
      <c r="AF436" s="54">
        <v>0.0</v>
      </c>
      <c r="AG436" s="55"/>
      <c r="AH436" s="55">
        <v>36094.06</v>
      </c>
      <c r="AI436" s="8" t="str">
        <f t="array" ref="AI436">XLOOKUP($J436,'AP Plants'!D:D,'AP Plants'!B:B)</f>
        <v>Class 5 NOT BT</v>
      </c>
      <c r="AJ436" s="56">
        <f>(AH436*(1+VLOOKUP(M436,'Currency &amp; Conversion'!$F$13:$H$19,2,0))*'Currency &amp; Conversion'!$L$4)+((AE436+AF436)*90%)</f>
        <v>58234.49789</v>
      </c>
      <c r="AK436" s="56"/>
      <c r="AL436" s="49">
        <v>0.015</v>
      </c>
      <c r="AM436" s="49">
        <f t="array" ref="AM436">XLOOKUP($AI436,Warranty!B:B,Warranty!E:E)</f>
        <v>0.005</v>
      </c>
      <c r="AN436" s="8">
        <f>IF($L436="AUD",VLOOKUP(RIGHT('Wk - Margins'!$J436,3),'AU Freight'!C:G,5,0),0)</f>
        <v>3860</v>
      </c>
      <c r="AO436" s="49">
        <f t="shared" si="11"/>
        <v>0</v>
      </c>
      <c r="AP436" s="63">
        <f t="shared" si="12"/>
        <v>63259.18785</v>
      </c>
      <c r="AQ436" s="64">
        <f t="shared" si="13"/>
        <v>0.1892492006</v>
      </c>
      <c r="AR436" s="59">
        <f>IF(L436="AUD",O436*'Currency &amp; Conversion'!$L$7,'Wk - Margins'!O436)</f>
        <v>73510.26389</v>
      </c>
      <c r="AS436" s="59">
        <f>IF(L436="AUD",P436*'Currency &amp; Conversion'!$L$7,'Wk - Margins'!P436)</f>
        <v>52392.51596</v>
      </c>
    </row>
    <row r="437" ht="12.75" hidden="1" customHeight="1">
      <c r="A437" s="42" t="str">
        <f>'Input - Bookings'!A437</f>
        <v>27/06/2023</v>
      </c>
      <c r="B437" s="43" t="str">
        <f t="shared" si="1"/>
        <v>Pacific</v>
      </c>
      <c r="C437" s="43" t="str">
        <f t="shared" si="2"/>
        <v>PNZ</v>
      </c>
      <c r="D437" s="43" t="str">
        <f>'Input - Bookings'!D437</f>
        <v>P</v>
      </c>
      <c r="E437" s="43" t="str">
        <f>'Input - Bookings'!J437</f>
        <v>NZ</v>
      </c>
      <c r="F437" s="44" t="str">
        <f>'Input - Bookings'!F437</f>
        <v>067</v>
      </c>
      <c r="G437" s="44" t="str">
        <f>'Input - Bookings'!I437</f>
        <v>S.G EQUIPMENT LTD</v>
      </c>
      <c r="H437" s="44" t="str">
        <f>'Input - Bookings'!K437</f>
        <v>H39462</v>
      </c>
      <c r="I437" s="45" t="str">
        <f>VLOOKUP(H437,'Input - Bookings'!$G$2:$H$611,2,0)</f>
        <v>862065</v>
      </c>
      <c r="J437" s="44" t="str">
        <f>'Input - Bookings'!N437</f>
        <v>A7S6</v>
      </c>
      <c r="K437" s="44" t="str">
        <f>'Input - Bookings'!O437</f>
        <v>GP50UXS6</v>
      </c>
      <c r="L437" s="44" t="str">
        <f>'Input - Bookings'!C437</f>
        <v>USD</v>
      </c>
      <c r="M437" s="46" t="str">
        <f t="array" ref="M437">IF(L437="USD",INDEX('AP Plants'!A:A,MATCH(J437,'AP Plants'!D:D,0)),INDEX('Australia Plants'!A:A,MATCH(J437,'Australia Plants'!D:D,0)))</f>
        <v>Maximal</v>
      </c>
      <c r="N437" s="10">
        <v>1.0</v>
      </c>
      <c r="O437" s="9">
        <v>40686.0</v>
      </c>
      <c r="P437" s="9">
        <v>29906.45</v>
      </c>
      <c r="Q437" s="47">
        <v>0.29239553189635903</v>
      </c>
      <c r="R437" s="48">
        <f t="shared" si="3"/>
        <v>0.2649449442</v>
      </c>
      <c r="S437" s="49">
        <f t="shared" si="4"/>
        <v>0</v>
      </c>
      <c r="T437" s="49">
        <f t="shared" si="21"/>
        <v>0.2923955319</v>
      </c>
      <c r="U437" s="50" t="str">
        <f t="shared" si="6"/>
        <v>AOP</v>
      </c>
      <c r="V437" s="51">
        <f t="shared" si="28"/>
        <v>8744.512355</v>
      </c>
      <c r="W437" s="52">
        <f t="shared" si="8"/>
        <v>8744.512355</v>
      </c>
      <c r="X437" s="9">
        <f t="shared" si="25"/>
        <v>29906.45</v>
      </c>
      <c r="Y437" s="8"/>
      <c r="Z437" s="8"/>
      <c r="AA437" s="8"/>
      <c r="AB437" s="8" t="str">
        <f t="shared" si="10"/>
        <v>PNZH39462GP50UXS6</v>
      </c>
      <c r="AC437" s="8" t="str">
        <f>IF(AB437='Input - Bookings'!S670,"OK","Check")</f>
        <v>Check</v>
      </c>
      <c r="AD437" s="60"/>
      <c r="AE437" s="54"/>
      <c r="AF437" s="54"/>
      <c r="AG437" s="55"/>
      <c r="AH437" s="62"/>
      <c r="AI437" s="8" t="str">
        <f t="array" ref="AI437">XLOOKUP($J437,'AP Plants'!D:D,'AP Plants'!B:B)</f>
        <v>Class 5 NOT BT</v>
      </c>
      <c r="AJ437" s="56"/>
      <c r="AK437" s="56"/>
      <c r="AL437" s="49">
        <v>0.015</v>
      </c>
      <c r="AM437" s="49">
        <f t="array" ref="AM437">XLOOKUP($AI437,Warranty!B:B,Warranty!E:E)</f>
        <v>0.005</v>
      </c>
      <c r="AN437" s="8">
        <f>IF($L437="AUD",VLOOKUP(RIGHT('Wk - Margins'!$J437,3),'AU Freight'!C:G,5,0),0)</f>
        <v>0</v>
      </c>
      <c r="AO437" s="49">
        <f t="shared" si="11"/>
        <v>0</v>
      </c>
      <c r="AP437" s="57">
        <f t="shared" si="12"/>
        <v>0</v>
      </c>
      <c r="AQ437" s="58">
        <f t="shared" si="13"/>
        <v>1</v>
      </c>
      <c r="AR437" s="59">
        <f>IF(L437="AUD",O437*'Currency &amp; Conversion'!$L$7,'Wk - Margins'!O437)</f>
        <v>40686</v>
      </c>
      <c r="AS437" s="59">
        <f>IF(L437="AUD",P437*'Currency &amp; Conversion'!$L$7,'Wk - Margins'!P437)</f>
        <v>29906.45</v>
      </c>
    </row>
    <row r="438" ht="12.75" hidden="1" customHeight="1">
      <c r="A438" s="42" t="str">
        <f>'Input - Bookings'!A438</f>
        <v>27/06/2023</v>
      </c>
      <c r="B438" s="43" t="str">
        <f t="shared" si="1"/>
        <v>Pacific</v>
      </c>
      <c r="C438" s="43" t="str">
        <f t="shared" si="2"/>
        <v>PNZ</v>
      </c>
      <c r="D438" s="43" t="str">
        <f>'Input - Bookings'!D438</f>
        <v>P</v>
      </c>
      <c r="E438" s="43" t="str">
        <f>'Input - Bookings'!J438</f>
        <v>NZ</v>
      </c>
      <c r="F438" s="44" t="str">
        <f>'Input - Bookings'!F438</f>
        <v>067</v>
      </c>
      <c r="G438" s="44" t="str">
        <f>'Input - Bookings'!I438</f>
        <v>S.G EQUIPMENT LTD</v>
      </c>
      <c r="H438" s="44" t="str">
        <f>'Input - Bookings'!K438</f>
        <v>H39466</v>
      </c>
      <c r="I438" s="45" t="str">
        <f>VLOOKUP(H438,'Input - Bookings'!$G$2:$H$611,2,0)</f>
        <v>862065</v>
      </c>
      <c r="J438" s="44" t="str">
        <f>'Input - Bookings'!N438</f>
        <v>A7S6</v>
      </c>
      <c r="K438" s="44" t="str">
        <f>'Input - Bookings'!O438</f>
        <v>GP50UXS6</v>
      </c>
      <c r="L438" s="44" t="str">
        <f>'Input - Bookings'!C438</f>
        <v>USD</v>
      </c>
      <c r="M438" s="46" t="str">
        <f t="array" ref="M438">IF(L438="USD",INDEX('AP Plants'!A:A,MATCH(J438,'AP Plants'!D:D,0)),INDEX('Australia Plants'!A:A,MATCH(J438,'Australia Plants'!D:D,0)))</f>
        <v>Maximal</v>
      </c>
      <c r="N438" s="10">
        <v>1.0</v>
      </c>
      <c r="O438" s="9">
        <v>40686.0</v>
      </c>
      <c r="P438" s="9">
        <v>29906.45</v>
      </c>
      <c r="Q438" s="47">
        <v>0.29239553189635903</v>
      </c>
      <c r="R438" s="48">
        <f t="shared" si="3"/>
        <v>0.2649449442</v>
      </c>
      <c r="S438" s="49">
        <f t="shared" si="4"/>
        <v>0</v>
      </c>
      <c r="T438" s="49">
        <f t="shared" si="21"/>
        <v>0.2923955319</v>
      </c>
      <c r="U438" s="50" t="str">
        <f t="shared" si="6"/>
        <v>AOP</v>
      </c>
      <c r="V438" s="51">
        <f t="shared" si="28"/>
        <v>8744.512355</v>
      </c>
      <c r="W438" s="52">
        <f t="shared" si="8"/>
        <v>8744.512355</v>
      </c>
      <c r="X438" s="9">
        <f t="shared" si="25"/>
        <v>29906.45</v>
      </c>
      <c r="Y438" s="8"/>
      <c r="Z438" s="8"/>
      <c r="AA438" s="8"/>
      <c r="AB438" s="8" t="str">
        <f t="shared" si="10"/>
        <v>PNZH39466GP50UXS6</v>
      </c>
      <c r="AC438" s="8" t="str">
        <f>IF(AB438='Input - Bookings'!S671,"OK","Check")</f>
        <v>Check</v>
      </c>
      <c r="AD438" s="60"/>
      <c r="AE438" s="54"/>
      <c r="AF438" s="54"/>
      <c r="AG438" s="55"/>
      <c r="AH438" s="62"/>
      <c r="AI438" s="8" t="str">
        <f t="array" ref="AI438">XLOOKUP($J438,'AP Plants'!D:D,'AP Plants'!B:B)</f>
        <v>Class 5 NOT BT</v>
      </c>
      <c r="AJ438" s="56"/>
      <c r="AK438" s="56"/>
      <c r="AL438" s="49">
        <v>0.015</v>
      </c>
      <c r="AM438" s="49">
        <f t="array" ref="AM438">XLOOKUP($AI438,Warranty!B:B,Warranty!E:E)</f>
        <v>0.005</v>
      </c>
      <c r="AN438" s="8">
        <f>IF($L438="AUD",VLOOKUP(RIGHT('Wk - Margins'!$J438,3),'AU Freight'!C:G,5,0),0)</f>
        <v>0</v>
      </c>
      <c r="AO438" s="49">
        <f t="shared" si="11"/>
        <v>0</v>
      </c>
      <c r="AP438" s="57">
        <f t="shared" si="12"/>
        <v>0</v>
      </c>
      <c r="AQ438" s="58">
        <f t="shared" si="13"/>
        <v>1</v>
      </c>
      <c r="AR438" s="59">
        <f>IF(L438="AUD",O438*'Currency &amp; Conversion'!$L$7,'Wk - Margins'!O438)</f>
        <v>40686</v>
      </c>
      <c r="AS438" s="59">
        <f>IF(L438="AUD",P438*'Currency &amp; Conversion'!$L$7,'Wk - Margins'!P438)</f>
        <v>29906.45</v>
      </c>
    </row>
    <row r="439" ht="12.75" hidden="1" customHeight="1">
      <c r="A439" s="42" t="str">
        <f>'Input - Bookings'!A439</f>
        <v>27/06/2023</v>
      </c>
      <c r="B439" s="43" t="str">
        <f t="shared" si="1"/>
        <v>Pacific</v>
      </c>
      <c r="C439" s="43" t="str">
        <f t="shared" si="2"/>
        <v>PNZ</v>
      </c>
      <c r="D439" s="43" t="str">
        <f>'Input - Bookings'!D439</f>
        <v>P</v>
      </c>
      <c r="E439" s="43" t="str">
        <f>'Input - Bookings'!J439</f>
        <v>NZ</v>
      </c>
      <c r="F439" s="44" t="str">
        <f>'Input - Bookings'!F439</f>
        <v>067</v>
      </c>
      <c r="G439" s="44" t="str">
        <f>'Input - Bookings'!I439</f>
        <v>S.G EQUIPMENT LTD</v>
      </c>
      <c r="H439" s="44" t="str">
        <f>'Input - Bookings'!K439</f>
        <v>H39467</v>
      </c>
      <c r="I439" s="45" t="str">
        <f>VLOOKUP(H439,'Input - Bookings'!$G$2:$H$611,2,0)</f>
        <v>862065</v>
      </c>
      <c r="J439" s="44" t="str">
        <f>'Input - Bookings'!N439</f>
        <v>A7S6</v>
      </c>
      <c r="K439" s="44" t="str">
        <f>'Input - Bookings'!O439</f>
        <v>GP50UXS6</v>
      </c>
      <c r="L439" s="44" t="str">
        <f>'Input - Bookings'!C439</f>
        <v>USD</v>
      </c>
      <c r="M439" s="46" t="str">
        <f t="array" ref="M439">IF(L439="USD",INDEX('AP Plants'!A:A,MATCH(J439,'AP Plants'!D:D,0)),INDEX('Australia Plants'!A:A,MATCH(J439,'Australia Plants'!D:D,0)))</f>
        <v>Maximal</v>
      </c>
      <c r="N439" s="10">
        <v>1.0</v>
      </c>
      <c r="O439" s="9">
        <v>40686.0</v>
      </c>
      <c r="P439" s="9">
        <v>29906.45</v>
      </c>
      <c r="Q439" s="47">
        <v>0.29239553189635903</v>
      </c>
      <c r="R439" s="48">
        <f t="shared" si="3"/>
        <v>0.2649449442</v>
      </c>
      <c r="S439" s="49">
        <f t="shared" si="4"/>
        <v>0</v>
      </c>
      <c r="T439" s="49">
        <f t="shared" si="21"/>
        <v>0.2923955319</v>
      </c>
      <c r="U439" s="50" t="str">
        <f t="shared" si="6"/>
        <v>AOP</v>
      </c>
      <c r="V439" s="51">
        <f t="shared" si="28"/>
        <v>8744.512355</v>
      </c>
      <c r="W439" s="52">
        <f t="shared" si="8"/>
        <v>8744.512355</v>
      </c>
      <c r="X439" s="9">
        <f t="shared" si="25"/>
        <v>29906.45</v>
      </c>
      <c r="Y439" s="8"/>
      <c r="Z439" s="8"/>
      <c r="AA439" s="8"/>
      <c r="AB439" s="8" t="str">
        <f t="shared" si="10"/>
        <v>PNZH39467GP50UXS6</v>
      </c>
      <c r="AC439" s="8" t="str">
        <f>IF(AB439='Input - Bookings'!S672,"OK","Check")</f>
        <v>Check</v>
      </c>
      <c r="AD439" s="60"/>
      <c r="AE439" s="54"/>
      <c r="AF439" s="54"/>
      <c r="AG439" s="55"/>
      <c r="AH439" s="62"/>
      <c r="AI439" s="8" t="str">
        <f t="array" ref="AI439">XLOOKUP($J439,'AP Plants'!D:D,'AP Plants'!B:B)</f>
        <v>Class 5 NOT BT</v>
      </c>
      <c r="AJ439" s="56"/>
      <c r="AK439" s="56"/>
      <c r="AL439" s="49">
        <v>0.015</v>
      </c>
      <c r="AM439" s="49">
        <f t="array" ref="AM439">XLOOKUP($AI439,Warranty!B:B,Warranty!E:E)</f>
        <v>0.005</v>
      </c>
      <c r="AN439" s="8">
        <f>IF($L439="AUD",VLOOKUP(RIGHT('Wk - Margins'!$J439,3),'AU Freight'!C:G,5,0),0)</f>
        <v>0</v>
      </c>
      <c r="AO439" s="49">
        <f t="shared" si="11"/>
        <v>0</v>
      </c>
      <c r="AP439" s="57">
        <f t="shared" si="12"/>
        <v>0</v>
      </c>
      <c r="AQ439" s="58">
        <f t="shared" si="13"/>
        <v>1</v>
      </c>
      <c r="AR439" s="59">
        <f>IF(L439="AUD",O439*'Currency &amp; Conversion'!$L$7,'Wk - Margins'!O439)</f>
        <v>40686</v>
      </c>
      <c r="AS439" s="59">
        <f>IF(L439="AUD",P439*'Currency &amp; Conversion'!$L$7,'Wk - Margins'!P439)</f>
        <v>29906.45</v>
      </c>
    </row>
    <row r="440" ht="12.75" hidden="1" customHeight="1">
      <c r="A440" s="42" t="str">
        <f>'Input - Bookings'!A440</f>
        <v>27/06/2023</v>
      </c>
      <c r="B440" s="43" t="str">
        <f t="shared" si="1"/>
        <v>Pacific</v>
      </c>
      <c r="C440" s="43" t="str">
        <f t="shared" si="2"/>
        <v>PNZ</v>
      </c>
      <c r="D440" s="43" t="str">
        <f>'Input - Bookings'!D440</f>
        <v>P</v>
      </c>
      <c r="E440" s="43" t="str">
        <f>'Input - Bookings'!J440</f>
        <v>NZ</v>
      </c>
      <c r="F440" s="44" t="str">
        <f>'Input - Bookings'!F440</f>
        <v>067</v>
      </c>
      <c r="G440" s="44" t="str">
        <f>'Input - Bookings'!I440</f>
        <v>S.G EQUIPMENT LTD</v>
      </c>
      <c r="H440" s="44" t="str">
        <f>'Input - Bookings'!K440</f>
        <v>H39465</v>
      </c>
      <c r="I440" s="45" t="str">
        <f>VLOOKUP(H440,'Input - Bookings'!$G$2:$H$611,2,0)</f>
        <v>862065</v>
      </c>
      <c r="J440" s="44" t="str">
        <f>'Input - Bookings'!N440</f>
        <v>A7S6</v>
      </c>
      <c r="K440" s="44" t="str">
        <f>'Input - Bookings'!O440</f>
        <v>GP50UXS6</v>
      </c>
      <c r="L440" s="44" t="str">
        <f>'Input - Bookings'!C440</f>
        <v>USD</v>
      </c>
      <c r="M440" s="46" t="str">
        <f t="array" ref="M440">IF(L440="USD",INDEX('AP Plants'!A:A,MATCH(J440,'AP Plants'!D:D,0)),INDEX('Australia Plants'!A:A,MATCH(J440,'Australia Plants'!D:D,0)))</f>
        <v>Maximal</v>
      </c>
      <c r="N440" s="10">
        <v>1.0</v>
      </c>
      <c r="O440" s="9">
        <v>38458.0</v>
      </c>
      <c r="P440" s="9">
        <v>28124.05</v>
      </c>
      <c r="Q440" s="47">
        <v>0.28798742165265867</v>
      </c>
      <c r="R440" s="48">
        <f t="shared" si="3"/>
        <v>0.2687074211</v>
      </c>
      <c r="S440" s="49">
        <f t="shared" si="4"/>
        <v>0</v>
      </c>
      <c r="T440" s="49">
        <f t="shared" si="21"/>
        <v>0.2879874217</v>
      </c>
      <c r="U440" s="50" t="str">
        <f t="shared" si="6"/>
        <v>AOP</v>
      </c>
      <c r="V440" s="51">
        <f t="shared" si="28"/>
        <v>8099.372646</v>
      </c>
      <c r="W440" s="52">
        <f t="shared" si="8"/>
        <v>8099.372646</v>
      </c>
      <c r="X440" s="9">
        <f t="shared" si="25"/>
        <v>28124.05</v>
      </c>
      <c r="Y440" s="8"/>
      <c r="Z440" s="8"/>
      <c r="AA440" s="8"/>
      <c r="AB440" s="8" t="str">
        <f t="shared" si="10"/>
        <v>PNZH39465GP50UXS6</v>
      </c>
      <c r="AC440" s="8" t="str">
        <f>IF(AB440='Input - Bookings'!S673,"OK","Check")</f>
        <v>Check</v>
      </c>
      <c r="AD440" s="60"/>
      <c r="AE440" s="54"/>
      <c r="AF440" s="54"/>
      <c r="AG440" s="55"/>
      <c r="AH440" s="55"/>
      <c r="AI440" s="8" t="str">
        <f t="array" ref="AI440">XLOOKUP($J440,'AP Plants'!D:D,'AP Plants'!B:B)</f>
        <v>Class 5 NOT BT</v>
      </c>
      <c r="AJ440" s="56"/>
      <c r="AK440" s="56"/>
      <c r="AL440" s="49">
        <v>0.015</v>
      </c>
      <c r="AM440" s="49">
        <f t="array" ref="AM440">XLOOKUP($AI440,Warranty!B:B,Warranty!E:E)</f>
        <v>0.005</v>
      </c>
      <c r="AN440" s="8">
        <f>IF($L440="AUD",VLOOKUP(RIGHT('Wk - Margins'!$J440,3),'AU Freight'!C:G,5,0),0)</f>
        <v>0</v>
      </c>
      <c r="AO440" s="49">
        <f t="shared" si="11"/>
        <v>0</v>
      </c>
      <c r="AP440" s="57">
        <f t="shared" si="12"/>
        <v>0</v>
      </c>
      <c r="AQ440" s="58">
        <f t="shared" si="13"/>
        <v>1</v>
      </c>
      <c r="AR440" s="59">
        <f>IF(L440="AUD",O440*'Currency &amp; Conversion'!$L$7,'Wk - Margins'!O440)</f>
        <v>38458</v>
      </c>
      <c r="AS440" s="59">
        <f>IF(L440="AUD",P440*'Currency &amp; Conversion'!$L$7,'Wk - Margins'!P440)</f>
        <v>28124.05</v>
      </c>
    </row>
    <row r="441" ht="12.75" hidden="1" customHeight="1">
      <c r="A441" s="42" t="str">
        <f>'Input - Bookings'!A441</f>
        <v>27/06/2023</v>
      </c>
      <c r="B441" s="43" t="str">
        <f t="shared" si="1"/>
        <v>Pacific</v>
      </c>
      <c r="C441" s="43" t="str">
        <f t="shared" si="2"/>
        <v>PNZ</v>
      </c>
      <c r="D441" s="43" t="str">
        <f>'Input - Bookings'!D441</f>
        <v>P</v>
      </c>
      <c r="E441" s="43" t="str">
        <f>'Input - Bookings'!J441</f>
        <v>NZ</v>
      </c>
      <c r="F441" s="44" t="str">
        <f>'Input - Bookings'!F441</f>
        <v>067</v>
      </c>
      <c r="G441" s="44" t="str">
        <f>'Input - Bookings'!I441</f>
        <v>S.G EQUIPMENT LTD</v>
      </c>
      <c r="H441" s="44" t="str">
        <f>'Input - Bookings'!K441</f>
        <v>H39463</v>
      </c>
      <c r="I441" s="45" t="str">
        <f>VLOOKUP(H441,'Input - Bookings'!$G$2:$H$611,2,0)</f>
        <v>862065</v>
      </c>
      <c r="J441" s="44" t="str">
        <f>'Input - Bookings'!N441</f>
        <v>A7S6</v>
      </c>
      <c r="K441" s="44" t="str">
        <f>'Input - Bookings'!O441</f>
        <v>GP50UXS6</v>
      </c>
      <c r="L441" s="44" t="str">
        <f>'Input - Bookings'!C441</f>
        <v>USD</v>
      </c>
      <c r="M441" s="46" t="str">
        <f t="array" ref="M441">IF(L441="USD",INDEX('AP Plants'!A:A,MATCH(J441,'AP Plants'!D:D,0)),INDEX('Australia Plants'!A:A,MATCH(J441,'Australia Plants'!D:D,0)))</f>
        <v>Maximal</v>
      </c>
      <c r="N441" s="10">
        <v>1.0</v>
      </c>
      <c r="O441" s="9">
        <v>39256.0</v>
      </c>
      <c r="P441" s="9">
        <v>28762.45</v>
      </c>
      <c r="Q441" s="47">
        <v>0.28363878913548823</v>
      </c>
      <c r="R441" s="48">
        <f t="shared" si="3"/>
        <v>0.2673107296</v>
      </c>
      <c r="S441" s="49">
        <f t="shared" si="4"/>
        <v>0</v>
      </c>
      <c r="T441" s="49">
        <f t="shared" si="21"/>
        <v>0.2836387891</v>
      </c>
      <c r="U441" s="50" t="str">
        <f t="shared" si="6"/>
        <v>AOP</v>
      </c>
      <c r="V441" s="51">
        <f t="shared" si="28"/>
        <v>8158.146491</v>
      </c>
      <c r="W441" s="52">
        <f t="shared" si="8"/>
        <v>8158.146491</v>
      </c>
      <c r="X441" s="9">
        <f t="shared" si="25"/>
        <v>28762.45</v>
      </c>
      <c r="Y441" s="8"/>
      <c r="Z441" s="8"/>
      <c r="AA441" s="8"/>
      <c r="AB441" s="8" t="str">
        <f t="shared" si="10"/>
        <v>PNZH39463GP50UXS6</v>
      </c>
      <c r="AC441" s="8" t="str">
        <f>IF(AB441='Input - Bookings'!S674,"OK","Check")</f>
        <v>Check</v>
      </c>
      <c r="AD441" s="60"/>
      <c r="AE441" s="54"/>
      <c r="AF441" s="54"/>
      <c r="AG441" s="55"/>
      <c r="AH441" s="62"/>
      <c r="AI441" s="8" t="str">
        <f t="array" ref="AI441">XLOOKUP($J441,'AP Plants'!D:D,'AP Plants'!B:B)</f>
        <v>Class 5 NOT BT</v>
      </c>
      <c r="AJ441" s="56"/>
      <c r="AK441" s="56"/>
      <c r="AL441" s="49">
        <v>0.015</v>
      </c>
      <c r="AM441" s="49">
        <f t="array" ref="AM441">XLOOKUP($AI441,Warranty!B:B,Warranty!E:E)</f>
        <v>0.005</v>
      </c>
      <c r="AN441" s="8">
        <f>IF($L441="AUD",VLOOKUP(RIGHT('Wk - Margins'!$J441,3),'AU Freight'!C:G,5,0),0)</f>
        <v>0</v>
      </c>
      <c r="AO441" s="49">
        <f t="shared" si="11"/>
        <v>0</v>
      </c>
      <c r="AP441" s="57">
        <f t="shared" si="12"/>
        <v>0</v>
      </c>
      <c r="AQ441" s="58">
        <f t="shared" si="13"/>
        <v>1</v>
      </c>
      <c r="AR441" s="59">
        <f>IF(L441="AUD",O441*'Currency &amp; Conversion'!$L$7,'Wk - Margins'!O441)</f>
        <v>39256</v>
      </c>
      <c r="AS441" s="59">
        <f>IF(L441="AUD",P441*'Currency &amp; Conversion'!$L$7,'Wk - Margins'!P441)</f>
        <v>28762.45</v>
      </c>
    </row>
    <row r="442" ht="12.75" hidden="1" customHeight="1">
      <c r="A442" s="42" t="str">
        <f>'Input - Bookings'!A442</f>
        <v>27/06/2023</v>
      </c>
      <c r="B442" s="43" t="str">
        <f t="shared" si="1"/>
        <v>Pacific</v>
      </c>
      <c r="C442" s="43" t="str">
        <f t="shared" si="2"/>
        <v>PNZ</v>
      </c>
      <c r="D442" s="43" t="str">
        <f>'Input - Bookings'!D442</f>
        <v>P</v>
      </c>
      <c r="E442" s="43" t="str">
        <f>'Input - Bookings'!J442</f>
        <v>NZ</v>
      </c>
      <c r="F442" s="44" t="str">
        <f>'Input - Bookings'!F442</f>
        <v>067</v>
      </c>
      <c r="G442" s="44" t="str">
        <f>'Input - Bookings'!I442</f>
        <v>S.G EQUIPMENT LTD</v>
      </c>
      <c r="H442" s="44" t="str">
        <f>'Input - Bookings'!K442</f>
        <v>H39464</v>
      </c>
      <c r="I442" s="45" t="str">
        <f>VLOOKUP(H442,'Input - Bookings'!$G$2:$H$611,2,0)</f>
        <v>862065</v>
      </c>
      <c r="J442" s="44" t="str">
        <f>'Input - Bookings'!N442</f>
        <v>A7S6</v>
      </c>
      <c r="K442" s="44" t="str">
        <f>'Input - Bookings'!O442</f>
        <v>GP50UXS6</v>
      </c>
      <c r="L442" s="44" t="str">
        <f>'Input - Bookings'!C442</f>
        <v>USD</v>
      </c>
      <c r="M442" s="46" t="str">
        <f t="array" ref="M442">IF(L442="USD",INDEX('AP Plants'!A:A,MATCH(J442,'AP Plants'!D:D,0)),INDEX('Australia Plants'!A:A,MATCH(J442,'Australia Plants'!D:D,0)))</f>
        <v>Maximal</v>
      </c>
      <c r="N442" s="10">
        <v>1.0</v>
      </c>
      <c r="O442" s="9">
        <v>37073.0</v>
      </c>
      <c r="P442" s="9">
        <v>27016.05</v>
      </c>
      <c r="Q442" s="47">
        <v>0.2784648789738663</v>
      </c>
      <c r="R442" s="48">
        <f t="shared" si="3"/>
        <v>0.2712742427</v>
      </c>
      <c r="S442" s="49">
        <f t="shared" si="4"/>
        <v>0</v>
      </c>
      <c r="T442" s="49">
        <f t="shared" si="21"/>
        <v>0.278464879</v>
      </c>
      <c r="U442" s="50" t="str">
        <f t="shared" si="6"/>
        <v>AOP</v>
      </c>
      <c r="V442" s="51">
        <f t="shared" si="28"/>
        <v>7523.021094</v>
      </c>
      <c r="W442" s="52">
        <f t="shared" si="8"/>
        <v>7523.021094</v>
      </c>
      <c r="X442" s="9">
        <f t="shared" si="25"/>
        <v>27016.05</v>
      </c>
      <c r="Y442" s="8"/>
      <c r="Z442" s="8"/>
      <c r="AA442" s="8"/>
      <c r="AB442" s="8" t="str">
        <f t="shared" si="10"/>
        <v>PNZH39464GP50UXS6</v>
      </c>
      <c r="AC442" s="8" t="str">
        <f>IF(AB442='Input - Bookings'!S675,"OK","Check")</f>
        <v>Check</v>
      </c>
      <c r="AD442" s="60"/>
      <c r="AE442" s="54"/>
      <c r="AF442" s="54"/>
      <c r="AG442" s="55"/>
      <c r="AH442" s="62"/>
      <c r="AI442" s="8" t="str">
        <f t="array" ref="AI442">XLOOKUP($J442,'AP Plants'!D:D,'AP Plants'!B:B)</f>
        <v>Class 5 NOT BT</v>
      </c>
      <c r="AJ442" s="56"/>
      <c r="AK442" s="56"/>
      <c r="AL442" s="49">
        <v>0.015</v>
      </c>
      <c r="AM442" s="49">
        <f t="array" ref="AM442">XLOOKUP($AI442,Warranty!B:B,Warranty!E:E)</f>
        <v>0.005</v>
      </c>
      <c r="AN442" s="8">
        <f>IF($L442="AUD",VLOOKUP(RIGHT('Wk - Margins'!$J442,3),'AU Freight'!C:G,5,0),0)</f>
        <v>0</v>
      </c>
      <c r="AO442" s="49">
        <f t="shared" si="11"/>
        <v>0</v>
      </c>
      <c r="AP442" s="57">
        <f t="shared" si="12"/>
        <v>0</v>
      </c>
      <c r="AQ442" s="58">
        <f t="shared" si="13"/>
        <v>1</v>
      </c>
      <c r="AR442" s="59">
        <f>IF(L442="AUD",O442*'Currency &amp; Conversion'!$L$7,'Wk - Margins'!O442)</f>
        <v>37073</v>
      </c>
      <c r="AS442" s="59">
        <f>IF(L442="AUD",P442*'Currency &amp; Conversion'!$L$7,'Wk - Margins'!P442)</f>
        <v>27016.05</v>
      </c>
    </row>
    <row r="443" ht="12.75" hidden="1" customHeight="1">
      <c r="A443" s="42" t="str">
        <f>'Input - Bookings'!A443</f>
        <v>27/06/2023</v>
      </c>
      <c r="B443" s="43" t="str">
        <f t="shared" si="1"/>
        <v>Pacific</v>
      </c>
      <c r="C443" s="43" t="str">
        <f t="shared" si="2"/>
        <v>PNZ</v>
      </c>
      <c r="D443" s="43" t="str">
        <f>'Input - Bookings'!D443</f>
        <v>P</v>
      </c>
      <c r="E443" s="43" t="str">
        <f>'Input - Bookings'!J443</f>
        <v>NZ</v>
      </c>
      <c r="F443" s="44" t="str">
        <f>'Input - Bookings'!F443</f>
        <v>067</v>
      </c>
      <c r="G443" s="44" t="str">
        <f>'Input - Bookings'!I443</f>
        <v>S.G EQUIPMENT LTD</v>
      </c>
      <c r="H443" s="44" t="str">
        <f>'Input - Bookings'!K443</f>
        <v>H39468</v>
      </c>
      <c r="I443" s="45" t="str">
        <f>VLOOKUP(H443,'Input - Bookings'!$G$2:$H$611,2,0)</f>
        <v>862065</v>
      </c>
      <c r="J443" s="44" t="str">
        <f>'Input - Bookings'!N443</f>
        <v>A7S6</v>
      </c>
      <c r="K443" s="44" t="str">
        <f>'Input - Bookings'!O443</f>
        <v>GP50UXS6</v>
      </c>
      <c r="L443" s="44" t="str">
        <f>'Input - Bookings'!C443</f>
        <v>USD</v>
      </c>
      <c r="M443" s="46" t="str">
        <f t="array" ref="M443">IF(L443="USD",INDEX('AP Plants'!A:A,MATCH(J443,'AP Plants'!D:D,0)),INDEX('Australia Plants'!A:A,MATCH(J443,'Australia Plants'!D:D,0)))</f>
        <v>Maximal</v>
      </c>
      <c r="N443" s="10">
        <v>1.0</v>
      </c>
      <c r="O443" s="9">
        <v>37073.0</v>
      </c>
      <c r="P443" s="9">
        <v>27016.05</v>
      </c>
      <c r="Q443" s="47">
        <v>0.2784648789738663</v>
      </c>
      <c r="R443" s="48">
        <f t="shared" si="3"/>
        <v>0.2712742427</v>
      </c>
      <c r="S443" s="49">
        <f t="shared" si="4"/>
        <v>0</v>
      </c>
      <c r="T443" s="49">
        <f t="shared" si="21"/>
        <v>0.278464879</v>
      </c>
      <c r="U443" s="50" t="str">
        <f t="shared" si="6"/>
        <v>AOP</v>
      </c>
      <c r="V443" s="51">
        <f t="shared" si="28"/>
        <v>7523.021094</v>
      </c>
      <c r="W443" s="52">
        <f t="shared" si="8"/>
        <v>7523.021094</v>
      </c>
      <c r="X443" s="9">
        <f t="shared" si="25"/>
        <v>27016.05</v>
      </c>
      <c r="Y443" s="8"/>
      <c r="Z443" s="8"/>
      <c r="AA443" s="8"/>
      <c r="AB443" s="8" t="str">
        <f t="shared" si="10"/>
        <v>PNZH39468GP50UXS6</v>
      </c>
      <c r="AC443" s="8" t="str">
        <f>IF(AB443='Input - Bookings'!S676,"OK","Check")</f>
        <v>Check</v>
      </c>
      <c r="AD443" s="60"/>
      <c r="AE443" s="54"/>
      <c r="AF443" s="54"/>
      <c r="AG443" s="55"/>
      <c r="AH443" s="55"/>
      <c r="AI443" s="8" t="str">
        <f t="array" ref="AI443">XLOOKUP($J443,'AP Plants'!D:D,'AP Plants'!B:B)</f>
        <v>Class 5 NOT BT</v>
      </c>
      <c r="AJ443" s="56"/>
      <c r="AK443" s="56"/>
      <c r="AL443" s="49">
        <v>0.015</v>
      </c>
      <c r="AM443" s="49">
        <f t="array" ref="AM443">XLOOKUP($AI443,Warranty!B:B,Warranty!E:E)</f>
        <v>0.005</v>
      </c>
      <c r="AN443" s="8">
        <f>IF($L443="AUD",VLOOKUP(RIGHT('Wk - Margins'!$J443,3),'AU Freight'!C:G,5,0),0)</f>
        <v>0</v>
      </c>
      <c r="AO443" s="49">
        <f t="shared" si="11"/>
        <v>0</v>
      </c>
      <c r="AP443" s="57">
        <f t="shared" si="12"/>
        <v>0</v>
      </c>
      <c r="AQ443" s="58">
        <f t="shared" si="13"/>
        <v>1</v>
      </c>
      <c r="AR443" s="59">
        <f>IF(L443="AUD",O443*'Currency &amp; Conversion'!$L$7,'Wk - Margins'!O443)</f>
        <v>37073</v>
      </c>
      <c r="AS443" s="59">
        <f>IF(L443="AUD",P443*'Currency &amp; Conversion'!$L$7,'Wk - Margins'!P443)</f>
        <v>27016.05</v>
      </c>
    </row>
    <row r="444" ht="12.75" hidden="1" customHeight="1">
      <c r="A444" s="42" t="str">
        <f>'Input - Bookings'!A444</f>
        <v>27/06/2023</v>
      </c>
      <c r="B444" s="43" t="str">
        <f t="shared" si="1"/>
        <v>Pacific</v>
      </c>
      <c r="C444" s="43" t="str">
        <f t="shared" si="2"/>
        <v>PNZ</v>
      </c>
      <c r="D444" s="43" t="str">
        <f>'Input - Bookings'!D444</f>
        <v>P</v>
      </c>
      <c r="E444" s="43" t="str">
        <f>'Input - Bookings'!J444</f>
        <v>NZ</v>
      </c>
      <c r="F444" s="44" t="str">
        <f>'Input - Bookings'!F444</f>
        <v>067</v>
      </c>
      <c r="G444" s="44" t="str">
        <f>'Input - Bookings'!I444</f>
        <v>S.G EQUIPMENT LTD</v>
      </c>
      <c r="H444" s="44" t="str">
        <f>'Input - Bookings'!K444</f>
        <v>H39469</v>
      </c>
      <c r="I444" s="45" t="str">
        <f>VLOOKUP(H444,'Input - Bookings'!$G$2:$H$611,2,0)</f>
        <v>862065</v>
      </c>
      <c r="J444" s="44" t="str">
        <f>'Input - Bookings'!N444</f>
        <v>A7S6</v>
      </c>
      <c r="K444" s="44" t="str">
        <f>'Input - Bookings'!O444</f>
        <v>GP50UXS6</v>
      </c>
      <c r="L444" s="44" t="str">
        <f>'Input - Bookings'!C444</f>
        <v>USD</v>
      </c>
      <c r="M444" s="46" t="str">
        <f t="array" ref="M444">IF(L444="USD",INDEX('AP Plants'!A:A,MATCH(J444,'AP Plants'!D:D,0)),INDEX('Australia Plants'!A:A,MATCH(J444,'Australia Plants'!D:D,0)))</f>
        <v>Maximal</v>
      </c>
      <c r="N444" s="10">
        <v>1.0</v>
      </c>
      <c r="O444" s="9">
        <v>37073.0</v>
      </c>
      <c r="P444" s="9">
        <v>27016.05</v>
      </c>
      <c r="Q444" s="47">
        <v>0.2784648789738663</v>
      </c>
      <c r="R444" s="48">
        <f t="shared" si="3"/>
        <v>0.2712742427</v>
      </c>
      <c r="S444" s="49">
        <f t="shared" si="4"/>
        <v>0</v>
      </c>
      <c r="T444" s="49">
        <f t="shared" si="21"/>
        <v>0.278464879</v>
      </c>
      <c r="U444" s="50" t="str">
        <f t="shared" si="6"/>
        <v>AOP</v>
      </c>
      <c r="V444" s="51">
        <f t="shared" si="28"/>
        <v>7523.021094</v>
      </c>
      <c r="W444" s="52">
        <f t="shared" si="8"/>
        <v>7523.021094</v>
      </c>
      <c r="X444" s="9">
        <f t="shared" si="25"/>
        <v>27016.05</v>
      </c>
      <c r="Y444" s="8"/>
      <c r="Z444" s="8"/>
      <c r="AA444" s="8"/>
      <c r="AB444" s="8" t="str">
        <f t="shared" si="10"/>
        <v>PNZH39469GP50UXS6</v>
      </c>
      <c r="AC444" s="8" t="str">
        <f>IF(AB444='Input - Bookings'!S677,"OK","Check")</f>
        <v>Check</v>
      </c>
      <c r="AD444" s="60"/>
      <c r="AE444" s="54"/>
      <c r="AF444" s="54"/>
      <c r="AG444" s="55"/>
      <c r="AH444" s="55"/>
      <c r="AI444" s="8" t="str">
        <f t="array" ref="AI444">XLOOKUP($J444,'AP Plants'!D:D,'AP Plants'!B:B)</f>
        <v>Class 5 NOT BT</v>
      </c>
      <c r="AJ444" s="56"/>
      <c r="AK444" s="56"/>
      <c r="AL444" s="49">
        <v>0.015</v>
      </c>
      <c r="AM444" s="49">
        <f t="array" ref="AM444">XLOOKUP($AI444,Warranty!B:B,Warranty!E:E)</f>
        <v>0.005</v>
      </c>
      <c r="AN444" s="8">
        <f>IF($L444="AUD",VLOOKUP(RIGHT('Wk - Margins'!$J444,3),'AU Freight'!C:G,5,0),0)</f>
        <v>0</v>
      </c>
      <c r="AO444" s="49">
        <f t="shared" si="11"/>
        <v>0</v>
      </c>
      <c r="AP444" s="57">
        <f t="shared" si="12"/>
        <v>0</v>
      </c>
      <c r="AQ444" s="58">
        <f t="shared" si="13"/>
        <v>1</v>
      </c>
      <c r="AR444" s="59">
        <f>IF(L444="AUD",O444*'Currency &amp; Conversion'!$L$7,'Wk - Margins'!O444)</f>
        <v>37073</v>
      </c>
      <c r="AS444" s="59">
        <f>IF(L444="AUD",P444*'Currency &amp; Conversion'!$L$7,'Wk - Margins'!P444)</f>
        <v>27016.05</v>
      </c>
    </row>
    <row r="445" ht="12.75" hidden="1" customHeight="1">
      <c r="A445" s="42" t="str">
        <f>'Input - Bookings'!A445</f>
        <v>27/06/2023</v>
      </c>
      <c r="B445" s="43" t="str">
        <f t="shared" si="1"/>
        <v>Pacific</v>
      </c>
      <c r="C445" s="43" t="str">
        <f t="shared" si="2"/>
        <v>PNZ</v>
      </c>
      <c r="D445" s="43" t="str">
        <f>'Input - Bookings'!D445</f>
        <v>P</v>
      </c>
      <c r="E445" s="43" t="str">
        <f>'Input - Bookings'!J445</f>
        <v>NZ</v>
      </c>
      <c r="F445" s="44" t="str">
        <f>'Input - Bookings'!F445</f>
        <v>067</v>
      </c>
      <c r="G445" s="44" t="str">
        <f>'Input - Bookings'!I445</f>
        <v>S.G EQUIPMENT LTD</v>
      </c>
      <c r="H445" s="44" t="str">
        <f>'Input - Bookings'!K445</f>
        <v>H39470</v>
      </c>
      <c r="I445" s="45" t="str">
        <f>VLOOKUP(H445,'Input - Bookings'!$G$2:$H$611,2,0)</f>
        <v>862065</v>
      </c>
      <c r="J445" s="44" t="str">
        <f>'Input - Bookings'!N445</f>
        <v>A7S6</v>
      </c>
      <c r="K445" s="44" t="str">
        <f>'Input - Bookings'!O445</f>
        <v>GP50UXS6</v>
      </c>
      <c r="L445" s="44" t="str">
        <f>'Input - Bookings'!C445</f>
        <v>USD</v>
      </c>
      <c r="M445" s="46" t="str">
        <f t="array" ref="M445">IF(L445="USD",INDEX('AP Plants'!A:A,MATCH(J445,'AP Plants'!D:D,0)),INDEX('Australia Plants'!A:A,MATCH(J445,'Australia Plants'!D:D,0)))</f>
        <v>Maximal</v>
      </c>
      <c r="N445" s="10">
        <v>1.0</v>
      </c>
      <c r="O445" s="9">
        <v>37073.0</v>
      </c>
      <c r="P445" s="9">
        <v>27016.05</v>
      </c>
      <c r="Q445" s="47">
        <v>0.2784648789738663</v>
      </c>
      <c r="R445" s="48">
        <f t="shared" si="3"/>
        <v>0.2712742427</v>
      </c>
      <c r="S445" s="49">
        <f t="shared" si="4"/>
        <v>0</v>
      </c>
      <c r="T445" s="49">
        <f t="shared" si="21"/>
        <v>0.278464879</v>
      </c>
      <c r="U445" s="50" t="str">
        <f t="shared" si="6"/>
        <v>AOP</v>
      </c>
      <c r="V445" s="51">
        <f t="shared" si="28"/>
        <v>7523.021094</v>
      </c>
      <c r="W445" s="52">
        <f t="shared" si="8"/>
        <v>7523.021094</v>
      </c>
      <c r="X445" s="9">
        <f t="shared" si="25"/>
        <v>27016.05</v>
      </c>
      <c r="Y445" s="8"/>
      <c r="Z445" s="8"/>
      <c r="AA445" s="8"/>
      <c r="AB445" s="8" t="str">
        <f t="shared" si="10"/>
        <v>PNZH39470GP50UXS6</v>
      </c>
      <c r="AC445" s="8" t="str">
        <f>IF(AB445='Input - Bookings'!S678,"OK","Check")</f>
        <v>Check</v>
      </c>
      <c r="AD445" s="60"/>
      <c r="AE445" s="54"/>
      <c r="AF445" s="54"/>
      <c r="AG445" s="55"/>
      <c r="AH445" s="62"/>
      <c r="AI445" s="8" t="str">
        <f t="array" ref="AI445">XLOOKUP($J445,'AP Plants'!D:D,'AP Plants'!B:B)</f>
        <v>Class 5 NOT BT</v>
      </c>
      <c r="AJ445" s="56"/>
      <c r="AK445" s="56"/>
      <c r="AL445" s="49">
        <v>0.015</v>
      </c>
      <c r="AM445" s="49">
        <f t="array" ref="AM445">XLOOKUP($AI445,Warranty!B:B,Warranty!E:E)</f>
        <v>0.005</v>
      </c>
      <c r="AN445" s="8">
        <f>IF($L445="AUD",VLOOKUP(RIGHT('Wk - Margins'!$J445,3),'AU Freight'!C:G,5,0),0)</f>
        <v>0</v>
      </c>
      <c r="AO445" s="49">
        <f t="shared" si="11"/>
        <v>0</v>
      </c>
      <c r="AP445" s="57">
        <f t="shared" si="12"/>
        <v>0</v>
      </c>
      <c r="AQ445" s="58">
        <f t="shared" si="13"/>
        <v>1</v>
      </c>
      <c r="AR445" s="59">
        <f>IF(L445="AUD",O445*'Currency &amp; Conversion'!$L$7,'Wk - Margins'!O445)</f>
        <v>37073</v>
      </c>
      <c r="AS445" s="59">
        <f>IF(L445="AUD",P445*'Currency &amp; Conversion'!$L$7,'Wk - Margins'!P445)</f>
        <v>27016.05</v>
      </c>
    </row>
    <row r="446" ht="12.75" hidden="1" customHeight="1">
      <c r="A446" s="42" t="str">
        <f>'Input - Bookings'!A446</f>
        <v>27/06/2023</v>
      </c>
      <c r="B446" s="43" t="str">
        <f t="shared" si="1"/>
        <v>Pacific</v>
      </c>
      <c r="C446" s="43" t="str">
        <f t="shared" si="2"/>
        <v>PNZ</v>
      </c>
      <c r="D446" s="43" t="str">
        <f>'Input - Bookings'!D446</f>
        <v>P</v>
      </c>
      <c r="E446" s="43" t="str">
        <f>'Input - Bookings'!J446</f>
        <v>NZ</v>
      </c>
      <c r="F446" s="44" t="str">
        <f>'Input - Bookings'!F446</f>
        <v>067</v>
      </c>
      <c r="G446" s="44" t="str">
        <f>'Input - Bookings'!I446</f>
        <v>S.G EQUIPMENT LTD</v>
      </c>
      <c r="H446" s="44" t="str">
        <f>'Input - Bookings'!K446</f>
        <v>H39471</v>
      </c>
      <c r="I446" s="45" t="str">
        <f>VLOOKUP(H446,'Input - Bookings'!$G$2:$H$611,2,0)</f>
        <v>862065</v>
      </c>
      <c r="J446" s="44" t="str">
        <f>'Input - Bookings'!N446</f>
        <v>A7S6</v>
      </c>
      <c r="K446" s="44" t="str">
        <f>'Input - Bookings'!O446</f>
        <v>GP50UXS6</v>
      </c>
      <c r="L446" s="44" t="str">
        <f>'Input - Bookings'!C446</f>
        <v>USD</v>
      </c>
      <c r="M446" s="46" t="str">
        <f t="array" ref="M446">IF(L446="USD",INDEX('AP Plants'!A:A,MATCH(J446,'AP Plants'!D:D,0)),INDEX('Australia Plants'!A:A,MATCH(J446,'Australia Plants'!D:D,0)))</f>
        <v>Maximal</v>
      </c>
      <c r="N446" s="10">
        <v>1.0</v>
      </c>
      <c r="O446" s="9">
        <v>37073.0</v>
      </c>
      <c r="P446" s="9">
        <v>27016.05</v>
      </c>
      <c r="Q446" s="47">
        <v>0.2784648789738663</v>
      </c>
      <c r="R446" s="48">
        <f t="shared" si="3"/>
        <v>0.2712742427</v>
      </c>
      <c r="S446" s="49">
        <f t="shared" si="4"/>
        <v>0</v>
      </c>
      <c r="T446" s="49">
        <f t="shared" si="21"/>
        <v>0.278464879</v>
      </c>
      <c r="U446" s="50" t="str">
        <f t="shared" si="6"/>
        <v>AOP</v>
      </c>
      <c r="V446" s="51">
        <f t="shared" si="28"/>
        <v>7523.021094</v>
      </c>
      <c r="W446" s="52">
        <f t="shared" si="8"/>
        <v>7523.021094</v>
      </c>
      <c r="X446" s="9">
        <f t="shared" si="25"/>
        <v>27016.05</v>
      </c>
      <c r="Y446" s="8"/>
      <c r="Z446" s="8"/>
      <c r="AA446" s="8"/>
      <c r="AB446" s="8" t="str">
        <f t="shared" si="10"/>
        <v>PNZH39471GP50UXS6</v>
      </c>
      <c r="AC446" s="8" t="str">
        <f>IF(AB446='Input - Bookings'!S679,"OK","Check")</f>
        <v>Check</v>
      </c>
      <c r="AD446" s="60"/>
      <c r="AE446" s="54"/>
      <c r="AF446" s="54"/>
      <c r="AG446" s="55"/>
      <c r="AH446" s="55"/>
      <c r="AI446" s="8" t="str">
        <f t="array" ref="AI446">XLOOKUP($J446,'AP Plants'!D:D,'AP Plants'!B:B)</f>
        <v>Class 5 NOT BT</v>
      </c>
      <c r="AJ446" s="56"/>
      <c r="AK446" s="56"/>
      <c r="AL446" s="49">
        <v>0.015</v>
      </c>
      <c r="AM446" s="49">
        <f t="array" ref="AM446">XLOOKUP($AI446,Warranty!B:B,Warranty!E:E)</f>
        <v>0.005</v>
      </c>
      <c r="AN446" s="8">
        <f>IF($L446="AUD",VLOOKUP(RIGHT('Wk - Margins'!$J446,3),'AU Freight'!C:G,5,0),0)</f>
        <v>0</v>
      </c>
      <c r="AO446" s="49">
        <f t="shared" si="11"/>
        <v>0</v>
      </c>
      <c r="AP446" s="57">
        <f t="shared" si="12"/>
        <v>0</v>
      </c>
      <c r="AQ446" s="58">
        <f t="shared" si="13"/>
        <v>1</v>
      </c>
      <c r="AR446" s="59">
        <f>IF(L446="AUD",O446*'Currency &amp; Conversion'!$L$7,'Wk - Margins'!O446)</f>
        <v>37073</v>
      </c>
      <c r="AS446" s="59">
        <f>IF(L446="AUD",P446*'Currency &amp; Conversion'!$L$7,'Wk - Margins'!P446)</f>
        <v>27016.05</v>
      </c>
    </row>
    <row r="447" ht="12.75" customHeight="1">
      <c r="A447" s="42" t="str">
        <f>'Input - Bookings'!A447</f>
        <v>28/06/2023</v>
      </c>
      <c r="B447" s="43" t="str">
        <f t="shared" si="1"/>
        <v>Australia</v>
      </c>
      <c r="C447" s="43" t="str">
        <f t="shared" si="2"/>
        <v>PAU</v>
      </c>
      <c r="D447" s="43" t="str">
        <f>'Input - Bookings'!D447</f>
        <v>P</v>
      </c>
      <c r="E447" s="43" t="str">
        <f>'Input - Bookings'!J447</f>
        <v>AU</v>
      </c>
      <c r="F447" s="44" t="str">
        <f>'Input - Bookings'!F447</f>
        <v>065</v>
      </c>
      <c r="G447" s="44" t="str">
        <f>'Input - Bookings'!I447</f>
        <v>ADAPT-A-LIFT GROUP (WA)</v>
      </c>
      <c r="H447" s="44" t="str">
        <f>'Input - Bookings'!K447</f>
        <v>H40773</v>
      </c>
      <c r="I447" s="45" t="str">
        <f>VLOOKUP(H447,'Input - Bookings'!$G$2:$H$611,2,0)</f>
        <v>087605</v>
      </c>
      <c r="J447" s="44" t="str">
        <f>'Input - Bookings'!N447</f>
        <v>R007</v>
      </c>
      <c r="K447" s="44" t="str">
        <f>'Input - Bookings'!O447</f>
        <v>H16XD6</v>
      </c>
      <c r="L447" s="44" t="str">
        <f>'Input - Bookings'!C447</f>
        <v>AUD</v>
      </c>
      <c r="M447" s="46" t="str">
        <f t="array" ref="M447">IF(L447="USD",INDEX('AP Plants'!A:A,MATCH(J447,'AP Plants'!D:D,0)),INDEX('Australia Plants'!A:A,MATCH(J447,'Australia Plants'!D:D,0)))</f>
        <v>Nijmegen</v>
      </c>
      <c r="N447" s="10">
        <v>1.0</v>
      </c>
      <c r="O447" s="9">
        <v>308310.0</v>
      </c>
      <c r="P447" s="9">
        <v>258920.80999999997</v>
      </c>
      <c r="Q447" s="47">
        <f>AQ447</f>
        <v>0.1397934107</v>
      </c>
      <c r="R447" s="48">
        <f t="shared" si="3"/>
        <v>0.1601932795</v>
      </c>
      <c r="S447" s="49">
        <f t="shared" si="4"/>
        <v>0</v>
      </c>
      <c r="T447" s="49">
        <f t="shared" si="21"/>
        <v>0.1397934107</v>
      </c>
      <c r="U447" s="50" t="str">
        <f t="shared" si="6"/>
        <v>AOP</v>
      </c>
      <c r="V447" s="51">
        <f t="shared" si="28"/>
        <v>36195.42314</v>
      </c>
      <c r="W447" s="52" t="str">
        <f t="shared" si="8"/>
        <v>#DIV/0!</v>
      </c>
      <c r="X447" s="9" t="str">
        <f t="shared" si="25"/>
        <v>#DIV/0!</v>
      </c>
      <c r="Y447" s="8"/>
      <c r="Z447" s="8"/>
      <c r="AA447" s="8"/>
      <c r="AB447" s="8" t="str">
        <f t="shared" si="10"/>
        <v>PAUH40773H16XD6</v>
      </c>
      <c r="AC447" s="8" t="str">
        <f>IF(AB447='Input - Bookings'!S680,"OK","Check")</f>
        <v>Check</v>
      </c>
      <c r="AD447" s="53"/>
      <c r="AE447" s="65">
        <v>0.0</v>
      </c>
      <c r="AF447" s="65">
        <v>5000.0</v>
      </c>
      <c r="AG447" s="55"/>
      <c r="AH447" s="55">
        <v>119336.750781</v>
      </c>
      <c r="AI447" s="8" t="str">
        <f t="array" ref="AI447">XLOOKUP($J447,'AP Plants'!D:D,'AP Plants'!B:B)</f>
        <v>Class 5 BT</v>
      </c>
      <c r="AJ447" s="56">
        <f>(AH447*(1+VLOOKUP(M447,'Currency &amp; Conversion'!$F$13:$H$19,2,0))*'Currency &amp; Conversion'!$L$4)+((AE447+AF447)*90%)</f>
        <v>196405.7392</v>
      </c>
      <c r="AK447" s="56"/>
      <c r="AL447" s="49">
        <v>0.015</v>
      </c>
      <c r="AM447" s="49">
        <f t="array" ref="AM447">XLOOKUP($AI447,Warranty!B:B,Warranty!E:E)</f>
        <v>0.013</v>
      </c>
      <c r="AN447" s="8">
        <f>IF($L447="AUD",VLOOKUP(RIGHT('Wk - Margins'!$J447,3),'AU Freight'!C:G,5,0),0)</f>
        <v>11000</v>
      </c>
      <c r="AO447" s="49">
        <f t="shared" si="11"/>
        <v>0.05</v>
      </c>
      <c r="AP447" s="63">
        <f t="shared" si="12"/>
        <v>222725.3869</v>
      </c>
      <c r="AQ447" s="64">
        <f t="shared" si="13"/>
        <v>0.1397934107</v>
      </c>
      <c r="AR447" s="59">
        <f>IF(L447="AUD",O447*'Currency &amp; Conversion'!$L$7,'Wk - Margins'!O447)</f>
        <v>207023.9731</v>
      </c>
      <c r="AS447" s="59">
        <f>IF(L447="AUD",P447*'Currency &amp; Conversion'!$L$7,'Wk - Margins'!P447)</f>
        <v>173860.1239</v>
      </c>
    </row>
    <row r="448" ht="12.75" hidden="1" customHeight="1">
      <c r="A448" s="42" t="str">
        <f>'Input - Bookings'!A448</f>
        <v>28/06/2023</v>
      </c>
      <c r="B448" s="43" t="str">
        <f t="shared" si="1"/>
        <v>Australia</v>
      </c>
      <c r="C448" s="43" t="str">
        <f t="shared" si="2"/>
        <v>PAU</v>
      </c>
      <c r="D448" s="43" t="str">
        <f>'Input - Bookings'!D448</f>
        <v>P</v>
      </c>
      <c r="E448" s="43" t="str">
        <f>'Input - Bookings'!J448</f>
        <v>AU</v>
      </c>
      <c r="F448" s="44" t="str">
        <f>'Input - Bookings'!F448</f>
        <v>065</v>
      </c>
      <c r="G448" s="44" t="str">
        <f>'Input - Bookings'!I448</f>
        <v>ADAPT-A-LIFT GROUP (NSW)</v>
      </c>
      <c r="H448" s="44" t="str">
        <f>'Input - Bookings'!K448</f>
        <v>H40752</v>
      </c>
      <c r="I448" s="45" t="str">
        <f>VLOOKUP(H448,'Input - Bookings'!$G$2:$H$611,2,0)</f>
        <v>087585</v>
      </c>
      <c r="J448" s="44" t="str">
        <f>'Input - Bookings'!N448</f>
        <v>A3C1</v>
      </c>
      <c r="K448" s="44" t="str">
        <f>'Input - Bookings'!O448</f>
        <v>H3.0UT</v>
      </c>
      <c r="L448" s="44" t="str">
        <f>'Input - Bookings'!C448</f>
        <v>AUD</v>
      </c>
      <c r="M448" s="46" t="str">
        <f t="array" ref="M448">IF(L448="USD",INDEX('AP Plants'!A:A,MATCH(J448,'AP Plants'!D:D,0)),INDEX('Australia Plants'!A:A,MATCH(J448,'Australia Plants'!D:D,0)))</f>
        <v>Maximal</v>
      </c>
      <c r="N448" s="10">
        <v>1.0</v>
      </c>
      <c r="O448" s="9">
        <v>30995.0</v>
      </c>
      <c r="P448" s="9">
        <v>22320.875</v>
      </c>
      <c r="Q448" s="47">
        <v>0.15421171368098707</v>
      </c>
      <c r="R448" s="48">
        <f t="shared" si="3"/>
        <v>0.2798556219</v>
      </c>
      <c r="S448" s="49">
        <f t="shared" si="4"/>
        <v>0</v>
      </c>
      <c r="T448" s="49">
        <f t="shared" si="21"/>
        <v>0.1542117137</v>
      </c>
      <c r="U448" s="50" t="str">
        <f t="shared" si="6"/>
        <v>AOP</v>
      </c>
      <c r="V448" s="51">
        <f t="shared" si="28"/>
        <v>3442.140385</v>
      </c>
      <c r="W448" s="52" t="str">
        <f t="shared" si="8"/>
        <v>#DIV/0!</v>
      </c>
      <c r="X448" s="9" t="str">
        <f t="shared" si="25"/>
        <v>#DIV/0!</v>
      </c>
      <c r="Y448" s="8"/>
      <c r="Z448" s="8"/>
      <c r="AA448" s="8"/>
      <c r="AB448" s="8" t="str">
        <f t="shared" si="10"/>
        <v>PAUH40752H3.0UT</v>
      </c>
      <c r="AC448" s="8" t="str">
        <f>IF(AB448='Input - Bookings'!S681,"OK","Check")</f>
        <v>Check</v>
      </c>
      <c r="AD448" s="53"/>
      <c r="AE448" s="65"/>
      <c r="AF448" s="65"/>
      <c r="AG448" s="55"/>
      <c r="AH448" s="62"/>
      <c r="AI448" s="8" t="str">
        <f t="array" ref="AI448">XLOOKUP($J448,'AP Plants'!D:D,'AP Plants'!B:B)</f>
        <v>Class 5 NOT BT</v>
      </c>
      <c r="AJ448" s="56"/>
      <c r="AK448" s="56"/>
      <c r="AL448" s="49">
        <v>0.015</v>
      </c>
      <c r="AM448" s="49">
        <f t="array" ref="AM448">XLOOKUP($AI448,Warranty!B:B,Warranty!E:E)</f>
        <v>0.005</v>
      </c>
      <c r="AN448" s="8">
        <f>IF($L448="AUD",VLOOKUP(RIGHT('Wk - Margins'!$J448,3),'AU Freight'!C:G,5,0),0)</f>
        <v>2000</v>
      </c>
      <c r="AO448" s="49">
        <f t="shared" si="11"/>
        <v>0</v>
      </c>
      <c r="AP448" s="63">
        <f t="shared" si="12"/>
        <v>2000</v>
      </c>
      <c r="AQ448" s="58">
        <f t="shared" si="13"/>
        <v>0.9103977779</v>
      </c>
      <c r="AR448" s="59">
        <f>IF(L448="AUD",O448*'Currency &amp; Conversion'!$L$7,'Wk - Margins'!O448)</f>
        <v>20812.52002</v>
      </c>
      <c r="AS448" s="59">
        <f>IF(L448="AUD",P448*'Currency &amp; Conversion'!$L$7,'Wk - Margins'!P448)</f>
        <v>14988.01929</v>
      </c>
    </row>
    <row r="449" ht="12.75" hidden="1" customHeight="1">
      <c r="A449" s="42" t="str">
        <f>'Input - Bookings'!A449</f>
        <v>28/06/2023</v>
      </c>
      <c r="B449" s="43" t="str">
        <f t="shared" si="1"/>
        <v>Australia</v>
      </c>
      <c r="C449" s="43" t="str">
        <f t="shared" si="2"/>
        <v>PAU</v>
      </c>
      <c r="D449" s="43" t="str">
        <f>'Input - Bookings'!D449</f>
        <v>P</v>
      </c>
      <c r="E449" s="43" t="str">
        <f>'Input - Bookings'!J449</f>
        <v>AU</v>
      </c>
      <c r="F449" s="44" t="str">
        <f>'Input - Bookings'!F449</f>
        <v>065</v>
      </c>
      <c r="G449" s="44" t="str">
        <f>'Input - Bookings'!I449</f>
        <v>ADAPT-A-LIFT GROUP (NSW)</v>
      </c>
      <c r="H449" s="44" t="str">
        <f>'Input - Bookings'!K449</f>
        <v>H40760</v>
      </c>
      <c r="I449" s="45" t="str">
        <f>VLOOKUP(H449,'Input - Bookings'!$G$2:$H$611,2,0)</f>
        <v>087585</v>
      </c>
      <c r="J449" s="44" t="str">
        <f>'Input - Bookings'!N449</f>
        <v>A3C1</v>
      </c>
      <c r="K449" s="44" t="str">
        <f>'Input - Bookings'!O449</f>
        <v>H3.0UT</v>
      </c>
      <c r="L449" s="44" t="str">
        <f>'Input - Bookings'!C449</f>
        <v>AUD</v>
      </c>
      <c r="M449" s="46" t="str">
        <f t="array" ref="M449">IF(L449="USD",INDEX('AP Plants'!A:A,MATCH(J449,'AP Plants'!D:D,0)),INDEX('Australia Plants'!A:A,MATCH(J449,'Australia Plants'!D:D,0)))</f>
        <v>Maximal</v>
      </c>
      <c r="N449" s="10">
        <v>1.0</v>
      </c>
      <c r="O449" s="9">
        <v>30995.0</v>
      </c>
      <c r="P449" s="9">
        <v>22320.875</v>
      </c>
      <c r="Q449" s="47">
        <v>0.15421171368098707</v>
      </c>
      <c r="R449" s="48">
        <f t="shared" si="3"/>
        <v>0.2798556219</v>
      </c>
      <c r="S449" s="49">
        <f t="shared" si="4"/>
        <v>0</v>
      </c>
      <c r="T449" s="49">
        <f t="shared" si="21"/>
        <v>0.1542117137</v>
      </c>
      <c r="U449" s="50" t="str">
        <f t="shared" si="6"/>
        <v>AOP</v>
      </c>
      <c r="V449" s="51">
        <f t="shared" si="28"/>
        <v>3442.140385</v>
      </c>
      <c r="W449" s="52" t="str">
        <f t="shared" si="8"/>
        <v>#DIV/0!</v>
      </c>
      <c r="X449" s="9" t="str">
        <f t="shared" si="25"/>
        <v>#DIV/0!</v>
      </c>
      <c r="Y449" s="8"/>
      <c r="Z449" s="8"/>
      <c r="AA449" s="8"/>
      <c r="AB449" s="8" t="str">
        <f t="shared" si="10"/>
        <v>PAUH40760H3.0UT</v>
      </c>
      <c r="AC449" s="8" t="str">
        <f>IF(AB449='Input - Bookings'!S682,"OK","Check")</f>
        <v>Check</v>
      </c>
      <c r="AD449" s="53"/>
      <c r="AE449" s="65"/>
      <c r="AF449" s="65"/>
      <c r="AG449" s="55"/>
      <c r="AH449" s="62"/>
      <c r="AI449" s="8" t="str">
        <f t="array" ref="AI449">XLOOKUP($J449,'AP Plants'!D:D,'AP Plants'!B:B)</f>
        <v>Class 5 NOT BT</v>
      </c>
      <c r="AJ449" s="56"/>
      <c r="AK449" s="56"/>
      <c r="AL449" s="49">
        <v>0.015</v>
      </c>
      <c r="AM449" s="49">
        <f t="array" ref="AM449">XLOOKUP($AI449,Warranty!B:B,Warranty!E:E)</f>
        <v>0.005</v>
      </c>
      <c r="AN449" s="8">
        <f>IF($L449="AUD",VLOOKUP(RIGHT('Wk - Margins'!$J449,3),'AU Freight'!C:G,5,0),0)</f>
        <v>2000</v>
      </c>
      <c r="AO449" s="49">
        <f t="shared" si="11"/>
        <v>0</v>
      </c>
      <c r="AP449" s="63">
        <f t="shared" si="12"/>
        <v>2000</v>
      </c>
      <c r="AQ449" s="58">
        <f t="shared" si="13"/>
        <v>0.9103977779</v>
      </c>
      <c r="AR449" s="59">
        <f>IF(L449="AUD",O449*'Currency &amp; Conversion'!$L$7,'Wk - Margins'!O449)</f>
        <v>20812.52002</v>
      </c>
      <c r="AS449" s="59">
        <f>IF(L449="AUD",P449*'Currency &amp; Conversion'!$L$7,'Wk - Margins'!P449)</f>
        <v>14988.01929</v>
      </c>
    </row>
    <row r="450" ht="12.75" hidden="1" customHeight="1">
      <c r="A450" s="42" t="str">
        <f>'Input - Bookings'!A450</f>
        <v>28/06/2023</v>
      </c>
      <c r="B450" s="43" t="str">
        <f t="shared" si="1"/>
        <v>Australia</v>
      </c>
      <c r="C450" s="43" t="str">
        <f t="shared" si="2"/>
        <v>PAU</v>
      </c>
      <c r="D450" s="43" t="str">
        <f>'Input - Bookings'!D450</f>
        <v>P</v>
      </c>
      <c r="E450" s="43" t="str">
        <f>'Input - Bookings'!J450</f>
        <v>AU</v>
      </c>
      <c r="F450" s="44" t="str">
        <f>'Input - Bookings'!F450</f>
        <v>065</v>
      </c>
      <c r="G450" s="44" t="str">
        <f>'Input - Bookings'!I450</f>
        <v>ADAPT-A-LIFT GROUP (NSW)</v>
      </c>
      <c r="H450" s="44" t="str">
        <f>'Input - Bookings'!K450</f>
        <v>H40753</v>
      </c>
      <c r="I450" s="45" t="str">
        <f>VLOOKUP(H450,'Input - Bookings'!$G$2:$H$611,2,0)</f>
        <v>087585</v>
      </c>
      <c r="J450" s="44" t="str">
        <f>'Input - Bookings'!N450</f>
        <v>A3C1</v>
      </c>
      <c r="K450" s="44" t="str">
        <f>'Input - Bookings'!O450</f>
        <v>H3.5UT</v>
      </c>
      <c r="L450" s="44" t="str">
        <f>'Input - Bookings'!C450</f>
        <v>AUD</v>
      </c>
      <c r="M450" s="46" t="str">
        <f t="array" ref="M450">IF(L450="USD",INDEX('AP Plants'!A:A,MATCH(J450,'AP Plants'!D:D,0)),INDEX('Australia Plants'!A:A,MATCH(J450,'Australia Plants'!D:D,0)))</f>
        <v>Maximal</v>
      </c>
      <c r="N450" s="10">
        <v>1.0</v>
      </c>
      <c r="O450" s="9">
        <v>35685.0</v>
      </c>
      <c r="P450" s="9">
        <v>25945.5</v>
      </c>
      <c r="Q450" s="47">
        <v>0.16430931021477868</v>
      </c>
      <c r="R450" s="48">
        <f t="shared" si="3"/>
        <v>0.2729298024</v>
      </c>
      <c r="S450" s="49">
        <f t="shared" si="4"/>
        <v>0</v>
      </c>
      <c r="T450" s="49">
        <f t="shared" si="21"/>
        <v>0.1643093102</v>
      </c>
      <c r="U450" s="50" t="str">
        <f t="shared" si="6"/>
        <v>AOP</v>
      </c>
      <c r="V450" s="51">
        <f t="shared" si="28"/>
        <v>4263.087208</v>
      </c>
      <c r="W450" s="52" t="str">
        <f t="shared" si="8"/>
        <v>#DIV/0!</v>
      </c>
      <c r="X450" s="9" t="str">
        <f t="shared" si="25"/>
        <v>#DIV/0!</v>
      </c>
      <c r="Y450" s="8"/>
      <c r="Z450" s="8"/>
      <c r="AA450" s="8"/>
      <c r="AB450" s="8" t="str">
        <f t="shared" si="10"/>
        <v>PAUH40753H3.5UT</v>
      </c>
      <c r="AC450" s="8" t="str">
        <f>IF(AB450='Input - Bookings'!S683,"OK","Check")</f>
        <v>Check</v>
      </c>
      <c r="AD450" s="53"/>
      <c r="AE450" s="65"/>
      <c r="AF450" s="65"/>
      <c r="AG450" s="55"/>
      <c r="AH450" s="62"/>
      <c r="AI450" s="8" t="str">
        <f t="array" ref="AI450">XLOOKUP($J450,'AP Plants'!D:D,'AP Plants'!B:B)</f>
        <v>Class 5 NOT BT</v>
      </c>
      <c r="AJ450" s="56"/>
      <c r="AK450" s="56"/>
      <c r="AL450" s="49">
        <v>0.015</v>
      </c>
      <c r="AM450" s="49">
        <f t="array" ref="AM450">XLOOKUP($AI450,Warranty!B:B,Warranty!E:E)</f>
        <v>0.005</v>
      </c>
      <c r="AN450" s="8">
        <f>IF($L450="AUD",VLOOKUP(RIGHT('Wk - Margins'!$J450,3),'AU Freight'!C:G,5,0),0)</f>
        <v>2000</v>
      </c>
      <c r="AO450" s="49">
        <f t="shared" si="11"/>
        <v>0</v>
      </c>
      <c r="AP450" s="63">
        <f t="shared" si="12"/>
        <v>2000</v>
      </c>
      <c r="AQ450" s="58">
        <f t="shared" si="13"/>
        <v>0.9229153418</v>
      </c>
      <c r="AR450" s="59">
        <f>IF(L450="AUD",O450*'Currency &amp; Conversion'!$L$7,'Wk - Margins'!O450)</f>
        <v>23961.76083</v>
      </c>
      <c r="AS450" s="59">
        <f>IF(L450="AUD",P450*'Currency &amp; Conversion'!$L$7,'Wk - Margins'!P450)</f>
        <v>17421.88218</v>
      </c>
    </row>
    <row r="451" ht="12.75" hidden="1" customHeight="1">
      <c r="A451" s="42" t="str">
        <f>'Input - Bookings'!A451</f>
        <v>28/06/2023</v>
      </c>
      <c r="B451" s="43" t="str">
        <f t="shared" si="1"/>
        <v>Australia</v>
      </c>
      <c r="C451" s="43" t="str">
        <f t="shared" si="2"/>
        <v>PAU</v>
      </c>
      <c r="D451" s="43" t="str">
        <f>'Input - Bookings'!D451</f>
        <v>P</v>
      </c>
      <c r="E451" s="43" t="str">
        <f>'Input - Bookings'!J451</f>
        <v>AU</v>
      </c>
      <c r="F451" s="44" t="str">
        <f>'Input - Bookings'!F451</f>
        <v>065</v>
      </c>
      <c r="G451" s="44" t="str">
        <f>'Input - Bookings'!I451</f>
        <v>ADAPT-A-LIFT GROUP (NSW)</v>
      </c>
      <c r="H451" s="44" t="str">
        <f>'Input - Bookings'!K451</f>
        <v>H40761</v>
      </c>
      <c r="I451" s="45" t="str">
        <f>VLOOKUP(H451,'Input - Bookings'!$G$2:$H$611,2,0)</f>
        <v>087585</v>
      </c>
      <c r="J451" s="44" t="str">
        <f>'Input - Bookings'!N451</f>
        <v>A3C1</v>
      </c>
      <c r="K451" s="44" t="str">
        <f>'Input - Bookings'!O451</f>
        <v>H3.5UT</v>
      </c>
      <c r="L451" s="44" t="str">
        <f>'Input - Bookings'!C451</f>
        <v>AUD</v>
      </c>
      <c r="M451" s="46" t="str">
        <f t="array" ref="M451">IF(L451="USD",INDEX('AP Plants'!A:A,MATCH(J451,'AP Plants'!D:D,0)),INDEX('Australia Plants'!A:A,MATCH(J451,'Australia Plants'!D:D,0)))</f>
        <v>Maximal</v>
      </c>
      <c r="N451" s="10">
        <v>1.0</v>
      </c>
      <c r="O451" s="9">
        <v>35685.0</v>
      </c>
      <c r="P451" s="9">
        <v>25945.5</v>
      </c>
      <c r="Q451" s="47">
        <v>0.16430931021477868</v>
      </c>
      <c r="R451" s="48">
        <f t="shared" si="3"/>
        <v>0.2729298024</v>
      </c>
      <c r="S451" s="49">
        <f t="shared" si="4"/>
        <v>0</v>
      </c>
      <c r="T451" s="49">
        <f t="shared" si="21"/>
        <v>0.1643093102</v>
      </c>
      <c r="U451" s="50" t="str">
        <f t="shared" si="6"/>
        <v>AOP</v>
      </c>
      <c r="V451" s="51">
        <f t="shared" si="28"/>
        <v>4263.087208</v>
      </c>
      <c r="W451" s="52" t="str">
        <f t="shared" si="8"/>
        <v>#DIV/0!</v>
      </c>
      <c r="X451" s="9" t="str">
        <f t="shared" si="25"/>
        <v>#DIV/0!</v>
      </c>
      <c r="Y451" s="8"/>
      <c r="Z451" s="8"/>
      <c r="AA451" s="8"/>
      <c r="AB451" s="8" t="str">
        <f t="shared" si="10"/>
        <v>PAUH40761H3.5UT</v>
      </c>
      <c r="AC451" s="8" t="str">
        <f>IF(AB451='Input - Bookings'!S684,"OK","Check")</f>
        <v>Check</v>
      </c>
      <c r="AD451" s="53"/>
      <c r="AE451" s="65"/>
      <c r="AF451" s="65"/>
      <c r="AG451" s="55"/>
      <c r="AH451" s="55"/>
      <c r="AI451" s="8" t="str">
        <f t="array" ref="AI451">XLOOKUP($J451,'AP Plants'!D:D,'AP Plants'!B:B)</f>
        <v>Class 5 NOT BT</v>
      </c>
      <c r="AJ451" s="56"/>
      <c r="AK451" s="56"/>
      <c r="AL451" s="49">
        <v>0.015</v>
      </c>
      <c r="AM451" s="49">
        <f t="array" ref="AM451">XLOOKUP($AI451,Warranty!B:B,Warranty!E:E)</f>
        <v>0.005</v>
      </c>
      <c r="AN451" s="8">
        <f>IF($L451="AUD",VLOOKUP(RIGHT('Wk - Margins'!$J451,3),'AU Freight'!C:G,5,0),0)</f>
        <v>2000</v>
      </c>
      <c r="AO451" s="49">
        <f t="shared" si="11"/>
        <v>0</v>
      </c>
      <c r="AP451" s="63">
        <f t="shared" si="12"/>
        <v>2000</v>
      </c>
      <c r="AQ451" s="58">
        <f t="shared" si="13"/>
        <v>0.9229153418</v>
      </c>
      <c r="AR451" s="59">
        <f>IF(L451="AUD",O451*'Currency &amp; Conversion'!$L$7,'Wk - Margins'!O451)</f>
        <v>23961.76083</v>
      </c>
      <c r="AS451" s="59">
        <f>IF(L451="AUD",P451*'Currency &amp; Conversion'!$L$7,'Wk - Margins'!P451)</f>
        <v>17421.88218</v>
      </c>
    </row>
    <row r="452" ht="12.75" hidden="1" customHeight="1">
      <c r="A452" s="42" t="str">
        <f>'Input - Bookings'!A452</f>
        <v>28/06/2023</v>
      </c>
      <c r="B452" s="43" t="str">
        <f t="shared" si="1"/>
        <v>Australia</v>
      </c>
      <c r="C452" s="43" t="str">
        <f t="shared" si="2"/>
        <v>PAU</v>
      </c>
      <c r="D452" s="43" t="str">
        <f>'Input - Bookings'!D452</f>
        <v>P</v>
      </c>
      <c r="E452" s="43" t="str">
        <f>'Input - Bookings'!J452</f>
        <v>AU</v>
      </c>
      <c r="F452" s="44" t="str">
        <f>'Input - Bookings'!F452</f>
        <v>065</v>
      </c>
      <c r="G452" s="44" t="str">
        <f>'Input - Bookings'!I452</f>
        <v>ADAPT-A-LIFT GROUP (NSW)</v>
      </c>
      <c r="H452" s="44" t="str">
        <f>'Input - Bookings'!K452</f>
        <v>H40754</v>
      </c>
      <c r="I452" s="45" t="str">
        <f>VLOOKUP(H452,'Input - Bookings'!$G$2:$H$611,2,0)</f>
        <v>087585</v>
      </c>
      <c r="J452" s="44" t="str">
        <f>'Input - Bookings'!N452</f>
        <v>A3C6</v>
      </c>
      <c r="K452" s="44" t="str">
        <f>'Input - Bookings'!O452</f>
        <v>H5.0UT</v>
      </c>
      <c r="L452" s="44" t="str">
        <f>'Input - Bookings'!C452</f>
        <v>AUD</v>
      </c>
      <c r="M452" s="46" t="str">
        <f t="array" ref="M452">IF(L452="USD",INDEX('AP Plants'!A:A,MATCH(J452,'AP Plants'!D:D,0)),INDEX('Australia Plants'!A:A,MATCH(J452,'Australia Plants'!D:D,0)))</f>
        <v>Maximal</v>
      </c>
      <c r="N452" s="10">
        <v>1.0</v>
      </c>
      <c r="O452" s="9">
        <v>55225.0</v>
      </c>
      <c r="P452" s="9">
        <v>40178.66</v>
      </c>
      <c r="Q452" s="47">
        <v>0.2106396980577676</v>
      </c>
      <c r="R452" s="48">
        <f t="shared" si="3"/>
        <v>0.2724552286</v>
      </c>
      <c r="S452" s="49">
        <f t="shared" si="4"/>
        <v>0</v>
      </c>
      <c r="T452" s="49">
        <f t="shared" si="21"/>
        <v>0.2106396981</v>
      </c>
      <c r="U452" s="50" t="str">
        <f t="shared" si="6"/>
        <v>AOP</v>
      </c>
      <c r="V452" s="51">
        <f t="shared" si="28"/>
        <v>8463.220811</v>
      </c>
      <c r="W452" s="52" t="str">
        <f t="shared" si="8"/>
        <v>#DIV/0!</v>
      </c>
      <c r="X452" s="9" t="str">
        <f t="shared" si="25"/>
        <v>#DIV/0!</v>
      </c>
      <c r="Y452" s="8"/>
      <c r="Z452" s="8"/>
      <c r="AA452" s="8"/>
      <c r="AB452" s="8" t="str">
        <f t="shared" si="10"/>
        <v>PAUH40754H5.0UT</v>
      </c>
      <c r="AC452" s="8" t="str">
        <f>IF(AB452='Input - Bookings'!S685,"OK","Check")</f>
        <v>Check</v>
      </c>
      <c r="AD452" s="53"/>
      <c r="AE452" s="65"/>
      <c r="AF452" s="65"/>
      <c r="AG452" s="55"/>
      <c r="AH452" s="55"/>
      <c r="AI452" s="8" t="str">
        <f t="array" ref="AI452">XLOOKUP($J452,'AP Plants'!D:D,'AP Plants'!B:B)</f>
        <v>Class 5 NOT BT</v>
      </c>
      <c r="AJ452" s="56"/>
      <c r="AK452" s="56"/>
      <c r="AL452" s="49">
        <v>0.015</v>
      </c>
      <c r="AM452" s="49">
        <f t="array" ref="AM452">XLOOKUP($AI452,Warranty!B:B,Warranty!E:E)</f>
        <v>0.005</v>
      </c>
      <c r="AN452" s="8">
        <f>IF($L452="AUD",VLOOKUP(RIGHT('Wk - Margins'!$J452,3),'AU Freight'!C:G,5,0),0)</f>
        <v>2000</v>
      </c>
      <c r="AO452" s="49">
        <f t="shared" si="11"/>
        <v>0</v>
      </c>
      <c r="AP452" s="63">
        <f t="shared" si="12"/>
        <v>2000</v>
      </c>
      <c r="AQ452" s="58">
        <f t="shared" si="13"/>
        <v>0.950222332</v>
      </c>
      <c r="AR452" s="59">
        <f>IF(L452="AUD",O452*'Currency &amp; Conversion'!$L$7,'Wk - Margins'!O452)</f>
        <v>37082.4784</v>
      </c>
      <c r="AS452" s="59">
        <f>IF(L452="AUD",P452*'Currency &amp; Conversion'!$L$7,'Wk - Margins'!P452)</f>
        <v>26979.16327</v>
      </c>
    </row>
    <row r="453" ht="12.75" hidden="1" customHeight="1">
      <c r="A453" s="42" t="str">
        <f>'Input - Bookings'!A453</f>
        <v>28/06/2023</v>
      </c>
      <c r="B453" s="43" t="str">
        <f t="shared" si="1"/>
        <v>Australia</v>
      </c>
      <c r="C453" s="43" t="str">
        <f t="shared" si="2"/>
        <v>PAU</v>
      </c>
      <c r="D453" s="43" t="str">
        <f>'Input - Bookings'!D453</f>
        <v>P</v>
      </c>
      <c r="E453" s="43" t="str">
        <f>'Input - Bookings'!J453</f>
        <v>AU</v>
      </c>
      <c r="F453" s="44" t="str">
        <f>'Input - Bookings'!F453</f>
        <v>065</v>
      </c>
      <c r="G453" s="44" t="str">
        <f>'Input - Bookings'!I453</f>
        <v>ADAPT-A-LIFT GROUP (NSW)</v>
      </c>
      <c r="H453" s="44" t="str">
        <f>'Input - Bookings'!K453</f>
        <v>H40755</v>
      </c>
      <c r="I453" s="45" t="str">
        <f>VLOOKUP(H453,'Input - Bookings'!$G$2:$H$611,2,0)</f>
        <v>087585</v>
      </c>
      <c r="J453" s="44" t="str">
        <f>'Input - Bookings'!N453</f>
        <v>A3C4</v>
      </c>
      <c r="K453" s="44" t="str">
        <f>'Input - Bookings'!O453</f>
        <v>J2.5UT</v>
      </c>
      <c r="L453" s="44" t="str">
        <f>'Input - Bookings'!C453</f>
        <v>AUD</v>
      </c>
      <c r="M453" s="46" t="str">
        <f t="array" ref="M453">IF(L453="USD",INDEX('AP Plants'!A:A,MATCH(J453,'AP Plants'!D:D,0)),INDEX('Australia Plants'!A:A,MATCH(J453,'Australia Plants'!D:D,0)))</f>
        <v>Maximal</v>
      </c>
      <c r="N453" s="10">
        <v>1.0</v>
      </c>
      <c r="O453" s="9">
        <v>38370.0</v>
      </c>
      <c r="P453" s="9">
        <v>31050.7</v>
      </c>
      <c r="Q453" s="47">
        <v>0.19977545512267503</v>
      </c>
      <c r="R453" s="48">
        <f t="shared" si="3"/>
        <v>0.1907557988</v>
      </c>
      <c r="S453" s="49">
        <f t="shared" si="4"/>
        <v>0</v>
      </c>
      <c r="T453" s="49">
        <f t="shared" si="21"/>
        <v>0.1997754551</v>
      </c>
      <c r="U453" s="50" t="str">
        <f t="shared" si="6"/>
        <v>AOP</v>
      </c>
      <c r="V453" s="51">
        <f t="shared" si="28"/>
        <v>6203.167724</v>
      </c>
      <c r="W453" s="52" t="str">
        <f t="shared" si="8"/>
        <v>#DIV/0!</v>
      </c>
      <c r="X453" s="9" t="str">
        <f t="shared" si="25"/>
        <v>#DIV/0!</v>
      </c>
      <c r="Y453" s="8"/>
      <c r="Z453" s="8"/>
      <c r="AA453" s="8"/>
      <c r="AB453" s="8" t="str">
        <f t="shared" si="10"/>
        <v>PAUH40755J2.5UT</v>
      </c>
      <c r="AC453" s="8" t="str">
        <f>IF(AB453='Input - Bookings'!S686,"OK","Check")</f>
        <v>Check</v>
      </c>
      <c r="AD453" s="53"/>
      <c r="AE453" s="65"/>
      <c r="AF453" s="65"/>
      <c r="AG453" s="55"/>
      <c r="AH453" s="62"/>
      <c r="AI453" s="8" t="str">
        <f t="array" ref="AI453">XLOOKUP($J453,'AP Plants'!D:D,'AP Plants'!B:B)</f>
        <v>Class 1</v>
      </c>
      <c r="AJ453" s="56"/>
      <c r="AK453" s="56"/>
      <c r="AL453" s="49">
        <v>0.015</v>
      </c>
      <c r="AM453" s="49">
        <f t="array" ref="AM453">XLOOKUP($AI453,Warranty!B:B,Warranty!E:E)</f>
        <v>0.005</v>
      </c>
      <c r="AN453" s="8">
        <f>IF($L453="AUD",VLOOKUP(RIGHT('Wk - Margins'!$J453,3),'AU Freight'!C:G,5,0),0)</f>
        <v>2000</v>
      </c>
      <c r="AO453" s="49">
        <f t="shared" si="11"/>
        <v>0</v>
      </c>
      <c r="AP453" s="63">
        <f t="shared" si="12"/>
        <v>2000</v>
      </c>
      <c r="AQ453" s="58">
        <f t="shared" si="13"/>
        <v>0.9355892138</v>
      </c>
      <c r="AR453" s="59">
        <f>IF(L453="AUD",O453*'Currency &amp; Conversion'!$L$7,'Wk - Margins'!O453)</f>
        <v>25764.68441</v>
      </c>
      <c r="AS453" s="59">
        <f>IF(L453="AUD",P453*'Currency &amp; Conversion'!$L$7,'Wk - Margins'!P453)</f>
        <v>20849.92145</v>
      </c>
    </row>
    <row r="454" ht="12.75" hidden="1" customHeight="1">
      <c r="A454" s="42" t="str">
        <f>'Input - Bookings'!A454</f>
        <v>28/06/2023</v>
      </c>
      <c r="B454" s="43" t="str">
        <f t="shared" si="1"/>
        <v>Australia</v>
      </c>
      <c r="C454" s="43" t="str">
        <f t="shared" si="2"/>
        <v>PAU</v>
      </c>
      <c r="D454" s="43" t="str">
        <f>'Input - Bookings'!D454</f>
        <v>P</v>
      </c>
      <c r="E454" s="43" t="str">
        <f>'Input - Bookings'!J454</f>
        <v>AU</v>
      </c>
      <c r="F454" s="44" t="str">
        <f>'Input - Bookings'!F454</f>
        <v>065</v>
      </c>
      <c r="G454" s="44" t="str">
        <f>'Input - Bookings'!I454</f>
        <v>ADAPT-A-LIFT GROUP (NSW)</v>
      </c>
      <c r="H454" s="45" t="str">
        <f>'Input - Bookings'!K454</f>
        <v>H40756</v>
      </c>
      <c r="I454" s="45" t="str">
        <f>VLOOKUP(H454,'Input - Bookings'!$G$2:$H$611,2,0)</f>
        <v>087585</v>
      </c>
      <c r="J454" s="44" t="str">
        <f>'Input - Bookings'!N454</f>
        <v>A3C4</v>
      </c>
      <c r="K454" s="44" t="str">
        <f>'Input - Bookings'!O454</f>
        <v>J2.5UT</v>
      </c>
      <c r="L454" s="44" t="str">
        <f>'Input - Bookings'!C454</f>
        <v>AUD</v>
      </c>
      <c r="M454" s="46" t="str">
        <f t="array" ref="M454">IF(L454="USD",INDEX('AP Plants'!A:A,MATCH(J454,'AP Plants'!D:D,0)),INDEX('Australia Plants'!A:A,MATCH(J454,'Australia Plants'!D:D,0)))</f>
        <v>Maximal</v>
      </c>
      <c r="N454" s="10">
        <v>1.0</v>
      </c>
      <c r="O454" s="9">
        <v>38485.0</v>
      </c>
      <c r="P454" s="9">
        <v>31142.7</v>
      </c>
      <c r="Q454" s="47">
        <v>0.17043804102464155</v>
      </c>
      <c r="R454" s="48">
        <f t="shared" si="3"/>
        <v>0.1907834221</v>
      </c>
      <c r="S454" s="49">
        <f t="shared" si="4"/>
        <v>0</v>
      </c>
      <c r="T454" s="49">
        <f t="shared" si="21"/>
        <v>0.170438041</v>
      </c>
      <c r="U454" s="50" t="str">
        <f t="shared" si="6"/>
        <v>AOP</v>
      </c>
      <c r="V454" s="51">
        <f t="shared" si="28"/>
        <v>5307.90078</v>
      </c>
      <c r="W454" s="52" t="str">
        <f t="shared" si="8"/>
        <v>#DIV/0!</v>
      </c>
      <c r="X454" s="9" t="str">
        <f t="shared" si="25"/>
        <v>#DIV/0!</v>
      </c>
      <c r="Y454" s="8"/>
      <c r="Z454" s="8"/>
      <c r="AA454" s="8"/>
      <c r="AB454" s="8" t="str">
        <f t="shared" si="10"/>
        <v>PAUH40756J2.5UT</v>
      </c>
      <c r="AC454" s="8" t="str">
        <f>IF(AB454='Input - Bookings'!S687,"OK","Check")</f>
        <v>Check</v>
      </c>
      <c r="AD454" s="53"/>
      <c r="AE454" s="65"/>
      <c r="AF454" s="65"/>
      <c r="AG454" s="55"/>
      <c r="AH454" s="62"/>
      <c r="AI454" s="8" t="str">
        <f t="array" ref="AI454">XLOOKUP($J454,'AP Plants'!D:D,'AP Plants'!B:B)</f>
        <v>Class 1</v>
      </c>
      <c r="AJ454" s="56"/>
      <c r="AK454" s="56"/>
      <c r="AL454" s="49">
        <v>0.015</v>
      </c>
      <c r="AM454" s="49">
        <f t="array" ref="AM454">XLOOKUP($AI454,Warranty!B:B,Warranty!E:E)</f>
        <v>0.005</v>
      </c>
      <c r="AN454" s="8">
        <f>IF($L454="AUD",VLOOKUP(RIGHT('Wk - Margins'!$J454,3),'AU Freight'!C:G,5,0),0)</f>
        <v>2000</v>
      </c>
      <c r="AO454" s="49">
        <f t="shared" si="11"/>
        <v>0</v>
      </c>
      <c r="AP454" s="63">
        <f t="shared" si="12"/>
        <v>2000</v>
      </c>
      <c r="AQ454" s="58">
        <f t="shared" si="13"/>
        <v>0.9357794925</v>
      </c>
      <c r="AR454" s="59">
        <f>IF(L454="AUD",O454*'Currency &amp; Conversion'!$L$7,'Wk - Margins'!O454)</f>
        <v>25841.9046</v>
      </c>
      <c r="AS454" s="59">
        <f>IF(L454="AUD",P454*'Currency &amp; Conversion'!$L$7,'Wk - Margins'!P454)</f>
        <v>20911.6976</v>
      </c>
    </row>
    <row r="455" ht="12.75" hidden="1" customHeight="1">
      <c r="A455" s="42" t="str">
        <f>'Input - Bookings'!A455</f>
        <v>28/06/2023</v>
      </c>
      <c r="B455" s="43" t="str">
        <f t="shared" si="1"/>
        <v>Australia</v>
      </c>
      <c r="C455" s="43" t="str">
        <f t="shared" si="2"/>
        <v>PAU</v>
      </c>
      <c r="D455" s="43" t="str">
        <f>'Input - Bookings'!D455</f>
        <v>P</v>
      </c>
      <c r="E455" s="43" t="str">
        <f>'Input - Bookings'!J455</f>
        <v>AU</v>
      </c>
      <c r="F455" s="44" t="str">
        <f>'Input - Bookings'!F455</f>
        <v>065</v>
      </c>
      <c r="G455" s="44" t="str">
        <f>'Input - Bookings'!I455</f>
        <v>ADAPT-A-LIFT GROUP (NSW)</v>
      </c>
      <c r="H455" s="44" t="str">
        <f>'Input - Bookings'!K455</f>
        <v>H40757</v>
      </c>
      <c r="I455" s="45" t="str">
        <f>VLOOKUP(H455,'Input - Bookings'!$G$2:$H$611,2,0)</f>
        <v>087585</v>
      </c>
      <c r="J455" s="44" t="str">
        <f>'Input - Bookings'!N455</f>
        <v>D466</v>
      </c>
      <c r="K455" s="44" t="str">
        <f>'Input - Bookings'!O455</f>
        <v>H3.0XT</v>
      </c>
      <c r="L455" s="44" t="str">
        <f>'Input - Bookings'!C455</f>
        <v>AUD</v>
      </c>
      <c r="M455" s="46" t="str">
        <f t="array" ref="M455">IF(L455="USD",INDEX('AP Plants'!A:A,MATCH(J455,'AP Plants'!D:D,0)),INDEX('Australia Plants'!A:A,MATCH(J455,'Australia Plants'!D:D,0)))</f>
        <v>SN</v>
      </c>
      <c r="N455" s="10">
        <v>1.0</v>
      </c>
      <c r="O455" s="9">
        <v>39930.0</v>
      </c>
      <c r="P455" s="9">
        <v>33184.911</v>
      </c>
      <c r="Q455" s="47">
        <v>0.12460257548771358</v>
      </c>
      <c r="R455" s="48">
        <f t="shared" si="3"/>
        <v>0.16892284</v>
      </c>
      <c r="S455" s="49">
        <f t="shared" si="4"/>
        <v>0</v>
      </c>
      <c r="T455" s="49">
        <f t="shared" si="21"/>
        <v>0.1246025755</v>
      </c>
      <c r="U455" s="50" t="str">
        <f t="shared" si="6"/>
        <v>AOP</v>
      </c>
      <c r="V455" s="51">
        <f t="shared" si="28"/>
        <v>4134.925378</v>
      </c>
      <c r="W455" s="52" t="str">
        <f t="shared" si="8"/>
        <v>#DIV/0!</v>
      </c>
      <c r="X455" s="9" t="str">
        <f t="shared" si="25"/>
        <v>#DIV/0!</v>
      </c>
      <c r="Y455" s="8"/>
      <c r="Z455" s="8"/>
      <c r="AA455" s="8"/>
      <c r="AB455" s="8" t="str">
        <f t="shared" si="10"/>
        <v>PAUH40757H3.0XT</v>
      </c>
      <c r="AC455" s="8" t="str">
        <f>IF(AB455='Input - Bookings'!S688,"OK","Check")</f>
        <v>Check</v>
      </c>
      <c r="AD455" s="53"/>
      <c r="AE455" s="65"/>
      <c r="AF455" s="65"/>
      <c r="AG455" s="55"/>
      <c r="AH455" s="62"/>
      <c r="AI455" s="8" t="str">
        <f t="array" ref="AI455">XLOOKUP($J455,'AP Plants'!D:D,'AP Plants'!B:B)</f>
        <v>Class 5 NOT BT</v>
      </c>
      <c r="AJ455" s="56"/>
      <c r="AK455" s="56"/>
      <c r="AL455" s="49">
        <v>0.015</v>
      </c>
      <c r="AM455" s="49">
        <f t="array" ref="AM455">XLOOKUP($AI455,Warranty!B:B,Warranty!E:E)</f>
        <v>0.005</v>
      </c>
      <c r="AN455" s="8">
        <f>IF($L455="AUD",VLOOKUP(RIGHT('Wk - Margins'!$J455,3),'AU Freight'!C:G,5,0),0)</f>
        <v>2130</v>
      </c>
      <c r="AO455" s="49">
        <f t="shared" si="11"/>
        <v>0</v>
      </c>
      <c r="AP455" s="63">
        <f t="shared" si="12"/>
        <v>2130</v>
      </c>
      <c r="AQ455" s="58">
        <f t="shared" si="13"/>
        <v>0.9358142018</v>
      </c>
      <c r="AR455" s="59">
        <f>IF(L455="AUD",O455*'Currency &amp; Conversion'!$L$7,'Wk - Margins'!O455)</f>
        <v>26812.19308</v>
      </c>
      <c r="AS455" s="59">
        <f>IF(L455="AUD",P455*'Currency &amp; Conversion'!$L$7,'Wk - Margins'!P455)</f>
        <v>22283.00128</v>
      </c>
    </row>
    <row r="456" ht="12.75" hidden="1" customHeight="1">
      <c r="A456" s="42" t="str">
        <f>'Input - Bookings'!A456</f>
        <v>28/06/2023</v>
      </c>
      <c r="B456" s="43" t="str">
        <f t="shared" si="1"/>
        <v>Australia</v>
      </c>
      <c r="C456" s="43" t="str">
        <f t="shared" si="2"/>
        <v>PAU</v>
      </c>
      <c r="D456" s="43" t="str">
        <f>'Input - Bookings'!D456</f>
        <v>P</v>
      </c>
      <c r="E456" s="43" t="str">
        <f>'Input - Bookings'!J456</f>
        <v>AU</v>
      </c>
      <c r="F456" s="44" t="str">
        <f>'Input - Bookings'!F456</f>
        <v>065</v>
      </c>
      <c r="G456" s="44" t="str">
        <f>'Input - Bookings'!I456</f>
        <v>ADAPT-A-LIFT GROUP (NSW)</v>
      </c>
      <c r="H456" s="44" t="str">
        <f>'Input - Bookings'!K456</f>
        <v>H40758</v>
      </c>
      <c r="I456" s="45" t="str">
        <f>VLOOKUP(H456,'Input - Bookings'!$G$2:$H$611,2,0)</f>
        <v>087585</v>
      </c>
      <c r="J456" s="44" t="str">
        <f>'Input - Bookings'!N456</f>
        <v>A406</v>
      </c>
      <c r="K456" s="44" t="str">
        <f>'Input - Bookings'!O456</f>
        <v>R1.6 406</v>
      </c>
      <c r="L456" s="44" t="str">
        <f>'Input - Bookings'!C456</f>
        <v>AUD</v>
      </c>
      <c r="M456" s="46" t="str">
        <f t="array" ref="M456">IF(L456="USD",INDEX('AP Plants'!A:A,MATCH(J456,'AP Plants'!D:D,0)),INDEX('Australia Plants'!A:A,MATCH(J456,'Australia Plants'!D:D,0)))</f>
        <v>Maximal</v>
      </c>
      <c r="N456" s="10">
        <v>1.0</v>
      </c>
      <c r="O456" s="9">
        <v>51550.0</v>
      </c>
      <c r="P456" s="9">
        <v>33734.0</v>
      </c>
      <c r="Q456" s="47">
        <v>0.0330487823003357</v>
      </c>
      <c r="R456" s="48">
        <f t="shared" si="3"/>
        <v>0.3456062076</v>
      </c>
      <c r="S456" s="49">
        <f t="shared" si="4"/>
        <v>0</v>
      </c>
      <c r="T456" s="49">
        <f t="shared" si="21"/>
        <v>0.0330487823</v>
      </c>
      <c r="U456" s="50" t="str">
        <f t="shared" si="6"/>
        <v>AOP</v>
      </c>
      <c r="V456" s="51">
        <f t="shared" si="28"/>
        <v>1114.867622</v>
      </c>
      <c r="W456" s="52" t="str">
        <f t="shared" si="8"/>
        <v>#DIV/0!</v>
      </c>
      <c r="X456" s="9" t="str">
        <f t="shared" si="25"/>
        <v>#DIV/0!</v>
      </c>
      <c r="Y456" s="8"/>
      <c r="Z456" s="8"/>
      <c r="AA456" s="8"/>
      <c r="AB456" s="8" t="str">
        <f t="shared" si="10"/>
        <v>PAUH40758R1.6 406</v>
      </c>
      <c r="AC456" s="8" t="str">
        <f>IF(AB456='Input - Bookings'!S689,"OK","Check")</f>
        <v>Check</v>
      </c>
      <c r="AD456" s="53"/>
      <c r="AE456" s="65"/>
      <c r="AF456" s="65"/>
      <c r="AG456" s="55"/>
      <c r="AH456" s="62"/>
      <c r="AI456" s="8" t="str">
        <f t="array" ref="AI456">XLOOKUP($J456,'AP Plants'!D:D,'AP Plants'!B:B)</f>
        <v>Class 2</v>
      </c>
      <c r="AJ456" s="56"/>
      <c r="AK456" s="56"/>
      <c r="AL456" s="49">
        <v>0.015</v>
      </c>
      <c r="AM456" s="49">
        <f t="array" ref="AM456">XLOOKUP($AI456,Warranty!B:B,Warranty!E:E)</f>
        <v>0.015</v>
      </c>
      <c r="AN456" s="8">
        <f>IF($L456="AUD",VLOOKUP(RIGHT('Wk - Margins'!$J456,3),'AU Freight'!C:G,5,0),0)</f>
        <v>2000</v>
      </c>
      <c r="AO456" s="49">
        <f t="shared" si="11"/>
        <v>0</v>
      </c>
      <c r="AP456" s="63">
        <f t="shared" si="12"/>
        <v>2000</v>
      </c>
      <c r="AQ456" s="58">
        <f t="shared" si="13"/>
        <v>0.9407126341</v>
      </c>
      <c r="AR456" s="59">
        <f>IF(L456="AUD",O456*'Currency &amp; Conversion'!$L$7,'Wk - Margins'!O456)</f>
        <v>34614.78971</v>
      </c>
      <c r="AS456" s="59">
        <f>IF(L456="AUD",P456*'Currency &amp; Conversion'!$L$7,'Wk - Margins'!P456)</f>
        <v>22651.70351</v>
      </c>
    </row>
    <row r="457" ht="12.75" hidden="1" customHeight="1">
      <c r="A457" s="42" t="str">
        <f>'Input - Bookings'!A457</f>
        <v>28/06/2023</v>
      </c>
      <c r="B457" s="43" t="str">
        <f t="shared" si="1"/>
        <v>Australia</v>
      </c>
      <c r="C457" s="43" t="str">
        <f t="shared" si="2"/>
        <v>PAU</v>
      </c>
      <c r="D457" s="43" t="str">
        <f>'Input - Bookings'!D457</f>
        <v>P</v>
      </c>
      <c r="E457" s="43" t="str">
        <f>'Input - Bookings'!J457</f>
        <v>AU</v>
      </c>
      <c r="F457" s="44" t="str">
        <f>'Input - Bookings'!F457</f>
        <v>065</v>
      </c>
      <c r="G457" s="44" t="str">
        <f>'Input - Bookings'!I457</f>
        <v>ADAPT-A-LIFT GROUP (NSW)</v>
      </c>
      <c r="H457" s="44" t="str">
        <f>'Input - Bookings'!K457</f>
        <v>H40762</v>
      </c>
      <c r="I457" s="45" t="str">
        <f>VLOOKUP(H457,'Input - Bookings'!$G$2:$H$611,2,0)</f>
        <v>087585</v>
      </c>
      <c r="J457" s="44" t="str">
        <f>'Input - Bookings'!N457</f>
        <v>A406</v>
      </c>
      <c r="K457" s="44" t="str">
        <f>'Input - Bookings'!O457</f>
        <v>R1.6 406</v>
      </c>
      <c r="L457" s="44" t="str">
        <f>'Input - Bookings'!C457</f>
        <v>AUD</v>
      </c>
      <c r="M457" s="46" t="str">
        <f t="array" ref="M457">IF(L457="USD",INDEX('AP Plants'!A:A,MATCH(J457,'AP Plants'!D:D,0)),INDEX('Australia Plants'!A:A,MATCH(J457,'Australia Plants'!D:D,0)))</f>
        <v>Maximal</v>
      </c>
      <c r="N457" s="10">
        <v>1.0</v>
      </c>
      <c r="O457" s="9">
        <v>51550.0</v>
      </c>
      <c r="P457" s="9">
        <v>33734.0</v>
      </c>
      <c r="Q457" s="47">
        <v>0.0330487823003357</v>
      </c>
      <c r="R457" s="48">
        <f t="shared" si="3"/>
        <v>0.3456062076</v>
      </c>
      <c r="S457" s="49">
        <f t="shared" si="4"/>
        <v>0</v>
      </c>
      <c r="T457" s="49">
        <f t="shared" si="21"/>
        <v>0.0330487823</v>
      </c>
      <c r="U457" s="50" t="str">
        <f t="shared" si="6"/>
        <v>AOP</v>
      </c>
      <c r="V457" s="51">
        <f t="shared" si="28"/>
        <v>1114.867622</v>
      </c>
      <c r="W457" s="52" t="str">
        <f t="shared" si="8"/>
        <v>#DIV/0!</v>
      </c>
      <c r="X457" s="9" t="str">
        <f t="shared" si="25"/>
        <v>#DIV/0!</v>
      </c>
      <c r="Y457" s="8"/>
      <c r="Z457" s="8"/>
      <c r="AA457" s="8"/>
      <c r="AB457" s="8" t="str">
        <f t="shared" si="10"/>
        <v>PAUH40762R1.6 406</v>
      </c>
      <c r="AC457" s="8" t="str">
        <f>IF(AB457='Input - Bookings'!S690,"OK","Check")</f>
        <v>Check</v>
      </c>
      <c r="AD457" s="53"/>
      <c r="AE457" s="65"/>
      <c r="AF457" s="65"/>
      <c r="AG457" s="55"/>
      <c r="AH457" s="62"/>
      <c r="AI457" s="8" t="str">
        <f t="array" ref="AI457">XLOOKUP($J457,'AP Plants'!D:D,'AP Plants'!B:B)</f>
        <v>Class 2</v>
      </c>
      <c r="AJ457" s="56"/>
      <c r="AK457" s="56"/>
      <c r="AL457" s="49">
        <v>0.015</v>
      </c>
      <c r="AM457" s="49">
        <f t="array" ref="AM457">XLOOKUP($AI457,Warranty!B:B,Warranty!E:E)</f>
        <v>0.015</v>
      </c>
      <c r="AN457" s="8">
        <f>IF($L457="AUD",VLOOKUP(RIGHT('Wk - Margins'!$J457,3),'AU Freight'!C:G,5,0),0)</f>
        <v>2000</v>
      </c>
      <c r="AO457" s="49">
        <f t="shared" si="11"/>
        <v>0</v>
      </c>
      <c r="AP457" s="63">
        <f t="shared" si="12"/>
        <v>2000</v>
      </c>
      <c r="AQ457" s="58">
        <f t="shared" si="13"/>
        <v>0.9407126341</v>
      </c>
      <c r="AR457" s="59">
        <f>IF(L457="AUD",O457*'Currency &amp; Conversion'!$L$7,'Wk - Margins'!O457)</f>
        <v>34614.78971</v>
      </c>
      <c r="AS457" s="59">
        <f>IF(L457="AUD",P457*'Currency &amp; Conversion'!$L$7,'Wk - Margins'!P457)</f>
        <v>22651.70351</v>
      </c>
    </row>
    <row r="458" ht="12.75" hidden="1" customHeight="1">
      <c r="A458" s="42" t="str">
        <f>'Input - Bookings'!A458</f>
        <v>28/06/2023</v>
      </c>
      <c r="B458" s="43" t="str">
        <f t="shared" si="1"/>
        <v>Australia</v>
      </c>
      <c r="C458" s="43" t="str">
        <f t="shared" si="2"/>
        <v>PAU</v>
      </c>
      <c r="D458" s="43" t="str">
        <f>'Input - Bookings'!D458</f>
        <v>P</v>
      </c>
      <c r="E458" s="43" t="str">
        <f>'Input - Bookings'!J458</f>
        <v>AU</v>
      </c>
      <c r="F458" s="44" t="str">
        <f>'Input - Bookings'!F458</f>
        <v>065</v>
      </c>
      <c r="G458" s="44" t="str">
        <f>'Input - Bookings'!I458</f>
        <v>ADAPT-A-LIFT GROUP (NSW)</v>
      </c>
      <c r="H458" s="44" t="str">
        <f>'Input - Bookings'!K458</f>
        <v>H40759</v>
      </c>
      <c r="I458" s="45" t="str">
        <f>VLOOKUP(H458,'Input - Bookings'!$G$2:$H$611,2,0)</f>
        <v>087585</v>
      </c>
      <c r="J458" s="44" t="str">
        <f>'Input - Bookings'!N458</f>
        <v>A406</v>
      </c>
      <c r="K458" s="44" t="str">
        <f>'Input - Bookings'!O458</f>
        <v>R1.6 406</v>
      </c>
      <c r="L458" s="44" t="str">
        <f>'Input - Bookings'!C458</f>
        <v>AUD</v>
      </c>
      <c r="M458" s="46" t="str">
        <f t="array" ref="M458">IF(L458="USD",INDEX('AP Plants'!A:A,MATCH(J458,'AP Plants'!D:D,0)),INDEX('Australia Plants'!A:A,MATCH(J458,'Australia Plants'!D:D,0)))</f>
        <v>Maximal</v>
      </c>
      <c r="N458" s="10">
        <v>1.0</v>
      </c>
      <c r="O458" s="9">
        <v>49885.0</v>
      </c>
      <c r="P458" s="9">
        <v>32485.25</v>
      </c>
      <c r="Q458" s="47">
        <v>0.03812755841143345</v>
      </c>
      <c r="R458" s="48">
        <f t="shared" si="3"/>
        <v>0.3487972336</v>
      </c>
      <c r="S458" s="49">
        <f t="shared" si="4"/>
        <v>0</v>
      </c>
      <c r="T458" s="49">
        <f t="shared" si="21"/>
        <v>0.03812755841</v>
      </c>
      <c r="U458" s="50" t="str">
        <f t="shared" si="6"/>
        <v>AOP</v>
      </c>
      <c r="V458" s="51">
        <f t="shared" si="28"/>
        <v>1238.583267</v>
      </c>
      <c r="W458" s="52" t="str">
        <f t="shared" si="8"/>
        <v>#DIV/0!</v>
      </c>
      <c r="X458" s="9" t="str">
        <f t="shared" si="25"/>
        <v>#DIV/0!</v>
      </c>
      <c r="Y458" s="8"/>
      <c r="Z458" s="8"/>
      <c r="AA458" s="8"/>
      <c r="AB458" s="8" t="str">
        <f t="shared" si="10"/>
        <v>PAUH40759R1.6 406</v>
      </c>
      <c r="AC458" s="8" t="str">
        <f>IF(AB458='Input - Bookings'!S691,"OK","Check")</f>
        <v>Check</v>
      </c>
      <c r="AD458" s="53"/>
      <c r="AE458" s="65"/>
      <c r="AF458" s="65"/>
      <c r="AG458" s="55"/>
      <c r="AH458" s="55"/>
      <c r="AI458" s="8" t="str">
        <f t="array" ref="AI458">XLOOKUP($J458,'AP Plants'!D:D,'AP Plants'!B:B)</f>
        <v>Class 2</v>
      </c>
      <c r="AJ458" s="56"/>
      <c r="AK458" s="56"/>
      <c r="AL458" s="49">
        <v>0.015</v>
      </c>
      <c r="AM458" s="49">
        <f t="array" ref="AM458">XLOOKUP($AI458,Warranty!B:B,Warranty!E:E)</f>
        <v>0.015</v>
      </c>
      <c r="AN458" s="8">
        <f>IF($L458="AUD",VLOOKUP(RIGHT('Wk - Margins'!$J458,3),'AU Freight'!C:G,5,0),0)</f>
        <v>2000</v>
      </c>
      <c r="AO458" s="49">
        <f t="shared" si="11"/>
        <v>0</v>
      </c>
      <c r="AP458" s="63">
        <f t="shared" si="12"/>
        <v>2000</v>
      </c>
      <c r="AQ458" s="58">
        <f t="shared" si="13"/>
        <v>0.9384335968</v>
      </c>
      <c r="AR458" s="59">
        <f>IF(L458="AUD",O458*'Currency &amp; Conversion'!$L$7,'Wk - Margins'!O458)</f>
        <v>33496.77565</v>
      </c>
      <c r="AS458" s="59">
        <f>IF(L458="AUD",P458*'Currency &amp; Conversion'!$L$7,'Wk - Margins'!P458)</f>
        <v>21813.19297</v>
      </c>
    </row>
    <row r="459" ht="12.75" hidden="1" customHeight="1">
      <c r="A459" s="42" t="str">
        <f>'Input - Bookings'!A459</f>
        <v>28/06/2023</v>
      </c>
      <c r="B459" s="43" t="str">
        <f t="shared" si="1"/>
        <v>Australia</v>
      </c>
      <c r="C459" s="43" t="str">
        <f t="shared" si="2"/>
        <v>PAU</v>
      </c>
      <c r="D459" s="43" t="str">
        <f>'Input - Bookings'!D459</f>
        <v>P</v>
      </c>
      <c r="E459" s="43" t="str">
        <f>'Input - Bookings'!J459</f>
        <v>AU</v>
      </c>
      <c r="F459" s="44" t="str">
        <f>'Input - Bookings'!F459</f>
        <v>067</v>
      </c>
      <c r="G459" s="44" t="str">
        <f>'Input - Bookings'!I459</f>
        <v>ADAPT-A-LIFT GROUP(NSW)</v>
      </c>
      <c r="H459" s="44" t="str">
        <f>'Input - Bookings'!K459</f>
        <v>H40775</v>
      </c>
      <c r="I459" s="45" t="str">
        <f>VLOOKUP(H459,'Input - Bookings'!$G$2:$H$611,2,0)</f>
        <v>087805</v>
      </c>
      <c r="J459" s="44" t="str">
        <f>'Input - Bookings'!N459</f>
        <v>A7S5</v>
      </c>
      <c r="K459" s="44" t="str">
        <f>'Input - Bookings'!O459</f>
        <v>ERP18UXT</v>
      </c>
      <c r="L459" s="44" t="str">
        <f>'Input - Bookings'!C459</f>
        <v>AUD</v>
      </c>
      <c r="M459" s="46" t="str">
        <f t="array" ref="M459">IF(L459="USD",INDEX('AP Plants'!A:A,MATCH(J459,'AP Plants'!D:D,0)),INDEX('Australia Plants'!A:A,MATCH(J459,'Australia Plants'!D:D,0)))</f>
        <v>Maximal</v>
      </c>
      <c r="N459" s="10">
        <v>1.0</v>
      </c>
      <c r="O459" s="9">
        <v>30020.0</v>
      </c>
      <c r="P459" s="9">
        <v>23131.6</v>
      </c>
      <c r="Q459" s="47">
        <v>0.16878461485325036</v>
      </c>
      <c r="R459" s="48">
        <f t="shared" si="3"/>
        <v>0.2294603598</v>
      </c>
      <c r="S459" s="49">
        <f t="shared" si="4"/>
        <v>0</v>
      </c>
      <c r="T459" s="49">
        <f t="shared" si="21"/>
        <v>0.1687846149</v>
      </c>
      <c r="U459" s="50" t="str">
        <f t="shared" si="6"/>
        <v>AOP</v>
      </c>
      <c r="V459" s="51">
        <f t="shared" si="28"/>
        <v>3904.258197</v>
      </c>
      <c r="W459" s="52" t="str">
        <f t="shared" si="8"/>
        <v>#DIV/0!</v>
      </c>
      <c r="X459" s="9" t="str">
        <f t="shared" si="25"/>
        <v>#DIV/0!</v>
      </c>
      <c r="Y459" s="8"/>
      <c r="Z459" s="8"/>
      <c r="AA459" s="8"/>
      <c r="AB459" s="8" t="str">
        <f t="shared" si="10"/>
        <v>PAUH40775ERP18UXT</v>
      </c>
      <c r="AC459" s="8" t="str">
        <f>IF(AB459='Input - Bookings'!S692,"OK","Check")</f>
        <v>Check</v>
      </c>
      <c r="AD459" s="53"/>
      <c r="AE459" s="65"/>
      <c r="AF459" s="65"/>
      <c r="AG459" s="55"/>
      <c r="AH459" s="55"/>
      <c r="AI459" s="8" t="str">
        <f t="array" ref="AI459">XLOOKUP($J459,'AP Plants'!D:D,'AP Plants'!B:B)</f>
        <v>Class 1</v>
      </c>
      <c r="AJ459" s="56"/>
      <c r="AK459" s="56"/>
      <c r="AL459" s="49">
        <v>0.015</v>
      </c>
      <c r="AM459" s="49">
        <f t="array" ref="AM459">XLOOKUP($AI459,Warranty!B:B,Warranty!E:E)</f>
        <v>0.005</v>
      </c>
      <c r="AN459" s="8">
        <f>IF($L459="AUD",VLOOKUP(RIGHT('Wk - Margins'!$J459,3),'AU Freight'!C:G,5,0),0)</f>
        <v>2000</v>
      </c>
      <c r="AO459" s="49">
        <f t="shared" si="11"/>
        <v>0</v>
      </c>
      <c r="AP459" s="63">
        <f t="shared" si="12"/>
        <v>2000</v>
      </c>
      <c r="AQ459" s="58">
        <f t="shared" si="13"/>
        <v>0.9135381902</v>
      </c>
      <c r="AR459" s="59">
        <f>IF(L459="AUD",O459*'Currency &amp; Conversion'!$L$7,'Wk - Margins'!O459)</f>
        <v>20157.8271</v>
      </c>
      <c r="AS459" s="59">
        <f>IF(L459="AUD",P459*'Currency &amp; Conversion'!$L$7,'Wk - Margins'!P459)</f>
        <v>15532.40484</v>
      </c>
    </row>
    <row r="460" ht="12.75" hidden="1" customHeight="1">
      <c r="A460" s="42" t="str">
        <f>'Input - Bookings'!A460</f>
        <v>28/06/2023</v>
      </c>
      <c r="B460" s="43" t="str">
        <f t="shared" si="1"/>
        <v>Australia</v>
      </c>
      <c r="C460" s="43" t="str">
        <f t="shared" si="2"/>
        <v>PAU</v>
      </c>
      <c r="D460" s="43" t="str">
        <f>'Input - Bookings'!D460</f>
        <v>P</v>
      </c>
      <c r="E460" s="43" t="str">
        <f>'Input - Bookings'!J460</f>
        <v>AU</v>
      </c>
      <c r="F460" s="44" t="str">
        <f>'Input - Bookings'!F460</f>
        <v>065</v>
      </c>
      <c r="G460" s="44" t="str">
        <f>'Input - Bookings'!I460</f>
        <v>ADAPT-A-LIFT GROUP (QLD)</v>
      </c>
      <c r="H460" s="44" t="str">
        <f>'Input - Bookings'!K460</f>
        <v>H40741</v>
      </c>
      <c r="I460" s="45" t="str">
        <f>VLOOKUP(H460,'Input - Bookings'!$G$2:$H$611,2,0)</f>
        <v>087575</v>
      </c>
      <c r="J460" s="44" t="str">
        <f>'Input - Bookings'!N460</f>
        <v>A3C1</v>
      </c>
      <c r="K460" s="44" t="str">
        <f>'Input - Bookings'!O460</f>
        <v>H3.0UT</v>
      </c>
      <c r="L460" s="44" t="str">
        <f>'Input - Bookings'!C460</f>
        <v>AUD</v>
      </c>
      <c r="M460" s="46" t="str">
        <f t="array" ref="M460">IF(L460="USD",INDEX('AP Plants'!A:A,MATCH(J460,'AP Plants'!D:D,0)),INDEX('Australia Plants'!A:A,MATCH(J460,'Australia Plants'!D:D,0)))</f>
        <v>Maximal</v>
      </c>
      <c r="N460" s="10">
        <v>1.0</v>
      </c>
      <c r="O460" s="9">
        <v>30995.0</v>
      </c>
      <c r="P460" s="9">
        <v>22320.875</v>
      </c>
      <c r="Q460" s="47">
        <v>0.15421171368098707</v>
      </c>
      <c r="R460" s="48">
        <f t="shared" si="3"/>
        <v>0.2798556219</v>
      </c>
      <c r="S460" s="49">
        <f t="shared" si="4"/>
        <v>0</v>
      </c>
      <c r="T460" s="49">
        <f t="shared" si="21"/>
        <v>0.1542117137</v>
      </c>
      <c r="U460" s="50" t="str">
        <f t="shared" si="6"/>
        <v>AOP</v>
      </c>
      <c r="V460" s="51">
        <f t="shared" si="28"/>
        <v>3442.140385</v>
      </c>
      <c r="W460" s="52" t="str">
        <f t="shared" si="8"/>
        <v>#DIV/0!</v>
      </c>
      <c r="X460" s="9" t="str">
        <f t="shared" si="25"/>
        <v>#DIV/0!</v>
      </c>
      <c r="Y460" s="8"/>
      <c r="Z460" s="8"/>
      <c r="AA460" s="8"/>
      <c r="AB460" s="8" t="str">
        <f t="shared" si="10"/>
        <v>PAUH40741H3.0UT</v>
      </c>
      <c r="AC460" s="8" t="str">
        <f>IF(AB460='Input - Bookings'!S693,"OK","Check")</f>
        <v>Check</v>
      </c>
      <c r="AD460" s="53"/>
      <c r="AE460" s="65"/>
      <c r="AF460" s="65"/>
      <c r="AG460" s="55"/>
      <c r="AH460" s="55"/>
      <c r="AI460" s="8" t="str">
        <f t="array" ref="AI460">XLOOKUP($J460,'AP Plants'!D:D,'AP Plants'!B:B)</f>
        <v>Class 5 NOT BT</v>
      </c>
      <c r="AJ460" s="56"/>
      <c r="AK460" s="56"/>
      <c r="AL460" s="49">
        <v>0.015</v>
      </c>
      <c r="AM460" s="49">
        <f t="array" ref="AM460">XLOOKUP($AI460,Warranty!B:B,Warranty!E:E)</f>
        <v>0.005</v>
      </c>
      <c r="AN460" s="8">
        <f>IF($L460="AUD",VLOOKUP(RIGHT('Wk - Margins'!$J460,3),'AU Freight'!C:G,5,0),0)</f>
        <v>2000</v>
      </c>
      <c r="AO460" s="49">
        <f t="shared" si="11"/>
        <v>0</v>
      </c>
      <c r="AP460" s="63">
        <f t="shared" si="12"/>
        <v>2000</v>
      </c>
      <c r="AQ460" s="58">
        <f t="shared" si="13"/>
        <v>0.9103977779</v>
      </c>
      <c r="AR460" s="59">
        <f>IF(L460="AUD",O460*'Currency &amp; Conversion'!$L$7,'Wk - Margins'!O460)</f>
        <v>20812.52002</v>
      </c>
      <c r="AS460" s="59">
        <f>IF(L460="AUD",P460*'Currency &amp; Conversion'!$L$7,'Wk - Margins'!P460)</f>
        <v>14988.01929</v>
      </c>
    </row>
    <row r="461" ht="12.75" hidden="1" customHeight="1">
      <c r="A461" s="42" t="str">
        <f>'Input - Bookings'!A461</f>
        <v>28/06/2023</v>
      </c>
      <c r="B461" s="43" t="str">
        <f t="shared" si="1"/>
        <v>Australia</v>
      </c>
      <c r="C461" s="43" t="str">
        <f t="shared" si="2"/>
        <v>PAU</v>
      </c>
      <c r="D461" s="43" t="str">
        <f>'Input - Bookings'!D461</f>
        <v>P</v>
      </c>
      <c r="E461" s="43" t="str">
        <f>'Input - Bookings'!J461</f>
        <v>AU</v>
      </c>
      <c r="F461" s="44" t="str">
        <f>'Input - Bookings'!F461</f>
        <v>065</v>
      </c>
      <c r="G461" s="44" t="str">
        <f>'Input - Bookings'!I461</f>
        <v>ADAPT-A-LIFT GROUP (QLD)</v>
      </c>
      <c r="H461" s="44" t="str">
        <f>'Input - Bookings'!K461</f>
        <v>H40748</v>
      </c>
      <c r="I461" s="45" t="str">
        <f>VLOOKUP(H461,'Input - Bookings'!$G$2:$H$611,2,0)</f>
        <v>087575</v>
      </c>
      <c r="J461" s="44" t="str">
        <f>'Input - Bookings'!N461</f>
        <v>A3C1</v>
      </c>
      <c r="K461" s="44" t="str">
        <f>'Input - Bookings'!O461</f>
        <v>H3.0UT</v>
      </c>
      <c r="L461" s="44" t="str">
        <f>'Input - Bookings'!C461</f>
        <v>AUD</v>
      </c>
      <c r="M461" s="46" t="str">
        <f t="array" ref="M461">IF(L461="USD",INDEX('AP Plants'!A:A,MATCH(J461,'AP Plants'!D:D,0)),INDEX('Australia Plants'!A:A,MATCH(J461,'Australia Plants'!D:D,0)))</f>
        <v>Maximal</v>
      </c>
      <c r="N461" s="10">
        <v>1.0</v>
      </c>
      <c r="O461" s="9">
        <v>30995.0</v>
      </c>
      <c r="P461" s="9">
        <v>22320.875</v>
      </c>
      <c r="Q461" s="47">
        <v>0.15421171368098707</v>
      </c>
      <c r="R461" s="48">
        <f t="shared" si="3"/>
        <v>0.2798556219</v>
      </c>
      <c r="S461" s="49">
        <f t="shared" si="4"/>
        <v>0</v>
      </c>
      <c r="T461" s="49">
        <f t="shared" si="21"/>
        <v>0.1542117137</v>
      </c>
      <c r="U461" s="50" t="str">
        <f t="shared" si="6"/>
        <v>AOP</v>
      </c>
      <c r="V461" s="51">
        <f t="shared" si="28"/>
        <v>3442.140385</v>
      </c>
      <c r="W461" s="52" t="str">
        <f t="shared" si="8"/>
        <v>#DIV/0!</v>
      </c>
      <c r="X461" s="9" t="str">
        <f t="shared" si="25"/>
        <v>#DIV/0!</v>
      </c>
      <c r="Y461" s="8"/>
      <c r="Z461" s="8"/>
      <c r="AA461" s="8"/>
      <c r="AB461" s="8" t="str">
        <f t="shared" si="10"/>
        <v>PAUH40748H3.0UT</v>
      </c>
      <c r="AC461" s="8" t="str">
        <f>IF(AB461='Input - Bookings'!S694,"OK","Check")</f>
        <v>Check</v>
      </c>
      <c r="AD461" s="53"/>
      <c r="AE461" s="65"/>
      <c r="AF461" s="65"/>
      <c r="AG461" s="55"/>
      <c r="AH461" s="55"/>
      <c r="AI461" s="8" t="str">
        <f t="array" ref="AI461">XLOOKUP($J461,'AP Plants'!D:D,'AP Plants'!B:B)</f>
        <v>Class 5 NOT BT</v>
      </c>
      <c r="AJ461" s="56"/>
      <c r="AK461" s="56"/>
      <c r="AL461" s="49">
        <v>0.015</v>
      </c>
      <c r="AM461" s="49">
        <f t="array" ref="AM461">XLOOKUP($AI461,Warranty!B:B,Warranty!E:E)</f>
        <v>0.005</v>
      </c>
      <c r="AN461" s="8">
        <f>IF($L461="AUD",VLOOKUP(RIGHT('Wk - Margins'!$J461,3),'AU Freight'!C:G,5,0),0)</f>
        <v>2000</v>
      </c>
      <c r="AO461" s="49">
        <f t="shared" si="11"/>
        <v>0</v>
      </c>
      <c r="AP461" s="63">
        <f t="shared" si="12"/>
        <v>2000</v>
      </c>
      <c r="AQ461" s="58">
        <f t="shared" si="13"/>
        <v>0.9103977779</v>
      </c>
      <c r="AR461" s="59">
        <f>IF(L461="AUD",O461*'Currency &amp; Conversion'!$L$7,'Wk - Margins'!O461)</f>
        <v>20812.52002</v>
      </c>
      <c r="AS461" s="59">
        <f>IF(L461="AUD",P461*'Currency &amp; Conversion'!$L$7,'Wk - Margins'!P461)</f>
        <v>14988.01929</v>
      </c>
    </row>
    <row r="462" ht="12.75" hidden="1" customHeight="1">
      <c r="A462" s="42" t="str">
        <f>'Input - Bookings'!A462</f>
        <v>28/06/2023</v>
      </c>
      <c r="B462" s="43" t="str">
        <f t="shared" si="1"/>
        <v>Australia</v>
      </c>
      <c r="C462" s="43" t="str">
        <f t="shared" si="2"/>
        <v>PAU</v>
      </c>
      <c r="D462" s="43" t="str">
        <f>'Input - Bookings'!D462</f>
        <v>P</v>
      </c>
      <c r="E462" s="43" t="str">
        <f>'Input - Bookings'!J462</f>
        <v>AU</v>
      </c>
      <c r="F462" s="44" t="str">
        <f>'Input - Bookings'!F462</f>
        <v>065</v>
      </c>
      <c r="G462" s="44" t="str">
        <f>'Input - Bookings'!I462</f>
        <v>ADAPT-A-LIFT GROUP (QLD)</v>
      </c>
      <c r="H462" s="44" t="str">
        <f>'Input - Bookings'!K462</f>
        <v>H40742</v>
      </c>
      <c r="I462" s="45" t="str">
        <f>VLOOKUP(H462,'Input - Bookings'!$G$2:$H$611,2,0)</f>
        <v>087575</v>
      </c>
      <c r="J462" s="44" t="str">
        <f>'Input - Bookings'!N462</f>
        <v>A3C1</v>
      </c>
      <c r="K462" s="44" t="str">
        <f>'Input - Bookings'!O462</f>
        <v>H3.5UT</v>
      </c>
      <c r="L462" s="44" t="str">
        <f>'Input - Bookings'!C462</f>
        <v>AUD</v>
      </c>
      <c r="M462" s="46" t="str">
        <f t="array" ref="M462">IF(L462="USD",INDEX('AP Plants'!A:A,MATCH(J462,'AP Plants'!D:D,0)),INDEX('Australia Plants'!A:A,MATCH(J462,'Australia Plants'!D:D,0)))</f>
        <v>Maximal</v>
      </c>
      <c r="N462" s="10">
        <v>1.0</v>
      </c>
      <c r="O462" s="9">
        <v>35685.0</v>
      </c>
      <c r="P462" s="9">
        <v>25945.5</v>
      </c>
      <c r="Q462" s="47">
        <v>0.16430931021477868</v>
      </c>
      <c r="R462" s="48">
        <f t="shared" si="3"/>
        <v>0.2729298024</v>
      </c>
      <c r="S462" s="49">
        <f t="shared" si="4"/>
        <v>0</v>
      </c>
      <c r="T462" s="49">
        <f t="shared" si="21"/>
        <v>0.1643093102</v>
      </c>
      <c r="U462" s="50" t="str">
        <f t="shared" si="6"/>
        <v>AOP</v>
      </c>
      <c r="V462" s="51">
        <f t="shared" si="28"/>
        <v>4263.087208</v>
      </c>
      <c r="W462" s="52" t="str">
        <f t="shared" si="8"/>
        <v>#DIV/0!</v>
      </c>
      <c r="X462" s="9" t="str">
        <f t="shared" si="25"/>
        <v>#DIV/0!</v>
      </c>
      <c r="Y462" s="8"/>
      <c r="Z462" s="8"/>
      <c r="AA462" s="8"/>
      <c r="AB462" s="8" t="str">
        <f t="shared" si="10"/>
        <v>PAUH40742H3.5UT</v>
      </c>
      <c r="AC462" s="8" t="str">
        <f>IF(AB462='Input - Bookings'!S695,"OK","Check")</f>
        <v>Check</v>
      </c>
      <c r="AD462" s="53"/>
      <c r="AE462" s="65"/>
      <c r="AF462" s="65"/>
      <c r="AG462" s="55"/>
      <c r="AH462" s="62"/>
      <c r="AI462" s="8" t="str">
        <f t="array" ref="AI462">XLOOKUP($J462,'AP Plants'!D:D,'AP Plants'!B:B)</f>
        <v>Class 5 NOT BT</v>
      </c>
      <c r="AJ462" s="56"/>
      <c r="AK462" s="56"/>
      <c r="AL462" s="49">
        <v>0.015</v>
      </c>
      <c r="AM462" s="49">
        <f t="array" ref="AM462">XLOOKUP($AI462,Warranty!B:B,Warranty!E:E)</f>
        <v>0.005</v>
      </c>
      <c r="AN462" s="8">
        <f>IF($L462="AUD",VLOOKUP(RIGHT('Wk - Margins'!$J462,3),'AU Freight'!C:G,5,0),0)</f>
        <v>2000</v>
      </c>
      <c r="AO462" s="49">
        <f t="shared" si="11"/>
        <v>0</v>
      </c>
      <c r="AP462" s="63">
        <f t="shared" si="12"/>
        <v>2000</v>
      </c>
      <c r="AQ462" s="58">
        <f t="shared" si="13"/>
        <v>0.9229153418</v>
      </c>
      <c r="AR462" s="59">
        <f>IF(L462="AUD",O462*'Currency &amp; Conversion'!$L$7,'Wk - Margins'!O462)</f>
        <v>23961.76083</v>
      </c>
      <c r="AS462" s="59">
        <f>IF(L462="AUD",P462*'Currency &amp; Conversion'!$L$7,'Wk - Margins'!P462)</f>
        <v>17421.88218</v>
      </c>
    </row>
    <row r="463" ht="12.75" hidden="1" customHeight="1">
      <c r="A463" s="42" t="str">
        <f>'Input - Bookings'!A463</f>
        <v>28/06/2023</v>
      </c>
      <c r="B463" s="43" t="str">
        <f t="shared" si="1"/>
        <v>Australia</v>
      </c>
      <c r="C463" s="43" t="str">
        <f t="shared" si="2"/>
        <v>PAU</v>
      </c>
      <c r="D463" s="43" t="str">
        <f>'Input - Bookings'!D463</f>
        <v>P</v>
      </c>
      <c r="E463" s="43" t="str">
        <f>'Input - Bookings'!J463</f>
        <v>AU</v>
      </c>
      <c r="F463" s="44" t="str">
        <f>'Input - Bookings'!F463</f>
        <v>065</v>
      </c>
      <c r="G463" s="44" t="str">
        <f>'Input - Bookings'!I463</f>
        <v>ADAPT-A-LIFT GROUP (QLD)</v>
      </c>
      <c r="H463" s="44" t="str">
        <f>'Input - Bookings'!K463</f>
        <v>H40749</v>
      </c>
      <c r="I463" s="45" t="str">
        <f>VLOOKUP(H463,'Input - Bookings'!$G$2:$H$611,2,0)</f>
        <v>087575</v>
      </c>
      <c r="J463" s="44" t="str">
        <f>'Input - Bookings'!N463</f>
        <v>A3C1</v>
      </c>
      <c r="K463" s="44" t="str">
        <f>'Input - Bookings'!O463</f>
        <v>H3.5UT</v>
      </c>
      <c r="L463" s="44" t="str">
        <f>'Input - Bookings'!C463</f>
        <v>AUD</v>
      </c>
      <c r="M463" s="46" t="str">
        <f t="array" ref="M463">IF(L463="USD",INDEX('AP Plants'!A:A,MATCH(J463,'AP Plants'!D:D,0)),INDEX('Australia Plants'!A:A,MATCH(J463,'Australia Plants'!D:D,0)))</f>
        <v>Maximal</v>
      </c>
      <c r="N463" s="10">
        <v>1.0</v>
      </c>
      <c r="O463" s="9">
        <v>35685.0</v>
      </c>
      <c r="P463" s="9">
        <v>25945.5</v>
      </c>
      <c r="Q463" s="47">
        <v>0.16430931021477868</v>
      </c>
      <c r="R463" s="48">
        <f t="shared" si="3"/>
        <v>0.2729298024</v>
      </c>
      <c r="S463" s="49">
        <f t="shared" si="4"/>
        <v>0</v>
      </c>
      <c r="T463" s="49">
        <f t="shared" si="21"/>
        <v>0.1643093102</v>
      </c>
      <c r="U463" s="50" t="str">
        <f t="shared" si="6"/>
        <v>AOP</v>
      </c>
      <c r="V463" s="51">
        <f t="shared" si="28"/>
        <v>4263.087208</v>
      </c>
      <c r="W463" s="52" t="str">
        <f t="shared" si="8"/>
        <v>#DIV/0!</v>
      </c>
      <c r="X463" s="9" t="str">
        <f t="shared" si="25"/>
        <v>#DIV/0!</v>
      </c>
      <c r="Y463" s="8"/>
      <c r="Z463" s="8"/>
      <c r="AA463" s="8"/>
      <c r="AB463" s="8" t="str">
        <f t="shared" si="10"/>
        <v>PAUH40749H3.5UT</v>
      </c>
      <c r="AC463" s="8" t="str">
        <f>IF(AB463='Input - Bookings'!S696,"OK","Check")</f>
        <v>Check</v>
      </c>
      <c r="AD463" s="53"/>
      <c r="AE463" s="65"/>
      <c r="AF463" s="65"/>
      <c r="AG463" s="55"/>
      <c r="AH463" s="62"/>
      <c r="AI463" s="8" t="str">
        <f t="array" ref="AI463">XLOOKUP($J463,'AP Plants'!D:D,'AP Plants'!B:B)</f>
        <v>Class 5 NOT BT</v>
      </c>
      <c r="AJ463" s="56"/>
      <c r="AK463" s="56"/>
      <c r="AL463" s="49">
        <v>0.015</v>
      </c>
      <c r="AM463" s="49">
        <f t="array" ref="AM463">XLOOKUP($AI463,Warranty!B:B,Warranty!E:E)</f>
        <v>0.005</v>
      </c>
      <c r="AN463" s="8">
        <f>IF($L463="AUD",VLOOKUP(RIGHT('Wk - Margins'!$J463,3),'AU Freight'!C:G,5,0),0)</f>
        <v>2000</v>
      </c>
      <c r="AO463" s="49">
        <f t="shared" si="11"/>
        <v>0</v>
      </c>
      <c r="AP463" s="63">
        <f t="shared" si="12"/>
        <v>2000</v>
      </c>
      <c r="AQ463" s="58">
        <f t="shared" si="13"/>
        <v>0.9229153418</v>
      </c>
      <c r="AR463" s="59">
        <f>IF(L463="AUD",O463*'Currency &amp; Conversion'!$L$7,'Wk - Margins'!O463)</f>
        <v>23961.76083</v>
      </c>
      <c r="AS463" s="59">
        <f>IF(L463="AUD",P463*'Currency &amp; Conversion'!$L$7,'Wk - Margins'!P463)</f>
        <v>17421.88218</v>
      </c>
    </row>
    <row r="464" ht="12.75" hidden="1" customHeight="1">
      <c r="A464" s="42" t="str">
        <f>'Input - Bookings'!A464</f>
        <v>28/06/2023</v>
      </c>
      <c r="B464" s="43" t="str">
        <f t="shared" si="1"/>
        <v>Australia</v>
      </c>
      <c r="C464" s="43" t="str">
        <f t="shared" si="2"/>
        <v>PAU</v>
      </c>
      <c r="D464" s="43" t="str">
        <f>'Input - Bookings'!D464</f>
        <v>P</v>
      </c>
      <c r="E464" s="43" t="str">
        <f>'Input - Bookings'!J464</f>
        <v>AU</v>
      </c>
      <c r="F464" s="44" t="str">
        <f>'Input - Bookings'!F464</f>
        <v>065</v>
      </c>
      <c r="G464" s="44" t="str">
        <f>'Input - Bookings'!I464</f>
        <v>ADAPT-A-LIFT GROUP (QLD)</v>
      </c>
      <c r="H464" s="44" t="str">
        <f>'Input - Bookings'!K464</f>
        <v>H40743</v>
      </c>
      <c r="I464" s="45" t="str">
        <f>VLOOKUP(H464,'Input - Bookings'!$G$2:$H$611,2,0)</f>
        <v>087575</v>
      </c>
      <c r="J464" s="44" t="str">
        <f>'Input - Bookings'!N464</f>
        <v>A3C6</v>
      </c>
      <c r="K464" s="44" t="str">
        <f>'Input - Bookings'!O464</f>
        <v>H5.0UT</v>
      </c>
      <c r="L464" s="44" t="str">
        <f>'Input - Bookings'!C464</f>
        <v>AUD</v>
      </c>
      <c r="M464" s="46" t="str">
        <f t="array" ref="M464">IF(L464="USD",INDEX('AP Plants'!A:A,MATCH(J464,'AP Plants'!D:D,0)),INDEX('Australia Plants'!A:A,MATCH(J464,'Australia Plants'!D:D,0)))</f>
        <v>Maximal</v>
      </c>
      <c r="N464" s="10">
        <v>1.0</v>
      </c>
      <c r="O464" s="9">
        <v>55225.0</v>
      </c>
      <c r="P464" s="9">
        <v>40178.66</v>
      </c>
      <c r="Q464" s="47">
        <v>0.2106396980577676</v>
      </c>
      <c r="R464" s="48">
        <f t="shared" si="3"/>
        <v>0.2724552286</v>
      </c>
      <c r="S464" s="49">
        <f t="shared" si="4"/>
        <v>0</v>
      </c>
      <c r="T464" s="49">
        <f t="shared" si="21"/>
        <v>0.2106396981</v>
      </c>
      <c r="U464" s="50" t="str">
        <f t="shared" si="6"/>
        <v>AOP</v>
      </c>
      <c r="V464" s="51">
        <f t="shared" si="28"/>
        <v>8463.220811</v>
      </c>
      <c r="W464" s="52" t="str">
        <f t="shared" si="8"/>
        <v>#DIV/0!</v>
      </c>
      <c r="X464" s="9" t="str">
        <f t="shared" si="25"/>
        <v>#DIV/0!</v>
      </c>
      <c r="Y464" s="8"/>
      <c r="Z464" s="8"/>
      <c r="AA464" s="8"/>
      <c r="AB464" s="8" t="str">
        <f t="shared" si="10"/>
        <v>PAUH40743H5.0UT</v>
      </c>
      <c r="AC464" s="8" t="str">
        <f>IF(AB464='Input - Bookings'!S697,"OK","Check")</f>
        <v>Check</v>
      </c>
      <c r="AD464" s="53"/>
      <c r="AE464" s="65"/>
      <c r="AF464" s="65"/>
      <c r="AG464" s="55"/>
      <c r="AH464" s="62"/>
      <c r="AI464" s="8" t="str">
        <f t="array" ref="AI464">XLOOKUP($J464,'AP Plants'!D:D,'AP Plants'!B:B)</f>
        <v>Class 5 NOT BT</v>
      </c>
      <c r="AJ464" s="56"/>
      <c r="AK464" s="56"/>
      <c r="AL464" s="49">
        <v>0.015</v>
      </c>
      <c r="AM464" s="49">
        <f t="array" ref="AM464">XLOOKUP($AI464,Warranty!B:B,Warranty!E:E)</f>
        <v>0.005</v>
      </c>
      <c r="AN464" s="8">
        <f>IF($L464="AUD",VLOOKUP(RIGHT('Wk - Margins'!$J464,3),'AU Freight'!C:G,5,0),0)</f>
        <v>2000</v>
      </c>
      <c r="AO464" s="49">
        <f t="shared" si="11"/>
        <v>0</v>
      </c>
      <c r="AP464" s="63">
        <f t="shared" si="12"/>
        <v>2000</v>
      </c>
      <c r="AQ464" s="58">
        <f t="shared" si="13"/>
        <v>0.950222332</v>
      </c>
      <c r="AR464" s="59">
        <f>IF(L464="AUD",O464*'Currency &amp; Conversion'!$L$7,'Wk - Margins'!O464)</f>
        <v>37082.4784</v>
      </c>
      <c r="AS464" s="59">
        <f>IF(L464="AUD",P464*'Currency &amp; Conversion'!$L$7,'Wk - Margins'!P464)</f>
        <v>26979.16327</v>
      </c>
    </row>
    <row r="465" ht="12.75" hidden="1" customHeight="1">
      <c r="A465" s="42" t="str">
        <f>'Input - Bookings'!A465</f>
        <v>28/06/2023</v>
      </c>
      <c r="B465" s="43" t="str">
        <f t="shared" si="1"/>
        <v>Australia</v>
      </c>
      <c r="C465" s="43" t="str">
        <f t="shared" si="2"/>
        <v>PAU</v>
      </c>
      <c r="D465" s="43" t="str">
        <f>'Input - Bookings'!D465</f>
        <v>P</v>
      </c>
      <c r="E465" s="43" t="str">
        <f>'Input - Bookings'!J465</f>
        <v>AU</v>
      </c>
      <c r="F465" s="44" t="str">
        <f>'Input - Bookings'!F465</f>
        <v>065</v>
      </c>
      <c r="G465" s="44" t="str">
        <f>'Input - Bookings'!I465</f>
        <v>ADAPT-A-LIFT GROUP (QLD)</v>
      </c>
      <c r="H465" s="44" t="str">
        <f>'Input - Bookings'!K465</f>
        <v>H40744</v>
      </c>
      <c r="I465" s="45" t="str">
        <f>VLOOKUP(H465,'Input - Bookings'!$G$2:$H$611,2,0)</f>
        <v>087575</v>
      </c>
      <c r="J465" s="44" t="str">
        <f>'Input - Bookings'!N465</f>
        <v>A3C6</v>
      </c>
      <c r="K465" s="44" t="str">
        <f>'Input - Bookings'!O465</f>
        <v>H5.0UT</v>
      </c>
      <c r="L465" s="44" t="str">
        <f>'Input - Bookings'!C465</f>
        <v>AUD</v>
      </c>
      <c r="M465" s="46" t="str">
        <f t="array" ref="M465">IF(L465="USD",INDEX('AP Plants'!A:A,MATCH(J465,'AP Plants'!D:D,0)),INDEX('Australia Plants'!A:A,MATCH(J465,'Australia Plants'!D:D,0)))</f>
        <v>Maximal</v>
      </c>
      <c r="N465" s="10">
        <v>1.0</v>
      </c>
      <c r="O465" s="9">
        <v>53690.0</v>
      </c>
      <c r="P465" s="9">
        <v>38950.66</v>
      </c>
      <c r="Q465" s="47">
        <v>0.20778974523506677</v>
      </c>
      <c r="R465" s="48">
        <f t="shared" si="3"/>
        <v>0.2745267275</v>
      </c>
      <c r="S465" s="49">
        <f t="shared" si="4"/>
        <v>0</v>
      </c>
      <c r="T465" s="49">
        <f t="shared" si="21"/>
        <v>0.2077897452</v>
      </c>
      <c r="U465" s="50" t="str">
        <f t="shared" si="6"/>
        <v>AOP</v>
      </c>
      <c r="V465" s="51">
        <f t="shared" si="28"/>
        <v>8093.547718</v>
      </c>
      <c r="W465" s="52" t="str">
        <f t="shared" si="8"/>
        <v>#DIV/0!</v>
      </c>
      <c r="X465" s="9" t="str">
        <f t="shared" si="25"/>
        <v>#DIV/0!</v>
      </c>
      <c r="Y465" s="8"/>
      <c r="Z465" s="8"/>
      <c r="AA465" s="8"/>
      <c r="AB465" s="8" t="str">
        <f t="shared" si="10"/>
        <v>PAUH40744H5.0UT</v>
      </c>
      <c r="AC465" s="8" t="str">
        <f>IF(AB465='Input - Bookings'!S698,"OK","Check")</f>
        <v>Check</v>
      </c>
      <c r="AD465" s="53"/>
      <c r="AE465" s="65"/>
      <c r="AF465" s="65"/>
      <c r="AG465" s="55"/>
      <c r="AH465" s="62"/>
      <c r="AI465" s="8" t="str">
        <f t="array" ref="AI465">XLOOKUP($J465,'AP Plants'!D:D,'AP Plants'!B:B)</f>
        <v>Class 5 NOT BT</v>
      </c>
      <c r="AJ465" s="56"/>
      <c r="AK465" s="56"/>
      <c r="AL465" s="49">
        <v>0.015</v>
      </c>
      <c r="AM465" s="49">
        <f t="array" ref="AM465">XLOOKUP($AI465,Warranty!B:B,Warranty!E:E)</f>
        <v>0.005</v>
      </c>
      <c r="AN465" s="8">
        <f>IF($L465="AUD",VLOOKUP(RIGHT('Wk - Margins'!$J465,3),'AU Freight'!C:G,5,0),0)</f>
        <v>2000</v>
      </c>
      <c r="AO465" s="49">
        <f t="shared" si="11"/>
        <v>0</v>
      </c>
      <c r="AP465" s="63">
        <f t="shared" si="12"/>
        <v>2000</v>
      </c>
      <c r="AQ465" s="58">
        <f t="shared" si="13"/>
        <v>0.9486529882</v>
      </c>
      <c r="AR465" s="59">
        <f>IF(L465="AUD",O465*'Currency &amp; Conversion'!$L$7,'Wk - Margins'!O465)</f>
        <v>36051.75673</v>
      </c>
      <c r="AS465" s="59">
        <f>IF(L465="AUD",P465*'Currency &amp; Conversion'!$L$7,'Wk - Margins'!P465)</f>
        <v>26154.58593</v>
      </c>
    </row>
    <row r="466" ht="12.75" hidden="1" customHeight="1">
      <c r="A466" s="42" t="str">
        <f>'Input - Bookings'!A466</f>
        <v>28/06/2023</v>
      </c>
      <c r="B466" s="43" t="str">
        <f t="shared" si="1"/>
        <v>Australia</v>
      </c>
      <c r="C466" s="43" t="str">
        <f t="shared" si="2"/>
        <v>PAU</v>
      </c>
      <c r="D466" s="43" t="str">
        <f>'Input - Bookings'!D466</f>
        <v>P</v>
      </c>
      <c r="E466" s="43" t="str">
        <f>'Input - Bookings'!J466</f>
        <v>AU</v>
      </c>
      <c r="F466" s="44" t="str">
        <f>'Input - Bookings'!F466</f>
        <v>065</v>
      </c>
      <c r="G466" s="44" t="str">
        <f>'Input - Bookings'!I466</f>
        <v>ADAPT-A-LIFT GROUP (QLD)</v>
      </c>
      <c r="H466" s="44" t="str">
        <f>'Input - Bookings'!K466</f>
        <v>H40745</v>
      </c>
      <c r="I466" s="45" t="str">
        <f>VLOOKUP(H466,'Input - Bookings'!$G$2:$H$611,2,0)</f>
        <v>087575</v>
      </c>
      <c r="J466" s="44" t="str">
        <f>'Input - Bookings'!N466</f>
        <v>D466</v>
      </c>
      <c r="K466" s="44" t="str">
        <f>'Input - Bookings'!O466</f>
        <v>H3.0XT</v>
      </c>
      <c r="L466" s="44" t="str">
        <f>'Input - Bookings'!C466</f>
        <v>AUD</v>
      </c>
      <c r="M466" s="46" t="str">
        <f t="array" ref="M466">IF(L466="USD",INDEX('AP Plants'!A:A,MATCH(J466,'AP Plants'!D:D,0)),INDEX('Australia Plants'!A:A,MATCH(J466,'Australia Plants'!D:D,0)))</f>
        <v>SN</v>
      </c>
      <c r="N466" s="10">
        <v>1.0</v>
      </c>
      <c r="O466" s="9">
        <v>39930.0</v>
      </c>
      <c r="P466" s="9">
        <v>33184.911</v>
      </c>
      <c r="Q466" s="47">
        <v>0.12460257548771358</v>
      </c>
      <c r="R466" s="48">
        <f t="shared" si="3"/>
        <v>0.16892284</v>
      </c>
      <c r="S466" s="49">
        <f t="shared" si="4"/>
        <v>0</v>
      </c>
      <c r="T466" s="49">
        <f t="shared" si="21"/>
        <v>0.1246025755</v>
      </c>
      <c r="U466" s="50" t="str">
        <f t="shared" si="6"/>
        <v>AOP</v>
      </c>
      <c r="V466" s="51">
        <f t="shared" si="28"/>
        <v>4134.925378</v>
      </c>
      <c r="W466" s="52" t="str">
        <f t="shared" si="8"/>
        <v>#DIV/0!</v>
      </c>
      <c r="X466" s="9" t="str">
        <f t="shared" si="25"/>
        <v>#DIV/0!</v>
      </c>
      <c r="Y466" s="8"/>
      <c r="Z466" s="8"/>
      <c r="AA466" s="8"/>
      <c r="AB466" s="8" t="str">
        <f t="shared" si="10"/>
        <v>PAUH40745H3.0XT</v>
      </c>
      <c r="AC466" s="8" t="str">
        <f>IF(AB466='Input - Bookings'!S699,"OK","Check")</f>
        <v>Check</v>
      </c>
      <c r="AD466" s="53"/>
      <c r="AE466" s="65"/>
      <c r="AF466" s="65"/>
      <c r="AG466" s="55"/>
      <c r="AH466" s="62"/>
      <c r="AI466" s="8" t="str">
        <f t="array" ref="AI466">XLOOKUP($J466,'AP Plants'!D:D,'AP Plants'!B:B)</f>
        <v>Class 5 NOT BT</v>
      </c>
      <c r="AJ466" s="56"/>
      <c r="AK466" s="56"/>
      <c r="AL466" s="49">
        <v>0.015</v>
      </c>
      <c r="AM466" s="49">
        <f t="array" ref="AM466">XLOOKUP($AI466,Warranty!B:B,Warranty!E:E)</f>
        <v>0.005</v>
      </c>
      <c r="AN466" s="8">
        <f>IF($L466="AUD",VLOOKUP(RIGHT('Wk - Margins'!$J466,3),'AU Freight'!C:G,5,0),0)</f>
        <v>2130</v>
      </c>
      <c r="AO466" s="49">
        <f t="shared" si="11"/>
        <v>0</v>
      </c>
      <c r="AP466" s="63">
        <f t="shared" si="12"/>
        <v>2130</v>
      </c>
      <c r="AQ466" s="58">
        <f t="shared" si="13"/>
        <v>0.9358142018</v>
      </c>
      <c r="AR466" s="59">
        <f>IF(L466="AUD",O466*'Currency &amp; Conversion'!$L$7,'Wk - Margins'!O466)</f>
        <v>26812.19308</v>
      </c>
      <c r="AS466" s="59">
        <f>IF(L466="AUD",P466*'Currency &amp; Conversion'!$L$7,'Wk - Margins'!P466)</f>
        <v>22283.00128</v>
      </c>
    </row>
    <row r="467" ht="12.75" hidden="1" customHeight="1">
      <c r="A467" s="42" t="str">
        <f>'Input - Bookings'!A467</f>
        <v>28/06/2023</v>
      </c>
      <c r="B467" s="43" t="str">
        <f t="shared" si="1"/>
        <v>Australia</v>
      </c>
      <c r="C467" s="43" t="str">
        <f t="shared" si="2"/>
        <v>PAU</v>
      </c>
      <c r="D467" s="43" t="str">
        <f>'Input - Bookings'!D467</f>
        <v>P</v>
      </c>
      <c r="E467" s="43" t="str">
        <f>'Input - Bookings'!J467</f>
        <v>AU</v>
      </c>
      <c r="F467" s="44" t="str">
        <f>'Input - Bookings'!F467</f>
        <v>065</v>
      </c>
      <c r="G467" s="44" t="str">
        <f>'Input - Bookings'!I467</f>
        <v>ADAPT-A-LIFT GROUP (QLD)</v>
      </c>
      <c r="H467" s="44" t="str">
        <f>'Input - Bookings'!K467</f>
        <v>H40746</v>
      </c>
      <c r="I467" s="45" t="str">
        <f>VLOOKUP(H467,'Input - Bookings'!$G$2:$H$611,2,0)</f>
        <v>087575</v>
      </c>
      <c r="J467" s="44" t="str">
        <f>'Input - Bookings'!N467</f>
        <v>A406</v>
      </c>
      <c r="K467" s="44" t="str">
        <f>'Input - Bookings'!O467</f>
        <v>R1.6 406</v>
      </c>
      <c r="L467" s="44" t="str">
        <f>'Input - Bookings'!C467</f>
        <v>AUD</v>
      </c>
      <c r="M467" s="46" t="str">
        <f t="array" ref="M467">IF(L467="USD",INDEX('AP Plants'!A:A,MATCH(J467,'AP Plants'!D:D,0)),INDEX('Australia Plants'!A:A,MATCH(J467,'Australia Plants'!D:D,0)))</f>
        <v>Maximal</v>
      </c>
      <c r="N467" s="10">
        <v>1.0</v>
      </c>
      <c r="O467" s="9">
        <v>51550.0</v>
      </c>
      <c r="P467" s="9">
        <v>33734.0</v>
      </c>
      <c r="Q467" s="47">
        <v>0.0330487823003357</v>
      </c>
      <c r="R467" s="48">
        <f t="shared" si="3"/>
        <v>0.3456062076</v>
      </c>
      <c r="S467" s="49">
        <f t="shared" si="4"/>
        <v>0</v>
      </c>
      <c r="T467" s="49">
        <f t="shared" si="21"/>
        <v>0.0330487823</v>
      </c>
      <c r="U467" s="50" t="str">
        <f t="shared" si="6"/>
        <v>AOP</v>
      </c>
      <c r="V467" s="51">
        <f t="shared" si="28"/>
        <v>1114.867622</v>
      </c>
      <c r="W467" s="52" t="str">
        <f t="shared" si="8"/>
        <v>#DIV/0!</v>
      </c>
      <c r="X467" s="9" t="str">
        <f t="shared" si="25"/>
        <v>#DIV/0!</v>
      </c>
      <c r="Y467" s="8"/>
      <c r="Z467" s="8"/>
      <c r="AA467" s="8"/>
      <c r="AB467" s="8" t="str">
        <f t="shared" si="10"/>
        <v>PAUH40746R1.6 406</v>
      </c>
      <c r="AC467" s="8" t="str">
        <f>IF(AB467='Input - Bookings'!S700,"OK","Check")</f>
        <v>Check</v>
      </c>
      <c r="AD467" s="53"/>
      <c r="AE467" s="65"/>
      <c r="AF467" s="65"/>
      <c r="AG467" s="55"/>
      <c r="AH467" s="62"/>
      <c r="AI467" s="8" t="str">
        <f t="array" ref="AI467">XLOOKUP($J467,'AP Plants'!D:D,'AP Plants'!B:B)</f>
        <v>Class 2</v>
      </c>
      <c r="AJ467" s="56"/>
      <c r="AK467" s="56"/>
      <c r="AL467" s="49">
        <v>0.015</v>
      </c>
      <c r="AM467" s="49">
        <f t="array" ref="AM467">XLOOKUP($AI467,Warranty!B:B,Warranty!E:E)</f>
        <v>0.015</v>
      </c>
      <c r="AN467" s="8">
        <f>IF($L467="AUD",VLOOKUP(RIGHT('Wk - Margins'!$J467,3),'AU Freight'!C:G,5,0),0)</f>
        <v>2000</v>
      </c>
      <c r="AO467" s="49">
        <f t="shared" si="11"/>
        <v>0</v>
      </c>
      <c r="AP467" s="63">
        <f t="shared" si="12"/>
        <v>2000</v>
      </c>
      <c r="AQ467" s="58">
        <f t="shared" si="13"/>
        <v>0.9407126341</v>
      </c>
      <c r="AR467" s="59">
        <f>IF(L467="AUD",O467*'Currency &amp; Conversion'!$L$7,'Wk - Margins'!O467)</f>
        <v>34614.78971</v>
      </c>
      <c r="AS467" s="59">
        <f>IF(L467="AUD",P467*'Currency &amp; Conversion'!$L$7,'Wk - Margins'!P467)</f>
        <v>22651.70351</v>
      </c>
    </row>
    <row r="468" ht="12.75" hidden="1" customHeight="1">
      <c r="A468" s="42" t="str">
        <f>'Input - Bookings'!A468</f>
        <v>28/06/2023</v>
      </c>
      <c r="B468" s="43" t="str">
        <f t="shared" si="1"/>
        <v>Australia</v>
      </c>
      <c r="C468" s="43" t="str">
        <f t="shared" si="2"/>
        <v>PAU</v>
      </c>
      <c r="D468" s="43" t="str">
        <f>'Input - Bookings'!D468</f>
        <v>P</v>
      </c>
      <c r="E468" s="43" t="str">
        <f>'Input - Bookings'!J468</f>
        <v>AU</v>
      </c>
      <c r="F468" s="44" t="str">
        <f>'Input - Bookings'!F468</f>
        <v>065</v>
      </c>
      <c r="G468" s="44" t="str">
        <f>'Input - Bookings'!I468</f>
        <v>ADAPT-A-LIFT GROUP (QLD)</v>
      </c>
      <c r="H468" s="44" t="str">
        <f>'Input - Bookings'!K468</f>
        <v>H40750</v>
      </c>
      <c r="I468" s="45" t="str">
        <f>VLOOKUP(H468,'Input - Bookings'!$G$2:$H$611,2,0)</f>
        <v>087575</v>
      </c>
      <c r="J468" s="44" t="str">
        <f>'Input - Bookings'!N468</f>
        <v>A406</v>
      </c>
      <c r="K468" s="44" t="str">
        <f>'Input - Bookings'!O468</f>
        <v>R1.6 406</v>
      </c>
      <c r="L468" s="44" t="str">
        <f>'Input - Bookings'!C468</f>
        <v>AUD</v>
      </c>
      <c r="M468" s="46" t="str">
        <f t="array" ref="M468">IF(L468="USD",INDEX('AP Plants'!A:A,MATCH(J468,'AP Plants'!D:D,0)),INDEX('Australia Plants'!A:A,MATCH(J468,'Australia Plants'!D:D,0)))</f>
        <v>Maximal</v>
      </c>
      <c r="N468" s="10">
        <v>1.0</v>
      </c>
      <c r="O468" s="9">
        <v>51550.0</v>
      </c>
      <c r="P468" s="9">
        <v>33734.0</v>
      </c>
      <c r="Q468" s="47">
        <v>0.0330487823003357</v>
      </c>
      <c r="R468" s="48">
        <f t="shared" si="3"/>
        <v>0.3456062076</v>
      </c>
      <c r="S468" s="49">
        <f t="shared" si="4"/>
        <v>0</v>
      </c>
      <c r="T468" s="49">
        <f t="shared" si="21"/>
        <v>0.0330487823</v>
      </c>
      <c r="U468" s="50" t="str">
        <f t="shared" si="6"/>
        <v>AOP</v>
      </c>
      <c r="V468" s="51">
        <f t="shared" si="28"/>
        <v>1114.867622</v>
      </c>
      <c r="W468" s="52" t="str">
        <f t="shared" si="8"/>
        <v>#DIV/0!</v>
      </c>
      <c r="X468" s="9" t="str">
        <f t="shared" si="25"/>
        <v>#DIV/0!</v>
      </c>
      <c r="Y468" s="8"/>
      <c r="Z468" s="8"/>
      <c r="AA468" s="8"/>
      <c r="AB468" s="8" t="str">
        <f t="shared" si="10"/>
        <v>PAUH40750R1.6 406</v>
      </c>
      <c r="AC468" s="8" t="str">
        <f>IF(AB468='Input - Bookings'!S701,"OK","Check")</f>
        <v>Check</v>
      </c>
      <c r="AD468" s="53"/>
      <c r="AE468" s="65"/>
      <c r="AF468" s="65"/>
      <c r="AG468" s="55"/>
      <c r="AH468" s="62"/>
      <c r="AI468" s="8" t="str">
        <f t="array" ref="AI468">XLOOKUP($J468,'AP Plants'!D:D,'AP Plants'!B:B)</f>
        <v>Class 2</v>
      </c>
      <c r="AJ468" s="56"/>
      <c r="AK468" s="56"/>
      <c r="AL468" s="49">
        <v>0.015</v>
      </c>
      <c r="AM468" s="49">
        <f t="array" ref="AM468">XLOOKUP($AI468,Warranty!B:B,Warranty!E:E)</f>
        <v>0.015</v>
      </c>
      <c r="AN468" s="8">
        <f>IF($L468="AUD",VLOOKUP(RIGHT('Wk - Margins'!$J468,3),'AU Freight'!C:G,5,0),0)</f>
        <v>2000</v>
      </c>
      <c r="AO468" s="49">
        <f t="shared" si="11"/>
        <v>0</v>
      </c>
      <c r="AP468" s="63">
        <f t="shared" si="12"/>
        <v>2000</v>
      </c>
      <c r="AQ468" s="58">
        <f t="shared" si="13"/>
        <v>0.9407126341</v>
      </c>
      <c r="AR468" s="59">
        <f>IF(L468="AUD",O468*'Currency &amp; Conversion'!$L$7,'Wk - Margins'!O468)</f>
        <v>34614.78971</v>
      </c>
      <c r="AS468" s="59">
        <f>IF(L468="AUD",P468*'Currency &amp; Conversion'!$L$7,'Wk - Margins'!P468)</f>
        <v>22651.70351</v>
      </c>
    </row>
    <row r="469" ht="12.75" hidden="1" customHeight="1">
      <c r="A469" s="42" t="str">
        <f>'Input - Bookings'!A469</f>
        <v>28/06/2023</v>
      </c>
      <c r="B469" s="43" t="str">
        <f t="shared" si="1"/>
        <v>Australia</v>
      </c>
      <c r="C469" s="43" t="str">
        <f t="shared" si="2"/>
        <v>PAU</v>
      </c>
      <c r="D469" s="43" t="str">
        <f>'Input - Bookings'!D469</f>
        <v>P</v>
      </c>
      <c r="E469" s="43" t="str">
        <f>'Input - Bookings'!J469</f>
        <v>AU</v>
      </c>
      <c r="F469" s="44" t="str">
        <f>'Input - Bookings'!F469</f>
        <v>065</v>
      </c>
      <c r="G469" s="44" t="str">
        <f>'Input - Bookings'!I469</f>
        <v>ADAPT-A-LIFT GROUP (QLD)</v>
      </c>
      <c r="H469" s="44" t="str">
        <f>'Input - Bookings'!K469</f>
        <v>H40747</v>
      </c>
      <c r="I469" s="45" t="str">
        <f>VLOOKUP(H469,'Input - Bookings'!$G$2:$H$611,2,0)</f>
        <v>087575</v>
      </c>
      <c r="J469" s="44" t="str">
        <f>'Input - Bookings'!N469</f>
        <v>A406</v>
      </c>
      <c r="K469" s="44" t="str">
        <f>'Input - Bookings'!O469</f>
        <v>R1.6 406</v>
      </c>
      <c r="L469" s="44" t="str">
        <f>'Input - Bookings'!C469</f>
        <v>AUD</v>
      </c>
      <c r="M469" s="46" t="str">
        <f t="array" ref="M469">IF(L469="USD",INDEX('AP Plants'!A:A,MATCH(J469,'AP Plants'!D:D,0)),INDEX('Australia Plants'!A:A,MATCH(J469,'Australia Plants'!D:D,0)))</f>
        <v>Maximal</v>
      </c>
      <c r="N469" s="10">
        <v>1.0</v>
      </c>
      <c r="O469" s="9">
        <v>49885.0</v>
      </c>
      <c r="P469" s="9">
        <v>32485.25</v>
      </c>
      <c r="Q469" s="47">
        <v>0.03812755841143345</v>
      </c>
      <c r="R469" s="48">
        <f t="shared" si="3"/>
        <v>0.3487972336</v>
      </c>
      <c r="S469" s="49">
        <f t="shared" si="4"/>
        <v>0</v>
      </c>
      <c r="T469" s="49">
        <f t="shared" si="21"/>
        <v>0.03812755841</v>
      </c>
      <c r="U469" s="50" t="str">
        <f t="shared" si="6"/>
        <v>AOP</v>
      </c>
      <c r="V469" s="51">
        <f t="shared" si="28"/>
        <v>1238.583267</v>
      </c>
      <c r="W469" s="52" t="str">
        <f t="shared" si="8"/>
        <v>#DIV/0!</v>
      </c>
      <c r="X469" s="9" t="str">
        <f t="shared" si="25"/>
        <v>#DIV/0!</v>
      </c>
      <c r="Y469" s="8"/>
      <c r="Z469" s="8"/>
      <c r="AA469" s="8"/>
      <c r="AB469" s="8" t="str">
        <f t="shared" si="10"/>
        <v>PAUH40747R1.6 406</v>
      </c>
      <c r="AC469" s="8" t="str">
        <f>IF(AB469='Input - Bookings'!S702,"OK","Check")</f>
        <v>Check</v>
      </c>
      <c r="AD469" s="53"/>
      <c r="AE469" s="65"/>
      <c r="AF469" s="65"/>
      <c r="AG469" s="55"/>
      <c r="AH469" s="62"/>
      <c r="AI469" s="8" t="str">
        <f t="array" ref="AI469">XLOOKUP($J469,'AP Plants'!D:D,'AP Plants'!B:B)</f>
        <v>Class 2</v>
      </c>
      <c r="AJ469" s="56"/>
      <c r="AK469" s="56"/>
      <c r="AL469" s="49">
        <v>0.015</v>
      </c>
      <c r="AM469" s="49">
        <f t="array" ref="AM469">XLOOKUP($AI469,Warranty!B:B,Warranty!E:E)</f>
        <v>0.015</v>
      </c>
      <c r="AN469" s="8">
        <f>IF($L469="AUD",VLOOKUP(RIGHT('Wk - Margins'!$J469,3),'AU Freight'!C:G,5,0),0)</f>
        <v>2000</v>
      </c>
      <c r="AO469" s="49">
        <f t="shared" si="11"/>
        <v>0</v>
      </c>
      <c r="AP469" s="63">
        <f t="shared" si="12"/>
        <v>2000</v>
      </c>
      <c r="AQ469" s="58">
        <f t="shared" si="13"/>
        <v>0.9384335968</v>
      </c>
      <c r="AR469" s="59">
        <f>IF(L469="AUD",O469*'Currency &amp; Conversion'!$L$7,'Wk - Margins'!O469)</f>
        <v>33496.77565</v>
      </c>
      <c r="AS469" s="59">
        <f>IF(L469="AUD",P469*'Currency &amp; Conversion'!$L$7,'Wk - Margins'!P469)</f>
        <v>21813.19297</v>
      </c>
    </row>
    <row r="470" ht="12.75" hidden="1" customHeight="1">
      <c r="A470" s="42" t="str">
        <f>'Input - Bookings'!A470</f>
        <v>28/06/2023</v>
      </c>
      <c r="B470" s="43" t="str">
        <f t="shared" si="1"/>
        <v>Australia</v>
      </c>
      <c r="C470" s="43" t="str">
        <f t="shared" si="2"/>
        <v>PAU</v>
      </c>
      <c r="D470" s="43" t="str">
        <f>'Input - Bookings'!D470</f>
        <v>P</v>
      </c>
      <c r="E470" s="43" t="str">
        <f>'Input - Bookings'!J470</f>
        <v>AU</v>
      </c>
      <c r="F470" s="44" t="str">
        <f>'Input - Bookings'!F470</f>
        <v>065</v>
      </c>
      <c r="G470" s="44" t="str">
        <f>'Input - Bookings'!I470</f>
        <v>ADAPT-A-LIFT GROUP (QLD)</v>
      </c>
      <c r="H470" s="44" t="str">
        <f>'Input - Bookings'!K470</f>
        <v>H40751</v>
      </c>
      <c r="I470" s="45" t="str">
        <f>VLOOKUP(H470,'Input - Bookings'!$G$2:$H$611,2,0)</f>
        <v>087575</v>
      </c>
      <c r="J470" s="44" t="str">
        <f>'Input - Bookings'!N470</f>
        <v>A406</v>
      </c>
      <c r="K470" s="44" t="str">
        <f>'Input - Bookings'!O470</f>
        <v>R1.6 406</v>
      </c>
      <c r="L470" s="44" t="str">
        <f>'Input - Bookings'!C470</f>
        <v>AUD</v>
      </c>
      <c r="M470" s="46" t="str">
        <f t="array" ref="M470">IF(L470="USD",INDEX('AP Plants'!A:A,MATCH(J470,'AP Plants'!D:D,0)),INDEX('Australia Plants'!A:A,MATCH(J470,'Australia Plants'!D:D,0)))</f>
        <v>Maximal</v>
      </c>
      <c r="N470" s="10">
        <v>1.0</v>
      </c>
      <c r="O470" s="9">
        <v>49885.0</v>
      </c>
      <c r="P470" s="9">
        <v>32485.25</v>
      </c>
      <c r="Q470" s="47">
        <v>0.03812755841143345</v>
      </c>
      <c r="R470" s="48">
        <f t="shared" si="3"/>
        <v>0.3487972336</v>
      </c>
      <c r="S470" s="49">
        <f t="shared" si="4"/>
        <v>0</v>
      </c>
      <c r="T470" s="49">
        <f t="shared" si="21"/>
        <v>0.03812755841</v>
      </c>
      <c r="U470" s="50" t="str">
        <f t="shared" si="6"/>
        <v>AOP</v>
      </c>
      <c r="V470" s="51">
        <f t="shared" si="28"/>
        <v>1238.583267</v>
      </c>
      <c r="W470" s="52" t="str">
        <f t="shared" si="8"/>
        <v>#DIV/0!</v>
      </c>
      <c r="X470" s="9" t="str">
        <f t="shared" si="25"/>
        <v>#DIV/0!</v>
      </c>
      <c r="Y470" s="8"/>
      <c r="Z470" s="8"/>
      <c r="AA470" s="8"/>
      <c r="AB470" s="8" t="str">
        <f t="shared" si="10"/>
        <v>PAUH40751R1.6 406</v>
      </c>
      <c r="AC470" s="8" t="str">
        <f>IF(AB470='Input - Bookings'!S703,"OK","Check")</f>
        <v>Check</v>
      </c>
      <c r="AD470" s="53"/>
      <c r="AE470" s="65"/>
      <c r="AF470" s="65"/>
      <c r="AG470" s="55"/>
      <c r="AH470" s="62"/>
      <c r="AI470" s="8" t="str">
        <f t="array" ref="AI470">XLOOKUP($J470,'AP Plants'!D:D,'AP Plants'!B:B)</f>
        <v>Class 2</v>
      </c>
      <c r="AJ470" s="56"/>
      <c r="AK470" s="56"/>
      <c r="AL470" s="49">
        <v>0.015</v>
      </c>
      <c r="AM470" s="49">
        <f t="array" ref="AM470">XLOOKUP($AI470,Warranty!B:B,Warranty!E:E)</f>
        <v>0.015</v>
      </c>
      <c r="AN470" s="8">
        <f>IF($L470="AUD",VLOOKUP(RIGHT('Wk - Margins'!$J470,3),'AU Freight'!C:G,5,0),0)</f>
        <v>2000</v>
      </c>
      <c r="AO470" s="49">
        <f t="shared" si="11"/>
        <v>0</v>
      </c>
      <c r="AP470" s="63">
        <f t="shared" si="12"/>
        <v>2000</v>
      </c>
      <c r="AQ470" s="58">
        <f t="shared" si="13"/>
        <v>0.9384335968</v>
      </c>
      <c r="AR470" s="59">
        <f>IF(L470="AUD",O470*'Currency &amp; Conversion'!$L$7,'Wk - Margins'!O470)</f>
        <v>33496.77565</v>
      </c>
      <c r="AS470" s="59">
        <f>IF(L470="AUD",P470*'Currency &amp; Conversion'!$L$7,'Wk - Margins'!P470)</f>
        <v>21813.19297</v>
      </c>
    </row>
    <row r="471" ht="12.75" hidden="1" customHeight="1">
      <c r="A471" s="42" t="str">
        <f>'Input - Bookings'!A471</f>
        <v>28/06/2023</v>
      </c>
      <c r="B471" s="43" t="str">
        <f t="shared" si="1"/>
        <v>Australia</v>
      </c>
      <c r="C471" s="43" t="str">
        <f t="shared" si="2"/>
        <v>PAU</v>
      </c>
      <c r="D471" s="43" t="str">
        <f>'Input - Bookings'!D471</f>
        <v>P</v>
      </c>
      <c r="E471" s="43" t="str">
        <f>'Input - Bookings'!J471</f>
        <v>AU</v>
      </c>
      <c r="F471" s="44" t="str">
        <f>'Input - Bookings'!F471</f>
        <v>067</v>
      </c>
      <c r="G471" s="44" t="str">
        <f>'Input - Bookings'!I471</f>
        <v>ADAPT-A-LIFT GROUP (QLD)</v>
      </c>
      <c r="H471" s="44" t="str">
        <f>'Input - Bookings'!K471</f>
        <v>H40776</v>
      </c>
      <c r="I471" s="45" t="str">
        <f>VLOOKUP(H471,'Input - Bookings'!$G$2:$H$611,2,0)</f>
        <v>087505</v>
      </c>
      <c r="J471" s="44" t="str">
        <f>'Input - Bookings'!N471</f>
        <v>A7S6</v>
      </c>
      <c r="K471" s="44" t="str">
        <f>'Input - Bookings'!O471</f>
        <v>GP50UX</v>
      </c>
      <c r="L471" s="44" t="str">
        <f>'Input - Bookings'!C471</f>
        <v>AUD</v>
      </c>
      <c r="M471" s="46" t="str">
        <f t="array" ref="M471">IF(L471="USD",INDEX('AP Plants'!A:A,MATCH(J471,'AP Plants'!D:D,0)),INDEX('Australia Plants'!A:A,MATCH(J471,'Australia Plants'!D:D,0)))</f>
        <v>Maximal</v>
      </c>
      <c r="N471" s="10">
        <v>1.0</v>
      </c>
      <c r="O471" s="9">
        <v>55225.0</v>
      </c>
      <c r="P471" s="9">
        <v>40178.66</v>
      </c>
      <c r="Q471" s="47">
        <v>0.21673306682313553</v>
      </c>
      <c r="R471" s="48">
        <f t="shared" si="3"/>
        <v>0.2724552286</v>
      </c>
      <c r="S471" s="49">
        <f t="shared" si="4"/>
        <v>0</v>
      </c>
      <c r="T471" s="49">
        <f t="shared" si="21"/>
        <v>0.2167330668</v>
      </c>
      <c r="U471" s="50" t="str">
        <f t="shared" si="6"/>
        <v>AOP</v>
      </c>
      <c r="V471" s="51">
        <f t="shared" si="28"/>
        <v>8708.044203</v>
      </c>
      <c r="W471" s="52" t="str">
        <f t="shared" si="8"/>
        <v>#DIV/0!</v>
      </c>
      <c r="X471" s="9" t="str">
        <f t="shared" si="25"/>
        <v>#DIV/0!</v>
      </c>
      <c r="Y471" s="8"/>
      <c r="Z471" s="8"/>
      <c r="AA471" s="8"/>
      <c r="AB471" s="8" t="str">
        <f t="shared" si="10"/>
        <v>PAUH40776GP50UX</v>
      </c>
      <c r="AC471" s="8" t="str">
        <f>IF(AB471='Input - Bookings'!S704,"OK","Check")</f>
        <v>Check</v>
      </c>
      <c r="AD471" s="53"/>
      <c r="AE471" s="65"/>
      <c r="AF471" s="65"/>
      <c r="AG471" s="55"/>
      <c r="AH471" s="62"/>
      <c r="AI471" s="8" t="str">
        <f t="array" ref="AI471">XLOOKUP($J471,'AP Plants'!D:D,'AP Plants'!B:B)</f>
        <v>Class 5 NOT BT</v>
      </c>
      <c r="AJ471" s="56"/>
      <c r="AK471" s="56"/>
      <c r="AL471" s="49">
        <v>0.015</v>
      </c>
      <c r="AM471" s="49">
        <f t="array" ref="AM471">XLOOKUP($AI471,Warranty!B:B,Warranty!E:E)</f>
        <v>0.005</v>
      </c>
      <c r="AN471" s="8">
        <f>IF($L471="AUD",VLOOKUP(RIGHT('Wk - Margins'!$J471,3),'AU Freight'!C:G,5,0),0)</f>
        <v>2000</v>
      </c>
      <c r="AO471" s="49">
        <f t="shared" si="11"/>
        <v>0</v>
      </c>
      <c r="AP471" s="63">
        <f t="shared" si="12"/>
        <v>2000</v>
      </c>
      <c r="AQ471" s="58">
        <f t="shared" si="13"/>
        <v>0.950222332</v>
      </c>
      <c r="AR471" s="59">
        <f>IF(L471="AUD",O471*'Currency &amp; Conversion'!$L$7,'Wk - Margins'!O471)</f>
        <v>37082.4784</v>
      </c>
      <c r="AS471" s="59">
        <f>IF(L471="AUD",P471*'Currency &amp; Conversion'!$L$7,'Wk - Margins'!P471)</f>
        <v>26979.16327</v>
      </c>
    </row>
    <row r="472" ht="12.75" hidden="1" customHeight="1">
      <c r="A472" s="42" t="str">
        <f>'Input - Bookings'!A472</f>
        <v>28/06/2023</v>
      </c>
      <c r="B472" s="43" t="str">
        <f t="shared" si="1"/>
        <v>Australia</v>
      </c>
      <c r="C472" s="43" t="str">
        <f t="shared" si="2"/>
        <v>PAU</v>
      </c>
      <c r="D472" s="43" t="str">
        <f>'Input - Bookings'!D472</f>
        <v>P</v>
      </c>
      <c r="E472" s="43" t="str">
        <f>'Input - Bookings'!J472</f>
        <v>AU</v>
      </c>
      <c r="F472" s="44" t="str">
        <f>'Input - Bookings'!F472</f>
        <v>067</v>
      </c>
      <c r="G472" s="44" t="str">
        <f>'Input - Bookings'!I472</f>
        <v>ADAPT-A-LIFT GROUP (QLD)</v>
      </c>
      <c r="H472" s="44" t="str">
        <f>'Input - Bookings'!K472</f>
        <v>H40777</v>
      </c>
      <c r="I472" s="45" t="str">
        <f>VLOOKUP(H472,'Input - Bookings'!$G$2:$H$611,2,0)</f>
        <v>087505</v>
      </c>
      <c r="J472" s="44" t="str">
        <f>'Input - Bookings'!N472</f>
        <v>A7S5</v>
      </c>
      <c r="K472" s="44" t="str">
        <f>'Input - Bookings'!O472</f>
        <v>ERP18UXT</v>
      </c>
      <c r="L472" s="44" t="str">
        <f>'Input - Bookings'!C472</f>
        <v>AUD</v>
      </c>
      <c r="M472" s="46" t="str">
        <f t="array" ref="M472">IF(L472="USD",INDEX('AP Plants'!A:A,MATCH(J472,'AP Plants'!D:D,0)),INDEX('Australia Plants'!A:A,MATCH(J472,'Australia Plants'!D:D,0)))</f>
        <v>Maximal</v>
      </c>
      <c r="N472" s="10">
        <v>1.0</v>
      </c>
      <c r="O472" s="9">
        <v>30020.0</v>
      </c>
      <c r="P472" s="9">
        <v>23131.6</v>
      </c>
      <c r="Q472" s="47">
        <v>0.16878461485325036</v>
      </c>
      <c r="R472" s="48">
        <f t="shared" si="3"/>
        <v>0.2294603598</v>
      </c>
      <c r="S472" s="49">
        <f t="shared" si="4"/>
        <v>0</v>
      </c>
      <c r="T472" s="49">
        <f t="shared" si="21"/>
        <v>0.1687846149</v>
      </c>
      <c r="U472" s="50" t="str">
        <f t="shared" si="6"/>
        <v>AOP</v>
      </c>
      <c r="V472" s="51">
        <f t="shared" si="28"/>
        <v>3904.258197</v>
      </c>
      <c r="W472" s="52" t="str">
        <f t="shared" si="8"/>
        <v>#DIV/0!</v>
      </c>
      <c r="X472" s="9" t="str">
        <f t="shared" si="25"/>
        <v>#DIV/0!</v>
      </c>
      <c r="Y472" s="8"/>
      <c r="Z472" s="8"/>
      <c r="AA472" s="8"/>
      <c r="AB472" s="8" t="str">
        <f t="shared" si="10"/>
        <v>PAUH40777ERP18UXT</v>
      </c>
      <c r="AC472" s="8" t="str">
        <f>IF(AB472='Input - Bookings'!S705,"OK","Check")</f>
        <v>Check</v>
      </c>
      <c r="AD472" s="53"/>
      <c r="AE472" s="65"/>
      <c r="AF472" s="65"/>
      <c r="AG472" s="55"/>
      <c r="AH472" s="62"/>
      <c r="AI472" s="8" t="str">
        <f t="array" ref="AI472">XLOOKUP($J472,'AP Plants'!D:D,'AP Plants'!B:B)</f>
        <v>Class 1</v>
      </c>
      <c r="AJ472" s="56"/>
      <c r="AK472" s="56"/>
      <c r="AL472" s="49">
        <v>0.015</v>
      </c>
      <c r="AM472" s="49">
        <f t="array" ref="AM472">XLOOKUP($AI472,Warranty!B:B,Warranty!E:E)</f>
        <v>0.005</v>
      </c>
      <c r="AN472" s="8">
        <f>IF($L472="AUD",VLOOKUP(RIGHT('Wk - Margins'!$J472,3),'AU Freight'!C:G,5,0),0)</f>
        <v>2000</v>
      </c>
      <c r="AO472" s="49">
        <f t="shared" si="11"/>
        <v>0</v>
      </c>
      <c r="AP472" s="63">
        <f t="shared" si="12"/>
        <v>2000</v>
      </c>
      <c r="AQ472" s="58">
        <f t="shared" si="13"/>
        <v>0.9135381902</v>
      </c>
      <c r="AR472" s="59">
        <f>IF(L472="AUD",O472*'Currency &amp; Conversion'!$L$7,'Wk - Margins'!O472)</f>
        <v>20157.8271</v>
      </c>
      <c r="AS472" s="59">
        <f>IF(L472="AUD",P472*'Currency &amp; Conversion'!$L$7,'Wk - Margins'!P472)</f>
        <v>15532.40484</v>
      </c>
    </row>
    <row r="473" ht="12.75" hidden="1" customHeight="1">
      <c r="A473" s="42" t="str">
        <f>'Input - Bookings'!A473</f>
        <v>28/06/2023</v>
      </c>
      <c r="B473" s="43" t="str">
        <f t="shared" si="1"/>
        <v>Australia</v>
      </c>
      <c r="C473" s="43" t="str">
        <f t="shared" si="2"/>
        <v>PAU</v>
      </c>
      <c r="D473" s="43" t="str">
        <f>'Input - Bookings'!D473</f>
        <v>P</v>
      </c>
      <c r="E473" s="43" t="str">
        <f>'Input - Bookings'!J473</f>
        <v>AU</v>
      </c>
      <c r="F473" s="44" t="str">
        <f>'Input - Bookings'!F473</f>
        <v>065</v>
      </c>
      <c r="G473" s="44" t="str">
        <f>'Input - Bookings'!I473</f>
        <v>ADAPT-A-LIFT GROUP (VIC)</v>
      </c>
      <c r="H473" s="44" t="str">
        <f>'Input - Bookings'!K473</f>
        <v>H40731</v>
      </c>
      <c r="I473" s="45" t="str">
        <f>VLOOKUP(H473,'Input - Bookings'!$G$2:$H$611,2,0)</f>
        <v>087565</v>
      </c>
      <c r="J473" s="44" t="str">
        <f>'Input - Bookings'!N473</f>
        <v>A3C1</v>
      </c>
      <c r="K473" s="44" t="str">
        <f>'Input - Bookings'!O473</f>
        <v>H3.0UT</v>
      </c>
      <c r="L473" s="44" t="str">
        <f>'Input - Bookings'!C473</f>
        <v>AUD</v>
      </c>
      <c r="M473" s="46" t="str">
        <f t="array" ref="M473">IF(L473="USD",INDEX('AP Plants'!A:A,MATCH(J473,'AP Plants'!D:D,0)),INDEX('Australia Plants'!A:A,MATCH(J473,'Australia Plants'!D:D,0)))</f>
        <v>Maximal</v>
      </c>
      <c r="N473" s="10">
        <v>1.0</v>
      </c>
      <c r="O473" s="9">
        <v>30995.0</v>
      </c>
      <c r="P473" s="9">
        <v>22320.875</v>
      </c>
      <c r="Q473" s="47">
        <v>0.15421171368098707</v>
      </c>
      <c r="R473" s="48">
        <f t="shared" si="3"/>
        <v>0.2798556219</v>
      </c>
      <c r="S473" s="49">
        <f t="shared" si="4"/>
        <v>0</v>
      </c>
      <c r="T473" s="49">
        <f t="shared" si="21"/>
        <v>0.1542117137</v>
      </c>
      <c r="U473" s="50" t="str">
        <f t="shared" si="6"/>
        <v>AOP</v>
      </c>
      <c r="V473" s="51">
        <f t="shared" si="28"/>
        <v>3442.140385</v>
      </c>
      <c r="W473" s="52" t="str">
        <f t="shared" si="8"/>
        <v>#DIV/0!</v>
      </c>
      <c r="X473" s="9" t="str">
        <f t="shared" si="25"/>
        <v>#DIV/0!</v>
      </c>
      <c r="Y473" s="8"/>
      <c r="Z473" s="8"/>
      <c r="AA473" s="8"/>
      <c r="AB473" s="8" t="str">
        <f t="shared" si="10"/>
        <v>PAUH40731H3.0UT</v>
      </c>
      <c r="AC473" s="8" t="str">
        <f>IF(AB473='Input - Bookings'!S706,"OK","Check")</f>
        <v>Check</v>
      </c>
      <c r="AD473" s="53"/>
      <c r="AE473" s="65"/>
      <c r="AF473" s="65"/>
      <c r="AG473" s="55"/>
      <c r="AH473" s="62"/>
      <c r="AI473" s="8" t="str">
        <f t="array" ref="AI473">XLOOKUP($J473,'AP Plants'!D:D,'AP Plants'!B:B)</f>
        <v>Class 5 NOT BT</v>
      </c>
      <c r="AJ473" s="56"/>
      <c r="AK473" s="56"/>
      <c r="AL473" s="49">
        <v>0.015</v>
      </c>
      <c r="AM473" s="49">
        <f t="array" ref="AM473">XLOOKUP($AI473,Warranty!B:B,Warranty!E:E)</f>
        <v>0.005</v>
      </c>
      <c r="AN473" s="8">
        <f>IF($L473="AUD",VLOOKUP(RIGHT('Wk - Margins'!$J473,3),'AU Freight'!C:G,5,0),0)</f>
        <v>2000</v>
      </c>
      <c r="AO473" s="49">
        <f t="shared" si="11"/>
        <v>0</v>
      </c>
      <c r="AP473" s="63">
        <f t="shared" si="12"/>
        <v>2000</v>
      </c>
      <c r="AQ473" s="58">
        <f t="shared" si="13"/>
        <v>0.9103977779</v>
      </c>
      <c r="AR473" s="59">
        <f>IF(L473="AUD",O473*'Currency &amp; Conversion'!$L$7,'Wk - Margins'!O473)</f>
        <v>20812.52002</v>
      </c>
      <c r="AS473" s="59">
        <f>IF(L473="AUD",P473*'Currency &amp; Conversion'!$L$7,'Wk - Margins'!P473)</f>
        <v>14988.01929</v>
      </c>
    </row>
    <row r="474" ht="12.75" hidden="1" customHeight="1">
      <c r="A474" s="42" t="str">
        <f>'Input - Bookings'!A474</f>
        <v>28/06/2023</v>
      </c>
      <c r="B474" s="43" t="str">
        <f t="shared" si="1"/>
        <v>Australia</v>
      </c>
      <c r="C474" s="43" t="str">
        <f t="shared" si="2"/>
        <v>PAU</v>
      </c>
      <c r="D474" s="43" t="str">
        <f>'Input - Bookings'!D474</f>
        <v>P</v>
      </c>
      <c r="E474" s="43" t="str">
        <f>'Input - Bookings'!J474</f>
        <v>AU</v>
      </c>
      <c r="F474" s="44" t="str">
        <f>'Input - Bookings'!F474</f>
        <v>065</v>
      </c>
      <c r="G474" s="44" t="str">
        <f>'Input - Bookings'!I474</f>
        <v>ADAPT-A-LIFT GROUP (VIC)</v>
      </c>
      <c r="H474" s="44" t="str">
        <f>'Input - Bookings'!K474</f>
        <v>H40739</v>
      </c>
      <c r="I474" s="45" t="str">
        <f>VLOOKUP(H474,'Input - Bookings'!$G$2:$H$611,2,0)</f>
        <v>087565</v>
      </c>
      <c r="J474" s="44" t="str">
        <f>'Input - Bookings'!N474</f>
        <v>A3C1</v>
      </c>
      <c r="K474" s="44" t="str">
        <f>'Input - Bookings'!O474</f>
        <v>H3.0UT</v>
      </c>
      <c r="L474" s="44" t="str">
        <f>'Input - Bookings'!C474</f>
        <v>AUD</v>
      </c>
      <c r="M474" s="46" t="str">
        <f t="array" ref="M474">IF(L474="USD",INDEX('AP Plants'!A:A,MATCH(J474,'AP Plants'!D:D,0)),INDEX('Australia Plants'!A:A,MATCH(J474,'Australia Plants'!D:D,0)))</f>
        <v>Maximal</v>
      </c>
      <c r="N474" s="10">
        <v>1.0</v>
      </c>
      <c r="O474" s="9">
        <v>30995.0</v>
      </c>
      <c r="P474" s="9">
        <v>22320.875</v>
      </c>
      <c r="Q474" s="47">
        <v>0.15421171368098707</v>
      </c>
      <c r="R474" s="48">
        <f t="shared" si="3"/>
        <v>0.2798556219</v>
      </c>
      <c r="S474" s="49">
        <f t="shared" si="4"/>
        <v>0</v>
      </c>
      <c r="T474" s="49">
        <f t="shared" si="21"/>
        <v>0.1542117137</v>
      </c>
      <c r="U474" s="50" t="str">
        <f t="shared" si="6"/>
        <v>AOP</v>
      </c>
      <c r="V474" s="51">
        <f t="shared" si="28"/>
        <v>3442.140385</v>
      </c>
      <c r="W474" s="52" t="str">
        <f t="shared" si="8"/>
        <v>#DIV/0!</v>
      </c>
      <c r="X474" s="9" t="str">
        <f t="shared" si="25"/>
        <v>#DIV/0!</v>
      </c>
      <c r="Y474" s="8"/>
      <c r="Z474" s="8"/>
      <c r="AA474" s="8"/>
      <c r="AB474" s="8" t="str">
        <f t="shared" si="10"/>
        <v>PAUH40739H3.0UT</v>
      </c>
      <c r="AC474" s="8" t="str">
        <f>IF(AB474='Input - Bookings'!S707,"OK","Check")</f>
        <v>Check</v>
      </c>
      <c r="AD474" s="53"/>
      <c r="AE474" s="65"/>
      <c r="AF474" s="65"/>
      <c r="AG474" s="55"/>
      <c r="AH474" s="62"/>
      <c r="AI474" s="8" t="str">
        <f t="array" ref="AI474">XLOOKUP($J474,'AP Plants'!D:D,'AP Plants'!B:B)</f>
        <v>Class 5 NOT BT</v>
      </c>
      <c r="AJ474" s="56"/>
      <c r="AK474" s="56"/>
      <c r="AL474" s="49">
        <v>0.015</v>
      </c>
      <c r="AM474" s="49">
        <f t="array" ref="AM474">XLOOKUP($AI474,Warranty!B:B,Warranty!E:E)</f>
        <v>0.005</v>
      </c>
      <c r="AN474" s="8">
        <f>IF($L474="AUD",VLOOKUP(RIGHT('Wk - Margins'!$J474,3),'AU Freight'!C:G,5,0),0)</f>
        <v>2000</v>
      </c>
      <c r="AO474" s="49">
        <f t="shared" si="11"/>
        <v>0</v>
      </c>
      <c r="AP474" s="63">
        <f t="shared" si="12"/>
        <v>2000</v>
      </c>
      <c r="AQ474" s="58">
        <f t="shared" si="13"/>
        <v>0.9103977779</v>
      </c>
      <c r="AR474" s="59">
        <f>IF(L474="AUD",O474*'Currency &amp; Conversion'!$L$7,'Wk - Margins'!O474)</f>
        <v>20812.52002</v>
      </c>
      <c r="AS474" s="59">
        <f>IF(L474="AUD",P474*'Currency &amp; Conversion'!$L$7,'Wk - Margins'!P474)</f>
        <v>14988.01929</v>
      </c>
    </row>
    <row r="475" ht="12.75" hidden="1" customHeight="1">
      <c r="A475" s="42" t="str">
        <f>'Input - Bookings'!A475</f>
        <v>28/06/2023</v>
      </c>
      <c r="B475" s="43" t="str">
        <f t="shared" si="1"/>
        <v>Australia</v>
      </c>
      <c r="C475" s="43" t="str">
        <f t="shared" si="2"/>
        <v>PAU</v>
      </c>
      <c r="D475" s="43" t="str">
        <f>'Input - Bookings'!D475</f>
        <v>P</v>
      </c>
      <c r="E475" s="43" t="str">
        <f>'Input - Bookings'!J475</f>
        <v>AU</v>
      </c>
      <c r="F475" s="44" t="str">
        <f>'Input - Bookings'!F475</f>
        <v>065</v>
      </c>
      <c r="G475" s="44" t="str">
        <f>'Input - Bookings'!I475</f>
        <v>ADAPT-A-LIFT GROUP (VIC)</v>
      </c>
      <c r="H475" s="44" t="str">
        <f>'Input - Bookings'!K475</f>
        <v>H40732</v>
      </c>
      <c r="I475" s="45" t="str">
        <f>VLOOKUP(H475,'Input - Bookings'!$G$2:$H$611,2,0)</f>
        <v>087565</v>
      </c>
      <c r="J475" s="44" t="str">
        <f>'Input - Bookings'!N475</f>
        <v>A3C1</v>
      </c>
      <c r="K475" s="44" t="str">
        <f>'Input - Bookings'!O475</f>
        <v>H3.5UT</v>
      </c>
      <c r="L475" s="44" t="str">
        <f>'Input - Bookings'!C475</f>
        <v>AUD</v>
      </c>
      <c r="M475" s="46" t="str">
        <f t="array" ref="M475">IF(L475="USD",INDEX('AP Plants'!A:A,MATCH(J475,'AP Plants'!D:D,0)),INDEX('Australia Plants'!A:A,MATCH(J475,'Australia Plants'!D:D,0)))</f>
        <v>Maximal</v>
      </c>
      <c r="N475" s="10">
        <v>1.0</v>
      </c>
      <c r="O475" s="9">
        <v>35685.0</v>
      </c>
      <c r="P475" s="9">
        <v>25945.5</v>
      </c>
      <c r="Q475" s="47">
        <v>0.16430931021477868</v>
      </c>
      <c r="R475" s="48">
        <f t="shared" si="3"/>
        <v>0.2729298024</v>
      </c>
      <c r="S475" s="49">
        <f t="shared" si="4"/>
        <v>0</v>
      </c>
      <c r="T475" s="49">
        <f t="shared" si="21"/>
        <v>0.1643093102</v>
      </c>
      <c r="U475" s="50" t="str">
        <f t="shared" si="6"/>
        <v>AOP</v>
      </c>
      <c r="V475" s="51">
        <f t="shared" si="28"/>
        <v>4263.087208</v>
      </c>
      <c r="W475" s="52" t="str">
        <f t="shared" si="8"/>
        <v>#DIV/0!</v>
      </c>
      <c r="X475" s="9" t="str">
        <f t="shared" si="25"/>
        <v>#DIV/0!</v>
      </c>
      <c r="Y475" s="8"/>
      <c r="Z475" s="8"/>
      <c r="AA475" s="8"/>
      <c r="AB475" s="8" t="str">
        <f t="shared" si="10"/>
        <v>PAUH40732H3.5UT</v>
      </c>
      <c r="AC475" s="8" t="str">
        <f>IF(AB475='Input - Bookings'!S708,"OK","Check")</f>
        <v>Check</v>
      </c>
      <c r="AD475" s="53"/>
      <c r="AE475" s="65"/>
      <c r="AF475" s="65"/>
      <c r="AG475" s="55"/>
      <c r="AH475" s="62"/>
      <c r="AI475" s="8" t="str">
        <f t="array" ref="AI475">XLOOKUP($J475,'AP Plants'!D:D,'AP Plants'!B:B)</f>
        <v>Class 5 NOT BT</v>
      </c>
      <c r="AJ475" s="56"/>
      <c r="AK475" s="56"/>
      <c r="AL475" s="49">
        <v>0.015</v>
      </c>
      <c r="AM475" s="49">
        <f t="array" ref="AM475">XLOOKUP($AI475,Warranty!B:B,Warranty!E:E)</f>
        <v>0.005</v>
      </c>
      <c r="AN475" s="8">
        <f>IF($L475="AUD",VLOOKUP(RIGHT('Wk - Margins'!$J475,3),'AU Freight'!C:G,5,0),0)</f>
        <v>2000</v>
      </c>
      <c r="AO475" s="49">
        <f t="shared" si="11"/>
        <v>0</v>
      </c>
      <c r="AP475" s="63">
        <f t="shared" si="12"/>
        <v>2000</v>
      </c>
      <c r="AQ475" s="58">
        <f t="shared" si="13"/>
        <v>0.9229153418</v>
      </c>
      <c r="AR475" s="59">
        <f>IF(L475="AUD",O475*'Currency &amp; Conversion'!$L$7,'Wk - Margins'!O475)</f>
        <v>23961.76083</v>
      </c>
      <c r="AS475" s="59">
        <f>IF(L475="AUD",P475*'Currency &amp; Conversion'!$L$7,'Wk - Margins'!P475)</f>
        <v>17421.88218</v>
      </c>
    </row>
    <row r="476" ht="12.75" hidden="1" customHeight="1">
      <c r="A476" s="42" t="str">
        <f>'Input - Bookings'!A476</f>
        <v>28/06/2023</v>
      </c>
      <c r="B476" s="43" t="str">
        <f t="shared" si="1"/>
        <v>Australia</v>
      </c>
      <c r="C476" s="43" t="str">
        <f t="shared" si="2"/>
        <v>PAU</v>
      </c>
      <c r="D476" s="43" t="str">
        <f>'Input - Bookings'!D476</f>
        <v>P</v>
      </c>
      <c r="E476" s="43" t="str">
        <f>'Input - Bookings'!J476</f>
        <v>AU</v>
      </c>
      <c r="F476" s="44" t="str">
        <f>'Input - Bookings'!F476</f>
        <v>065</v>
      </c>
      <c r="G476" s="44" t="str">
        <f>'Input - Bookings'!I476</f>
        <v>ADAPT-A-LIFT GROUP (VIC)</v>
      </c>
      <c r="H476" s="44" t="str">
        <f>'Input - Bookings'!K476</f>
        <v>H40740</v>
      </c>
      <c r="I476" s="45" t="str">
        <f>VLOOKUP(H476,'Input - Bookings'!$G$2:$H$611,2,0)</f>
        <v>087565</v>
      </c>
      <c r="J476" s="44" t="str">
        <f>'Input - Bookings'!N476</f>
        <v>A3C1</v>
      </c>
      <c r="K476" s="44" t="str">
        <f>'Input - Bookings'!O476</f>
        <v>H3.5UT</v>
      </c>
      <c r="L476" s="44" t="str">
        <f>'Input - Bookings'!C476</f>
        <v>AUD</v>
      </c>
      <c r="M476" s="46" t="str">
        <f t="array" ref="M476">IF(L476="USD",INDEX('AP Plants'!A:A,MATCH(J476,'AP Plants'!D:D,0)),INDEX('Australia Plants'!A:A,MATCH(J476,'Australia Plants'!D:D,0)))</f>
        <v>Maximal</v>
      </c>
      <c r="N476" s="10">
        <v>1.0</v>
      </c>
      <c r="O476" s="9">
        <v>35685.0</v>
      </c>
      <c r="P476" s="9">
        <v>25945.5</v>
      </c>
      <c r="Q476" s="47">
        <v>0.16430931021477868</v>
      </c>
      <c r="R476" s="48">
        <f t="shared" si="3"/>
        <v>0.2729298024</v>
      </c>
      <c r="S476" s="49">
        <f t="shared" si="4"/>
        <v>0</v>
      </c>
      <c r="T476" s="49">
        <f t="shared" si="21"/>
        <v>0.1643093102</v>
      </c>
      <c r="U476" s="50" t="str">
        <f t="shared" si="6"/>
        <v>AOP</v>
      </c>
      <c r="V476" s="51">
        <f t="shared" si="28"/>
        <v>4263.087208</v>
      </c>
      <c r="W476" s="52" t="str">
        <f t="shared" si="8"/>
        <v>#DIV/0!</v>
      </c>
      <c r="X476" s="9" t="str">
        <f t="shared" si="25"/>
        <v>#DIV/0!</v>
      </c>
      <c r="Y476" s="8"/>
      <c r="Z476" s="8"/>
      <c r="AA476" s="8"/>
      <c r="AB476" s="8" t="str">
        <f t="shared" si="10"/>
        <v>PAUH40740H3.5UT</v>
      </c>
      <c r="AC476" s="8" t="str">
        <f>IF(AB476='Input - Bookings'!S709,"OK","Check")</f>
        <v>Check</v>
      </c>
      <c r="AD476" s="53"/>
      <c r="AE476" s="65"/>
      <c r="AF476" s="65"/>
      <c r="AG476" s="55"/>
      <c r="AH476" s="62"/>
      <c r="AI476" s="8" t="str">
        <f t="array" ref="AI476">XLOOKUP($J476,'AP Plants'!D:D,'AP Plants'!B:B)</f>
        <v>Class 5 NOT BT</v>
      </c>
      <c r="AJ476" s="56"/>
      <c r="AK476" s="56"/>
      <c r="AL476" s="49">
        <v>0.015</v>
      </c>
      <c r="AM476" s="49">
        <f t="array" ref="AM476">XLOOKUP($AI476,Warranty!B:B,Warranty!E:E)</f>
        <v>0.005</v>
      </c>
      <c r="AN476" s="8">
        <f>IF($L476="AUD",VLOOKUP(RIGHT('Wk - Margins'!$J476,3),'AU Freight'!C:G,5,0),0)</f>
        <v>2000</v>
      </c>
      <c r="AO476" s="49">
        <f t="shared" si="11"/>
        <v>0</v>
      </c>
      <c r="AP476" s="63">
        <f t="shared" si="12"/>
        <v>2000</v>
      </c>
      <c r="AQ476" s="58">
        <f t="shared" si="13"/>
        <v>0.9229153418</v>
      </c>
      <c r="AR476" s="59">
        <f>IF(L476="AUD",O476*'Currency &amp; Conversion'!$L$7,'Wk - Margins'!O476)</f>
        <v>23961.76083</v>
      </c>
      <c r="AS476" s="59">
        <f>IF(L476="AUD",P476*'Currency &amp; Conversion'!$L$7,'Wk - Margins'!P476)</f>
        <v>17421.88218</v>
      </c>
    </row>
    <row r="477" ht="12.75" hidden="1" customHeight="1">
      <c r="A477" s="42" t="str">
        <f>'Input - Bookings'!A477</f>
        <v>28/06/2023</v>
      </c>
      <c r="B477" s="43" t="str">
        <f t="shared" si="1"/>
        <v>Australia</v>
      </c>
      <c r="C477" s="43" t="str">
        <f t="shared" si="2"/>
        <v>PAU</v>
      </c>
      <c r="D477" s="43" t="str">
        <f>'Input - Bookings'!D477</f>
        <v>P</v>
      </c>
      <c r="E477" s="43" t="str">
        <f>'Input - Bookings'!J477</f>
        <v>AU</v>
      </c>
      <c r="F477" s="44" t="str">
        <f>'Input - Bookings'!F477</f>
        <v>065</v>
      </c>
      <c r="G477" s="44" t="str">
        <f>'Input - Bookings'!I477</f>
        <v>ADAPT-A-LIFT GROUP (VIC)</v>
      </c>
      <c r="H477" s="44" t="str">
        <f>'Input - Bookings'!K477</f>
        <v>H40733</v>
      </c>
      <c r="I477" s="45" t="str">
        <f>VLOOKUP(H477,'Input - Bookings'!$G$2:$H$611,2,0)</f>
        <v>087565</v>
      </c>
      <c r="J477" s="44" t="str">
        <f>'Input - Bookings'!N477</f>
        <v>A3C6</v>
      </c>
      <c r="K477" s="44" t="str">
        <f>'Input - Bookings'!O477</f>
        <v>H5.0UT</v>
      </c>
      <c r="L477" s="44" t="str">
        <f>'Input - Bookings'!C477</f>
        <v>AUD</v>
      </c>
      <c r="M477" s="46" t="str">
        <f t="array" ref="M477">IF(L477="USD",INDEX('AP Plants'!A:A,MATCH(J477,'AP Plants'!D:D,0)),INDEX('Australia Plants'!A:A,MATCH(J477,'Australia Plants'!D:D,0)))</f>
        <v>Maximal</v>
      </c>
      <c r="N477" s="10">
        <v>1.0</v>
      </c>
      <c r="O477" s="9">
        <v>55225.0</v>
      </c>
      <c r="P477" s="9">
        <v>40178.66</v>
      </c>
      <c r="Q477" s="47">
        <v>0.2106396980577676</v>
      </c>
      <c r="R477" s="48">
        <f t="shared" si="3"/>
        <v>0.2724552286</v>
      </c>
      <c r="S477" s="49">
        <f t="shared" si="4"/>
        <v>0</v>
      </c>
      <c r="T477" s="49">
        <f t="shared" si="21"/>
        <v>0.2106396981</v>
      </c>
      <c r="U477" s="50" t="str">
        <f t="shared" si="6"/>
        <v>AOP</v>
      </c>
      <c r="V477" s="51">
        <f t="shared" si="28"/>
        <v>8463.220811</v>
      </c>
      <c r="W477" s="52" t="str">
        <f t="shared" si="8"/>
        <v>#DIV/0!</v>
      </c>
      <c r="X477" s="9" t="str">
        <f t="shared" si="25"/>
        <v>#DIV/0!</v>
      </c>
      <c r="Y477" s="8"/>
      <c r="Z477" s="8"/>
      <c r="AA477" s="8"/>
      <c r="AB477" s="8" t="str">
        <f t="shared" si="10"/>
        <v>PAUH40733H5.0UT</v>
      </c>
      <c r="AC477" s="8" t="str">
        <f>IF(AB477='Input - Bookings'!S710,"OK","Check")</f>
        <v>Check</v>
      </c>
      <c r="AD477" s="53"/>
      <c r="AE477" s="65"/>
      <c r="AF477" s="65"/>
      <c r="AG477" s="55"/>
      <c r="AH477" s="55"/>
      <c r="AI477" s="8" t="str">
        <f t="array" ref="AI477">XLOOKUP($J477,'AP Plants'!D:D,'AP Plants'!B:B)</f>
        <v>Class 5 NOT BT</v>
      </c>
      <c r="AJ477" s="56"/>
      <c r="AK477" s="56"/>
      <c r="AL477" s="49">
        <v>0.015</v>
      </c>
      <c r="AM477" s="49">
        <f t="array" ref="AM477">XLOOKUP($AI477,Warranty!B:B,Warranty!E:E)</f>
        <v>0.005</v>
      </c>
      <c r="AN477" s="8">
        <f>IF($L477="AUD",VLOOKUP(RIGHT('Wk - Margins'!$J477,3),'AU Freight'!C:G,5,0),0)</f>
        <v>2000</v>
      </c>
      <c r="AO477" s="49">
        <f t="shared" si="11"/>
        <v>0</v>
      </c>
      <c r="AP477" s="63">
        <f t="shared" si="12"/>
        <v>2000</v>
      </c>
      <c r="AQ477" s="58">
        <f t="shared" si="13"/>
        <v>0.950222332</v>
      </c>
      <c r="AR477" s="59">
        <f>IF(L477="AUD",O477*'Currency &amp; Conversion'!$L$7,'Wk - Margins'!O477)</f>
        <v>37082.4784</v>
      </c>
      <c r="AS477" s="59">
        <f>IF(L477="AUD",P477*'Currency &amp; Conversion'!$L$7,'Wk - Margins'!P477)</f>
        <v>26979.16327</v>
      </c>
    </row>
    <row r="478" ht="12.75" hidden="1" customHeight="1">
      <c r="A478" s="42" t="str">
        <f>'Input - Bookings'!A478</f>
        <v>28/06/2023</v>
      </c>
      <c r="B478" s="43" t="str">
        <f t="shared" si="1"/>
        <v>Australia</v>
      </c>
      <c r="C478" s="43" t="str">
        <f t="shared" si="2"/>
        <v>PAU</v>
      </c>
      <c r="D478" s="43" t="str">
        <f>'Input - Bookings'!D478</f>
        <v>P</v>
      </c>
      <c r="E478" s="43" t="str">
        <f>'Input - Bookings'!J478</f>
        <v>AU</v>
      </c>
      <c r="F478" s="44" t="str">
        <f>'Input - Bookings'!F478</f>
        <v>065</v>
      </c>
      <c r="G478" s="44" t="str">
        <f>'Input - Bookings'!I478</f>
        <v>ADAPT-A-LIFT GROUP (VIC)</v>
      </c>
      <c r="H478" s="44" t="str">
        <f>'Input - Bookings'!K478</f>
        <v>H40734</v>
      </c>
      <c r="I478" s="45" t="str">
        <f>VLOOKUP(H478,'Input - Bookings'!$G$2:$H$611,2,0)</f>
        <v>087565</v>
      </c>
      <c r="J478" s="44" t="str">
        <f>'Input - Bookings'!N478</f>
        <v>A3C4</v>
      </c>
      <c r="K478" s="44" t="str">
        <f>'Input - Bookings'!O478</f>
        <v>J2.5UT</v>
      </c>
      <c r="L478" s="44" t="str">
        <f>'Input - Bookings'!C478</f>
        <v>AUD</v>
      </c>
      <c r="M478" s="46" t="str">
        <f t="array" ref="M478">IF(L478="USD",INDEX('AP Plants'!A:A,MATCH(J478,'AP Plants'!D:D,0)),INDEX('Australia Plants'!A:A,MATCH(J478,'Australia Plants'!D:D,0)))</f>
        <v>Maximal</v>
      </c>
      <c r="N478" s="10">
        <v>1.0</v>
      </c>
      <c r="O478" s="9">
        <v>38370.0</v>
      </c>
      <c r="P478" s="9">
        <v>31050.7</v>
      </c>
      <c r="Q478" s="47">
        <v>0.19977545512267503</v>
      </c>
      <c r="R478" s="48">
        <f t="shared" si="3"/>
        <v>0.1907557988</v>
      </c>
      <c r="S478" s="49">
        <f t="shared" si="4"/>
        <v>0</v>
      </c>
      <c r="T478" s="49">
        <f t="shared" si="21"/>
        <v>0.1997754551</v>
      </c>
      <c r="U478" s="50" t="str">
        <f t="shared" si="6"/>
        <v>AOP</v>
      </c>
      <c r="V478" s="51">
        <f t="shared" si="28"/>
        <v>6203.167724</v>
      </c>
      <c r="W478" s="52" t="str">
        <f t="shared" si="8"/>
        <v>#DIV/0!</v>
      </c>
      <c r="X478" s="9" t="str">
        <f t="shared" si="25"/>
        <v>#DIV/0!</v>
      </c>
      <c r="Y478" s="8"/>
      <c r="Z478" s="8"/>
      <c r="AA478" s="8"/>
      <c r="AB478" s="8" t="str">
        <f t="shared" si="10"/>
        <v>PAUH40734J2.5UT</v>
      </c>
      <c r="AC478" s="8" t="str">
        <f>IF(AB478='Input - Bookings'!S711,"OK","Check")</f>
        <v>Check</v>
      </c>
      <c r="AD478" s="53"/>
      <c r="AE478" s="65"/>
      <c r="AF478" s="65"/>
      <c r="AG478" s="55"/>
      <c r="AH478" s="55"/>
      <c r="AI478" s="8" t="str">
        <f t="array" ref="AI478">XLOOKUP($J478,'AP Plants'!D:D,'AP Plants'!B:B)</f>
        <v>Class 1</v>
      </c>
      <c r="AJ478" s="56"/>
      <c r="AK478" s="56"/>
      <c r="AL478" s="49">
        <v>0.015</v>
      </c>
      <c r="AM478" s="49">
        <f t="array" ref="AM478">XLOOKUP($AI478,Warranty!B:B,Warranty!E:E)</f>
        <v>0.005</v>
      </c>
      <c r="AN478" s="8">
        <f>IF($L478="AUD",VLOOKUP(RIGHT('Wk - Margins'!$J478,3),'AU Freight'!C:G,5,0),0)</f>
        <v>2000</v>
      </c>
      <c r="AO478" s="49">
        <f t="shared" si="11"/>
        <v>0</v>
      </c>
      <c r="AP478" s="63">
        <f t="shared" si="12"/>
        <v>2000</v>
      </c>
      <c r="AQ478" s="58">
        <f t="shared" si="13"/>
        <v>0.9355892138</v>
      </c>
      <c r="AR478" s="59">
        <f>IF(L478="AUD",O478*'Currency &amp; Conversion'!$L$7,'Wk - Margins'!O478)</f>
        <v>25764.68441</v>
      </c>
      <c r="AS478" s="59">
        <f>IF(L478="AUD",P478*'Currency &amp; Conversion'!$L$7,'Wk - Margins'!P478)</f>
        <v>20849.92145</v>
      </c>
    </row>
    <row r="479" ht="12.75" hidden="1" customHeight="1">
      <c r="A479" s="42" t="str">
        <f>'Input - Bookings'!A479</f>
        <v>28/06/2023</v>
      </c>
      <c r="B479" s="43" t="str">
        <f t="shared" si="1"/>
        <v>Australia</v>
      </c>
      <c r="C479" s="43" t="str">
        <f t="shared" si="2"/>
        <v>PAU</v>
      </c>
      <c r="D479" s="43" t="str">
        <f>'Input - Bookings'!D479</f>
        <v>P</v>
      </c>
      <c r="E479" s="43" t="str">
        <f>'Input - Bookings'!J479</f>
        <v>AU</v>
      </c>
      <c r="F479" s="44" t="str">
        <f>'Input - Bookings'!F479</f>
        <v>065</v>
      </c>
      <c r="G479" s="44" t="str">
        <f>'Input - Bookings'!I479</f>
        <v>ADAPT-A-LIFT GROUP (VIC)</v>
      </c>
      <c r="H479" s="45" t="str">
        <f>'Input - Bookings'!K479</f>
        <v>H40735</v>
      </c>
      <c r="I479" s="45" t="str">
        <f>VLOOKUP(H479,'Input - Bookings'!$G$2:$H$611,2,0)</f>
        <v>087565</v>
      </c>
      <c r="J479" s="44" t="str">
        <f>'Input - Bookings'!N479</f>
        <v>A3C4</v>
      </c>
      <c r="K479" s="44" t="str">
        <f>'Input - Bookings'!O479</f>
        <v>J2.5UT</v>
      </c>
      <c r="L479" s="44" t="str">
        <f>'Input - Bookings'!C479</f>
        <v>AUD</v>
      </c>
      <c r="M479" s="46" t="str">
        <f t="array" ref="M479">IF(L479="USD",INDEX('AP Plants'!A:A,MATCH(J479,'AP Plants'!D:D,0)),INDEX('Australia Plants'!A:A,MATCH(J479,'Australia Plants'!D:D,0)))</f>
        <v>Maximal</v>
      </c>
      <c r="N479" s="10">
        <v>1.0</v>
      </c>
      <c r="O479" s="9">
        <v>38485.0</v>
      </c>
      <c r="P479" s="9">
        <v>31142.7</v>
      </c>
      <c r="Q479" s="47">
        <v>0.17043804102464155</v>
      </c>
      <c r="R479" s="48">
        <f t="shared" si="3"/>
        <v>0.1907834221</v>
      </c>
      <c r="S479" s="49">
        <f t="shared" si="4"/>
        <v>0</v>
      </c>
      <c r="T479" s="49">
        <f t="shared" si="21"/>
        <v>0.170438041</v>
      </c>
      <c r="U479" s="50" t="str">
        <f t="shared" si="6"/>
        <v>AOP</v>
      </c>
      <c r="V479" s="51">
        <f t="shared" si="28"/>
        <v>5307.90078</v>
      </c>
      <c r="W479" s="52" t="str">
        <f t="shared" si="8"/>
        <v>#DIV/0!</v>
      </c>
      <c r="X479" s="9" t="str">
        <f t="shared" si="25"/>
        <v>#DIV/0!</v>
      </c>
      <c r="Y479" s="8"/>
      <c r="Z479" s="8"/>
      <c r="AA479" s="8"/>
      <c r="AB479" s="8" t="str">
        <f t="shared" si="10"/>
        <v>PAUH40735J2.5UT</v>
      </c>
      <c r="AC479" s="8" t="str">
        <f>IF(AB479='Input - Bookings'!S712,"OK","Check")</f>
        <v>Check</v>
      </c>
      <c r="AD479" s="53"/>
      <c r="AE479" s="65"/>
      <c r="AF479" s="65"/>
      <c r="AG479" s="55"/>
      <c r="AH479" s="62"/>
      <c r="AI479" s="8" t="str">
        <f t="array" ref="AI479">XLOOKUP($J479,'AP Plants'!D:D,'AP Plants'!B:B)</f>
        <v>Class 1</v>
      </c>
      <c r="AJ479" s="56"/>
      <c r="AK479" s="56"/>
      <c r="AL479" s="49">
        <v>0.015</v>
      </c>
      <c r="AM479" s="49">
        <f t="array" ref="AM479">XLOOKUP($AI479,Warranty!B:B,Warranty!E:E)</f>
        <v>0.005</v>
      </c>
      <c r="AN479" s="8">
        <f>IF($L479="AUD",VLOOKUP(RIGHT('Wk - Margins'!$J479,3),'AU Freight'!C:G,5,0),0)</f>
        <v>2000</v>
      </c>
      <c r="AO479" s="49">
        <f t="shared" si="11"/>
        <v>0</v>
      </c>
      <c r="AP479" s="63">
        <f t="shared" si="12"/>
        <v>2000</v>
      </c>
      <c r="AQ479" s="58">
        <f t="shared" si="13"/>
        <v>0.9357794925</v>
      </c>
      <c r="AR479" s="59">
        <f>IF(L479="AUD",O479*'Currency &amp; Conversion'!$L$7,'Wk - Margins'!O479)</f>
        <v>25841.9046</v>
      </c>
      <c r="AS479" s="59">
        <f>IF(L479="AUD",P479*'Currency &amp; Conversion'!$L$7,'Wk - Margins'!P479)</f>
        <v>20911.6976</v>
      </c>
    </row>
    <row r="480" ht="12.75" hidden="1" customHeight="1">
      <c r="A480" s="42" t="str">
        <f>'Input - Bookings'!A480</f>
        <v>28/06/2023</v>
      </c>
      <c r="B480" s="43" t="str">
        <f t="shared" si="1"/>
        <v>Australia</v>
      </c>
      <c r="C480" s="43" t="str">
        <f t="shared" si="2"/>
        <v>PAU</v>
      </c>
      <c r="D480" s="43" t="str">
        <f>'Input - Bookings'!D480</f>
        <v>P</v>
      </c>
      <c r="E480" s="43" t="str">
        <f>'Input - Bookings'!J480</f>
        <v>AU</v>
      </c>
      <c r="F480" s="44" t="str">
        <f>'Input - Bookings'!F480</f>
        <v>065</v>
      </c>
      <c r="G480" s="44" t="str">
        <f>'Input - Bookings'!I480</f>
        <v>ADAPT-A-LIFT GROUP (VIC)</v>
      </c>
      <c r="H480" s="44" t="str">
        <f>'Input - Bookings'!K480</f>
        <v>H40736</v>
      </c>
      <c r="I480" s="45" t="str">
        <f>VLOOKUP(H480,'Input - Bookings'!$G$2:$H$611,2,0)</f>
        <v>087565</v>
      </c>
      <c r="J480" s="44" t="str">
        <f>'Input - Bookings'!N480</f>
        <v>D466</v>
      </c>
      <c r="K480" s="44" t="str">
        <f>'Input - Bookings'!O480</f>
        <v>H3.0XT</v>
      </c>
      <c r="L480" s="44" t="str">
        <f>'Input - Bookings'!C480</f>
        <v>AUD</v>
      </c>
      <c r="M480" s="46" t="str">
        <f t="array" ref="M480">IF(L480="USD",INDEX('AP Plants'!A:A,MATCH(J480,'AP Plants'!D:D,0)),INDEX('Australia Plants'!A:A,MATCH(J480,'Australia Plants'!D:D,0)))</f>
        <v>SN</v>
      </c>
      <c r="N480" s="10">
        <v>1.0</v>
      </c>
      <c r="O480" s="9">
        <v>39930.0</v>
      </c>
      <c r="P480" s="9">
        <v>33184.911</v>
      </c>
      <c r="Q480" s="47">
        <v>0.12460257548771358</v>
      </c>
      <c r="R480" s="48">
        <f t="shared" si="3"/>
        <v>0.16892284</v>
      </c>
      <c r="S480" s="49">
        <f t="shared" si="4"/>
        <v>0</v>
      </c>
      <c r="T480" s="49">
        <f t="shared" si="21"/>
        <v>0.1246025755</v>
      </c>
      <c r="U480" s="50" t="str">
        <f t="shared" si="6"/>
        <v>AOP</v>
      </c>
      <c r="V480" s="51">
        <f t="shared" si="28"/>
        <v>4134.925378</v>
      </c>
      <c r="W480" s="52" t="str">
        <f t="shared" si="8"/>
        <v>#DIV/0!</v>
      </c>
      <c r="X480" s="9" t="str">
        <f t="shared" si="25"/>
        <v>#DIV/0!</v>
      </c>
      <c r="Y480" s="8"/>
      <c r="Z480" s="8"/>
      <c r="AA480" s="8"/>
      <c r="AB480" s="8" t="str">
        <f t="shared" si="10"/>
        <v>PAUH40736H3.0XT</v>
      </c>
      <c r="AC480" s="8" t="str">
        <f>IF(AB480='Input - Bookings'!S713,"OK","Check")</f>
        <v>Check</v>
      </c>
      <c r="AD480" s="53"/>
      <c r="AE480" s="65"/>
      <c r="AF480" s="65"/>
      <c r="AG480" s="55"/>
      <c r="AH480" s="62"/>
      <c r="AI480" s="8" t="str">
        <f t="array" ref="AI480">XLOOKUP($J480,'AP Plants'!D:D,'AP Plants'!B:B)</f>
        <v>Class 5 NOT BT</v>
      </c>
      <c r="AJ480" s="56"/>
      <c r="AK480" s="56"/>
      <c r="AL480" s="49">
        <v>0.015</v>
      </c>
      <c r="AM480" s="49">
        <f t="array" ref="AM480">XLOOKUP($AI480,Warranty!B:B,Warranty!E:E)</f>
        <v>0.005</v>
      </c>
      <c r="AN480" s="8">
        <f>IF($L480="AUD",VLOOKUP(RIGHT('Wk - Margins'!$J480,3),'AU Freight'!C:G,5,0),0)</f>
        <v>2130</v>
      </c>
      <c r="AO480" s="49">
        <f t="shared" si="11"/>
        <v>0</v>
      </c>
      <c r="AP480" s="63">
        <f t="shared" si="12"/>
        <v>2130</v>
      </c>
      <c r="AQ480" s="58">
        <f t="shared" si="13"/>
        <v>0.9358142018</v>
      </c>
      <c r="AR480" s="59">
        <f>IF(L480="AUD",O480*'Currency &amp; Conversion'!$L$7,'Wk - Margins'!O480)</f>
        <v>26812.19308</v>
      </c>
      <c r="AS480" s="59">
        <f>IF(L480="AUD",P480*'Currency &amp; Conversion'!$L$7,'Wk - Margins'!P480)</f>
        <v>22283.00128</v>
      </c>
    </row>
    <row r="481" ht="12.75" hidden="1" customHeight="1">
      <c r="A481" s="42" t="str">
        <f>'Input - Bookings'!A481</f>
        <v>28/06/2023</v>
      </c>
      <c r="B481" s="43" t="str">
        <f t="shared" si="1"/>
        <v>Australia</v>
      </c>
      <c r="C481" s="43" t="str">
        <f t="shared" si="2"/>
        <v>PAU</v>
      </c>
      <c r="D481" s="43" t="str">
        <f>'Input - Bookings'!D481</f>
        <v>P</v>
      </c>
      <c r="E481" s="43" t="str">
        <f>'Input - Bookings'!J481</f>
        <v>AU</v>
      </c>
      <c r="F481" s="44" t="str">
        <f>'Input - Bookings'!F481</f>
        <v>065</v>
      </c>
      <c r="G481" s="44" t="str">
        <f>'Input - Bookings'!I481</f>
        <v>ADAPT-A-LIFT GROUP (VIC)</v>
      </c>
      <c r="H481" s="44" t="str">
        <f>'Input - Bookings'!K481</f>
        <v>H40737</v>
      </c>
      <c r="I481" s="45" t="str">
        <f>VLOOKUP(H481,'Input - Bookings'!$G$2:$H$611,2,0)</f>
        <v>087565</v>
      </c>
      <c r="J481" s="44" t="str">
        <f>'Input - Bookings'!N481</f>
        <v>A406</v>
      </c>
      <c r="K481" s="44" t="str">
        <f>'Input - Bookings'!O481</f>
        <v>R1.6 406</v>
      </c>
      <c r="L481" s="44" t="str">
        <f>'Input - Bookings'!C481</f>
        <v>AUD</v>
      </c>
      <c r="M481" s="46" t="str">
        <f t="array" ref="M481">IF(L481="USD",INDEX('AP Plants'!A:A,MATCH(J481,'AP Plants'!D:D,0)),INDEX('Australia Plants'!A:A,MATCH(J481,'Australia Plants'!D:D,0)))</f>
        <v>Maximal</v>
      </c>
      <c r="N481" s="10">
        <v>1.0</v>
      </c>
      <c r="O481" s="9">
        <v>51550.0</v>
      </c>
      <c r="P481" s="9">
        <v>33734.0</v>
      </c>
      <c r="Q481" s="47">
        <v>0.0330487823003357</v>
      </c>
      <c r="R481" s="48">
        <f t="shared" si="3"/>
        <v>0.3456062076</v>
      </c>
      <c r="S481" s="49">
        <f t="shared" si="4"/>
        <v>0</v>
      </c>
      <c r="T481" s="49">
        <f t="shared" si="21"/>
        <v>0.0330487823</v>
      </c>
      <c r="U481" s="50" t="str">
        <f t="shared" si="6"/>
        <v>AOP</v>
      </c>
      <c r="V481" s="51">
        <f t="shared" si="28"/>
        <v>1114.867622</v>
      </c>
      <c r="W481" s="52" t="str">
        <f t="shared" si="8"/>
        <v>#DIV/0!</v>
      </c>
      <c r="X481" s="9" t="str">
        <f t="shared" si="25"/>
        <v>#DIV/0!</v>
      </c>
      <c r="Y481" s="8"/>
      <c r="Z481" s="8"/>
      <c r="AA481" s="8"/>
      <c r="AB481" s="8" t="str">
        <f t="shared" si="10"/>
        <v>PAUH40737R1.6 406</v>
      </c>
      <c r="AC481" s="8" t="str">
        <f>IF(AB481='Input - Bookings'!S714,"OK","Check")</f>
        <v>Check</v>
      </c>
      <c r="AD481" s="53"/>
      <c r="AE481" s="65"/>
      <c r="AF481" s="65"/>
      <c r="AG481" s="55"/>
      <c r="AH481" s="62"/>
      <c r="AI481" s="8" t="str">
        <f t="array" ref="AI481">XLOOKUP($J481,'AP Plants'!D:D,'AP Plants'!B:B)</f>
        <v>Class 2</v>
      </c>
      <c r="AJ481" s="56"/>
      <c r="AK481" s="56"/>
      <c r="AL481" s="49">
        <v>0.015</v>
      </c>
      <c r="AM481" s="49">
        <f t="array" ref="AM481">XLOOKUP($AI481,Warranty!B:B,Warranty!E:E)</f>
        <v>0.015</v>
      </c>
      <c r="AN481" s="8">
        <f>IF($L481="AUD",VLOOKUP(RIGHT('Wk - Margins'!$J481,3),'AU Freight'!C:G,5,0),0)</f>
        <v>2000</v>
      </c>
      <c r="AO481" s="49">
        <f t="shared" si="11"/>
        <v>0</v>
      </c>
      <c r="AP481" s="63">
        <f t="shared" si="12"/>
        <v>2000</v>
      </c>
      <c r="AQ481" s="58">
        <f t="shared" si="13"/>
        <v>0.9407126341</v>
      </c>
      <c r="AR481" s="59">
        <f>IF(L481="AUD",O481*'Currency &amp; Conversion'!$L$7,'Wk - Margins'!O481)</f>
        <v>34614.78971</v>
      </c>
      <c r="AS481" s="59">
        <f>IF(L481="AUD",P481*'Currency &amp; Conversion'!$L$7,'Wk - Margins'!P481)</f>
        <v>22651.70351</v>
      </c>
    </row>
    <row r="482" ht="12.75" hidden="1" customHeight="1">
      <c r="A482" s="42" t="str">
        <f>'Input - Bookings'!A482</f>
        <v>28/06/2023</v>
      </c>
      <c r="B482" s="43" t="str">
        <f t="shared" si="1"/>
        <v>Australia</v>
      </c>
      <c r="C482" s="43" t="str">
        <f t="shared" si="2"/>
        <v>PAU</v>
      </c>
      <c r="D482" s="43" t="str">
        <f>'Input - Bookings'!D482</f>
        <v>P</v>
      </c>
      <c r="E482" s="43" t="str">
        <f>'Input - Bookings'!J482</f>
        <v>AU</v>
      </c>
      <c r="F482" s="44" t="str">
        <f>'Input - Bookings'!F482</f>
        <v>065</v>
      </c>
      <c r="G482" s="44" t="str">
        <f>'Input - Bookings'!I482</f>
        <v>ADAPT-A-LIFT GROUP (VIC)</v>
      </c>
      <c r="H482" s="44" t="str">
        <f>'Input - Bookings'!K482</f>
        <v>H40738</v>
      </c>
      <c r="I482" s="45" t="str">
        <f>VLOOKUP(H482,'Input - Bookings'!$G$2:$H$611,2,0)</f>
        <v>087565</v>
      </c>
      <c r="J482" s="44" t="str">
        <f>'Input - Bookings'!N482</f>
        <v>A406</v>
      </c>
      <c r="K482" s="44" t="str">
        <f>'Input - Bookings'!O482</f>
        <v>R1.6 406</v>
      </c>
      <c r="L482" s="44" t="str">
        <f>'Input - Bookings'!C482</f>
        <v>AUD</v>
      </c>
      <c r="M482" s="46" t="str">
        <f t="array" ref="M482">IF(L482="USD",INDEX('AP Plants'!A:A,MATCH(J482,'AP Plants'!D:D,0)),INDEX('Australia Plants'!A:A,MATCH(J482,'Australia Plants'!D:D,0)))</f>
        <v>Maximal</v>
      </c>
      <c r="N482" s="10">
        <v>1.0</v>
      </c>
      <c r="O482" s="9">
        <v>49885.0</v>
      </c>
      <c r="P482" s="9">
        <v>32485.25</v>
      </c>
      <c r="Q482" s="47">
        <v>0.03812755841143345</v>
      </c>
      <c r="R482" s="48">
        <f t="shared" si="3"/>
        <v>0.3487972336</v>
      </c>
      <c r="S482" s="49">
        <f t="shared" si="4"/>
        <v>0</v>
      </c>
      <c r="T482" s="49">
        <f t="shared" si="21"/>
        <v>0.03812755841</v>
      </c>
      <c r="U482" s="50" t="str">
        <f t="shared" si="6"/>
        <v>AOP</v>
      </c>
      <c r="V482" s="51">
        <f t="shared" si="28"/>
        <v>1238.583267</v>
      </c>
      <c r="W482" s="52" t="str">
        <f t="shared" si="8"/>
        <v>#DIV/0!</v>
      </c>
      <c r="X482" s="9" t="str">
        <f t="shared" si="25"/>
        <v>#DIV/0!</v>
      </c>
      <c r="Y482" s="8"/>
      <c r="Z482" s="8"/>
      <c r="AA482" s="8"/>
      <c r="AB482" s="8" t="str">
        <f t="shared" si="10"/>
        <v>PAUH40738R1.6 406</v>
      </c>
      <c r="AC482" s="8" t="str">
        <f>IF(AB482='Input - Bookings'!S715,"OK","Check")</f>
        <v>Check</v>
      </c>
      <c r="AD482" s="53"/>
      <c r="AE482" s="65"/>
      <c r="AF482" s="65"/>
      <c r="AG482" s="55"/>
      <c r="AH482" s="62"/>
      <c r="AI482" s="8" t="str">
        <f t="array" ref="AI482">XLOOKUP($J482,'AP Plants'!D:D,'AP Plants'!B:B)</f>
        <v>Class 2</v>
      </c>
      <c r="AJ482" s="56"/>
      <c r="AK482" s="56"/>
      <c r="AL482" s="49">
        <v>0.015</v>
      </c>
      <c r="AM482" s="49">
        <f t="array" ref="AM482">XLOOKUP($AI482,Warranty!B:B,Warranty!E:E)</f>
        <v>0.015</v>
      </c>
      <c r="AN482" s="8">
        <f>IF($L482="AUD",VLOOKUP(RIGHT('Wk - Margins'!$J482,3),'AU Freight'!C:G,5,0),0)</f>
        <v>2000</v>
      </c>
      <c r="AO482" s="49">
        <f t="shared" si="11"/>
        <v>0</v>
      </c>
      <c r="AP482" s="63">
        <f t="shared" si="12"/>
        <v>2000</v>
      </c>
      <c r="AQ482" s="58">
        <f t="shared" si="13"/>
        <v>0.9384335968</v>
      </c>
      <c r="AR482" s="59">
        <f>IF(L482="AUD",O482*'Currency &amp; Conversion'!$L$7,'Wk - Margins'!O482)</f>
        <v>33496.77565</v>
      </c>
      <c r="AS482" s="59">
        <f>IF(L482="AUD",P482*'Currency &amp; Conversion'!$L$7,'Wk - Margins'!P482)</f>
        <v>21813.19297</v>
      </c>
    </row>
    <row r="483" ht="12.75" hidden="1" customHeight="1">
      <c r="A483" s="42" t="str">
        <f>'Input - Bookings'!A483</f>
        <v>28/06/2023</v>
      </c>
      <c r="B483" s="43" t="str">
        <f t="shared" si="1"/>
        <v>Australia</v>
      </c>
      <c r="C483" s="43" t="str">
        <f t="shared" si="2"/>
        <v>PAU</v>
      </c>
      <c r="D483" s="43" t="str">
        <f>'Input - Bookings'!D483</f>
        <v>P</v>
      </c>
      <c r="E483" s="43" t="str">
        <f>'Input - Bookings'!J483</f>
        <v>AU</v>
      </c>
      <c r="F483" s="44" t="str">
        <f>'Input - Bookings'!F483</f>
        <v>065</v>
      </c>
      <c r="G483" s="44" t="str">
        <f>'Input - Bookings'!I483</f>
        <v>ADAPT-A-LIFT GROUP (WA)</v>
      </c>
      <c r="H483" s="44" t="str">
        <f>'Input - Bookings'!K483</f>
        <v>H40763</v>
      </c>
      <c r="I483" s="45" t="str">
        <f>VLOOKUP(H483,'Input - Bookings'!$G$2:$H$611,2,0)</f>
        <v>087605</v>
      </c>
      <c r="J483" s="44" t="str">
        <f>'Input - Bookings'!N483</f>
        <v>A3C1</v>
      </c>
      <c r="K483" s="44" t="str">
        <f>'Input - Bookings'!O483</f>
        <v>H3.0UT</v>
      </c>
      <c r="L483" s="44" t="str">
        <f>'Input - Bookings'!C483</f>
        <v>AUD</v>
      </c>
      <c r="M483" s="46" t="str">
        <f t="array" ref="M483">IF(L483="USD",INDEX('AP Plants'!A:A,MATCH(J483,'AP Plants'!D:D,0)),INDEX('Australia Plants'!A:A,MATCH(J483,'Australia Plants'!D:D,0)))</f>
        <v>Maximal</v>
      </c>
      <c r="N483" s="10">
        <v>1.0</v>
      </c>
      <c r="O483" s="9">
        <v>30995.0</v>
      </c>
      <c r="P483" s="9">
        <v>22320.875</v>
      </c>
      <c r="Q483" s="47">
        <v>0.15421171368098707</v>
      </c>
      <c r="R483" s="48">
        <f t="shared" si="3"/>
        <v>0.2798556219</v>
      </c>
      <c r="S483" s="49">
        <f t="shared" si="4"/>
        <v>0</v>
      </c>
      <c r="T483" s="49">
        <f t="shared" si="21"/>
        <v>0.1542117137</v>
      </c>
      <c r="U483" s="50" t="str">
        <f t="shared" si="6"/>
        <v>AOP</v>
      </c>
      <c r="V483" s="51">
        <f t="shared" si="28"/>
        <v>3442.140385</v>
      </c>
      <c r="W483" s="52" t="str">
        <f t="shared" si="8"/>
        <v>#DIV/0!</v>
      </c>
      <c r="X483" s="9" t="str">
        <f t="shared" si="25"/>
        <v>#DIV/0!</v>
      </c>
      <c r="Y483" s="8"/>
      <c r="Z483" s="8"/>
      <c r="AA483" s="8"/>
      <c r="AB483" s="8" t="str">
        <f t="shared" si="10"/>
        <v>PAUH40763H3.0UT</v>
      </c>
      <c r="AC483" s="8" t="str">
        <f>IF(AB483='Input - Bookings'!S716,"OK","Check")</f>
        <v>Check</v>
      </c>
      <c r="AD483" s="53"/>
      <c r="AE483" s="65"/>
      <c r="AF483" s="65"/>
      <c r="AG483" s="55"/>
      <c r="AH483" s="62"/>
      <c r="AI483" s="8" t="str">
        <f t="array" ref="AI483">XLOOKUP($J483,'AP Plants'!D:D,'AP Plants'!B:B)</f>
        <v>Class 5 NOT BT</v>
      </c>
      <c r="AJ483" s="56"/>
      <c r="AK483" s="56"/>
      <c r="AL483" s="49">
        <v>0.015</v>
      </c>
      <c r="AM483" s="49">
        <f t="array" ref="AM483">XLOOKUP($AI483,Warranty!B:B,Warranty!E:E)</f>
        <v>0.005</v>
      </c>
      <c r="AN483" s="8">
        <f>IF($L483="AUD",VLOOKUP(RIGHT('Wk - Margins'!$J483,3),'AU Freight'!C:G,5,0),0)</f>
        <v>2000</v>
      </c>
      <c r="AO483" s="49">
        <f t="shared" si="11"/>
        <v>0</v>
      </c>
      <c r="AP483" s="63">
        <f t="shared" si="12"/>
        <v>2000</v>
      </c>
      <c r="AQ483" s="58">
        <f t="shared" si="13"/>
        <v>0.9103977779</v>
      </c>
      <c r="AR483" s="59">
        <f>IF(L483="AUD",O483*'Currency &amp; Conversion'!$L$7,'Wk - Margins'!O483)</f>
        <v>20812.52002</v>
      </c>
      <c r="AS483" s="59">
        <f>IF(L483="AUD",P483*'Currency &amp; Conversion'!$L$7,'Wk - Margins'!P483)</f>
        <v>14988.01929</v>
      </c>
    </row>
    <row r="484" ht="12.75" hidden="1" customHeight="1">
      <c r="A484" s="42" t="str">
        <f>'Input - Bookings'!A484</f>
        <v>28/06/2023</v>
      </c>
      <c r="B484" s="43" t="str">
        <f t="shared" si="1"/>
        <v>Australia</v>
      </c>
      <c r="C484" s="43" t="str">
        <f t="shared" si="2"/>
        <v>PAU</v>
      </c>
      <c r="D484" s="43" t="str">
        <f>'Input - Bookings'!D484</f>
        <v>P</v>
      </c>
      <c r="E484" s="43" t="str">
        <f>'Input - Bookings'!J484</f>
        <v>AU</v>
      </c>
      <c r="F484" s="44" t="str">
        <f>'Input - Bookings'!F484</f>
        <v>065</v>
      </c>
      <c r="G484" s="44" t="str">
        <f>'Input - Bookings'!I484</f>
        <v>ADAPT-A-LIFT GROUP (WA)</v>
      </c>
      <c r="H484" s="44" t="str">
        <f>'Input - Bookings'!K484</f>
        <v>H40771</v>
      </c>
      <c r="I484" s="45" t="str">
        <f>VLOOKUP(H484,'Input - Bookings'!$G$2:$H$611,2,0)</f>
        <v>087605</v>
      </c>
      <c r="J484" s="44" t="str">
        <f>'Input - Bookings'!N484</f>
        <v>A3C1</v>
      </c>
      <c r="K484" s="44" t="str">
        <f>'Input - Bookings'!O484</f>
        <v>H3.0UT</v>
      </c>
      <c r="L484" s="44" t="str">
        <f>'Input - Bookings'!C484</f>
        <v>AUD</v>
      </c>
      <c r="M484" s="46" t="str">
        <f t="array" ref="M484">IF(L484="USD",INDEX('AP Plants'!A:A,MATCH(J484,'AP Plants'!D:D,0)),INDEX('Australia Plants'!A:A,MATCH(J484,'Australia Plants'!D:D,0)))</f>
        <v>Maximal</v>
      </c>
      <c r="N484" s="10">
        <v>1.0</v>
      </c>
      <c r="O484" s="9">
        <v>30995.0</v>
      </c>
      <c r="P484" s="9">
        <v>22320.875</v>
      </c>
      <c r="Q484" s="47">
        <v>0.15421171368098707</v>
      </c>
      <c r="R484" s="48">
        <f t="shared" si="3"/>
        <v>0.2798556219</v>
      </c>
      <c r="S484" s="49">
        <f t="shared" si="4"/>
        <v>0</v>
      </c>
      <c r="T484" s="49">
        <f t="shared" si="21"/>
        <v>0.1542117137</v>
      </c>
      <c r="U484" s="50" t="str">
        <f t="shared" si="6"/>
        <v>AOP</v>
      </c>
      <c r="V484" s="51">
        <f t="shared" si="28"/>
        <v>3442.140385</v>
      </c>
      <c r="W484" s="52" t="str">
        <f t="shared" si="8"/>
        <v>#DIV/0!</v>
      </c>
      <c r="X484" s="9" t="str">
        <f t="shared" si="25"/>
        <v>#DIV/0!</v>
      </c>
      <c r="Y484" s="8"/>
      <c r="Z484" s="8"/>
      <c r="AA484" s="8"/>
      <c r="AB484" s="8" t="str">
        <f t="shared" si="10"/>
        <v>PAUH40771H3.0UT</v>
      </c>
      <c r="AC484" s="8" t="str">
        <f>IF(AB484='Input - Bookings'!S717,"OK","Check")</f>
        <v>Check</v>
      </c>
      <c r="AD484" s="53"/>
      <c r="AE484" s="65"/>
      <c r="AF484" s="65"/>
      <c r="AG484" s="55"/>
      <c r="AH484" s="62"/>
      <c r="AI484" s="8" t="str">
        <f t="array" ref="AI484">XLOOKUP($J484,'AP Plants'!D:D,'AP Plants'!B:B)</f>
        <v>Class 5 NOT BT</v>
      </c>
      <c r="AJ484" s="56"/>
      <c r="AK484" s="56"/>
      <c r="AL484" s="49">
        <v>0.015</v>
      </c>
      <c r="AM484" s="49">
        <f t="array" ref="AM484">XLOOKUP($AI484,Warranty!B:B,Warranty!E:E)</f>
        <v>0.005</v>
      </c>
      <c r="AN484" s="8">
        <f>IF($L484="AUD",VLOOKUP(RIGHT('Wk - Margins'!$J484,3),'AU Freight'!C:G,5,0),0)</f>
        <v>2000</v>
      </c>
      <c r="AO484" s="49">
        <f t="shared" si="11"/>
        <v>0</v>
      </c>
      <c r="AP484" s="63">
        <f t="shared" si="12"/>
        <v>2000</v>
      </c>
      <c r="AQ484" s="58">
        <f t="shared" si="13"/>
        <v>0.9103977779</v>
      </c>
      <c r="AR484" s="59">
        <f>IF(L484="AUD",O484*'Currency &amp; Conversion'!$L$7,'Wk - Margins'!O484)</f>
        <v>20812.52002</v>
      </c>
      <c r="AS484" s="59">
        <f>IF(L484="AUD",P484*'Currency &amp; Conversion'!$L$7,'Wk - Margins'!P484)</f>
        <v>14988.01929</v>
      </c>
    </row>
    <row r="485" ht="12.75" hidden="1" customHeight="1">
      <c r="A485" s="42" t="str">
        <f>'Input - Bookings'!A485</f>
        <v>28/06/2023</v>
      </c>
      <c r="B485" s="43" t="str">
        <f t="shared" si="1"/>
        <v>Australia</v>
      </c>
      <c r="C485" s="43" t="str">
        <f t="shared" si="2"/>
        <v>PAU</v>
      </c>
      <c r="D485" s="43" t="str">
        <f>'Input - Bookings'!D485</f>
        <v>P</v>
      </c>
      <c r="E485" s="43" t="str">
        <f>'Input - Bookings'!J485</f>
        <v>AU</v>
      </c>
      <c r="F485" s="44" t="str">
        <f>'Input - Bookings'!F485</f>
        <v>065</v>
      </c>
      <c r="G485" s="44" t="str">
        <f>'Input - Bookings'!I485</f>
        <v>ADAPT-A-LIFT GROUP (WA)</v>
      </c>
      <c r="H485" s="44" t="str">
        <f>'Input - Bookings'!K485</f>
        <v>H40764</v>
      </c>
      <c r="I485" s="45" t="str">
        <f>VLOOKUP(H485,'Input - Bookings'!$G$2:$H$611,2,0)</f>
        <v>087605</v>
      </c>
      <c r="J485" s="44" t="str">
        <f>'Input - Bookings'!N485</f>
        <v>A3C1</v>
      </c>
      <c r="K485" s="44" t="str">
        <f>'Input - Bookings'!O485</f>
        <v>H3.5UT</v>
      </c>
      <c r="L485" s="44" t="str">
        <f>'Input - Bookings'!C485</f>
        <v>AUD</v>
      </c>
      <c r="M485" s="46" t="str">
        <f t="array" ref="M485">IF(L485="USD",INDEX('AP Plants'!A:A,MATCH(J485,'AP Plants'!D:D,0)),INDEX('Australia Plants'!A:A,MATCH(J485,'Australia Plants'!D:D,0)))</f>
        <v>Maximal</v>
      </c>
      <c r="N485" s="10">
        <v>1.0</v>
      </c>
      <c r="O485" s="9">
        <v>35685.0</v>
      </c>
      <c r="P485" s="9">
        <v>25945.5</v>
      </c>
      <c r="Q485" s="47">
        <v>0.16430931021477868</v>
      </c>
      <c r="R485" s="48">
        <f t="shared" si="3"/>
        <v>0.2729298024</v>
      </c>
      <c r="S485" s="49">
        <f t="shared" si="4"/>
        <v>0</v>
      </c>
      <c r="T485" s="49">
        <f t="shared" si="21"/>
        <v>0.1643093102</v>
      </c>
      <c r="U485" s="50" t="str">
        <f t="shared" si="6"/>
        <v>AOP</v>
      </c>
      <c r="V485" s="51">
        <f t="shared" si="28"/>
        <v>4263.087208</v>
      </c>
      <c r="W485" s="52" t="str">
        <f t="shared" si="8"/>
        <v>#DIV/0!</v>
      </c>
      <c r="X485" s="9" t="str">
        <f t="shared" si="25"/>
        <v>#DIV/0!</v>
      </c>
      <c r="Y485" s="8"/>
      <c r="Z485" s="8"/>
      <c r="AA485" s="8"/>
      <c r="AB485" s="8" t="str">
        <f t="shared" si="10"/>
        <v>PAUH40764H3.5UT</v>
      </c>
      <c r="AC485" s="8" t="str">
        <f>IF(AB485='Input - Bookings'!S718,"OK","Check")</f>
        <v>Check</v>
      </c>
      <c r="AD485" s="53"/>
      <c r="AE485" s="65"/>
      <c r="AF485" s="65"/>
      <c r="AG485" s="55"/>
      <c r="AH485" s="62"/>
      <c r="AI485" s="8" t="str">
        <f t="array" ref="AI485">XLOOKUP($J485,'AP Plants'!D:D,'AP Plants'!B:B)</f>
        <v>Class 5 NOT BT</v>
      </c>
      <c r="AJ485" s="56"/>
      <c r="AK485" s="56"/>
      <c r="AL485" s="49">
        <v>0.015</v>
      </c>
      <c r="AM485" s="49">
        <f t="array" ref="AM485">XLOOKUP($AI485,Warranty!B:B,Warranty!E:E)</f>
        <v>0.005</v>
      </c>
      <c r="AN485" s="8">
        <f>IF($L485="AUD",VLOOKUP(RIGHT('Wk - Margins'!$J485,3),'AU Freight'!C:G,5,0),0)</f>
        <v>2000</v>
      </c>
      <c r="AO485" s="49">
        <f t="shared" si="11"/>
        <v>0</v>
      </c>
      <c r="AP485" s="63">
        <f t="shared" si="12"/>
        <v>2000</v>
      </c>
      <c r="AQ485" s="58">
        <f t="shared" si="13"/>
        <v>0.9229153418</v>
      </c>
      <c r="AR485" s="59">
        <f>IF(L485="AUD",O485*'Currency &amp; Conversion'!$L$7,'Wk - Margins'!O485)</f>
        <v>23961.76083</v>
      </c>
      <c r="AS485" s="59">
        <f>IF(L485="AUD",P485*'Currency &amp; Conversion'!$L$7,'Wk - Margins'!P485)</f>
        <v>17421.88218</v>
      </c>
    </row>
    <row r="486" ht="12.75" hidden="1" customHeight="1">
      <c r="A486" s="42" t="str">
        <f>'Input - Bookings'!A486</f>
        <v>28/06/2023</v>
      </c>
      <c r="B486" s="43" t="str">
        <f t="shared" si="1"/>
        <v>Australia</v>
      </c>
      <c r="C486" s="43" t="str">
        <f t="shared" si="2"/>
        <v>PAU</v>
      </c>
      <c r="D486" s="43" t="str">
        <f>'Input - Bookings'!D486</f>
        <v>P</v>
      </c>
      <c r="E486" s="43" t="str">
        <f>'Input - Bookings'!J486</f>
        <v>AU</v>
      </c>
      <c r="F486" s="44" t="str">
        <f>'Input - Bookings'!F486</f>
        <v>065</v>
      </c>
      <c r="G486" s="44" t="str">
        <f>'Input - Bookings'!I486</f>
        <v>ADAPT-A-LIFT GROUP (WA)</v>
      </c>
      <c r="H486" s="44" t="str">
        <f>'Input - Bookings'!K486</f>
        <v>H40772</v>
      </c>
      <c r="I486" s="45" t="str">
        <f>VLOOKUP(H486,'Input - Bookings'!$G$2:$H$611,2,0)</f>
        <v>087605</v>
      </c>
      <c r="J486" s="44" t="str">
        <f>'Input - Bookings'!N486</f>
        <v>A3C1</v>
      </c>
      <c r="K486" s="44" t="str">
        <f>'Input - Bookings'!O486</f>
        <v>H3.5UT</v>
      </c>
      <c r="L486" s="44" t="str">
        <f>'Input - Bookings'!C486</f>
        <v>AUD</v>
      </c>
      <c r="M486" s="46" t="str">
        <f t="array" ref="M486">IF(L486="USD",INDEX('AP Plants'!A:A,MATCH(J486,'AP Plants'!D:D,0)),INDEX('Australia Plants'!A:A,MATCH(J486,'Australia Plants'!D:D,0)))</f>
        <v>Maximal</v>
      </c>
      <c r="N486" s="10">
        <v>1.0</v>
      </c>
      <c r="O486" s="9">
        <v>35685.0</v>
      </c>
      <c r="P486" s="9">
        <v>25945.5</v>
      </c>
      <c r="Q486" s="47">
        <v>0.16430931021477868</v>
      </c>
      <c r="R486" s="48">
        <f t="shared" si="3"/>
        <v>0.2729298024</v>
      </c>
      <c r="S486" s="49">
        <f t="shared" si="4"/>
        <v>0</v>
      </c>
      <c r="T486" s="49">
        <f t="shared" si="21"/>
        <v>0.1643093102</v>
      </c>
      <c r="U486" s="50" t="str">
        <f t="shared" si="6"/>
        <v>AOP</v>
      </c>
      <c r="V486" s="51">
        <f t="shared" si="28"/>
        <v>4263.087208</v>
      </c>
      <c r="W486" s="52" t="str">
        <f t="shared" si="8"/>
        <v>#DIV/0!</v>
      </c>
      <c r="X486" s="9" t="str">
        <f t="shared" si="25"/>
        <v>#DIV/0!</v>
      </c>
      <c r="Y486" s="8"/>
      <c r="Z486" s="8"/>
      <c r="AA486" s="8"/>
      <c r="AB486" s="8" t="str">
        <f t="shared" si="10"/>
        <v>PAUH40772H3.5UT</v>
      </c>
      <c r="AC486" s="8" t="str">
        <f>IF(AB486='Input - Bookings'!S719,"OK","Check")</f>
        <v>Check</v>
      </c>
      <c r="AD486" s="53"/>
      <c r="AE486" s="65"/>
      <c r="AF486" s="65"/>
      <c r="AG486" s="55"/>
      <c r="AH486" s="62"/>
      <c r="AI486" s="8" t="str">
        <f t="array" ref="AI486">XLOOKUP($J486,'AP Plants'!D:D,'AP Plants'!B:B)</f>
        <v>Class 5 NOT BT</v>
      </c>
      <c r="AJ486" s="56"/>
      <c r="AK486" s="56"/>
      <c r="AL486" s="49">
        <v>0.015</v>
      </c>
      <c r="AM486" s="49">
        <f t="array" ref="AM486">XLOOKUP($AI486,Warranty!B:B,Warranty!E:E)</f>
        <v>0.005</v>
      </c>
      <c r="AN486" s="8">
        <f>IF($L486="AUD",VLOOKUP(RIGHT('Wk - Margins'!$J486,3),'AU Freight'!C:G,5,0),0)</f>
        <v>2000</v>
      </c>
      <c r="AO486" s="49">
        <f t="shared" si="11"/>
        <v>0</v>
      </c>
      <c r="AP486" s="63">
        <f t="shared" si="12"/>
        <v>2000</v>
      </c>
      <c r="AQ486" s="58">
        <f t="shared" si="13"/>
        <v>0.9229153418</v>
      </c>
      <c r="AR486" s="59">
        <f>IF(L486="AUD",O486*'Currency &amp; Conversion'!$L$7,'Wk - Margins'!O486)</f>
        <v>23961.76083</v>
      </c>
      <c r="AS486" s="59">
        <f>IF(L486="AUD",P486*'Currency &amp; Conversion'!$L$7,'Wk - Margins'!P486)</f>
        <v>17421.88218</v>
      </c>
    </row>
    <row r="487" ht="12.75" hidden="1" customHeight="1">
      <c r="A487" s="42" t="str">
        <f>'Input - Bookings'!A487</f>
        <v>28/06/2023</v>
      </c>
      <c r="B487" s="43" t="str">
        <f t="shared" si="1"/>
        <v>Australia</v>
      </c>
      <c r="C487" s="43" t="str">
        <f t="shared" si="2"/>
        <v>PAU</v>
      </c>
      <c r="D487" s="43" t="str">
        <f>'Input - Bookings'!D487</f>
        <v>P</v>
      </c>
      <c r="E487" s="43" t="str">
        <f>'Input - Bookings'!J487</f>
        <v>AU</v>
      </c>
      <c r="F487" s="44" t="str">
        <f>'Input - Bookings'!F487</f>
        <v>065</v>
      </c>
      <c r="G487" s="44" t="str">
        <f>'Input - Bookings'!I487</f>
        <v>ADAPT-A-LIFT GROUP (WA)</v>
      </c>
      <c r="H487" s="44" t="str">
        <f>'Input - Bookings'!K487</f>
        <v>H40765</v>
      </c>
      <c r="I487" s="45" t="str">
        <f>VLOOKUP(H487,'Input - Bookings'!$G$2:$H$611,2,0)</f>
        <v>087605</v>
      </c>
      <c r="J487" s="44" t="str">
        <f>'Input - Bookings'!N487</f>
        <v>A3C6</v>
      </c>
      <c r="K487" s="44" t="str">
        <f>'Input - Bookings'!O487</f>
        <v>H5.0UT</v>
      </c>
      <c r="L487" s="44" t="str">
        <f>'Input - Bookings'!C487</f>
        <v>AUD</v>
      </c>
      <c r="M487" s="46" t="str">
        <f t="array" ref="M487">IF(L487="USD",INDEX('AP Plants'!A:A,MATCH(J487,'AP Plants'!D:D,0)),INDEX('Australia Plants'!A:A,MATCH(J487,'Australia Plants'!D:D,0)))</f>
        <v>Maximal</v>
      </c>
      <c r="N487" s="10">
        <v>1.0</v>
      </c>
      <c r="O487" s="9">
        <v>55225.0</v>
      </c>
      <c r="P487" s="9">
        <v>40178.66</v>
      </c>
      <c r="Q487" s="47">
        <v>0.2106396980577676</v>
      </c>
      <c r="R487" s="48">
        <f t="shared" si="3"/>
        <v>0.2724552286</v>
      </c>
      <c r="S487" s="49">
        <f t="shared" si="4"/>
        <v>0</v>
      </c>
      <c r="T487" s="49">
        <f t="shared" si="21"/>
        <v>0.2106396981</v>
      </c>
      <c r="U487" s="50" t="str">
        <f t="shared" si="6"/>
        <v>AOP</v>
      </c>
      <c r="V487" s="51">
        <f t="shared" si="28"/>
        <v>8463.220811</v>
      </c>
      <c r="W487" s="52" t="str">
        <f t="shared" si="8"/>
        <v>#DIV/0!</v>
      </c>
      <c r="X487" s="9" t="str">
        <f t="shared" si="25"/>
        <v>#DIV/0!</v>
      </c>
      <c r="Y487" s="8"/>
      <c r="Z487" s="8"/>
      <c r="AA487" s="8"/>
      <c r="AB487" s="8" t="str">
        <f t="shared" si="10"/>
        <v>PAUH40765H5.0UT</v>
      </c>
      <c r="AC487" s="8" t="str">
        <f>IF(AB487='Input - Bookings'!S720,"OK","Check")</f>
        <v>Check</v>
      </c>
      <c r="AD487" s="53"/>
      <c r="AE487" s="65"/>
      <c r="AF487" s="65"/>
      <c r="AG487" s="55"/>
      <c r="AH487" s="62"/>
      <c r="AI487" s="8" t="str">
        <f t="array" ref="AI487">XLOOKUP($J487,'AP Plants'!D:D,'AP Plants'!B:B)</f>
        <v>Class 5 NOT BT</v>
      </c>
      <c r="AJ487" s="56"/>
      <c r="AK487" s="56"/>
      <c r="AL487" s="49">
        <v>0.015</v>
      </c>
      <c r="AM487" s="49">
        <f t="array" ref="AM487">XLOOKUP($AI487,Warranty!B:B,Warranty!E:E)</f>
        <v>0.005</v>
      </c>
      <c r="AN487" s="8">
        <f>IF($L487="AUD",VLOOKUP(RIGHT('Wk - Margins'!$J487,3),'AU Freight'!C:G,5,0),0)</f>
        <v>2000</v>
      </c>
      <c r="AO487" s="49">
        <f t="shared" si="11"/>
        <v>0</v>
      </c>
      <c r="AP487" s="63">
        <f t="shared" si="12"/>
        <v>2000</v>
      </c>
      <c r="AQ487" s="58">
        <f t="shared" si="13"/>
        <v>0.950222332</v>
      </c>
      <c r="AR487" s="59">
        <f>IF(L487="AUD",O487*'Currency &amp; Conversion'!$L$7,'Wk - Margins'!O487)</f>
        <v>37082.4784</v>
      </c>
      <c r="AS487" s="59">
        <f>IF(L487="AUD",P487*'Currency &amp; Conversion'!$L$7,'Wk - Margins'!P487)</f>
        <v>26979.16327</v>
      </c>
    </row>
    <row r="488" ht="12.75" hidden="1" customHeight="1">
      <c r="A488" s="42" t="str">
        <f>'Input - Bookings'!A488</f>
        <v>28/06/2023</v>
      </c>
      <c r="B488" s="43" t="str">
        <f t="shared" si="1"/>
        <v>Australia</v>
      </c>
      <c r="C488" s="43" t="str">
        <f t="shared" si="2"/>
        <v>PAU</v>
      </c>
      <c r="D488" s="43" t="str">
        <f>'Input - Bookings'!D488</f>
        <v>P</v>
      </c>
      <c r="E488" s="43" t="str">
        <f>'Input - Bookings'!J488</f>
        <v>AU</v>
      </c>
      <c r="F488" s="44" t="str">
        <f>'Input - Bookings'!F488</f>
        <v>065</v>
      </c>
      <c r="G488" s="44" t="str">
        <f>'Input - Bookings'!I488</f>
        <v>ADAPT-A-LIFT GROUP (WA)</v>
      </c>
      <c r="H488" s="44" t="str">
        <f>'Input - Bookings'!K488</f>
        <v>H40766</v>
      </c>
      <c r="I488" s="45" t="str">
        <f>VLOOKUP(H488,'Input - Bookings'!$G$2:$H$611,2,0)</f>
        <v>087605</v>
      </c>
      <c r="J488" s="44" t="str">
        <f>'Input - Bookings'!N488</f>
        <v>A3C6</v>
      </c>
      <c r="K488" s="44" t="str">
        <f>'Input - Bookings'!O488</f>
        <v>H5.0UT</v>
      </c>
      <c r="L488" s="44" t="str">
        <f>'Input - Bookings'!C488</f>
        <v>AUD</v>
      </c>
      <c r="M488" s="46" t="str">
        <f t="array" ref="M488">IF(L488="USD",INDEX('AP Plants'!A:A,MATCH(J488,'AP Plants'!D:D,0)),INDEX('Australia Plants'!A:A,MATCH(J488,'Australia Plants'!D:D,0)))</f>
        <v>Maximal</v>
      </c>
      <c r="N488" s="10">
        <v>1.0</v>
      </c>
      <c r="O488" s="9">
        <v>53690.0</v>
      </c>
      <c r="P488" s="9">
        <v>38950.66</v>
      </c>
      <c r="Q488" s="47">
        <v>0.20778974523506677</v>
      </c>
      <c r="R488" s="48">
        <f t="shared" si="3"/>
        <v>0.2745267275</v>
      </c>
      <c r="S488" s="49">
        <f t="shared" si="4"/>
        <v>0</v>
      </c>
      <c r="T488" s="49">
        <f t="shared" si="21"/>
        <v>0.2077897452</v>
      </c>
      <c r="U488" s="50" t="str">
        <f t="shared" si="6"/>
        <v>AOP</v>
      </c>
      <c r="V488" s="51">
        <f t="shared" si="28"/>
        <v>8093.547718</v>
      </c>
      <c r="W488" s="52" t="str">
        <f t="shared" si="8"/>
        <v>#DIV/0!</v>
      </c>
      <c r="X488" s="9" t="str">
        <f t="shared" si="25"/>
        <v>#DIV/0!</v>
      </c>
      <c r="Y488" s="8"/>
      <c r="Z488" s="8"/>
      <c r="AA488" s="8"/>
      <c r="AB488" s="8" t="str">
        <f t="shared" si="10"/>
        <v>PAUH40766H5.0UT</v>
      </c>
      <c r="AC488" s="8" t="str">
        <f>IF(AB488='Input - Bookings'!S721,"OK","Check")</f>
        <v>Check</v>
      </c>
      <c r="AD488" s="53"/>
      <c r="AE488" s="65"/>
      <c r="AF488" s="65"/>
      <c r="AG488" s="55"/>
      <c r="AH488" s="62"/>
      <c r="AI488" s="8" t="str">
        <f t="array" ref="AI488">XLOOKUP($J488,'AP Plants'!D:D,'AP Plants'!B:B)</f>
        <v>Class 5 NOT BT</v>
      </c>
      <c r="AJ488" s="56"/>
      <c r="AK488" s="56"/>
      <c r="AL488" s="49">
        <v>0.015</v>
      </c>
      <c r="AM488" s="49">
        <f t="array" ref="AM488">XLOOKUP($AI488,Warranty!B:B,Warranty!E:E)</f>
        <v>0.005</v>
      </c>
      <c r="AN488" s="8">
        <f>IF($L488="AUD",VLOOKUP(RIGHT('Wk - Margins'!$J488,3),'AU Freight'!C:G,5,0),0)</f>
        <v>2000</v>
      </c>
      <c r="AO488" s="49">
        <f t="shared" si="11"/>
        <v>0</v>
      </c>
      <c r="AP488" s="63">
        <f t="shared" si="12"/>
        <v>2000</v>
      </c>
      <c r="AQ488" s="58">
        <f t="shared" si="13"/>
        <v>0.9486529882</v>
      </c>
      <c r="AR488" s="59">
        <f>IF(L488="AUD",O488*'Currency &amp; Conversion'!$L$7,'Wk - Margins'!O488)</f>
        <v>36051.75673</v>
      </c>
      <c r="AS488" s="59">
        <f>IF(L488="AUD",P488*'Currency &amp; Conversion'!$L$7,'Wk - Margins'!P488)</f>
        <v>26154.58593</v>
      </c>
    </row>
    <row r="489" ht="12.75" hidden="1" customHeight="1">
      <c r="A489" s="42" t="str">
        <f>'Input - Bookings'!A489</f>
        <v>28/06/2023</v>
      </c>
      <c r="B489" s="43" t="str">
        <f t="shared" si="1"/>
        <v>Australia</v>
      </c>
      <c r="C489" s="43" t="str">
        <f t="shared" si="2"/>
        <v>PAU</v>
      </c>
      <c r="D489" s="43" t="str">
        <f>'Input - Bookings'!D489</f>
        <v>P</v>
      </c>
      <c r="E489" s="43" t="str">
        <f>'Input - Bookings'!J489</f>
        <v>AU</v>
      </c>
      <c r="F489" s="44" t="str">
        <f>'Input - Bookings'!F489</f>
        <v>065</v>
      </c>
      <c r="G489" s="44" t="str">
        <f>'Input - Bookings'!I489</f>
        <v>ADAPT-A-LIFT GROUP (WA)</v>
      </c>
      <c r="H489" s="44" t="str">
        <f>'Input - Bookings'!K489</f>
        <v>H40767</v>
      </c>
      <c r="I489" s="45" t="str">
        <f>VLOOKUP(H489,'Input - Bookings'!$G$2:$H$611,2,0)</f>
        <v>087605</v>
      </c>
      <c r="J489" s="44" t="str">
        <f>'Input - Bookings'!N489</f>
        <v>A3C4</v>
      </c>
      <c r="K489" s="44" t="str">
        <f>'Input - Bookings'!O489</f>
        <v>J2.5UT</v>
      </c>
      <c r="L489" s="44" t="str">
        <f>'Input - Bookings'!C489</f>
        <v>AUD</v>
      </c>
      <c r="M489" s="46" t="str">
        <f t="array" ref="M489">IF(L489="USD",INDEX('AP Plants'!A:A,MATCH(J489,'AP Plants'!D:D,0)),INDEX('Australia Plants'!A:A,MATCH(J489,'Australia Plants'!D:D,0)))</f>
        <v>Maximal</v>
      </c>
      <c r="N489" s="10">
        <v>1.0</v>
      </c>
      <c r="O489" s="9">
        <v>38370.0</v>
      </c>
      <c r="P489" s="9">
        <v>31050.7</v>
      </c>
      <c r="Q489" s="47">
        <v>0.19977545512267503</v>
      </c>
      <c r="R489" s="48">
        <f t="shared" si="3"/>
        <v>0.1907557988</v>
      </c>
      <c r="S489" s="49">
        <f t="shared" si="4"/>
        <v>0</v>
      </c>
      <c r="T489" s="49">
        <f t="shared" si="21"/>
        <v>0.1997754551</v>
      </c>
      <c r="U489" s="50" t="str">
        <f t="shared" si="6"/>
        <v>AOP</v>
      </c>
      <c r="V489" s="51">
        <f t="shared" si="28"/>
        <v>6203.167724</v>
      </c>
      <c r="W489" s="52" t="str">
        <f t="shared" si="8"/>
        <v>#DIV/0!</v>
      </c>
      <c r="X489" s="9" t="str">
        <f t="shared" si="25"/>
        <v>#DIV/0!</v>
      </c>
      <c r="Y489" s="8"/>
      <c r="Z489" s="8"/>
      <c r="AA489" s="8"/>
      <c r="AB489" s="8" t="str">
        <f t="shared" si="10"/>
        <v>PAUH40767J2.5UT</v>
      </c>
      <c r="AC489" s="8" t="str">
        <f>IF(AB489='Input - Bookings'!S722,"OK","Check")</f>
        <v>Check</v>
      </c>
      <c r="AD489" s="53"/>
      <c r="AE489" s="65"/>
      <c r="AF489" s="65"/>
      <c r="AG489" s="55"/>
      <c r="AH489" s="62"/>
      <c r="AI489" s="8" t="str">
        <f t="array" ref="AI489">XLOOKUP($J489,'AP Plants'!D:D,'AP Plants'!B:B)</f>
        <v>Class 1</v>
      </c>
      <c r="AJ489" s="56"/>
      <c r="AK489" s="56"/>
      <c r="AL489" s="49">
        <v>0.015</v>
      </c>
      <c r="AM489" s="49">
        <f t="array" ref="AM489">XLOOKUP($AI489,Warranty!B:B,Warranty!E:E)</f>
        <v>0.005</v>
      </c>
      <c r="AN489" s="8">
        <f>IF($L489="AUD",VLOOKUP(RIGHT('Wk - Margins'!$J489,3),'AU Freight'!C:G,5,0),0)</f>
        <v>2000</v>
      </c>
      <c r="AO489" s="49">
        <f t="shared" si="11"/>
        <v>0</v>
      </c>
      <c r="AP489" s="63">
        <f t="shared" si="12"/>
        <v>2000</v>
      </c>
      <c r="AQ489" s="58">
        <f t="shared" si="13"/>
        <v>0.9355892138</v>
      </c>
      <c r="AR489" s="59">
        <f>IF(L489="AUD",O489*'Currency &amp; Conversion'!$L$7,'Wk - Margins'!O489)</f>
        <v>25764.68441</v>
      </c>
      <c r="AS489" s="59">
        <f>IF(L489="AUD",P489*'Currency &amp; Conversion'!$L$7,'Wk - Margins'!P489)</f>
        <v>20849.92145</v>
      </c>
    </row>
    <row r="490" ht="12.75" hidden="1" customHeight="1">
      <c r="A490" s="42" t="str">
        <f>'Input - Bookings'!A490</f>
        <v>28/06/2023</v>
      </c>
      <c r="B490" s="43" t="str">
        <f t="shared" si="1"/>
        <v>Australia</v>
      </c>
      <c r="C490" s="43" t="str">
        <f t="shared" si="2"/>
        <v>PAU</v>
      </c>
      <c r="D490" s="43" t="str">
        <f>'Input - Bookings'!D490</f>
        <v>P</v>
      </c>
      <c r="E490" s="43" t="str">
        <f>'Input - Bookings'!J490</f>
        <v>AU</v>
      </c>
      <c r="F490" s="44" t="str">
        <f>'Input - Bookings'!F490</f>
        <v>065</v>
      </c>
      <c r="G490" s="44" t="str">
        <f>'Input - Bookings'!I490</f>
        <v>ADAPT-A-LIFT GROUP (WA)</v>
      </c>
      <c r="H490" s="45" t="str">
        <f>'Input - Bookings'!K490</f>
        <v>H40768</v>
      </c>
      <c r="I490" s="45" t="str">
        <f>VLOOKUP(H490,'Input - Bookings'!$G$2:$H$611,2,0)</f>
        <v>087605</v>
      </c>
      <c r="J490" s="44" t="str">
        <f>'Input - Bookings'!N490</f>
        <v>A3C4</v>
      </c>
      <c r="K490" s="44" t="str">
        <f>'Input - Bookings'!O490</f>
        <v>J2.5UT</v>
      </c>
      <c r="L490" s="44" t="str">
        <f>'Input - Bookings'!C490</f>
        <v>AUD</v>
      </c>
      <c r="M490" s="46" t="str">
        <f t="array" ref="M490">IF(L490="USD",INDEX('AP Plants'!A:A,MATCH(J490,'AP Plants'!D:D,0)),INDEX('Australia Plants'!A:A,MATCH(J490,'Australia Plants'!D:D,0)))</f>
        <v>Maximal</v>
      </c>
      <c r="N490" s="10">
        <v>1.0</v>
      </c>
      <c r="O490" s="9">
        <v>38485.0</v>
      </c>
      <c r="P490" s="9">
        <v>31142.7</v>
      </c>
      <c r="Q490" s="47">
        <v>0.17043804102464155</v>
      </c>
      <c r="R490" s="48">
        <f t="shared" si="3"/>
        <v>0.1907834221</v>
      </c>
      <c r="S490" s="49">
        <f t="shared" si="4"/>
        <v>0</v>
      </c>
      <c r="T490" s="49">
        <f t="shared" si="21"/>
        <v>0.170438041</v>
      </c>
      <c r="U490" s="50" t="str">
        <f t="shared" si="6"/>
        <v>AOP</v>
      </c>
      <c r="V490" s="51">
        <f t="shared" si="28"/>
        <v>5307.90078</v>
      </c>
      <c r="W490" s="52" t="str">
        <f t="shared" si="8"/>
        <v>#DIV/0!</v>
      </c>
      <c r="X490" s="9" t="str">
        <f t="shared" si="25"/>
        <v>#DIV/0!</v>
      </c>
      <c r="Y490" s="8"/>
      <c r="Z490" s="8"/>
      <c r="AA490" s="8"/>
      <c r="AB490" s="8" t="str">
        <f t="shared" si="10"/>
        <v>PAUH40768J2.5UT</v>
      </c>
      <c r="AC490" s="8" t="str">
        <f>IF(AB490='Input - Bookings'!S723,"OK","Check")</f>
        <v>Check</v>
      </c>
      <c r="AD490" s="53"/>
      <c r="AE490" s="65"/>
      <c r="AF490" s="65"/>
      <c r="AG490" s="55"/>
      <c r="AH490" s="62"/>
      <c r="AI490" s="8" t="str">
        <f t="array" ref="AI490">XLOOKUP($J490,'AP Plants'!D:D,'AP Plants'!B:B)</f>
        <v>Class 1</v>
      </c>
      <c r="AJ490" s="56"/>
      <c r="AK490" s="56"/>
      <c r="AL490" s="49">
        <v>0.015</v>
      </c>
      <c r="AM490" s="49">
        <f t="array" ref="AM490">XLOOKUP($AI490,Warranty!B:B,Warranty!E:E)</f>
        <v>0.005</v>
      </c>
      <c r="AN490" s="8">
        <f>IF($L490="AUD",VLOOKUP(RIGHT('Wk - Margins'!$J490,3),'AU Freight'!C:G,5,0),0)</f>
        <v>2000</v>
      </c>
      <c r="AO490" s="49">
        <f t="shared" si="11"/>
        <v>0</v>
      </c>
      <c r="AP490" s="63">
        <f t="shared" si="12"/>
        <v>2000</v>
      </c>
      <c r="AQ490" s="58">
        <f t="shared" si="13"/>
        <v>0.9357794925</v>
      </c>
      <c r="AR490" s="59">
        <f>IF(L490="AUD",O490*'Currency &amp; Conversion'!$L$7,'Wk - Margins'!O490)</f>
        <v>25841.9046</v>
      </c>
      <c r="AS490" s="59">
        <f>IF(L490="AUD",P490*'Currency &amp; Conversion'!$L$7,'Wk - Margins'!P490)</f>
        <v>20911.6976</v>
      </c>
    </row>
    <row r="491" ht="12.75" hidden="1" customHeight="1">
      <c r="A491" s="42" t="str">
        <f>'Input - Bookings'!A491</f>
        <v>28/06/2023</v>
      </c>
      <c r="B491" s="43" t="str">
        <f t="shared" si="1"/>
        <v>Australia</v>
      </c>
      <c r="C491" s="43" t="str">
        <f t="shared" si="2"/>
        <v>PAU</v>
      </c>
      <c r="D491" s="43" t="str">
        <f>'Input - Bookings'!D491</f>
        <v>P</v>
      </c>
      <c r="E491" s="43" t="str">
        <f>'Input - Bookings'!J491</f>
        <v>AU</v>
      </c>
      <c r="F491" s="44" t="str">
        <f>'Input - Bookings'!F491</f>
        <v>065</v>
      </c>
      <c r="G491" s="44" t="str">
        <f>'Input - Bookings'!I491</f>
        <v>ADAPT-A-LIFT GROUP (WA)</v>
      </c>
      <c r="H491" s="44" t="str">
        <f>'Input - Bookings'!K491</f>
        <v>H40769</v>
      </c>
      <c r="I491" s="45" t="str">
        <f>VLOOKUP(H491,'Input - Bookings'!$G$2:$H$611,2,0)</f>
        <v>087605</v>
      </c>
      <c r="J491" s="44" t="str">
        <f>'Input - Bookings'!N491</f>
        <v>D466</v>
      </c>
      <c r="K491" s="44" t="str">
        <f>'Input - Bookings'!O491</f>
        <v>H3.0XT</v>
      </c>
      <c r="L491" s="44" t="str">
        <f>'Input - Bookings'!C491</f>
        <v>AUD</v>
      </c>
      <c r="M491" s="46" t="str">
        <f t="array" ref="M491">IF(L491="USD",INDEX('AP Plants'!A:A,MATCH(J491,'AP Plants'!D:D,0)),INDEX('Australia Plants'!A:A,MATCH(J491,'Australia Plants'!D:D,0)))</f>
        <v>SN</v>
      </c>
      <c r="N491" s="10">
        <v>1.0</v>
      </c>
      <c r="O491" s="9">
        <v>39930.0</v>
      </c>
      <c r="P491" s="9">
        <v>33184.911</v>
      </c>
      <c r="Q491" s="47">
        <v>0.12460257548771358</v>
      </c>
      <c r="R491" s="48">
        <f t="shared" si="3"/>
        <v>0.16892284</v>
      </c>
      <c r="S491" s="49">
        <f t="shared" si="4"/>
        <v>0</v>
      </c>
      <c r="T491" s="49">
        <f t="shared" si="21"/>
        <v>0.1246025755</v>
      </c>
      <c r="U491" s="50" t="str">
        <f t="shared" si="6"/>
        <v>AOP</v>
      </c>
      <c r="V491" s="51">
        <f t="shared" si="28"/>
        <v>4134.925378</v>
      </c>
      <c r="W491" s="52" t="str">
        <f t="shared" si="8"/>
        <v>#DIV/0!</v>
      </c>
      <c r="X491" s="9" t="str">
        <f t="shared" si="25"/>
        <v>#DIV/0!</v>
      </c>
      <c r="Y491" s="8"/>
      <c r="Z491" s="8"/>
      <c r="AA491" s="8"/>
      <c r="AB491" s="8" t="str">
        <f t="shared" si="10"/>
        <v>PAUH40769H3.0XT</v>
      </c>
      <c r="AC491" s="8" t="str">
        <f>IF(AB491='Input - Bookings'!S724,"OK","Check")</f>
        <v>Check</v>
      </c>
      <c r="AD491" s="53"/>
      <c r="AE491" s="65"/>
      <c r="AF491" s="65"/>
      <c r="AG491" s="55"/>
      <c r="AH491" s="62"/>
      <c r="AI491" s="8" t="str">
        <f t="array" ref="AI491">XLOOKUP($J491,'AP Plants'!D:D,'AP Plants'!B:B)</f>
        <v>Class 5 NOT BT</v>
      </c>
      <c r="AJ491" s="56"/>
      <c r="AK491" s="56"/>
      <c r="AL491" s="49">
        <v>0.015</v>
      </c>
      <c r="AM491" s="49">
        <f t="array" ref="AM491">XLOOKUP($AI491,Warranty!B:B,Warranty!E:E)</f>
        <v>0.005</v>
      </c>
      <c r="AN491" s="8">
        <f>IF($L491="AUD",VLOOKUP(RIGHT('Wk - Margins'!$J491,3),'AU Freight'!C:G,5,0),0)</f>
        <v>2130</v>
      </c>
      <c r="AO491" s="49">
        <f t="shared" si="11"/>
        <v>0</v>
      </c>
      <c r="AP491" s="63">
        <f t="shared" si="12"/>
        <v>2130</v>
      </c>
      <c r="AQ491" s="58">
        <f t="shared" si="13"/>
        <v>0.9358142018</v>
      </c>
      <c r="AR491" s="59">
        <f>IF(L491="AUD",O491*'Currency &amp; Conversion'!$L$7,'Wk - Margins'!O491)</f>
        <v>26812.19308</v>
      </c>
      <c r="AS491" s="59">
        <f>IF(L491="AUD",P491*'Currency &amp; Conversion'!$L$7,'Wk - Margins'!P491)</f>
        <v>22283.00128</v>
      </c>
    </row>
    <row r="492" ht="12.75" hidden="1" customHeight="1">
      <c r="A492" s="42" t="str">
        <f>'Input - Bookings'!A492</f>
        <v>28/06/2023</v>
      </c>
      <c r="B492" s="43" t="str">
        <f t="shared" si="1"/>
        <v>Australia</v>
      </c>
      <c r="C492" s="43" t="str">
        <f t="shared" si="2"/>
        <v>PAU</v>
      </c>
      <c r="D492" s="43" t="str">
        <f>'Input - Bookings'!D492</f>
        <v>P</v>
      </c>
      <c r="E492" s="43" t="str">
        <f>'Input - Bookings'!J492</f>
        <v>AU</v>
      </c>
      <c r="F492" s="44" t="str">
        <f>'Input - Bookings'!F492</f>
        <v>065</v>
      </c>
      <c r="G492" s="44" t="str">
        <f>'Input - Bookings'!I492</f>
        <v>ADAPT-A-LIFT GROUP (WA)</v>
      </c>
      <c r="H492" s="44" t="str">
        <f>'Input - Bookings'!K492</f>
        <v>H40770</v>
      </c>
      <c r="I492" s="45" t="str">
        <f>VLOOKUP(H492,'Input - Bookings'!$G$2:$H$611,2,0)</f>
        <v>087605</v>
      </c>
      <c r="J492" s="44" t="str">
        <f>'Input - Bookings'!N492</f>
        <v>A406</v>
      </c>
      <c r="K492" s="44" t="str">
        <f>'Input - Bookings'!O492</f>
        <v>R1.6 406</v>
      </c>
      <c r="L492" s="44" t="str">
        <f>'Input - Bookings'!C492</f>
        <v>AUD</v>
      </c>
      <c r="M492" s="46" t="str">
        <f t="array" ref="M492">IF(L492="USD",INDEX('AP Plants'!A:A,MATCH(J492,'AP Plants'!D:D,0)),INDEX('Australia Plants'!A:A,MATCH(J492,'Australia Plants'!D:D,0)))</f>
        <v>Maximal</v>
      </c>
      <c r="N492" s="10">
        <v>1.0</v>
      </c>
      <c r="O492" s="9">
        <v>49885.0</v>
      </c>
      <c r="P492" s="9">
        <v>32485.25</v>
      </c>
      <c r="Q492" s="47">
        <v>0.03812755841143345</v>
      </c>
      <c r="R492" s="48">
        <f t="shared" si="3"/>
        <v>0.3487972336</v>
      </c>
      <c r="S492" s="49">
        <f t="shared" si="4"/>
        <v>0</v>
      </c>
      <c r="T492" s="49">
        <f t="shared" si="21"/>
        <v>0.03812755841</v>
      </c>
      <c r="U492" s="50" t="str">
        <f t="shared" si="6"/>
        <v>AOP</v>
      </c>
      <c r="V492" s="51">
        <f t="shared" si="28"/>
        <v>1238.583267</v>
      </c>
      <c r="W492" s="52" t="str">
        <f t="shared" si="8"/>
        <v>#DIV/0!</v>
      </c>
      <c r="X492" s="9" t="str">
        <f t="shared" si="25"/>
        <v>#DIV/0!</v>
      </c>
      <c r="Y492" s="8"/>
      <c r="Z492" s="8"/>
      <c r="AA492" s="8"/>
      <c r="AB492" s="8" t="str">
        <f t="shared" si="10"/>
        <v>PAUH40770R1.6 406</v>
      </c>
      <c r="AC492" s="8" t="str">
        <f>IF(AB492='Input - Bookings'!S725,"OK","Check")</f>
        <v>Check</v>
      </c>
      <c r="AD492" s="53"/>
      <c r="AE492" s="65"/>
      <c r="AF492" s="65"/>
      <c r="AG492" s="55"/>
      <c r="AH492" s="62"/>
      <c r="AI492" s="8" t="str">
        <f t="array" ref="AI492">XLOOKUP($J492,'AP Plants'!D:D,'AP Plants'!B:B)</f>
        <v>Class 2</v>
      </c>
      <c r="AJ492" s="56"/>
      <c r="AK492" s="56"/>
      <c r="AL492" s="49">
        <v>0.015</v>
      </c>
      <c r="AM492" s="49">
        <f t="array" ref="AM492">XLOOKUP($AI492,Warranty!B:B,Warranty!E:E)</f>
        <v>0.015</v>
      </c>
      <c r="AN492" s="8">
        <f>IF($L492="AUD",VLOOKUP(RIGHT('Wk - Margins'!$J492,3),'AU Freight'!C:G,5,0),0)</f>
        <v>2000</v>
      </c>
      <c r="AO492" s="49">
        <f t="shared" si="11"/>
        <v>0</v>
      </c>
      <c r="AP492" s="63">
        <f t="shared" si="12"/>
        <v>2000</v>
      </c>
      <c r="AQ492" s="58">
        <f t="shared" si="13"/>
        <v>0.9384335968</v>
      </c>
      <c r="AR492" s="59">
        <f>IF(L492="AUD",O492*'Currency &amp; Conversion'!$L$7,'Wk - Margins'!O492)</f>
        <v>33496.77565</v>
      </c>
      <c r="AS492" s="59">
        <f>IF(L492="AUD",P492*'Currency &amp; Conversion'!$L$7,'Wk - Margins'!P492)</f>
        <v>21813.19297</v>
      </c>
    </row>
    <row r="493" ht="12.75" hidden="1" customHeight="1">
      <c r="A493" s="42" t="str">
        <f>'Input - Bookings'!A493</f>
        <v>28/06/2023</v>
      </c>
      <c r="B493" s="43" t="str">
        <f t="shared" si="1"/>
        <v>Australia</v>
      </c>
      <c r="C493" s="43" t="str">
        <f t="shared" si="2"/>
        <v>PAU</v>
      </c>
      <c r="D493" s="43" t="str">
        <f>'Input - Bookings'!D493</f>
        <v>P</v>
      </c>
      <c r="E493" s="43" t="str">
        <f>'Input - Bookings'!J493</f>
        <v>AU</v>
      </c>
      <c r="F493" s="44" t="str">
        <f>'Input - Bookings'!F493</f>
        <v>067</v>
      </c>
      <c r="G493" s="44" t="str">
        <f>'Input - Bookings'!I493</f>
        <v>ADAPT-A-LIFT GROUP (WA)</v>
      </c>
      <c r="H493" s="44" t="str">
        <f>'Input - Bookings'!K493</f>
        <v>H40778</v>
      </c>
      <c r="I493" s="45" t="str">
        <f>VLOOKUP(H493,'Input - Bookings'!$G$2:$H$611,2,0)</f>
        <v>087705</v>
      </c>
      <c r="J493" s="44" t="str">
        <f>'Input - Bookings'!N493</f>
        <v>A7S6</v>
      </c>
      <c r="K493" s="44" t="str">
        <f>'Input - Bookings'!O493</f>
        <v>GP50UX</v>
      </c>
      <c r="L493" s="44" t="str">
        <f>'Input - Bookings'!C493</f>
        <v>AUD</v>
      </c>
      <c r="M493" s="46" t="str">
        <f t="array" ref="M493">IF(L493="USD",INDEX('AP Plants'!A:A,MATCH(J493,'AP Plants'!D:D,0)),INDEX('Australia Plants'!A:A,MATCH(J493,'Australia Plants'!D:D,0)))</f>
        <v>Maximal</v>
      </c>
      <c r="N493" s="10">
        <v>1.0</v>
      </c>
      <c r="O493" s="9">
        <v>55225.0</v>
      </c>
      <c r="P493" s="9">
        <v>40178.66</v>
      </c>
      <c r="Q493" s="47">
        <v>0.21673306682313553</v>
      </c>
      <c r="R493" s="48">
        <f t="shared" si="3"/>
        <v>0.2724552286</v>
      </c>
      <c r="S493" s="49">
        <f t="shared" si="4"/>
        <v>0</v>
      </c>
      <c r="T493" s="49">
        <f t="shared" si="21"/>
        <v>0.2167330668</v>
      </c>
      <c r="U493" s="50" t="str">
        <f t="shared" si="6"/>
        <v>AOP</v>
      </c>
      <c r="V493" s="51">
        <f t="shared" si="28"/>
        <v>8708.044203</v>
      </c>
      <c r="W493" s="52" t="str">
        <f t="shared" si="8"/>
        <v>#DIV/0!</v>
      </c>
      <c r="X493" s="9" t="str">
        <f t="shared" si="25"/>
        <v>#DIV/0!</v>
      </c>
      <c r="Y493" s="8"/>
      <c r="Z493" s="8"/>
      <c r="AA493" s="8"/>
      <c r="AB493" s="8" t="str">
        <f t="shared" si="10"/>
        <v>PAUH40778GP50UX</v>
      </c>
      <c r="AC493" s="8" t="str">
        <f>IF(AB493='Input - Bookings'!S726,"OK","Check")</f>
        <v>Check</v>
      </c>
      <c r="AD493" s="53"/>
      <c r="AE493" s="65"/>
      <c r="AF493" s="65"/>
      <c r="AG493" s="55"/>
      <c r="AH493" s="62"/>
      <c r="AI493" s="8" t="str">
        <f t="array" ref="AI493">XLOOKUP($J493,'AP Plants'!D:D,'AP Plants'!B:B)</f>
        <v>Class 5 NOT BT</v>
      </c>
      <c r="AJ493" s="56"/>
      <c r="AK493" s="56"/>
      <c r="AL493" s="49">
        <v>0.015</v>
      </c>
      <c r="AM493" s="49">
        <f t="array" ref="AM493">XLOOKUP($AI493,Warranty!B:B,Warranty!E:E)</f>
        <v>0.005</v>
      </c>
      <c r="AN493" s="8">
        <f>IF($L493="AUD",VLOOKUP(RIGHT('Wk - Margins'!$J493,3),'AU Freight'!C:G,5,0),0)</f>
        <v>2000</v>
      </c>
      <c r="AO493" s="49">
        <f t="shared" si="11"/>
        <v>0</v>
      </c>
      <c r="AP493" s="63">
        <f t="shared" si="12"/>
        <v>2000</v>
      </c>
      <c r="AQ493" s="58">
        <f t="shared" si="13"/>
        <v>0.950222332</v>
      </c>
      <c r="AR493" s="59">
        <f>IF(L493="AUD",O493*'Currency &amp; Conversion'!$L$7,'Wk - Margins'!O493)</f>
        <v>37082.4784</v>
      </c>
      <c r="AS493" s="59">
        <f>IF(L493="AUD",P493*'Currency &amp; Conversion'!$L$7,'Wk - Margins'!P493)</f>
        <v>26979.16327</v>
      </c>
    </row>
    <row r="494" ht="12.75" hidden="1" customHeight="1">
      <c r="A494" s="42" t="str">
        <f>'Input - Bookings'!A494</f>
        <v>28/06/2023</v>
      </c>
      <c r="B494" s="43" t="str">
        <f t="shared" si="1"/>
        <v>Australia</v>
      </c>
      <c r="C494" s="43" t="str">
        <f t="shared" si="2"/>
        <v>PAU</v>
      </c>
      <c r="D494" s="43" t="str">
        <f>'Input - Bookings'!D494</f>
        <v>P</v>
      </c>
      <c r="E494" s="43" t="str">
        <f>'Input - Bookings'!J494</f>
        <v>AU</v>
      </c>
      <c r="F494" s="44" t="str">
        <f>'Input - Bookings'!F494</f>
        <v>067</v>
      </c>
      <c r="G494" s="44" t="str">
        <f>'Input - Bookings'!I494</f>
        <v>ADAPT-A-LIFT GROUP (WA)</v>
      </c>
      <c r="H494" s="44" t="str">
        <f>'Input - Bookings'!K494</f>
        <v>H40779</v>
      </c>
      <c r="I494" s="45" t="str">
        <f>VLOOKUP(H494,'Input - Bookings'!$G$2:$H$611,2,0)</f>
        <v>087705</v>
      </c>
      <c r="J494" s="44" t="str">
        <f>'Input - Bookings'!N494</f>
        <v>A7S5</v>
      </c>
      <c r="K494" s="44" t="str">
        <f>'Input - Bookings'!O494</f>
        <v>ERP18UXT</v>
      </c>
      <c r="L494" s="44" t="str">
        <f>'Input - Bookings'!C494</f>
        <v>AUD</v>
      </c>
      <c r="M494" s="46" t="str">
        <f t="array" ref="M494">IF(L494="USD",INDEX('AP Plants'!A:A,MATCH(J494,'AP Plants'!D:D,0)),INDEX('Australia Plants'!A:A,MATCH(J494,'Australia Plants'!D:D,0)))</f>
        <v>Maximal</v>
      </c>
      <c r="N494" s="10">
        <v>1.0</v>
      </c>
      <c r="O494" s="9">
        <v>30020.0</v>
      </c>
      <c r="P494" s="9">
        <v>23131.6</v>
      </c>
      <c r="Q494" s="47">
        <v>0.16878461485325036</v>
      </c>
      <c r="R494" s="48">
        <f t="shared" si="3"/>
        <v>0.2294603598</v>
      </c>
      <c r="S494" s="49">
        <f t="shared" si="4"/>
        <v>0</v>
      </c>
      <c r="T494" s="49">
        <f t="shared" si="21"/>
        <v>0.1687846149</v>
      </c>
      <c r="U494" s="50" t="str">
        <f t="shared" si="6"/>
        <v>AOP</v>
      </c>
      <c r="V494" s="51">
        <f t="shared" si="28"/>
        <v>3904.258197</v>
      </c>
      <c r="W494" s="52" t="str">
        <f t="shared" si="8"/>
        <v>#DIV/0!</v>
      </c>
      <c r="X494" s="9" t="str">
        <f t="shared" si="25"/>
        <v>#DIV/0!</v>
      </c>
      <c r="Y494" s="8"/>
      <c r="Z494" s="8"/>
      <c r="AA494" s="8"/>
      <c r="AB494" s="8" t="str">
        <f t="shared" si="10"/>
        <v>PAUH40779ERP18UXT</v>
      </c>
      <c r="AC494" s="8" t="str">
        <f>IF(AB494='Input - Bookings'!S727,"OK","Check")</f>
        <v>Check</v>
      </c>
      <c r="AD494" s="53"/>
      <c r="AE494" s="65"/>
      <c r="AF494" s="65"/>
      <c r="AG494" s="55"/>
      <c r="AH494" s="62"/>
      <c r="AI494" s="8" t="str">
        <f t="array" ref="AI494">XLOOKUP($J494,'AP Plants'!D:D,'AP Plants'!B:B)</f>
        <v>Class 1</v>
      </c>
      <c r="AJ494" s="56"/>
      <c r="AK494" s="56"/>
      <c r="AL494" s="49">
        <v>0.015</v>
      </c>
      <c r="AM494" s="49">
        <f t="array" ref="AM494">XLOOKUP($AI494,Warranty!B:B,Warranty!E:E)</f>
        <v>0.005</v>
      </c>
      <c r="AN494" s="8">
        <f>IF($L494="AUD",VLOOKUP(RIGHT('Wk - Margins'!$J494,3),'AU Freight'!C:G,5,0),0)</f>
        <v>2000</v>
      </c>
      <c r="AO494" s="49">
        <f t="shared" si="11"/>
        <v>0</v>
      </c>
      <c r="AP494" s="63">
        <f t="shared" si="12"/>
        <v>2000</v>
      </c>
      <c r="AQ494" s="58">
        <f t="shared" si="13"/>
        <v>0.9135381902</v>
      </c>
      <c r="AR494" s="59">
        <f>IF(L494="AUD",O494*'Currency &amp; Conversion'!$L$7,'Wk - Margins'!O494)</f>
        <v>20157.8271</v>
      </c>
      <c r="AS494" s="59">
        <f>IF(L494="AUD",P494*'Currency &amp; Conversion'!$L$7,'Wk - Margins'!P494)</f>
        <v>15532.40484</v>
      </c>
    </row>
    <row r="495" ht="12.75" hidden="1" customHeight="1">
      <c r="A495" s="42" t="str">
        <f>'Input - Bookings'!A495</f>
        <v>28/06/2023</v>
      </c>
      <c r="B495" s="43" t="str">
        <f t="shared" si="1"/>
        <v>Australia</v>
      </c>
      <c r="C495" s="43" t="str">
        <f t="shared" si="2"/>
        <v>PAU</v>
      </c>
      <c r="D495" s="43" t="str">
        <f>'Input - Bookings'!D495</f>
        <v>P</v>
      </c>
      <c r="E495" s="43" t="str">
        <f>'Input - Bookings'!J495</f>
        <v>AU</v>
      </c>
      <c r="F495" s="44" t="str">
        <f>'Input - Bookings'!F495</f>
        <v>065</v>
      </c>
      <c r="G495" s="44" t="str">
        <f>'Input - Bookings'!I495</f>
        <v>ADAPT-A-LIFT GROUP (VIC)</v>
      </c>
      <c r="H495" s="45" t="str">
        <f>'Input - Bookings'!K495</f>
        <v>H39977</v>
      </c>
      <c r="I495" s="45" t="str">
        <f>VLOOKUP(H495,'Input - Bookings'!$G$2:$H$611,2,0)</f>
        <v>087565</v>
      </c>
      <c r="J495" s="44" t="str">
        <f>'Input - Bookings'!N495</f>
        <v>A6W9</v>
      </c>
      <c r="K495" s="44" t="str">
        <f>'Input - Bookings'!O495</f>
        <v>PC1.5</v>
      </c>
      <c r="L495" s="44" t="str">
        <f>'Input - Bookings'!C495</f>
        <v>AUD</v>
      </c>
      <c r="M495" s="46" t="str">
        <f t="array" ref="M495">IF(L495="USD",INDEX('AP Plants'!A:A,MATCH(J495,'AP Plants'!D:D,0)),INDEX('Australia Plants'!A:A,MATCH(J495,'Australia Plants'!D:D,0)))</f>
        <v>Staxx</v>
      </c>
      <c r="N495" s="10">
        <v>1.0</v>
      </c>
      <c r="O495" s="9">
        <v>2140.0</v>
      </c>
      <c r="P495" s="9">
        <v>1282.92</v>
      </c>
      <c r="Q495" s="47">
        <v>0.15563392142436872</v>
      </c>
      <c r="R495" s="48">
        <f t="shared" si="3"/>
        <v>0.4005046729</v>
      </c>
      <c r="S495" s="49">
        <f t="shared" si="4"/>
        <v>0</v>
      </c>
      <c r="T495" s="49">
        <f t="shared" si="21"/>
        <v>0.1556339214</v>
      </c>
      <c r="U495" s="50" t="str">
        <f t="shared" si="6"/>
        <v>AOP</v>
      </c>
      <c r="V495" s="51">
        <f t="shared" si="28"/>
        <v>199.6658705</v>
      </c>
      <c r="W495" s="52" t="str">
        <f t="shared" si="8"/>
        <v>#DIV/0!</v>
      </c>
      <c r="X495" s="9" t="str">
        <f t="shared" si="25"/>
        <v>#DIV/0!</v>
      </c>
      <c r="Y495" s="8"/>
      <c r="Z495" s="8"/>
      <c r="AA495" s="8"/>
      <c r="AB495" s="8" t="str">
        <f t="shared" si="10"/>
        <v>PAUH39977PC1.5</v>
      </c>
      <c r="AC495" s="8" t="str">
        <f>IF(AB495='Input - Bookings'!S728,"OK","Check")</f>
        <v>Check</v>
      </c>
      <c r="AD495" s="53"/>
      <c r="AE495" s="65"/>
      <c r="AF495" s="65"/>
      <c r="AG495" s="55">
        <f t="shared" ref="AG495:AG524" si="47">608.025825768347+33</f>
        <v>641.0258258</v>
      </c>
      <c r="AH495" s="62"/>
      <c r="AI495" s="8" t="str">
        <f t="array" ref="AI495">XLOOKUP($J495,'AP Plants'!D:D,'AP Plants'!B:B)</f>
        <v>Class 3</v>
      </c>
      <c r="AJ495" s="56">
        <f>(AG495*'Currency &amp; Conversion'!$L$6)</f>
        <v>954.6156597</v>
      </c>
      <c r="AK495" s="56"/>
      <c r="AL495" s="49">
        <v>0.015</v>
      </c>
      <c r="AM495" s="49">
        <f t="array" ref="AM495">XLOOKUP($AI495,Warranty!B:B,Warranty!E:E)</f>
        <v>0.015</v>
      </c>
      <c r="AN495" s="8">
        <f>IF($L495="AUD",VLOOKUP(RIGHT('Wk - Margins'!$J495,3),'AU Freight'!C:G,5,0),0)</f>
        <v>100</v>
      </c>
      <c r="AO495" s="49">
        <f t="shared" si="11"/>
        <v>0</v>
      </c>
      <c r="AP495" s="63">
        <f t="shared" si="12"/>
        <v>1083.25413</v>
      </c>
      <c r="AQ495" s="58">
        <f t="shared" si="13"/>
        <v>0.1556339214</v>
      </c>
      <c r="AR495" s="59">
        <f>IF(L495="AUD",O495*'Currency &amp; Conversion'!$L$7,'Wk - Margins'!O495)</f>
        <v>1436.967022</v>
      </c>
      <c r="AS495" s="59">
        <f>IF(L495="AUD",P495*'Currency &amp; Conversion'!$L$7,'Wk - Margins'!P495)</f>
        <v>861.4550148</v>
      </c>
    </row>
    <row r="496" ht="12.75" hidden="1" customHeight="1">
      <c r="A496" s="42" t="str">
        <f>'Input - Bookings'!A496</f>
        <v>28/06/2023</v>
      </c>
      <c r="B496" s="43" t="str">
        <f t="shared" si="1"/>
        <v>Australia</v>
      </c>
      <c r="C496" s="43" t="str">
        <f t="shared" si="2"/>
        <v>PAU</v>
      </c>
      <c r="D496" s="43" t="str">
        <f>'Input - Bookings'!D496</f>
        <v>P</v>
      </c>
      <c r="E496" s="43" t="str">
        <f>'Input - Bookings'!J496</f>
        <v>AU</v>
      </c>
      <c r="F496" s="44" t="str">
        <f>'Input - Bookings'!F496</f>
        <v>065</v>
      </c>
      <c r="G496" s="44" t="str">
        <f>'Input - Bookings'!I496</f>
        <v>ADAPT-A-LIFT GROUP (VIC)</v>
      </c>
      <c r="H496" s="45" t="str">
        <f>'Input - Bookings'!K496</f>
        <v>H39978</v>
      </c>
      <c r="I496" s="45" t="str">
        <f>VLOOKUP(H496,'Input - Bookings'!$G$2:$H$611,2,0)</f>
        <v>087565</v>
      </c>
      <c r="J496" s="44" t="str">
        <f>'Input - Bookings'!N496</f>
        <v>A6W9</v>
      </c>
      <c r="K496" s="44" t="str">
        <f>'Input - Bookings'!O496</f>
        <v>PC1.5</v>
      </c>
      <c r="L496" s="44" t="str">
        <f>'Input - Bookings'!C496</f>
        <v>AUD</v>
      </c>
      <c r="M496" s="46" t="str">
        <f t="array" ref="M496">IF(L496="USD",INDEX('AP Plants'!A:A,MATCH(J496,'AP Plants'!D:D,0)),INDEX('Australia Plants'!A:A,MATCH(J496,'Australia Plants'!D:D,0)))</f>
        <v>Staxx</v>
      </c>
      <c r="N496" s="10">
        <v>1.0</v>
      </c>
      <c r="O496" s="9">
        <v>2140.0</v>
      </c>
      <c r="P496" s="9">
        <v>1282.92</v>
      </c>
      <c r="Q496" s="47">
        <v>0.15563392142436872</v>
      </c>
      <c r="R496" s="48">
        <f t="shared" si="3"/>
        <v>0.4005046729</v>
      </c>
      <c r="S496" s="49">
        <f t="shared" si="4"/>
        <v>0</v>
      </c>
      <c r="T496" s="49">
        <f t="shared" si="21"/>
        <v>0.1556339214</v>
      </c>
      <c r="U496" s="50" t="str">
        <f t="shared" si="6"/>
        <v>AOP</v>
      </c>
      <c r="V496" s="51">
        <f t="shared" si="28"/>
        <v>199.6658705</v>
      </c>
      <c r="W496" s="52" t="str">
        <f t="shared" si="8"/>
        <v>#DIV/0!</v>
      </c>
      <c r="X496" s="9" t="str">
        <f t="shared" si="25"/>
        <v>#DIV/0!</v>
      </c>
      <c r="Y496" s="8"/>
      <c r="Z496" s="8"/>
      <c r="AA496" s="8"/>
      <c r="AB496" s="8" t="str">
        <f t="shared" si="10"/>
        <v>PAUH39978PC1.5</v>
      </c>
      <c r="AC496" s="8" t="str">
        <f>IF(AB496='Input - Bookings'!S729,"OK","Check")</f>
        <v>Check</v>
      </c>
      <c r="AD496" s="53"/>
      <c r="AE496" s="65"/>
      <c r="AF496" s="65"/>
      <c r="AG496" s="55">
        <f t="shared" si="47"/>
        <v>641.0258258</v>
      </c>
      <c r="AH496" s="62"/>
      <c r="AI496" s="8" t="str">
        <f t="array" ref="AI496">XLOOKUP($J496,'AP Plants'!D:D,'AP Plants'!B:B)</f>
        <v>Class 3</v>
      </c>
      <c r="AJ496" s="56">
        <f>(AG496*'Currency &amp; Conversion'!$L$6)</f>
        <v>954.6156597</v>
      </c>
      <c r="AK496" s="56"/>
      <c r="AL496" s="49">
        <v>0.015</v>
      </c>
      <c r="AM496" s="49">
        <f t="array" ref="AM496">XLOOKUP($AI496,Warranty!B:B,Warranty!E:E)</f>
        <v>0.015</v>
      </c>
      <c r="AN496" s="8">
        <f>IF($L496="AUD",VLOOKUP(RIGHT('Wk - Margins'!$J496,3),'AU Freight'!C:G,5,0),0)</f>
        <v>100</v>
      </c>
      <c r="AO496" s="49">
        <f t="shared" si="11"/>
        <v>0</v>
      </c>
      <c r="AP496" s="63">
        <f t="shared" si="12"/>
        <v>1083.25413</v>
      </c>
      <c r="AQ496" s="58">
        <f t="shared" si="13"/>
        <v>0.1556339214</v>
      </c>
      <c r="AR496" s="59">
        <f>IF(L496="AUD",O496*'Currency &amp; Conversion'!$L$7,'Wk - Margins'!O496)</f>
        <v>1436.967022</v>
      </c>
      <c r="AS496" s="59">
        <f>IF(L496="AUD",P496*'Currency &amp; Conversion'!$L$7,'Wk - Margins'!P496)</f>
        <v>861.4550148</v>
      </c>
    </row>
    <row r="497" ht="12.75" hidden="1" customHeight="1">
      <c r="A497" s="42" t="str">
        <f>'Input - Bookings'!A497</f>
        <v>28/06/2023</v>
      </c>
      <c r="B497" s="43" t="str">
        <f t="shared" si="1"/>
        <v>Australia</v>
      </c>
      <c r="C497" s="43" t="str">
        <f t="shared" si="2"/>
        <v>PAU</v>
      </c>
      <c r="D497" s="43" t="str">
        <f>'Input - Bookings'!D497</f>
        <v>P</v>
      </c>
      <c r="E497" s="43" t="str">
        <f>'Input - Bookings'!J497</f>
        <v>AU</v>
      </c>
      <c r="F497" s="44" t="str">
        <f>'Input - Bookings'!F497</f>
        <v>065</v>
      </c>
      <c r="G497" s="44" t="str">
        <f>'Input - Bookings'!I497</f>
        <v>ADAPT-A-LIFT GROUP (VIC)</v>
      </c>
      <c r="H497" s="45" t="str">
        <f>'Input - Bookings'!K497</f>
        <v>H39979</v>
      </c>
      <c r="I497" s="45" t="str">
        <f>VLOOKUP(H497,'Input - Bookings'!$G$2:$H$611,2,0)</f>
        <v>087565</v>
      </c>
      <c r="J497" s="44" t="str">
        <f>'Input - Bookings'!N497</f>
        <v>A6W9</v>
      </c>
      <c r="K497" s="44" t="str">
        <f>'Input - Bookings'!O497</f>
        <v>PC1.5</v>
      </c>
      <c r="L497" s="44" t="str">
        <f>'Input - Bookings'!C497</f>
        <v>AUD</v>
      </c>
      <c r="M497" s="46" t="str">
        <f t="array" ref="M497">IF(L497="USD",INDEX('AP Plants'!A:A,MATCH(J497,'AP Plants'!D:D,0)),INDEX('Australia Plants'!A:A,MATCH(J497,'Australia Plants'!D:D,0)))</f>
        <v>Staxx</v>
      </c>
      <c r="N497" s="10">
        <v>1.0</v>
      </c>
      <c r="O497" s="9">
        <v>2140.0</v>
      </c>
      <c r="P497" s="9">
        <v>1282.92</v>
      </c>
      <c r="Q497" s="47">
        <v>0.15563392142436872</v>
      </c>
      <c r="R497" s="48">
        <f t="shared" si="3"/>
        <v>0.4005046729</v>
      </c>
      <c r="S497" s="49">
        <f t="shared" si="4"/>
        <v>0</v>
      </c>
      <c r="T497" s="49">
        <f t="shared" si="21"/>
        <v>0.1556339214</v>
      </c>
      <c r="U497" s="50" t="str">
        <f t="shared" si="6"/>
        <v>AOP</v>
      </c>
      <c r="V497" s="51">
        <f t="shared" si="28"/>
        <v>199.6658705</v>
      </c>
      <c r="W497" s="52" t="str">
        <f t="shared" si="8"/>
        <v>#DIV/0!</v>
      </c>
      <c r="X497" s="9" t="str">
        <f t="shared" si="25"/>
        <v>#DIV/0!</v>
      </c>
      <c r="Y497" s="8"/>
      <c r="Z497" s="8"/>
      <c r="AA497" s="8"/>
      <c r="AB497" s="8" t="str">
        <f t="shared" si="10"/>
        <v>PAUH39979PC1.5</v>
      </c>
      <c r="AC497" s="8" t="str">
        <f>IF(AB497='Input - Bookings'!S730,"OK","Check")</f>
        <v>Check</v>
      </c>
      <c r="AD497" s="53"/>
      <c r="AE497" s="65"/>
      <c r="AF497" s="65"/>
      <c r="AG497" s="55">
        <f t="shared" si="47"/>
        <v>641.0258258</v>
      </c>
      <c r="AH497" s="62"/>
      <c r="AI497" s="8" t="str">
        <f t="array" ref="AI497">XLOOKUP($J497,'AP Plants'!D:D,'AP Plants'!B:B)</f>
        <v>Class 3</v>
      </c>
      <c r="AJ497" s="56">
        <f>(AG497*'Currency &amp; Conversion'!$L$6)</f>
        <v>954.6156597</v>
      </c>
      <c r="AK497" s="56"/>
      <c r="AL497" s="49">
        <v>0.015</v>
      </c>
      <c r="AM497" s="49">
        <f t="array" ref="AM497">XLOOKUP($AI497,Warranty!B:B,Warranty!E:E)</f>
        <v>0.015</v>
      </c>
      <c r="AN497" s="8">
        <f>IF($L497="AUD",VLOOKUP(RIGHT('Wk - Margins'!$J497,3),'AU Freight'!C:G,5,0),0)</f>
        <v>100</v>
      </c>
      <c r="AO497" s="49">
        <f t="shared" si="11"/>
        <v>0</v>
      </c>
      <c r="AP497" s="63">
        <f t="shared" si="12"/>
        <v>1083.25413</v>
      </c>
      <c r="AQ497" s="58">
        <f t="shared" si="13"/>
        <v>0.1556339214</v>
      </c>
      <c r="AR497" s="59">
        <f>IF(L497="AUD",O497*'Currency &amp; Conversion'!$L$7,'Wk - Margins'!O497)</f>
        <v>1436.967022</v>
      </c>
      <c r="AS497" s="59">
        <f>IF(L497="AUD",P497*'Currency &amp; Conversion'!$L$7,'Wk - Margins'!P497)</f>
        <v>861.4550148</v>
      </c>
    </row>
    <row r="498" ht="12.75" hidden="1" customHeight="1">
      <c r="A498" s="42" t="str">
        <f>'Input - Bookings'!A498</f>
        <v>28/06/2023</v>
      </c>
      <c r="B498" s="43" t="str">
        <f t="shared" si="1"/>
        <v>Australia</v>
      </c>
      <c r="C498" s="43" t="str">
        <f t="shared" si="2"/>
        <v>PAU</v>
      </c>
      <c r="D498" s="43" t="str">
        <f>'Input - Bookings'!D498</f>
        <v>P</v>
      </c>
      <c r="E498" s="43" t="str">
        <f>'Input - Bookings'!J498</f>
        <v>AU</v>
      </c>
      <c r="F498" s="44" t="str">
        <f>'Input - Bookings'!F498</f>
        <v>065</v>
      </c>
      <c r="G498" s="44" t="str">
        <f>'Input - Bookings'!I498</f>
        <v>ADAPT-A-LIFT GROUP (VIC)</v>
      </c>
      <c r="H498" s="45" t="str">
        <f>'Input - Bookings'!K498</f>
        <v>H39980</v>
      </c>
      <c r="I498" s="45" t="str">
        <f>VLOOKUP(H498,'Input - Bookings'!$G$2:$H$611,2,0)</f>
        <v>087565</v>
      </c>
      <c r="J498" s="44" t="str">
        <f>'Input - Bookings'!N498</f>
        <v>A6W9</v>
      </c>
      <c r="K498" s="44" t="str">
        <f>'Input - Bookings'!O498</f>
        <v>PC1.5</v>
      </c>
      <c r="L498" s="44" t="str">
        <f>'Input - Bookings'!C498</f>
        <v>AUD</v>
      </c>
      <c r="M498" s="46" t="str">
        <f t="array" ref="M498">IF(L498="USD",INDEX('AP Plants'!A:A,MATCH(J498,'AP Plants'!D:D,0)),INDEX('Australia Plants'!A:A,MATCH(J498,'Australia Plants'!D:D,0)))</f>
        <v>Staxx</v>
      </c>
      <c r="N498" s="10">
        <v>1.0</v>
      </c>
      <c r="O498" s="9">
        <v>2140.0</v>
      </c>
      <c r="P498" s="9">
        <v>1282.92</v>
      </c>
      <c r="Q498" s="47">
        <v>0.15563392142436872</v>
      </c>
      <c r="R498" s="48">
        <f t="shared" si="3"/>
        <v>0.4005046729</v>
      </c>
      <c r="S498" s="49">
        <f t="shared" si="4"/>
        <v>0</v>
      </c>
      <c r="T498" s="49">
        <f t="shared" si="21"/>
        <v>0.1556339214</v>
      </c>
      <c r="U498" s="50" t="str">
        <f t="shared" si="6"/>
        <v>AOP</v>
      </c>
      <c r="V498" s="51">
        <f t="shared" si="28"/>
        <v>199.6658705</v>
      </c>
      <c r="W498" s="52" t="str">
        <f t="shared" si="8"/>
        <v>#DIV/0!</v>
      </c>
      <c r="X498" s="9" t="str">
        <f t="shared" si="25"/>
        <v>#DIV/0!</v>
      </c>
      <c r="Y498" s="8"/>
      <c r="Z498" s="8"/>
      <c r="AA498" s="8"/>
      <c r="AB498" s="8" t="str">
        <f t="shared" si="10"/>
        <v>PAUH39980PC1.5</v>
      </c>
      <c r="AC498" s="8" t="str">
        <f>IF(AB498='Input - Bookings'!S731,"OK","Check")</f>
        <v>Check</v>
      </c>
      <c r="AD498" s="53"/>
      <c r="AE498" s="65"/>
      <c r="AF498" s="65"/>
      <c r="AG498" s="55">
        <f t="shared" si="47"/>
        <v>641.0258258</v>
      </c>
      <c r="AH498" s="62"/>
      <c r="AI498" s="8" t="str">
        <f t="array" ref="AI498">XLOOKUP($J498,'AP Plants'!D:D,'AP Plants'!B:B)</f>
        <v>Class 3</v>
      </c>
      <c r="AJ498" s="56">
        <f>(AG498*'Currency &amp; Conversion'!$L$6)</f>
        <v>954.6156597</v>
      </c>
      <c r="AK498" s="56"/>
      <c r="AL498" s="49">
        <v>0.015</v>
      </c>
      <c r="AM498" s="49">
        <f t="array" ref="AM498">XLOOKUP($AI498,Warranty!B:B,Warranty!E:E)</f>
        <v>0.015</v>
      </c>
      <c r="AN498" s="8">
        <f>IF($L498="AUD",VLOOKUP(RIGHT('Wk - Margins'!$J498,3),'AU Freight'!C:G,5,0),0)</f>
        <v>100</v>
      </c>
      <c r="AO498" s="49">
        <f t="shared" si="11"/>
        <v>0</v>
      </c>
      <c r="AP498" s="63">
        <f t="shared" si="12"/>
        <v>1083.25413</v>
      </c>
      <c r="AQ498" s="58">
        <f t="shared" si="13"/>
        <v>0.1556339214</v>
      </c>
      <c r="AR498" s="59">
        <f>IF(L498="AUD",O498*'Currency &amp; Conversion'!$L$7,'Wk - Margins'!O498)</f>
        <v>1436.967022</v>
      </c>
      <c r="AS498" s="59">
        <f>IF(L498="AUD",P498*'Currency &amp; Conversion'!$L$7,'Wk - Margins'!P498)</f>
        <v>861.4550148</v>
      </c>
    </row>
    <row r="499" ht="12.75" hidden="1" customHeight="1">
      <c r="A499" s="42" t="str">
        <f>'Input - Bookings'!A499</f>
        <v>28/06/2023</v>
      </c>
      <c r="B499" s="43" t="str">
        <f t="shared" si="1"/>
        <v>Australia</v>
      </c>
      <c r="C499" s="43" t="str">
        <f t="shared" si="2"/>
        <v>PAU</v>
      </c>
      <c r="D499" s="43" t="str">
        <f>'Input - Bookings'!D499</f>
        <v>P</v>
      </c>
      <c r="E499" s="43" t="str">
        <f>'Input - Bookings'!J499</f>
        <v>AU</v>
      </c>
      <c r="F499" s="44" t="str">
        <f>'Input - Bookings'!F499</f>
        <v>065</v>
      </c>
      <c r="G499" s="44" t="str">
        <f>'Input - Bookings'!I499</f>
        <v>ADAPT-A-LIFT GROUP (VIC)</v>
      </c>
      <c r="H499" s="45" t="str">
        <f>'Input - Bookings'!K499</f>
        <v>H39981</v>
      </c>
      <c r="I499" s="45" t="str">
        <f>VLOOKUP(H499,'Input - Bookings'!$G$2:$H$611,2,0)</f>
        <v>087565</v>
      </c>
      <c r="J499" s="44" t="str">
        <f>'Input - Bookings'!N499</f>
        <v>A6W9</v>
      </c>
      <c r="K499" s="44" t="str">
        <f>'Input - Bookings'!O499</f>
        <v>PC1.5</v>
      </c>
      <c r="L499" s="44" t="str">
        <f>'Input - Bookings'!C499</f>
        <v>AUD</v>
      </c>
      <c r="M499" s="46" t="str">
        <f t="array" ref="M499">IF(L499="USD",INDEX('AP Plants'!A:A,MATCH(J499,'AP Plants'!D:D,0)),INDEX('Australia Plants'!A:A,MATCH(J499,'Australia Plants'!D:D,0)))</f>
        <v>Staxx</v>
      </c>
      <c r="N499" s="10">
        <v>1.0</v>
      </c>
      <c r="O499" s="9">
        <v>2140.0</v>
      </c>
      <c r="P499" s="9">
        <v>1282.92</v>
      </c>
      <c r="Q499" s="47">
        <v>0.15563392142436872</v>
      </c>
      <c r="R499" s="48">
        <f t="shared" si="3"/>
        <v>0.4005046729</v>
      </c>
      <c r="S499" s="49">
        <f t="shared" si="4"/>
        <v>0</v>
      </c>
      <c r="T499" s="49">
        <f t="shared" si="21"/>
        <v>0.1556339214</v>
      </c>
      <c r="U499" s="50" t="str">
        <f t="shared" si="6"/>
        <v>AOP</v>
      </c>
      <c r="V499" s="51">
        <f t="shared" si="28"/>
        <v>199.6658705</v>
      </c>
      <c r="W499" s="52" t="str">
        <f t="shared" si="8"/>
        <v>#DIV/0!</v>
      </c>
      <c r="X499" s="9" t="str">
        <f t="shared" si="25"/>
        <v>#DIV/0!</v>
      </c>
      <c r="Y499" s="8"/>
      <c r="Z499" s="8"/>
      <c r="AA499" s="8"/>
      <c r="AB499" s="8" t="str">
        <f t="shared" si="10"/>
        <v>PAUH39981PC1.5</v>
      </c>
      <c r="AC499" s="8" t="str">
        <f>IF(AB499='Input - Bookings'!S732,"OK","Check")</f>
        <v>Check</v>
      </c>
      <c r="AD499" s="53"/>
      <c r="AE499" s="65"/>
      <c r="AF499" s="65"/>
      <c r="AG499" s="55">
        <f t="shared" si="47"/>
        <v>641.0258258</v>
      </c>
      <c r="AH499" s="62"/>
      <c r="AI499" s="8" t="str">
        <f t="array" ref="AI499">XLOOKUP($J499,'AP Plants'!D:D,'AP Plants'!B:B)</f>
        <v>Class 3</v>
      </c>
      <c r="AJ499" s="56">
        <f>(AG499*'Currency &amp; Conversion'!$L$6)</f>
        <v>954.6156597</v>
      </c>
      <c r="AK499" s="56"/>
      <c r="AL499" s="49">
        <v>0.015</v>
      </c>
      <c r="AM499" s="49">
        <f t="array" ref="AM499">XLOOKUP($AI499,Warranty!B:B,Warranty!E:E)</f>
        <v>0.015</v>
      </c>
      <c r="AN499" s="8">
        <f>IF($L499="AUD",VLOOKUP(RIGHT('Wk - Margins'!$J499,3),'AU Freight'!C:G,5,0),0)</f>
        <v>100</v>
      </c>
      <c r="AO499" s="49">
        <f t="shared" si="11"/>
        <v>0</v>
      </c>
      <c r="AP499" s="63">
        <f t="shared" si="12"/>
        <v>1083.25413</v>
      </c>
      <c r="AQ499" s="58">
        <f t="shared" si="13"/>
        <v>0.1556339214</v>
      </c>
      <c r="AR499" s="59">
        <f>IF(L499="AUD",O499*'Currency &amp; Conversion'!$L$7,'Wk - Margins'!O499)</f>
        <v>1436.967022</v>
      </c>
      <c r="AS499" s="59">
        <f>IF(L499="AUD",P499*'Currency &amp; Conversion'!$L$7,'Wk - Margins'!P499)</f>
        <v>861.4550148</v>
      </c>
    </row>
    <row r="500" ht="12.75" hidden="1" customHeight="1">
      <c r="A500" s="42" t="str">
        <f>'Input - Bookings'!A500</f>
        <v>28/06/2023</v>
      </c>
      <c r="B500" s="43" t="str">
        <f t="shared" si="1"/>
        <v>Australia</v>
      </c>
      <c r="C500" s="43" t="str">
        <f t="shared" si="2"/>
        <v>PAU</v>
      </c>
      <c r="D500" s="43" t="str">
        <f>'Input - Bookings'!D500</f>
        <v>P</v>
      </c>
      <c r="E500" s="43" t="str">
        <f>'Input - Bookings'!J500</f>
        <v>AU</v>
      </c>
      <c r="F500" s="44" t="str">
        <f>'Input - Bookings'!F500</f>
        <v>065</v>
      </c>
      <c r="G500" s="44" t="str">
        <f>'Input - Bookings'!I500</f>
        <v>ADAPT-A-LIFT GROUP (VIC)</v>
      </c>
      <c r="H500" s="45" t="str">
        <f>'Input - Bookings'!K500</f>
        <v>H39982</v>
      </c>
      <c r="I500" s="45" t="str">
        <f>VLOOKUP(H500,'Input - Bookings'!$G$2:$H$611,2,0)</f>
        <v>087565</v>
      </c>
      <c r="J500" s="44" t="str">
        <f>'Input - Bookings'!N500</f>
        <v>A6W9</v>
      </c>
      <c r="K500" s="44" t="str">
        <f>'Input - Bookings'!O500</f>
        <v>PC1.5</v>
      </c>
      <c r="L500" s="44" t="str">
        <f>'Input - Bookings'!C500</f>
        <v>AUD</v>
      </c>
      <c r="M500" s="46" t="str">
        <f t="array" ref="M500">IF(L500="USD",INDEX('AP Plants'!A:A,MATCH(J500,'AP Plants'!D:D,0)),INDEX('Australia Plants'!A:A,MATCH(J500,'Australia Plants'!D:D,0)))</f>
        <v>Staxx</v>
      </c>
      <c r="N500" s="10">
        <v>1.0</v>
      </c>
      <c r="O500" s="9">
        <v>2140.0</v>
      </c>
      <c r="P500" s="9">
        <v>1282.92</v>
      </c>
      <c r="Q500" s="47">
        <v>0.15563392142436872</v>
      </c>
      <c r="R500" s="48">
        <f t="shared" si="3"/>
        <v>0.4005046729</v>
      </c>
      <c r="S500" s="49">
        <f t="shared" si="4"/>
        <v>0</v>
      </c>
      <c r="T500" s="49">
        <f t="shared" si="21"/>
        <v>0.1556339214</v>
      </c>
      <c r="U500" s="50" t="str">
        <f t="shared" si="6"/>
        <v>AOP</v>
      </c>
      <c r="V500" s="51">
        <f t="shared" si="28"/>
        <v>199.6658705</v>
      </c>
      <c r="W500" s="52" t="str">
        <f t="shared" si="8"/>
        <v>#DIV/0!</v>
      </c>
      <c r="X500" s="9" t="str">
        <f t="shared" si="25"/>
        <v>#DIV/0!</v>
      </c>
      <c r="Y500" s="8"/>
      <c r="Z500" s="8"/>
      <c r="AA500" s="8"/>
      <c r="AB500" s="8" t="str">
        <f t="shared" si="10"/>
        <v>PAUH39982PC1.5</v>
      </c>
      <c r="AC500" s="8" t="str">
        <f>IF(AB500='Input - Bookings'!S733,"OK","Check")</f>
        <v>Check</v>
      </c>
      <c r="AD500" s="53"/>
      <c r="AE500" s="65"/>
      <c r="AF500" s="65"/>
      <c r="AG500" s="55">
        <f t="shared" si="47"/>
        <v>641.0258258</v>
      </c>
      <c r="AH500" s="62"/>
      <c r="AI500" s="8" t="str">
        <f t="array" ref="AI500">XLOOKUP($J500,'AP Plants'!D:D,'AP Plants'!B:B)</f>
        <v>Class 3</v>
      </c>
      <c r="AJ500" s="56">
        <f>(AG500*'Currency &amp; Conversion'!$L$6)</f>
        <v>954.6156597</v>
      </c>
      <c r="AK500" s="56"/>
      <c r="AL500" s="49">
        <v>0.015</v>
      </c>
      <c r="AM500" s="49">
        <f t="array" ref="AM500">XLOOKUP($AI500,Warranty!B:B,Warranty!E:E)</f>
        <v>0.015</v>
      </c>
      <c r="AN500" s="8">
        <f>IF($L500="AUD",VLOOKUP(RIGHT('Wk - Margins'!$J500,3),'AU Freight'!C:G,5,0),0)</f>
        <v>100</v>
      </c>
      <c r="AO500" s="49">
        <f t="shared" si="11"/>
        <v>0</v>
      </c>
      <c r="AP500" s="63">
        <f t="shared" si="12"/>
        <v>1083.25413</v>
      </c>
      <c r="AQ500" s="58">
        <f t="shared" si="13"/>
        <v>0.1556339214</v>
      </c>
      <c r="AR500" s="59">
        <f>IF(L500="AUD",O500*'Currency &amp; Conversion'!$L$7,'Wk - Margins'!O500)</f>
        <v>1436.967022</v>
      </c>
      <c r="AS500" s="59">
        <f>IF(L500="AUD",P500*'Currency &amp; Conversion'!$L$7,'Wk - Margins'!P500)</f>
        <v>861.4550148</v>
      </c>
    </row>
    <row r="501" ht="12.75" hidden="1" customHeight="1">
      <c r="A501" s="42" t="str">
        <f>'Input - Bookings'!A501</f>
        <v>28/06/2023</v>
      </c>
      <c r="B501" s="43" t="str">
        <f t="shared" si="1"/>
        <v>Australia</v>
      </c>
      <c r="C501" s="43" t="str">
        <f t="shared" si="2"/>
        <v>PAU</v>
      </c>
      <c r="D501" s="43" t="str">
        <f>'Input - Bookings'!D501</f>
        <v>P</v>
      </c>
      <c r="E501" s="43" t="str">
        <f>'Input - Bookings'!J501</f>
        <v>AU</v>
      </c>
      <c r="F501" s="44" t="str">
        <f>'Input - Bookings'!F501</f>
        <v>065</v>
      </c>
      <c r="G501" s="44" t="str">
        <f>'Input - Bookings'!I501</f>
        <v>ADAPT-A-LIFT GROUP (VIC)</v>
      </c>
      <c r="H501" s="45" t="str">
        <f>'Input - Bookings'!K501</f>
        <v>H39983</v>
      </c>
      <c r="I501" s="45" t="str">
        <f>VLOOKUP(H501,'Input - Bookings'!$G$2:$H$611,2,0)</f>
        <v>087565</v>
      </c>
      <c r="J501" s="44" t="str">
        <f>'Input - Bookings'!N501</f>
        <v>A6W9</v>
      </c>
      <c r="K501" s="44" t="str">
        <f>'Input - Bookings'!O501</f>
        <v>PC1.5</v>
      </c>
      <c r="L501" s="44" t="str">
        <f>'Input - Bookings'!C501</f>
        <v>AUD</v>
      </c>
      <c r="M501" s="46" t="str">
        <f t="array" ref="M501">IF(L501="USD",INDEX('AP Plants'!A:A,MATCH(J501,'AP Plants'!D:D,0)),INDEX('Australia Plants'!A:A,MATCH(J501,'Australia Plants'!D:D,0)))</f>
        <v>Staxx</v>
      </c>
      <c r="N501" s="10">
        <v>1.0</v>
      </c>
      <c r="O501" s="9">
        <v>2140.0</v>
      </c>
      <c r="P501" s="9">
        <v>1282.92</v>
      </c>
      <c r="Q501" s="47">
        <v>0.15563392142436872</v>
      </c>
      <c r="R501" s="48">
        <f t="shared" si="3"/>
        <v>0.4005046729</v>
      </c>
      <c r="S501" s="49">
        <f t="shared" si="4"/>
        <v>0</v>
      </c>
      <c r="T501" s="49">
        <f t="shared" si="21"/>
        <v>0.1556339214</v>
      </c>
      <c r="U501" s="50" t="str">
        <f t="shared" si="6"/>
        <v>AOP</v>
      </c>
      <c r="V501" s="51">
        <f t="shared" si="28"/>
        <v>199.6658705</v>
      </c>
      <c r="W501" s="52" t="str">
        <f t="shared" si="8"/>
        <v>#DIV/0!</v>
      </c>
      <c r="X501" s="9" t="str">
        <f t="shared" si="25"/>
        <v>#DIV/0!</v>
      </c>
      <c r="Y501" s="8"/>
      <c r="Z501" s="8"/>
      <c r="AA501" s="8"/>
      <c r="AB501" s="8" t="str">
        <f t="shared" si="10"/>
        <v>PAUH39983PC1.5</v>
      </c>
      <c r="AC501" s="8" t="str">
        <f>IF(AB501='Input - Bookings'!S734,"OK","Check")</f>
        <v>Check</v>
      </c>
      <c r="AD501" s="53"/>
      <c r="AE501" s="65"/>
      <c r="AF501" s="65"/>
      <c r="AG501" s="55">
        <f t="shared" si="47"/>
        <v>641.0258258</v>
      </c>
      <c r="AH501" s="62"/>
      <c r="AI501" s="8" t="str">
        <f t="array" ref="AI501">XLOOKUP($J501,'AP Plants'!D:D,'AP Plants'!B:B)</f>
        <v>Class 3</v>
      </c>
      <c r="AJ501" s="56">
        <f>(AG501*'Currency &amp; Conversion'!$L$6)</f>
        <v>954.6156597</v>
      </c>
      <c r="AK501" s="56"/>
      <c r="AL501" s="49">
        <v>0.015</v>
      </c>
      <c r="AM501" s="49">
        <f t="array" ref="AM501">XLOOKUP($AI501,Warranty!B:B,Warranty!E:E)</f>
        <v>0.015</v>
      </c>
      <c r="AN501" s="8">
        <f>IF($L501="AUD",VLOOKUP(RIGHT('Wk - Margins'!$J501,3),'AU Freight'!C:G,5,0),0)</f>
        <v>100</v>
      </c>
      <c r="AO501" s="49">
        <f t="shared" si="11"/>
        <v>0</v>
      </c>
      <c r="AP501" s="63">
        <f t="shared" si="12"/>
        <v>1083.25413</v>
      </c>
      <c r="AQ501" s="58">
        <f t="shared" si="13"/>
        <v>0.1556339214</v>
      </c>
      <c r="AR501" s="59">
        <f>IF(L501="AUD",O501*'Currency &amp; Conversion'!$L$7,'Wk - Margins'!O501)</f>
        <v>1436.967022</v>
      </c>
      <c r="AS501" s="59">
        <f>IF(L501="AUD",P501*'Currency &amp; Conversion'!$L$7,'Wk - Margins'!P501)</f>
        <v>861.4550148</v>
      </c>
    </row>
    <row r="502" ht="12.75" hidden="1" customHeight="1">
      <c r="A502" s="42" t="str">
        <f>'Input - Bookings'!A502</f>
        <v>28/06/2023</v>
      </c>
      <c r="B502" s="43" t="str">
        <f t="shared" si="1"/>
        <v>Australia</v>
      </c>
      <c r="C502" s="43" t="str">
        <f t="shared" si="2"/>
        <v>PAU</v>
      </c>
      <c r="D502" s="43" t="str">
        <f>'Input - Bookings'!D502</f>
        <v>P</v>
      </c>
      <c r="E502" s="43" t="str">
        <f>'Input - Bookings'!J502</f>
        <v>AU</v>
      </c>
      <c r="F502" s="44" t="str">
        <f>'Input - Bookings'!F502</f>
        <v>065</v>
      </c>
      <c r="G502" s="44" t="str">
        <f>'Input - Bookings'!I502</f>
        <v>ADAPT-A-LIFT GROUP (VIC)</v>
      </c>
      <c r="H502" s="45" t="str">
        <f>'Input - Bookings'!K502</f>
        <v>H39984</v>
      </c>
      <c r="I502" s="45" t="str">
        <f>VLOOKUP(H502,'Input - Bookings'!$G$2:$H$611,2,0)</f>
        <v>087565</v>
      </c>
      <c r="J502" s="44" t="str">
        <f>'Input - Bookings'!N502</f>
        <v>A6W9</v>
      </c>
      <c r="K502" s="44" t="str">
        <f>'Input - Bookings'!O502</f>
        <v>PC1.5</v>
      </c>
      <c r="L502" s="44" t="str">
        <f>'Input - Bookings'!C502</f>
        <v>AUD</v>
      </c>
      <c r="M502" s="46" t="str">
        <f t="array" ref="M502">IF(L502="USD",INDEX('AP Plants'!A:A,MATCH(J502,'AP Plants'!D:D,0)),INDEX('Australia Plants'!A:A,MATCH(J502,'Australia Plants'!D:D,0)))</f>
        <v>Staxx</v>
      </c>
      <c r="N502" s="10">
        <v>1.0</v>
      </c>
      <c r="O502" s="9">
        <v>2140.0</v>
      </c>
      <c r="P502" s="9">
        <v>1282.92</v>
      </c>
      <c r="Q502" s="47">
        <v>0.15563392142436872</v>
      </c>
      <c r="R502" s="48">
        <f t="shared" si="3"/>
        <v>0.4005046729</v>
      </c>
      <c r="S502" s="49">
        <f t="shared" si="4"/>
        <v>0</v>
      </c>
      <c r="T502" s="49">
        <f t="shared" si="21"/>
        <v>0.1556339214</v>
      </c>
      <c r="U502" s="50" t="str">
        <f t="shared" si="6"/>
        <v>AOP</v>
      </c>
      <c r="V502" s="51">
        <f t="shared" si="28"/>
        <v>199.6658705</v>
      </c>
      <c r="W502" s="52" t="str">
        <f t="shared" si="8"/>
        <v>#DIV/0!</v>
      </c>
      <c r="X502" s="9" t="str">
        <f t="shared" si="25"/>
        <v>#DIV/0!</v>
      </c>
      <c r="Y502" s="8"/>
      <c r="Z502" s="8"/>
      <c r="AA502" s="8"/>
      <c r="AB502" s="8" t="str">
        <f t="shared" si="10"/>
        <v>PAUH39984PC1.5</v>
      </c>
      <c r="AC502" s="8" t="str">
        <f>IF(AB502='Input - Bookings'!S735,"OK","Check")</f>
        <v>Check</v>
      </c>
      <c r="AD502" s="53"/>
      <c r="AE502" s="65"/>
      <c r="AF502" s="65"/>
      <c r="AG502" s="55">
        <f t="shared" si="47"/>
        <v>641.0258258</v>
      </c>
      <c r="AH502" s="62"/>
      <c r="AI502" s="8" t="str">
        <f t="array" ref="AI502">XLOOKUP($J502,'AP Plants'!D:D,'AP Plants'!B:B)</f>
        <v>Class 3</v>
      </c>
      <c r="AJ502" s="56">
        <f>(AG502*'Currency &amp; Conversion'!$L$6)</f>
        <v>954.6156597</v>
      </c>
      <c r="AK502" s="56"/>
      <c r="AL502" s="49">
        <v>0.015</v>
      </c>
      <c r="AM502" s="49">
        <f t="array" ref="AM502">XLOOKUP($AI502,Warranty!B:B,Warranty!E:E)</f>
        <v>0.015</v>
      </c>
      <c r="AN502" s="8">
        <f>IF($L502="AUD",VLOOKUP(RIGHT('Wk - Margins'!$J502,3),'AU Freight'!C:G,5,0),0)</f>
        <v>100</v>
      </c>
      <c r="AO502" s="49">
        <f t="shared" si="11"/>
        <v>0</v>
      </c>
      <c r="AP502" s="63">
        <f t="shared" si="12"/>
        <v>1083.25413</v>
      </c>
      <c r="AQ502" s="58">
        <f t="shared" si="13"/>
        <v>0.1556339214</v>
      </c>
      <c r="AR502" s="59">
        <f>IF(L502="AUD",O502*'Currency &amp; Conversion'!$L$7,'Wk - Margins'!O502)</f>
        <v>1436.967022</v>
      </c>
      <c r="AS502" s="59">
        <f>IF(L502="AUD",P502*'Currency &amp; Conversion'!$L$7,'Wk - Margins'!P502)</f>
        <v>861.4550148</v>
      </c>
    </row>
    <row r="503" ht="12.75" hidden="1" customHeight="1">
      <c r="A503" s="42" t="str">
        <f>'Input - Bookings'!A503</f>
        <v>28/06/2023</v>
      </c>
      <c r="B503" s="43" t="str">
        <f t="shared" si="1"/>
        <v>Australia</v>
      </c>
      <c r="C503" s="43" t="str">
        <f t="shared" si="2"/>
        <v>PAU</v>
      </c>
      <c r="D503" s="43" t="str">
        <f>'Input - Bookings'!D503</f>
        <v>P</v>
      </c>
      <c r="E503" s="43" t="str">
        <f>'Input - Bookings'!J503</f>
        <v>AU</v>
      </c>
      <c r="F503" s="44" t="str">
        <f>'Input - Bookings'!F503</f>
        <v>065</v>
      </c>
      <c r="G503" s="44" t="str">
        <f>'Input - Bookings'!I503</f>
        <v>ADAPT-A-LIFT GROUP (VIC)</v>
      </c>
      <c r="H503" s="45" t="str">
        <f>'Input - Bookings'!K503</f>
        <v>H39985</v>
      </c>
      <c r="I503" s="45" t="str">
        <f>VLOOKUP(H503,'Input - Bookings'!$G$2:$H$611,2,0)</f>
        <v>087565</v>
      </c>
      <c r="J503" s="44" t="str">
        <f>'Input - Bookings'!N503</f>
        <v>A6W9</v>
      </c>
      <c r="K503" s="44" t="str">
        <f>'Input - Bookings'!O503</f>
        <v>PC1.5</v>
      </c>
      <c r="L503" s="44" t="str">
        <f>'Input - Bookings'!C503</f>
        <v>AUD</v>
      </c>
      <c r="M503" s="46" t="str">
        <f t="array" ref="M503">IF(L503="USD",INDEX('AP Plants'!A:A,MATCH(J503,'AP Plants'!D:D,0)),INDEX('Australia Plants'!A:A,MATCH(J503,'Australia Plants'!D:D,0)))</f>
        <v>Staxx</v>
      </c>
      <c r="N503" s="10">
        <v>1.0</v>
      </c>
      <c r="O503" s="9">
        <v>2140.0</v>
      </c>
      <c r="P503" s="9">
        <v>1282.92</v>
      </c>
      <c r="Q503" s="47">
        <v>0.15563392142436872</v>
      </c>
      <c r="R503" s="48">
        <f t="shared" si="3"/>
        <v>0.4005046729</v>
      </c>
      <c r="S503" s="49">
        <f t="shared" si="4"/>
        <v>0</v>
      </c>
      <c r="T503" s="49">
        <f t="shared" si="21"/>
        <v>0.1556339214</v>
      </c>
      <c r="U503" s="50" t="str">
        <f t="shared" si="6"/>
        <v>AOP</v>
      </c>
      <c r="V503" s="51">
        <f t="shared" si="28"/>
        <v>199.6658705</v>
      </c>
      <c r="W503" s="52" t="str">
        <f t="shared" si="8"/>
        <v>#DIV/0!</v>
      </c>
      <c r="X503" s="9" t="str">
        <f t="shared" si="25"/>
        <v>#DIV/0!</v>
      </c>
      <c r="Y503" s="8"/>
      <c r="Z503" s="8"/>
      <c r="AA503" s="8"/>
      <c r="AB503" s="8" t="str">
        <f t="shared" si="10"/>
        <v>PAUH39985PC1.5</v>
      </c>
      <c r="AC503" s="8" t="str">
        <f>IF(AB503='Input - Bookings'!S736,"OK","Check")</f>
        <v>Check</v>
      </c>
      <c r="AD503" s="53"/>
      <c r="AE503" s="65"/>
      <c r="AF503" s="65"/>
      <c r="AG503" s="55">
        <f t="shared" si="47"/>
        <v>641.0258258</v>
      </c>
      <c r="AH503" s="62"/>
      <c r="AI503" s="8" t="str">
        <f t="array" ref="AI503">XLOOKUP($J503,'AP Plants'!D:D,'AP Plants'!B:B)</f>
        <v>Class 3</v>
      </c>
      <c r="AJ503" s="56">
        <f>(AG503*'Currency &amp; Conversion'!$L$6)</f>
        <v>954.6156597</v>
      </c>
      <c r="AK503" s="56"/>
      <c r="AL503" s="49">
        <v>0.015</v>
      </c>
      <c r="AM503" s="49">
        <f t="array" ref="AM503">XLOOKUP($AI503,Warranty!B:B,Warranty!E:E)</f>
        <v>0.015</v>
      </c>
      <c r="AN503" s="8">
        <f>IF($L503="AUD",VLOOKUP(RIGHT('Wk - Margins'!$J503,3),'AU Freight'!C:G,5,0),0)</f>
        <v>100</v>
      </c>
      <c r="AO503" s="49">
        <f t="shared" si="11"/>
        <v>0</v>
      </c>
      <c r="AP503" s="63">
        <f t="shared" si="12"/>
        <v>1083.25413</v>
      </c>
      <c r="AQ503" s="58">
        <f t="shared" si="13"/>
        <v>0.1556339214</v>
      </c>
      <c r="AR503" s="59">
        <f>IF(L503="AUD",O503*'Currency &amp; Conversion'!$L$7,'Wk - Margins'!O503)</f>
        <v>1436.967022</v>
      </c>
      <c r="AS503" s="59">
        <f>IF(L503="AUD",P503*'Currency &amp; Conversion'!$L$7,'Wk - Margins'!P503)</f>
        <v>861.4550148</v>
      </c>
    </row>
    <row r="504" ht="12.75" hidden="1" customHeight="1">
      <c r="A504" s="42" t="str">
        <f>'Input - Bookings'!A504</f>
        <v>28/06/2023</v>
      </c>
      <c r="B504" s="43" t="str">
        <f t="shared" si="1"/>
        <v>Australia</v>
      </c>
      <c r="C504" s="43" t="str">
        <f t="shared" si="2"/>
        <v>PAU</v>
      </c>
      <c r="D504" s="43" t="str">
        <f>'Input - Bookings'!D504</f>
        <v>P</v>
      </c>
      <c r="E504" s="43" t="str">
        <f>'Input - Bookings'!J504</f>
        <v>AU</v>
      </c>
      <c r="F504" s="44" t="str">
        <f>'Input - Bookings'!F504</f>
        <v>065</v>
      </c>
      <c r="G504" s="44" t="str">
        <f>'Input - Bookings'!I504</f>
        <v>ADAPT-A-LIFT GROUP (VIC)</v>
      </c>
      <c r="H504" s="45" t="str">
        <f>'Input - Bookings'!K504</f>
        <v>H39986</v>
      </c>
      <c r="I504" s="45" t="str">
        <f>VLOOKUP(H504,'Input - Bookings'!$G$2:$H$611,2,0)</f>
        <v>087565</v>
      </c>
      <c r="J504" s="44" t="str">
        <f>'Input - Bookings'!N504</f>
        <v>A6W9</v>
      </c>
      <c r="K504" s="44" t="str">
        <f>'Input - Bookings'!O504</f>
        <v>PC1.5</v>
      </c>
      <c r="L504" s="44" t="str">
        <f>'Input - Bookings'!C504</f>
        <v>AUD</v>
      </c>
      <c r="M504" s="46" t="str">
        <f t="array" ref="M504">IF(L504="USD",INDEX('AP Plants'!A:A,MATCH(J504,'AP Plants'!D:D,0)),INDEX('Australia Plants'!A:A,MATCH(J504,'Australia Plants'!D:D,0)))</f>
        <v>Staxx</v>
      </c>
      <c r="N504" s="10">
        <v>1.0</v>
      </c>
      <c r="O504" s="9">
        <v>2140.0</v>
      </c>
      <c r="P504" s="9">
        <v>1282.92</v>
      </c>
      <c r="Q504" s="47">
        <v>0.15563392142436872</v>
      </c>
      <c r="R504" s="48">
        <f t="shared" si="3"/>
        <v>0.4005046729</v>
      </c>
      <c r="S504" s="49">
        <f t="shared" si="4"/>
        <v>0</v>
      </c>
      <c r="T504" s="49">
        <f t="shared" si="21"/>
        <v>0.1556339214</v>
      </c>
      <c r="U504" s="50" t="str">
        <f t="shared" si="6"/>
        <v>AOP</v>
      </c>
      <c r="V504" s="51">
        <f t="shared" si="28"/>
        <v>199.6658705</v>
      </c>
      <c r="W504" s="52" t="str">
        <f t="shared" si="8"/>
        <v>#DIV/0!</v>
      </c>
      <c r="X504" s="9" t="str">
        <f t="shared" si="25"/>
        <v>#DIV/0!</v>
      </c>
      <c r="Y504" s="8"/>
      <c r="Z504" s="8"/>
      <c r="AA504" s="8"/>
      <c r="AB504" s="8" t="str">
        <f t="shared" si="10"/>
        <v>PAUH39986PC1.5</v>
      </c>
      <c r="AC504" s="8" t="str">
        <f>IF(AB504='Input - Bookings'!S737,"OK","Check")</f>
        <v>Check</v>
      </c>
      <c r="AD504" s="53"/>
      <c r="AE504" s="65"/>
      <c r="AF504" s="65"/>
      <c r="AG504" s="55">
        <f t="shared" si="47"/>
        <v>641.0258258</v>
      </c>
      <c r="AH504" s="62"/>
      <c r="AI504" s="8" t="str">
        <f t="array" ref="AI504">XLOOKUP($J504,'AP Plants'!D:D,'AP Plants'!B:B)</f>
        <v>Class 3</v>
      </c>
      <c r="AJ504" s="56">
        <f>(AG504*'Currency &amp; Conversion'!$L$6)</f>
        <v>954.6156597</v>
      </c>
      <c r="AK504" s="56"/>
      <c r="AL504" s="49">
        <v>0.015</v>
      </c>
      <c r="AM504" s="49">
        <f t="array" ref="AM504">XLOOKUP($AI504,Warranty!B:B,Warranty!E:E)</f>
        <v>0.015</v>
      </c>
      <c r="AN504" s="8">
        <f>IF($L504="AUD",VLOOKUP(RIGHT('Wk - Margins'!$J504,3),'AU Freight'!C:G,5,0),0)</f>
        <v>100</v>
      </c>
      <c r="AO504" s="49">
        <f t="shared" si="11"/>
        <v>0</v>
      </c>
      <c r="AP504" s="63">
        <f t="shared" si="12"/>
        <v>1083.25413</v>
      </c>
      <c r="AQ504" s="58">
        <f t="shared" si="13"/>
        <v>0.1556339214</v>
      </c>
      <c r="AR504" s="59">
        <f>IF(L504="AUD",O504*'Currency &amp; Conversion'!$L$7,'Wk - Margins'!O504)</f>
        <v>1436.967022</v>
      </c>
      <c r="AS504" s="59">
        <f>IF(L504="AUD",P504*'Currency &amp; Conversion'!$L$7,'Wk - Margins'!P504)</f>
        <v>861.4550148</v>
      </c>
    </row>
    <row r="505" ht="12.75" hidden="1" customHeight="1">
      <c r="A505" s="42" t="str">
        <f>'Input - Bookings'!A505</f>
        <v>28/06/2023</v>
      </c>
      <c r="B505" s="43" t="str">
        <f t="shared" si="1"/>
        <v>Australia</v>
      </c>
      <c r="C505" s="43" t="str">
        <f t="shared" si="2"/>
        <v>PAU</v>
      </c>
      <c r="D505" s="43" t="str">
        <f>'Input - Bookings'!D505</f>
        <v>P</v>
      </c>
      <c r="E505" s="43" t="str">
        <f>'Input - Bookings'!J505</f>
        <v>AU</v>
      </c>
      <c r="F505" s="44" t="str">
        <f>'Input - Bookings'!F505</f>
        <v>065</v>
      </c>
      <c r="G505" s="44" t="str">
        <f>'Input - Bookings'!I505</f>
        <v>ADAPT-A-LIFT GROUP (VIC)</v>
      </c>
      <c r="H505" s="45" t="str">
        <f>'Input - Bookings'!K505</f>
        <v>H39987</v>
      </c>
      <c r="I505" s="45" t="str">
        <f>VLOOKUP(H505,'Input - Bookings'!$G$2:$H$611,2,0)</f>
        <v>087565</v>
      </c>
      <c r="J505" s="44" t="str">
        <f>'Input - Bookings'!N505</f>
        <v>A6W9</v>
      </c>
      <c r="K505" s="44" t="str">
        <f>'Input - Bookings'!O505</f>
        <v>PC1.5</v>
      </c>
      <c r="L505" s="44" t="str">
        <f>'Input - Bookings'!C505</f>
        <v>AUD</v>
      </c>
      <c r="M505" s="46" t="str">
        <f t="array" ref="M505">IF(L505="USD",INDEX('AP Plants'!A:A,MATCH(J505,'AP Plants'!D:D,0)),INDEX('Australia Plants'!A:A,MATCH(J505,'Australia Plants'!D:D,0)))</f>
        <v>Staxx</v>
      </c>
      <c r="N505" s="10">
        <v>1.0</v>
      </c>
      <c r="O505" s="9">
        <v>2140.0</v>
      </c>
      <c r="P505" s="9">
        <v>1282.92</v>
      </c>
      <c r="Q505" s="47">
        <v>0.15563392142436872</v>
      </c>
      <c r="R505" s="48">
        <f t="shared" si="3"/>
        <v>0.4005046729</v>
      </c>
      <c r="S505" s="49">
        <f t="shared" si="4"/>
        <v>0</v>
      </c>
      <c r="T505" s="49">
        <f t="shared" si="21"/>
        <v>0.1556339214</v>
      </c>
      <c r="U505" s="50" t="str">
        <f t="shared" si="6"/>
        <v>AOP</v>
      </c>
      <c r="V505" s="51">
        <f t="shared" si="28"/>
        <v>199.6658705</v>
      </c>
      <c r="W505" s="52" t="str">
        <f t="shared" si="8"/>
        <v>#DIV/0!</v>
      </c>
      <c r="X505" s="9" t="str">
        <f t="shared" si="25"/>
        <v>#DIV/0!</v>
      </c>
      <c r="Y505" s="8"/>
      <c r="Z505" s="8"/>
      <c r="AA505" s="8"/>
      <c r="AB505" s="8" t="str">
        <f t="shared" si="10"/>
        <v>PAUH39987PC1.5</v>
      </c>
      <c r="AC505" s="8" t="str">
        <f>IF(AB505='Input - Bookings'!S738,"OK","Check")</f>
        <v>Check</v>
      </c>
      <c r="AD505" s="53"/>
      <c r="AE505" s="65"/>
      <c r="AF505" s="65"/>
      <c r="AG505" s="55">
        <f t="shared" si="47"/>
        <v>641.0258258</v>
      </c>
      <c r="AH505" s="62"/>
      <c r="AI505" s="8" t="str">
        <f t="array" ref="AI505">XLOOKUP($J505,'AP Plants'!D:D,'AP Plants'!B:B)</f>
        <v>Class 3</v>
      </c>
      <c r="AJ505" s="56">
        <f>(AG505*'Currency &amp; Conversion'!$L$6)</f>
        <v>954.6156597</v>
      </c>
      <c r="AK505" s="56"/>
      <c r="AL505" s="49">
        <v>0.015</v>
      </c>
      <c r="AM505" s="49">
        <f t="array" ref="AM505">XLOOKUP($AI505,Warranty!B:B,Warranty!E:E)</f>
        <v>0.015</v>
      </c>
      <c r="AN505" s="8">
        <f>IF($L505="AUD",VLOOKUP(RIGHT('Wk - Margins'!$J505,3),'AU Freight'!C:G,5,0),0)</f>
        <v>100</v>
      </c>
      <c r="AO505" s="49">
        <f t="shared" si="11"/>
        <v>0</v>
      </c>
      <c r="AP505" s="63">
        <f t="shared" si="12"/>
        <v>1083.25413</v>
      </c>
      <c r="AQ505" s="58">
        <f t="shared" si="13"/>
        <v>0.1556339214</v>
      </c>
      <c r="AR505" s="59">
        <f>IF(L505="AUD",O505*'Currency &amp; Conversion'!$L$7,'Wk - Margins'!O505)</f>
        <v>1436.967022</v>
      </c>
      <c r="AS505" s="59">
        <f>IF(L505="AUD",P505*'Currency &amp; Conversion'!$L$7,'Wk - Margins'!P505)</f>
        <v>861.4550148</v>
      </c>
    </row>
    <row r="506" ht="12.75" hidden="1" customHeight="1">
      <c r="A506" s="42" t="str">
        <f>'Input - Bookings'!A506</f>
        <v>28/06/2023</v>
      </c>
      <c r="B506" s="43" t="str">
        <f t="shared" si="1"/>
        <v>Australia</v>
      </c>
      <c r="C506" s="43" t="str">
        <f t="shared" si="2"/>
        <v>PAU</v>
      </c>
      <c r="D506" s="43" t="str">
        <f>'Input - Bookings'!D506</f>
        <v>P</v>
      </c>
      <c r="E506" s="43" t="str">
        <f>'Input - Bookings'!J506</f>
        <v>AU</v>
      </c>
      <c r="F506" s="44" t="str">
        <f>'Input - Bookings'!F506</f>
        <v>065</v>
      </c>
      <c r="G506" s="44" t="str">
        <f>'Input - Bookings'!I506</f>
        <v>ADAPT-A-LIFT GROUP (VIC)</v>
      </c>
      <c r="H506" s="45" t="str">
        <f>'Input - Bookings'!K506</f>
        <v>H39988</v>
      </c>
      <c r="I506" s="45" t="str">
        <f>VLOOKUP(H506,'Input - Bookings'!$G$2:$H$611,2,0)</f>
        <v>087565</v>
      </c>
      <c r="J506" s="44" t="str">
        <f>'Input - Bookings'!N506</f>
        <v>A6W9</v>
      </c>
      <c r="K506" s="44" t="str">
        <f>'Input - Bookings'!O506</f>
        <v>PC1.5</v>
      </c>
      <c r="L506" s="44" t="str">
        <f>'Input - Bookings'!C506</f>
        <v>AUD</v>
      </c>
      <c r="M506" s="46" t="str">
        <f t="array" ref="M506">IF(L506="USD",INDEX('AP Plants'!A:A,MATCH(J506,'AP Plants'!D:D,0)),INDEX('Australia Plants'!A:A,MATCH(J506,'Australia Plants'!D:D,0)))</f>
        <v>Staxx</v>
      </c>
      <c r="N506" s="10">
        <v>1.0</v>
      </c>
      <c r="O506" s="9">
        <v>2140.0</v>
      </c>
      <c r="P506" s="9">
        <v>1282.92</v>
      </c>
      <c r="Q506" s="47">
        <v>0.15563392142436872</v>
      </c>
      <c r="R506" s="48">
        <f t="shared" si="3"/>
        <v>0.4005046729</v>
      </c>
      <c r="S506" s="49">
        <f t="shared" si="4"/>
        <v>0</v>
      </c>
      <c r="T506" s="49">
        <f t="shared" si="21"/>
        <v>0.1556339214</v>
      </c>
      <c r="U506" s="50" t="str">
        <f t="shared" si="6"/>
        <v>AOP</v>
      </c>
      <c r="V506" s="51">
        <f t="shared" si="28"/>
        <v>199.6658705</v>
      </c>
      <c r="W506" s="52" t="str">
        <f t="shared" si="8"/>
        <v>#DIV/0!</v>
      </c>
      <c r="X506" s="9" t="str">
        <f t="shared" si="25"/>
        <v>#DIV/0!</v>
      </c>
      <c r="Y506" s="8"/>
      <c r="Z506" s="8"/>
      <c r="AA506" s="8"/>
      <c r="AB506" s="8" t="str">
        <f t="shared" si="10"/>
        <v>PAUH39988PC1.5</v>
      </c>
      <c r="AC506" s="8" t="str">
        <f>IF(AB506='Input - Bookings'!S739,"OK","Check")</f>
        <v>Check</v>
      </c>
      <c r="AD506" s="53"/>
      <c r="AE506" s="65"/>
      <c r="AF506" s="65"/>
      <c r="AG506" s="55">
        <f t="shared" si="47"/>
        <v>641.0258258</v>
      </c>
      <c r="AH506" s="62"/>
      <c r="AI506" s="8" t="str">
        <f t="array" ref="AI506">XLOOKUP($J506,'AP Plants'!D:D,'AP Plants'!B:B)</f>
        <v>Class 3</v>
      </c>
      <c r="AJ506" s="56">
        <f>(AG506*'Currency &amp; Conversion'!$L$6)</f>
        <v>954.6156597</v>
      </c>
      <c r="AK506" s="56"/>
      <c r="AL506" s="49">
        <v>0.015</v>
      </c>
      <c r="AM506" s="49">
        <f t="array" ref="AM506">XLOOKUP($AI506,Warranty!B:B,Warranty!E:E)</f>
        <v>0.015</v>
      </c>
      <c r="AN506" s="8">
        <f>IF($L506="AUD",VLOOKUP(RIGHT('Wk - Margins'!$J506,3),'AU Freight'!C:G,5,0),0)</f>
        <v>100</v>
      </c>
      <c r="AO506" s="49">
        <f t="shared" si="11"/>
        <v>0</v>
      </c>
      <c r="AP506" s="63">
        <f t="shared" si="12"/>
        <v>1083.25413</v>
      </c>
      <c r="AQ506" s="58">
        <f t="shared" si="13"/>
        <v>0.1556339214</v>
      </c>
      <c r="AR506" s="59">
        <f>IF(L506="AUD",O506*'Currency &amp; Conversion'!$L$7,'Wk - Margins'!O506)</f>
        <v>1436.967022</v>
      </c>
      <c r="AS506" s="59">
        <f>IF(L506="AUD",P506*'Currency &amp; Conversion'!$L$7,'Wk - Margins'!P506)</f>
        <v>861.4550148</v>
      </c>
    </row>
    <row r="507" ht="12.75" hidden="1" customHeight="1">
      <c r="A507" s="42" t="str">
        <f>'Input - Bookings'!A507</f>
        <v>28/06/2023</v>
      </c>
      <c r="B507" s="43" t="str">
        <f t="shared" si="1"/>
        <v>Australia</v>
      </c>
      <c r="C507" s="43" t="str">
        <f t="shared" si="2"/>
        <v>PAU</v>
      </c>
      <c r="D507" s="43" t="str">
        <f>'Input - Bookings'!D507</f>
        <v>P</v>
      </c>
      <c r="E507" s="43" t="str">
        <f>'Input - Bookings'!J507</f>
        <v>AU</v>
      </c>
      <c r="F507" s="44" t="str">
        <f>'Input - Bookings'!F507</f>
        <v>065</v>
      </c>
      <c r="G507" s="44" t="str">
        <f>'Input - Bookings'!I507</f>
        <v>ADAPT-A-LIFT GROUP (VIC)</v>
      </c>
      <c r="H507" s="45" t="str">
        <f>'Input - Bookings'!K507</f>
        <v>H39989</v>
      </c>
      <c r="I507" s="45" t="str">
        <f>VLOOKUP(H507,'Input - Bookings'!$G$2:$H$611,2,0)</f>
        <v>087565</v>
      </c>
      <c r="J507" s="44" t="str">
        <f>'Input - Bookings'!N507</f>
        <v>A6W9</v>
      </c>
      <c r="K507" s="44" t="str">
        <f>'Input - Bookings'!O507</f>
        <v>PC1.5</v>
      </c>
      <c r="L507" s="44" t="str">
        <f>'Input - Bookings'!C507</f>
        <v>AUD</v>
      </c>
      <c r="M507" s="46" t="str">
        <f t="array" ref="M507">IF(L507="USD",INDEX('AP Plants'!A:A,MATCH(J507,'AP Plants'!D:D,0)),INDEX('Australia Plants'!A:A,MATCH(J507,'Australia Plants'!D:D,0)))</f>
        <v>Staxx</v>
      </c>
      <c r="N507" s="10">
        <v>1.0</v>
      </c>
      <c r="O507" s="9">
        <v>2140.0</v>
      </c>
      <c r="P507" s="9">
        <v>1282.92</v>
      </c>
      <c r="Q507" s="47">
        <v>0.15563392142436872</v>
      </c>
      <c r="R507" s="48">
        <f t="shared" si="3"/>
        <v>0.4005046729</v>
      </c>
      <c r="S507" s="49">
        <f t="shared" si="4"/>
        <v>0</v>
      </c>
      <c r="T507" s="49">
        <f t="shared" si="21"/>
        <v>0.1556339214</v>
      </c>
      <c r="U507" s="50" t="str">
        <f t="shared" si="6"/>
        <v>AOP</v>
      </c>
      <c r="V507" s="51">
        <f t="shared" si="28"/>
        <v>199.6658705</v>
      </c>
      <c r="W507" s="52" t="str">
        <f t="shared" si="8"/>
        <v>#DIV/0!</v>
      </c>
      <c r="X507" s="9" t="str">
        <f t="shared" si="25"/>
        <v>#DIV/0!</v>
      </c>
      <c r="Y507" s="8"/>
      <c r="Z507" s="8"/>
      <c r="AA507" s="8"/>
      <c r="AB507" s="8" t="str">
        <f t="shared" si="10"/>
        <v>PAUH39989PC1.5</v>
      </c>
      <c r="AC507" s="8" t="str">
        <f>IF(AB507='Input - Bookings'!S740,"OK","Check")</f>
        <v>Check</v>
      </c>
      <c r="AD507" s="53"/>
      <c r="AE507" s="65"/>
      <c r="AF507" s="65"/>
      <c r="AG507" s="55">
        <f t="shared" si="47"/>
        <v>641.0258258</v>
      </c>
      <c r="AH507" s="62"/>
      <c r="AI507" s="8" t="str">
        <f t="array" ref="AI507">XLOOKUP($J507,'AP Plants'!D:D,'AP Plants'!B:B)</f>
        <v>Class 3</v>
      </c>
      <c r="AJ507" s="56">
        <f>(AG507*'Currency &amp; Conversion'!$L$6)</f>
        <v>954.6156597</v>
      </c>
      <c r="AK507" s="56"/>
      <c r="AL507" s="49">
        <v>0.015</v>
      </c>
      <c r="AM507" s="49">
        <f t="array" ref="AM507">XLOOKUP($AI507,Warranty!B:B,Warranty!E:E)</f>
        <v>0.015</v>
      </c>
      <c r="AN507" s="8">
        <f>IF($L507="AUD",VLOOKUP(RIGHT('Wk - Margins'!$J507,3),'AU Freight'!C:G,5,0),0)</f>
        <v>100</v>
      </c>
      <c r="AO507" s="49">
        <f t="shared" si="11"/>
        <v>0</v>
      </c>
      <c r="AP507" s="63">
        <f t="shared" si="12"/>
        <v>1083.25413</v>
      </c>
      <c r="AQ507" s="58">
        <f t="shared" si="13"/>
        <v>0.1556339214</v>
      </c>
      <c r="AR507" s="59">
        <f>IF(L507="AUD",O507*'Currency &amp; Conversion'!$L$7,'Wk - Margins'!O507)</f>
        <v>1436.967022</v>
      </c>
      <c r="AS507" s="59">
        <f>IF(L507="AUD",P507*'Currency &amp; Conversion'!$L$7,'Wk - Margins'!P507)</f>
        <v>861.4550148</v>
      </c>
    </row>
    <row r="508" ht="12.75" hidden="1" customHeight="1">
      <c r="A508" s="42" t="str">
        <f>'Input - Bookings'!A508</f>
        <v>28/06/2023</v>
      </c>
      <c r="B508" s="43" t="str">
        <f t="shared" si="1"/>
        <v>Australia</v>
      </c>
      <c r="C508" s="43" t="str">
        <f t="shared" si="2"/>
        <v>PAU</v>
      </c>
      <c r="D508" s="43" t="str">
        <f>'Input - Bookings'!D508</f>
        <v>P</v>
      </c>
      <c r="E508" s="43" t="str">
        <f>'Input - Bookings'!J508</f>
        <v>AU</v>
      </c>
      <c r="F508" s="44" t="str">
        <f>'Input - Bookings'!F508</f>
        <v>065</v>
      </c>
      <c r="G508" s="44" t="str">
        <f>'Input - Bookings'!I508</f>
        <v>ADAPT-A-LIFT GROUP (VIC)</v>
      </c>
      <c r="H508" s="45" t="str">
        <f>'Input - Bookings'!K508</f>
        <v>H39990</v>
      </c>
      <c r="I508" s="45" t="str">
        <f>VLOOKUP(H508,'Input - Bookings'!$G$2:$H$611,2,0)</f>
        <v>087565</v>
      </c>
      <c r="J508" s="44" t="str">
        <f>'Input - Bookings'!N508</f>
        <v>A6W9</v>
      </c>
      <c r="K508" s="44" t="str">
        <f>'Input - Bookings'!O508</f>
        <v>PC1.5</v>
      </c>
      <c r="L508" s="44" t="str">
        <f>'Input - Bookings'!C508</f>
        <v>AUD</v>
      </c>
      <c r="M508" s="46" t="str">
        <f t="array" ref="M508">IF(L508="USD",INDEX('AP Plants'!A:A,MATCH(J508,'AP Plants'!D:D,0)),INDEX('Australia Plants'!A:A,MATCH(J508,'Australia Plants'!D:D,0)))</f>
        <v>Staxx</v>
      </c>
      <c r="N508" s="10">
        <v>1.0</v>
      </c>
      <c r="O508" s="9">
        <v>2140.0</v>
      </c>
      <c r="P508" s="9">
        <v>1282.92</v>
      </c>
      <c r="Q508" s="47">
        <v>0.15563392142436872</v>
      </c>
      <c r="R508" s="48">
        <f t="shared" si="3"/>
        <v>0.4005046729</v>
      </c>
      <c r="S508" s="49">
        <f t="shared" si="4"/>
        <v>0</v>
      </c>
      <c r="T508" s="49">
        <f t="shared" si="21"/>
        <v>0.1556339214</v>
      </c>
      <c r="U508" s="50" t="str">
        <f t="shared" si="6"/>
        <v>AOP</v>
      </c>
      <c r="V508" s="51">
        <f t="shared" si="28"/>
        <v>199.6658705</v>
      </c>
      <c r="W508" s="52" t="str">
        <f t="shared" si="8"/>
        <v>#DIV/0!</v>
      </c>
      <c r="X508" s="9" t="str">
        <f t="shared" si="25"/>
        <v>#DIV/0!</v>
      </c>
      <c r="Y508" s="8"/>
      <c r="Z508" s="8"/>
      <c r="AA508" s="8"/>
      <c r="AB508" s="8" t="str">
        <f t="shared" si="10"/>
        <v>PAUH39990PC1.5</v>
      </c>
      <c r="AC508" s="8" t="str">
        <f>IF(AB508='Input - Bookings'!S741,"OK","Check")</f>
        <v>Check</v>
      </c>
      <c r="AD508" s="53"/>
      <c r="AE508" s="65"/>
      <c r="AF508" s="65"/>
      <c r="AG508" s="55">
        <f t="shared" si="47"/>
        <v>641.0258258</v>
      </c>
      <c r="AH508" s="62"/>
      <c r="AI508" s="8" t="str">
        <f t="array" ref="AI508">XLOOKUP($J508,'AP Plants'!D:D,'AP Plants'!B:B)</f>
        <v>Class 3</v>
      </c>
      <c r="AJ508" s="56">
        <f>(AG508*'Currency &amp; Conversion'!$L$6)</f>
        <v>954.6156597</v>
      </c>
      <c r="AK508" s="56"/>
      <c r="AL508" s="49">
        <v>0.015</v>
      </c>
      <c r="AM508" s="49">
        <f t="array" ref="AM508">XLOOKUP($AI508,Warranty!B:B,Warranty!E:E)</f>
        <v>0.015</v>
      </c>
      <c r="AN508" s="8">
        <f>IF($L508="AUD",VLOOKUP(RIGHT('Wk - Margins'!$J508,3),'AU Freight'!C:G,5,0),0)</f>
        <v>100</v>
      </c>
      <c r="AO508" s="49">
        <f t="shared" si="11"/>
        <v>0</v>
      </c>
      <c r="AP508" s="63">
        <f t="shared" si="12"/>
        <v>1083.25413</v>
      </c>
      <c r="AQ508" s="58">
        <f t="shared" si="13"/>
        <v>0.1556339214</v>
      </c>
      <c r="AR508" s="59">
        <f>IF(L508="AUD",O508*'Currency &amp; Conversion'!$L$7,'Wk - Margins'!O508)</f>
        <v>1436.967022</v>
      </c>
      <c r="AS508" s="59">
        <f>IF(L508="AUD",P508*'Currency &amp; Conversion'!$L$7,'Wk - Margins'!P508)</f>
        <v>861.4550148</v>
      </c>
    </row>
    <row r="509" ht="12.75" hidden="1" customHeight="1">
      <c r="A509" s="42" t="str">
        <f>'Input - Bookings'!A509</f>
        <v>28/06/2023</v>
      </c>
      <c r="B509" s="43" t="str">
        <f t="shared" si="1"/>
        <v>Australia</v>
      </c>
      <c r="C509" s="43" t="str">
        <f t="shared" si="2"/>
        <v>PAU</v>
      </c>
      <c r="D509" s="43" t="str">
        <f>'Input - Bookings'!D509</f>
        <v>P</v>
      </c>
      <c r="E509" s="43" t="str">
        <f>'Input - Bookings'!J509</f>
        <v>AU</v>
      </c>
      <c r="F509" s="44" t="str">
        <f>'Input - Bookings'!F509</f>
        <v>065</v>
      </c>
      <c r="G509" s="44" t="str">
        <f>'Input - Bookings'!I509</f>
        <v>ADAPT-A-LIFT GROUP (VIC)</v>
      </c>
      <c r="H509" s="45" t="str">
        <f>'Input - Bookings'!K509</f>
        <v>H39991</v>
      </c>
      <c r="I509" s="45" t="str">
        <f>VLOOKUP(H509,'Input - Bookings'!$G$2:$H$611,2,0)</f>
        <v>087565</v>
      </c>
      <c r="J509" s="44" t="str">
        <f>'Input - Bookings'!N509</f>
        <v>A6W9</v>
      </c>
      <c r="K509" s="44" t="str">
        <f>'Input - Bookings'!O509</f>
        <v>PC1.5</v>
      </c>
      <c r="L509" s="44" t="str">
        <f>'Input - Bookings'!C509</f>
        <v>AUD</v>
      </c>
      <c r="M509" s="46" t="str">
        <f t="array" ref="M509">IF(L509="USD",INDEX('AP Plants'!A:A,MATCH(J509,'AP Plants'!D:D,0)),INDEX('Australia Plants'!A:A,MATCH(J509,'Australia Plants'!D:D,0)))</f>
        <v>Staxx</v>
      </c>
      <c r="N509" s="10">
        <v>1.0</v>
      </c>
      <c r="O509" s="9">
        <v>2140.0</v>
      </c>
      <c r="P509" s="9">
        <v>1282.92</v>
      </c>
      <c r="Q509" s="47">
        <v>0.15563392142436872</v>
      </c>
      <c r="R509" s="48">
        <f t="shared" si="3"/>
        <v>0.4005046729</v>
      </c>
      <c r="S509" s="49">
        <f t="shared" si="4"/>
        <v>0</v>
      </c>
      <c r="T509" s="49">
        <f t="shared" si="21"/>
        <v>0.1556339214</v>
      </c>
      <c r="U509" s="50" t="str">
        <f t="shared" si="6"/>
        <v>AOP</v>
      </c>
      <c r="V509" s="51">
        <f t="shared" si="28"/>
        <v>199.6658705</v>
      </c>
      <c r="W509" s="52" t="str">
        <f t="shared" si="8"/>
        <v>#DIV/0!</v>
      </c>
      <c r="X509" s="9" t="str">
        <f t="shared" si="25"/>
        <v>#DIV/0!</v>
      </c>
      <c r="Y509" s="8"/>
      <c r="Z509" s="8"/>
      <c r="AA509" s="8"/>
      <c r="AB509" s="8" t="str">
        <f t="shared" si="10"/>
        <v>PAUH39991PC1.5</v>
      </c>
      <c r="AC509" s="8" t="str">
        <f>IF(AB509='Input - Bookings'!S742,"OK","Check")</f>
        <v>Check</v>
      </c>
      <c r="AD509" s="53"/>
      <c r="AE509" s="65"/>
      <c r="AF509" s="65"/>
      <c r="AG509" s="55">
        <f t="shared" si="47"/>
        <v>641.0258258</v>
      </c>
      <c r="AH509" s="62"/>
      <c r="AI509" s="8" t="str">
        <f t="array" ref="AI509">XLOOKUP($J509,'AP Plants'!D:D,'AP Plants'!B:B)</f>
        <v>Class 3</v>
      </c>
      <c r="AJ509" s="56">
        <f>(AG509*'Currency &amp; Conversion'!$L$6)</f>
        <v>954.6156597</v>
      </c>
      <c r="AK509" s="56"/>
      <c r="AL509" s="49">
        <v>0.015</v>
      </c>
      <c r="AM509" s="49">
        <f t="array" ref="AM509">XLOOKUP($AI509,Warranty!B:B,Warranty!E:E)</f>
        <v>0.015</v>
      </c>
      <c r="AN509" s="8">
        <f>IF($L509="AUD",VLOOKUP(RIGHT('Wk - Margins'!$J509,3),'AU Freight'!C:G,5,0),0)</f>
        <v>100</v>
      </c>
      <c r="AO509" s="49">
        <f t="shared" si="11"/>
        <v>0</v>
      </c>
      <c r="AP509" s="63">
        <f t="shared" si="12"/>
        <v>1083.25413</v>
      </c>
      <c r="AQ509" s="58">
        <f t="shared" si="13"/>
        <v>0.1556339214</v>
      </c>
      <c r="AR509" s="59">
        <f>IF(L509="AUD",O509*'Currency &amp; Conversion'!$L$7,'Wk - Margins'!O509)</f>
        <v>1436.967022</v>
      </c>
      <c r="AS509" s="59">
        <f>IF(L509="AUD",P509*'Currency &amp; Conversion'!$L$7,'Wk - Margins'!P509)</f>
        <v>861.4550148</v>
      </c>
    </row>
    <row r="510" ht="12.75" hidden="1" customHeight="1">
      <c r="A510" s="42" t="str">
        <f>'Input - Bookings'!A510</f>
        <v>28/06/2023</v>
      </c>
      <c r="B510" s="43" t="str">
        <f t="shared" si="1"/>
        <v>Australia</v>
      </c>
      <c r="C510" s="43" t="str">
        <f t="shared" si="2"/>
        <v>PAU</v>
      </c>
      <c r="D510" s="43" t="str">
        <f>'Input - Bookings'!D510</f>
        <v>P</v>
      </c>
      <c r="E510" s="43" t="str">
        <f>'Input - Bookings'!J510</f>
        <v>AU</v>
      </c>
      <c r="F510" s="44" t="str">
        <f>'Input - Bookings'!F510</f>
        <v>065</v>
      </c>
      <c r="G510" s="44" t="str">
        <f>'Input - Bookings'!I510</f>
        <v>ADAPT-A-LIFT GROUP (VIC)</v>
      </c>
      <c r="H510" s="45" t="str">
        <f>'Input - Bookings'!K510</f>
        <v>H39992</v>
      </c>
      <c r="I510" s="45" t="str">
        <f>VLOOKUP(H510,'Input - Bookings'!$G$2:$H$611,2,0)</f>
        <v>087565</v>
      </c>
      <c r="J510" s="44" t="str">
        <f>'Input - Bookings'!N510</f>
        <v>A6W9</v>
      </c>
      <c r="K510" s="44" t="str">
        <f>'Input - Bookings'!O510</f>
        <v>PC1.5</v>
      </c>
      <c r="L510" s="44" t="str">
        <f>'Input - Bookings'!C510</f>
        <v>AUD</v>
      </c>
      <c r="M510" s="46" t="str">
        <f t="array" ref="M510">IF(L510="USD",INDEX('AP Plants'!A:A,MATCH(J510,'AP Plants'!D:D,0)),INDEX('Australia Plants'!A:A,MATCH(J510,'Australia Plants'!D:D,0)))</f>
        <v>Staxx</v>
      </c>
      <c r="N510" s="10">
        <v>1.0</v>
      </c>
      <c r="O510" s="9">
        <v>2140.0</v>
      </c>
      <c r="P510" s="9">
        <v>1282.92</v>
      </c>
      <c r="Q510" s="47">
        <v>0.15563392142436872</v>
      </c>
      <c r="R510" s="48">
        <f t="shared" si="3"/>
        <v>0.4005046729</v>
      </c>
      <c r="S510" s="49">
        <f t="shared" si="4"/>
        <v>0</v>
      </c>
      <c r="T510" s="49">
        <f t="shared" si="21"/>
        <v>0.1556339214</v>
      </c>
      <c r="U510" s="50" t="str">
        <f t="shared" si="6"/>
        <v>AOP</v>
      </c>
      <c r="V510" s="51">
        <f t="shared" si="28"/>
        <v>199.6658705</v>
      </c>
      <c r="W510" s="52" t="str">
        <f t="shared" si="8"/>
        <v>#DIV/0!</v>
      </c>
      <c r="X510" s="9" t="str">
        <f t="shared" si="25"/>
        <v>#DIV/0!</v>
      </c>
      <c r="Y510" s="8"/>
      <c r="Z510" s="8"/>
      <c r="AA510" s="8"/>
      <c r="AB510" s="8" t="str">
        <f t="shared" si="10"/>
        <v>PAUH39992PC1.5</v>
      </c>
      <c r="AC510" s="8" t="str">
        <f>IF(AB510='Input - Bookings'!S743,"OK","Check")</f>
        <v>Check</v>
      </c>
      <c r="AD510" s="53"/>
      <c r="AE510" s="65"/>
      <c r="AF510" s="65"/>
      <c r="AG510" s="55">
        <f t="shared" si="47"/>
        <v>641.0258258</v>
      </c>
      <c r="AH510" s="62"/>
      <c r="AI510" s="8" t="str">
        <f t="array" ref="AI510">XLOOKUP($J510,'AP Plants'!D:D,'AP Plants'!B:B)</f>
        <v>Class 3</v>
      </c>
      <c r="AJ510" s="56">
        <f>(AG510*'Currency &amp; Conversion'!$L$6)</f>
        <v>954.6156597</v>
      </c>
      <c r="AK510" s="56"/>
      <c r="AL510" s="49">
        <v>0.015</v>
      </c>
      <c r="AM510" s="49">
        <f t="array" ref="AM510">XLOOKUP($AI510,Warranty!B:B,Warranty!E:E)</f>
        <v>0.015</v>
      </c>
      <c r="AN510" s="8">
        <f>IF($L510="AUD",VLOOKUP(RIGHT('Wk - Margins'!$J510,3),'AU Freight'!C:G,5,0),0)</f>
        <v>100</v>
      </c>
      <c r="AO510" s="49">
        <f t="shared" si="11"/>
        <v>0</v>
      </c>
      <c r="AP510" s="63">
        <f t="shared" si="12"/>
        <v>1083.25413</v>
      </c>
      <c r="AQ510" s="58">
        <f t="shared" si="13"/>
        <v>0.1556339214</v>
      </c>
      <c r="AR510" s="59">
        <f>IF(L510="AUD",O510*'Currency &amp; Conversion'!$L$7,'Wk - Margins'!O510)</f>
        <v>1436.967022</v>
      </c>
      <c r="AS510" s="59">
        <f>IF(L510="AUD",P510*'Currency &amp; Conversion'!$L$7,'Wk - Margins'!P510)</f>
        <v>861.4550148</v>
      </c>
    </row>
    <row r="511" ht="12.75" hidden="1" customHeight="1">
      <c r="A511" s="42" t="str">
        <f>'Input - Bookings'!A511</f>
        <v>28/06/2023</v>
      </c>
      <c r="B511" s="43" t="str">
        <f t="shared" si="1"/>
        <v>Australia</v>
      </c>
      <c r="C511" s="43" t="str">
        <f t="shared" si="2"/>
        <v>PAU</v>
      </c>
      <c r="D511" s="43" t="str">
        <f>'Input - Bookings'!D511</f>
        <v>P</v>
      </c>
      <c r="E511" s="43" t="str">
        <f>'Input - Bookings'!J511</f>
        <v>AU</v>
      </c>
      <c r="F511" s="44" t="str">
        <f>'Input - Bookings'!F511</f>
        <v>065</v>
      </c>
      <c r="G511" s="44" t="str">
        <f>'Input - Bookings'!I511</f>
        <v>ADAPT-A-LIFT GROUP (VIC)</v>
      </c>
      <c r="H511" s="45" t="str">
        <f>'Input - Bookings'!K511</f>
        <v>H39993</v>
      </c>
      <c r="I511" s="45" t="str">
        <f>VLOOKUP(H511,'Input - Bookings'!$G$2:$H$611,2,0)</f>
        <v>087565</v>
      </c>
      <c r="J511" s="44" t="str">
        <f>'Input - Bookings'!N511</f>
        <v>A6W9</v>
      </c>
      <c r="K511" s="44" t="str">
        <f>'Input - Bookings'!O511</f>
        <v>PC1.5</v>
      </c>
      <c r="L511" s="44" t="str">
        <f>'Input - Bookings'!C511</f>
        <v>AUD</v>
      </c>
      <c r="M511" s="46" t="str">
        <f t="array" ref="M511">IF(L511="USD",INDEX('AP Plants'!A:A,MATCH(J511,'AP Plants'!D:D,0)),INDEX('Australia Plants'!A:A,MATCH(J511,'Australia Plants'!D:D,0)))</f>
        <v>Staxx</v>
      </c>
      <c r="N511" s="10">
        <v>1.0</v>
      </c>
      <c r="O511" s="9">
        <v>2140.0</v>
      </c>
      <c r="P511" s="9">
        <v>1282.92</v>
      </c>
      <c r="Q511" s="47">
        <v>0.15563392142436872</v>
      </c>
      <c r="R511" s="48">
        <f t="shared" si="3"/>
        <v>0.4005046729</v>
      </c>
      <c r="S511" s="49">
        <f t="shared" si="4"/>
        <v>0</v>
      </c>
      <c r="T511" s="49">
        <f t="shared" si="21"/>
        <v>0.1556339214</v>
      </c>
      <c r="U511" s="50" t="str">
        <f t="shared" si="6"/>
        <v>AOP</v>
      </c>
      <c r="V511" s="51">
        <f t="shared" si="28"/>
        <v>199.6658705</v>
      </c>
      <c r="W511" s="52" t="str">
        <f t="shared" si="8"/>
        <v>#DIV/0!</v>
      </c>
      <c r="X511" s="9" t="str">
        <f t="shared" si="25"/>
        <v>#DIV/0!</v>
      </c>
      <c r="Y511" s="8"/>
      <c r="Z511" s="8"/>
      <c r="AA511" s="8"/>
      <c r="AB511" s="8" t="str">
        <f t="shared" si="10"/>
        <v>PAUH39993PC1.5</v>
      </c>
      <c r="AC511" s="8" t="str">
        <f>IF(AB511='Input - Bookings'!S744,"OK","Check")</f>
        <v>Check</v>
      </c>
      <c r="AD511" s="53"/>
      <c r="AE511" s="65"/>
      <c r="AF511" s="65"/>
      <c r="AG511" s="55">
        <f t="shared" si="47"/>
        <v>641.0258258</v>
      </c>
      <c r="AH511" s="62"/>
      <c r="AI511" s="8" t="str">
        <f t="array" ref="AI511">XLOOKUP($J511,'AP Plants'!D:D,'AP Plants'!B:B)</f>
        <v>Class 3</v>
      </c>
      <c r="AJ511" s="56">
        <f>(AG511*'Currency &amp; Conversion'!$L$6)</f>
        <v>954.6156597</v>
      </c>
      <c r="AK511" s="56"/>
      <c r="AL511" s="49">
        <v>0.015</v>
      </c>
      <c r="AM511" s="49">
        <f t="array" ref="AM511">XLOOKUP($AI511,Warranty!B:B,Warranty!E:E)</f>
        <v>0.015</v>
      </c>
      <c r="AN511" s="8">
        <f>IF($L511="AUD",VLOOKUP(RIGHT('Wk - Margins'!$J511,3),'AU Freight'!C:G,5,0),0)</f>
        <v>100</v>
      </c>
      <c r="AO511" s="49">
        <f t="shared" si="11"/>
        <v>0</v>
      </c>
      <c r="AP511" s="63">
        <f t="shared" si="12"/>
        <v>1083.25413</v>
      </c>
      <c r="AQ511" s="58">
        <f t="shared" si="13"/>
        <v>0.1556339214</v>
      </c>
      <c r="AR511" s="59">
        <f>IF(L511="AUD",O511*'Currency &amp; Conversion'!$L$7,'Wk - Margins'!O511)</f>
        <v>1436.967022</v>
      </c>
      <c r="AS511" s="59">
        <f>IF(L511="AUD",P511*'Currency &amp; Conversion'!$L$7,'Wk - Margins'!P511)</f>
        <v>861.4550148</v>
      </c>
    </row>
    <row r="512" ht="12.75" hidden="1" customHeight="1">
      <c r="A512" s="42" t="str">
        <f>'Input - Bookings'!A512</f>
        <v>28/06/2023</v>
      </c>
      <c r="B512" s="43" t="str">
        <f t="shared" si="1"/>
        <v>Australia</v>
      </c>
      <c r="C512" s="43" t="str">
        <f t="shared" si="2"/>
        <v>PAU</v>
      </c>
      <c r="D512" s="43" t="str">
        <f>'Input - Bookings'!D512</f>
        <v>P</v>
      </c>
      <c r="E512" s="43" t="str">
        <f>'Input - Bookings'!J512</f>
        <v>AU</v>
      </c>
      <c r="F512" s="44" t="str">
        <f>'Input - Bookings'!F512</f>
        <v>065</v>
      </c>
      <c r="G512" s="44" t="str">
        <f>'Input - Bookings'!I512</f>
        <v>ADAPT-A-LIFT GROUP (VIC)</v>
      </c>
      <c r="H512" s="45" t="str">
        <f>'Input - Bookings'!K512</f>
        <v>H39994</v>
      </c>
      <c r="I512" s="45" t="str">
        <f>VLOOKUP(H512,'Input - Bookings'!$G$2:$H$611,2,0)</f>
        <v>087565</v>
      </c>
      <c r="J512" s="44" t="str">
        <f>'Input - Bookings'!N512</f>
        <v>A6W9</v>
      </c>
      <c r="K512" s="44" t="str">
        <f>'Input - Bookings'!O512</f>
        <v>PC1.5</v>
      </c>
      <c r="L512" s="44" t="str">
        <f>'Input - Bookings'!C512</f>
        <v>AUD</v>
      </c>
      <c r="M512" s="46" t="str">
        <f t="array" ref="M512">IF(L512="USD",INDEX('AP Plants'!A:A,MATCH(J512,'AP Plants'!D:D,0)),INDEX('Australia Plants'!A:A,MATCH(J512,'Australia Plants'!D:D,0)))</f>
        <v>Staxx</v>
      </c>
      <c r="N512" s="10">
        <v>1.0</v>
      </c>
      <c r="O512" s="9">
        <v>2140.0</v>
      </c>
      <c r="P512" s="9">
        <v>1282.92</v>
      </c>
      <c r="Q512" s="47">
        <v>0.15563392142436872</v>
      </c>
      <c r="R512" s="48">
        <f t="shared" si="3"/>
        <v>0.4005046729</v>
      </c>
      <c r="S512" s="49">
        <f t="shared" si="4"/>
        <v>0</v>
      </c>
      <c r="T512" s="49">
        <f t="shared" si="21"/>
        <v>0.1556339214</v>
      </c>
      <c r="U512" s="50" t="str">
        <f t="shared" si="6"/>
        <v>AOP</v>
      </c>
      <c r="V512" s="51">
        <f t="shared" si="28"/>
        <v>199.6658705</v>
      </c>
      <c r="W512" s="52" t="str">
        <f t="shared" si="8"/>
        <v>#DIV/0!</v>
      </c>
      <c r="X512" s="9" t="str">
        <f t="shared" si="25"/>
        <v>#DIV/0!</v>
      </c>
      <c r="Y512" s="8"/>
      <c r="Z512" s="8"/>
      <c r="AA512" s="8"/>
      <c r="AB512" s="8" t="str">
        <f t="shared" si="10"/>
        <v>PAUH39994PC1.5</v>
      </c>
      <c r="AC512" s="8" t="str">
        <f>IF(AB512='Input - Bookings'!S745,"OK","Check")</f>
        <v>Check</v>
      </c>
      <c r="AD512" s="53"/>
      <c r="AE512" s="65"/>
      <c r="AF512" s="65"/>
      <c r="AG512" s="55">
        <f t="shared" si="47"/>
        <v>641.0258258</v>
      </c>
      <c r="AH512" s="62"/>
      <c r="AI512" s="8" t="str">
        <f t="array" ref="AI512">XLOOKUP($J512,'AP Plants'!D:D,'AP Plants'!B:B)</f>
        <v>Class 3</v>
      </c>
      <c r="AJ512" s="56">
        <f>(AG512*'Currency &amp; Conversion'!$L$6)</f>
        <v>954.6156597</v>
      </c>
      <c r="AK512" s="56"/>
      <c r="AL512" s="49">
        <v>0.015</v>
      </c>
      <c r="AM512" s="49">
        <f t="array" ref="AM512">XLOOKUP($AI512,Warranty!B:B,Warranty!E:E)</f>
        <v>0.015</v>
      </c>
      <c r="AN512" s="8">
        <f>IF($L512="AUD",VLOOKUP(RIGHT('Wk - Margins'!$J512,3),'AU Freight'!C:G,5,0),0)</f>
        <v>100</v>
      </c>
      <c r="AO512" s="49">
        <f t="shared" si="11"/>
        <v>0</v>
      </c>
      <c r="AP512" s="63">
        <f t="shared" si="12"/>
        <v>1083.25413</v>
      </c>
      <c r="AQ512" s="58">
        <f t="shared" si="13"/>
        <v>0.1556339214</v>
      </c>
      <c r="AR512" s="59">
        <f>IF(L512="AUD",O512*'Currency &amp; Conversion'!$L$7,'Wk - Margins'!O512)</f>
        <v>1436.967022</v>
      </c>
      <c r="AS512" s="59">
        <f>IF(L512="AUD",P512*'Currency &amp; Conversion'!$L$7,'Wk - Margins'!P512)</f>
        <v>861.4550148</v>
      </c>
    </row>
    <row r="513" ht="12.75" hidden="1" customHeight="1">
      <c r="A513" s="42" t="str">
        <f>'Input - Bookings'!A513</f>
        <v>28/06/2023</v>
      </c>
      <c r="B513" s="43" t="str">
        <f t="shared" si="1"/>
        <v>Australia</v>
      </c>
      <c r="C513" s="43" t="str">
        <f t="shared" si="2"/>
        <v>PAU</v>
      </c>
      <c r="D513" s="43" t="str">
        <f>'Input - Bookings'!D513</f>
        <v>P</v>
      </c>
      <c r="E513" s="43" t="str">
        <f>'Input - Bookings'!J513</f>
        <v>AU</v>
      </c>
      <c r="F513" s="44" t="str">
        <f>'Input - Bookings'!F513</f>
        <v>065</v>
      </c>
      <c r="G513" s="44" t="str">
        <f>'Input - Bookings'!I513</f>
        <v>ADAPT-A-LIFT GROUP (VIC)</v>
      </c>
      <c r="H513" s="45" t="str">
        <f>'Input - Bookings'!K513</f>
        <v>H39995</v>
      </c>
      <c r="I513" s="45" t="str">
        <f>VLOOKUP(H513,'Input - Bookings'!$G$2:$H$611,2,0)</f>
        <v>087565</v>
      </c>
      <c r="J513" s="44" t="str">
        <f>'Input - Bookings'!N513</f>
        <v>A6W9</v>
      </c>
      <c r="K513" s="44" t="str">
        <f>'Input - Bookings'!O513</f>
        <v>PC1.5</v>
      </c>
      <c r="L513" s="44" t="str">
        <f>'Input - Bookings'!C513</f>
        <v>AUD</v>
      </c>
      <c r="M513" s="46" t="str">
        <f t="array" ref="M513">IF(L513="USD",INDEX('AP Plants'!A:A,MATCH(J513,'AP Plants'!D:D,0)),INDEX('Australia Plants'!A:A,MATCH(J513,'Australia Plants'!D:D,0)))</f>
        <v>Staxx</v>
      </c>
      <c r="N513" s="10">
        <v>1.0</v>
      </c>
      <c r="O513" s="9">
        <v>2140.0</v>
      </c>
      <c r="P513" s="9">
        <v>1282.92</v>
      </c>
      <c r="Q513" s="47">
        <v>0.15563392142436872</v>
      </c>
      <c r="R513" s="48">
        <f t="shared" si="3"/>
        <v>0.4005046729</v>
      </c>
      <c r="S513" s="49">
        <f t="shared" si="4"/>
        <v>0</v>
      </c>
      <c r="T513" s="49">
        <f t="shared" si="21"/>
        <v>0.1556339214</v>
      </c>
      <c r="U513" s="50" t="str">
        <f t="shared" si="6"/>
        <v>AOP</v>
      </c>
      <c r="V513" s="51">
        <f t="shared" si="28"/>
        <v>199.6658705</v>
      </c>
      <c r="W513" s="52" t="str">
        <f t="shared" si="8"/>
        <v>#DIV/0!</v>
      </c>
      <c r="X513" s="9" t="str">
        <f t="shared" si="25"/>
        <v>#DIV/0!</v>
      </c>
      <c r="Y513" s="8"/>
      <c r="Z513" s="8"/>
      <c r="AA513" s="8"/>
      <c r="AB513" s="8" t="str">
        <f t="shared" si="10"/>
        <v>PAUH39995PC1.5</v>
      </c>
      <c r="AC513" s="8" t="str">
        <f>IF(AB513='Input - Bookings'!S746,"OK","Check")</f>
        <v>Check</v>
      </c>
      <c r="AD513" s="53"/>
      <c r="AE513" s="65"/>
      <c r="AF513" s="65"/>
      <c r="AG513" s="55">
        <f t="shared" si="47"/>
        <v>641.0258258</v>
      </c>
      <c r="AH513" s="62"/>
      <c r="AI513" s="8" t="str">
        <f t="array" ref="AI513">XLOOKUP($J513,'AP Plants'!D:D,'AP Plants'!B:B)</f>
        <v>Class 3</v>
      </c>
      <c r="AJ513" s="56">
        <f>(AG513*'Currency &amp; Conversion'!$L$6)</f>
        <v>954.6156597</v>
      </c>
      <c r="AK513" s="56"/>
      <c r="AL513" s="49">
        <v>0.015</v>
      </c>
      <c r="AM513" s="49">
        <f t="array" ref="AM513">XLOOKUP($AI513,Warranty!B:B,Warranty!E:E)</f>
        <v>0.015</v>
      </c>
      <c r="AN513" s="8">
        <f>IF($L513="AUD",VLOOKUP(RIGHT('Wk - Margins'!$J513,3),'AU Freight'!C:G,5,0),0)</f>
        <v>100</v>
      </c>
      <c r="AO513" s="49">
        <f t="shared" si="11"/>
        <v>0</v>
      </c>
      <c r="AP513" s="63">
        <f t="shared" si="12"/>
        <v>1083.25413</v>
      </c>
      <c r="AQ513" s="58">
        <f t="shared" si="13"/>
        <v>0.1556339214</v>
      </c>
      <c r="AR513" s="59">
        <f>IF(L513="AUD",O513*'Currency &amp; Conversion'!$L$7,'Wk - Margins'!O513)</f>
        <v>1436.967022</v>
      </c>
      <c r="AS513" s="59">
        <f>IF(L513="AUD",P513*'Currency &amp; Conversion'!$L$7,'Wk - Margins'!P513)</f>
        <v>861.4550148</v>
      </c>
    </row>
    <row r="514" ht="12.75" hidden="1" customHeight="1">
      <c r="A514" s="42" t="str">
        <f>'Input - Bookings'!A514</f>
        <v>28/06/2023</v>
      </c>
      <c r="B514" s="43" t="str">
        <f t="shared" si="1"/>
        <v>Australia</v>
      </c>
      <c r="C514" s="43" t="str">
        <f t="shared" si="2"/>
        <v>PAU</v>
      </c>
      <c r="D514" s="43" t="str">
        <f>'Input - Bookings'!D514</f>
        <v>P</v>
      </c>
      <c r="E514" s="43" t="str">
        <f>'Input - Bookings'!J514</f>
        <v>AU</v>
      </c>
      <c r="F514" s="44" t="str">
        <f>'Input - Bookings'!F514</f>
        <v>065</v>
      </c>
      <c r="G514" s="44" t="str">
        <f>'Input - Bookings'!I514</f>
        <v>ADAPT-A-LIFT GROUP (VIC)</v>
      </c>
      <c r="H514" s="45" t="str">
        <f>'Input - Bookings'!K514</f>
        <v>H39996</v>
      </c>
      <c r="I514" s="45" t="str">
        <f>VLOOKUP(H514,'Input - Bookings'!$G$2:$H$611,2,0)</f>
        <v>087565</v>
      </c>
      <c r="J514" s="44" t="str">
        <f>'Input - Bookings'!N514</f>
        <v>A6W9</v>
      </c>
      <c r="K514" s="44" t="str">
        <f>'Input - Bookings'!O514</f>
        <v>PC1.5</v>
      </c>
      <c r="L514" s="44" t="str">
        <f>'Input - Bookings'!C514</f>
        <v>AUD</v>
      </c>
      <c r="M514" s="46" t="str">
        <f t="array" ref="M514">IF(L514="USD",INDEX('AP Plants'!A:A,MATCH(J514,'AP Plants'!D:D,0)),INDEX('Australia Plants'!A:A,MATCH(J514,'Australia Plants'!D:D,0)))</f>
        <v>Staxx</v>
      </c>
      <c r="N514" s="10">
        <v>1.0</v>
      </c>
      <c r="O514" s="9">
        <v>2140.0</v>
      </c>
      <c r="P514" s="9">
        <v>1282.92</v>
      </c>
      <c r="Q514" s="47">
        <v>0.15563392142436872</v>
      </c>
      <c r="R514" s="48">
        <f t="shared" si="3"/>
        <v>0.4005046729</v>
      </c>
      <c r="S514" s="49">
        <f t="shared" si="4"/>
        <v>0</v>
      </c>
      <c r="T514" s="49">
        <f t="shared" si="21"/>
        <v>0.1556339214</v>
      </c>
      <c r="U514" s="50" t="str">
        <f t="shared" si="6"/>
        <v>AOP</v>
      </c>
      <c r="V514" s="51">
        <f t="shared" si="28"/>
        <v>199.6658705</v>
      </c>
      <c r="W514" s="52" t="str">
        <f t="shared" si="8"/>
        <v>#DIV/0!</v>
      </c>
      <c r="X514" s="9" t="str">
        <f t="shared" si="25"/>
        <v>#DIV/0!</v>
      </c>
      <c r="Y514" s="8"/>
      <c r="Z514" s="8"/>
      <c r="AA514" s="8"/>
      <c r="AB514" s="8" t="str">
        <f t="shared" si="10"/>
        <v>PAUH39996PC1.5</v>
      </c>
      <c r="AC514" s="8" t="str">
        <f>IF(AB514='Input - Bookings'!S747,"OK","Check")</f>
        <v>Check</v>
      </c>
      <c r="AD514" s="53"/>
      <c r="AE514" s="65"/>
      <c r="AF514" s="65"/>
      <c r="AG514" s="55">
        <f t="shared" si="47"/>
        <v>641.0258258</v>
      </c>
      <c r="AH514" s="62"/>
      <c r="AI514" s="8" t="str">
        <f t="array" ref="AI514">XLOOKUP($J514,'AP Plants'!D:D,'AP Plants'!B:B)</f>
        <v>Class 3</v>
      </c>
      <c r="AJ514" s="56">
        <f>(AG514*'Currency &amp; Conversion'!$L$6)</f>
        <v>954.6156597</v>
      </c>
      <c r="AK514" s="56"/>
      <c r="AL514" s="49">
        <v>0.015</v>
      </c>
      <c r="AM514" s="49">
        <f t="array" ref="AM514">XLOOKUP($AI514,Warranty!B:B,Warranty!E:E)</f>
        <v>0.015</v>
      </c>
      <c r="AN514" s="8">
        <f>IF($L514="AUD",VLOOKUP(RIGHT('Wk - Margins'!$J514,3),'AU Freight'!C:G,5,0),0)</f>
        <v>100</v>
      </c>
      <c r="AO514" s="49">
        <f t="shared" si="11"/>
        <v>0</v>
      </c>
      <c r="AP514" s="63">
        <f t="shared" si="12"/>
        <v>1083.25413</v>
      </c>
      <c r="AQ514" s="58">
        <f t="shared" si="13"/>
        <v>0.1556339214</v>
      </c>
      <c r="AR514" s="59">
        <f>IF(L514="AUD",O514*'Currency &amp; Conversion'!$L$7,'Wk - Margins'!O514)</f>
        <v>1436.967022</v>
      </c>
      <c r="AS514" s="59">
        <f>IF(L514="AUD",P514*'Currency &amp; Conversion'!$L$7,'Wk - Margins'!P514)</f>
        <v>861.4550148</v>
      </c>
    </row>
    <row r="515" ht="12.75" hidden="1" customHeight="1">
      <c r="A515" s="42" t="str">
        <f>'Input - Bookings'!A515</f>
        <v>28/06/2023</v>
      </c>
      <c r="B515" s="43" t="str">
        <f t="shared" si="1"/>
        <v>Australia</v>
      </c>
      <c r="C515" s="43" t="str">
        <f t="shared" si="2"/>
        <v>PAU</v>
      </c>
      <c r="D515" s="43" t="str">
        <f>'Input - Bookings'!D515</f>
        <v>P</v>
      </c>
      <c r="E515" s="43" t="str">
        <f>'Input - Bookings'!J515</f>
        <v>AU</v>
      </c>
      <c r="F515" s="44" t="str">
        <f>'Input - Bookings'!F515</f>
        <v>065</v>
      </c>
      <c r="G515" s="44" t="str">
        <f>'Input - Bookings'!I515</f>
        <v>ADAPT-A-LIFT GROUP (VIC)</v>
      </c>
      <c r="H515" s="45" t="str">
        <f>'Input - Bookings'!K515</f>
        <v>H39997</v>
      </c>
      <c r="I515" s="45" t="str">
        <f>VLOOKUP(H515,'Input - Bookings'!$G$2:$H$611,2,0)</f>
        <v>087565</v>
      </c>
      <c r="J515" s="44" t="str">
        <f>'Input - Bookings'!N515</f>
        <v>A6W9</v>
      </c>
      <c r="K515" s="44" t="str">
        <f>'Input - Bookings'!O515</f>
        <v>PC1.5</v>
      </c>
      <c r="L515" s="44" t="str">
        <f>'Input - Bookings'!C515</f>
        <v>AUD</v>
      </c>
      <c r="M515" s="46" t="str">
        <f t="array" ref="M515">IF(L515="USD",INDEX('AP Plants'!A:A,MATCH(J515,'AP Plants'!D:D,0)),INDEX('Australia Plants'!A:A,MATCH(J515,'Australia Plants'!D:D,0)))</f>
        <v>Staxx</v>
      </c>
      <c r="N515" s="10">
        <v>1.0</v>
      </c>
      <c r="O515" s="9">
        <v>2140.0</v>
      </c>
      <c r="P515" s="9">
        <v>1282.92</v>
      </c>
      <c r="Q515" s="47">
        <v>0.15563392142436872</v>
      </c>
      <c r="R515" s="48">
        <f t="shared" si="3"/>
        <v>0.4005046729</v>
      </c>
      <c r="S515" s="49">
        <f t="shared" si="4"/>
        <v>0</v>
      </c>
      <c r="T515" s="49">
        <f t="shared" si="21"/>
        <v>0.1556339214</v>
      </c>
      <c r="U515" s="50" t="str">
        <f t="shared" si="6"/>
        <v>AOP</v>
      </c>
      <c r="V515" s="51">
        <f t="shared" si="28"/>
        <v>199.6658705</v>
      </c>
      <c r="W515" s="52" t="str">
        <f t="shared" si="8"/>
        <v>#DIV/0!</v>
      </c>
      <c r="X515" s="9" t="str">
        <f t="shared" si="25"/>
        <v>#DIV/0!</v>
      </c>
      <c r="Y515" s="8"/>
      <c r="Z515" s="8"/>
      <c r="AA515" s="8"/>
      <c r="AB515" s="8" t="str">
        <f t="shared" si="10"/>
        <v>PAUH39997PC1.5</v>
      </c>
      <c r="AC515" s="8" t="str">
        <f>IF(AB515='Input - Bookings'!S748,"OK","Check")</f>
        <v>Check</v>
      </c>
      <c r="AD515" s="53"/>
      <c r="AE515" s="65"/>
      <c r="AF515" s="65"/>
      <c r="AG515" s="55">
        <f t="shared" si="47"/>
        <v>641.0258258</v>
      </c>
      <c r="AH515" s="62"/>
      <c r="AI515" s="8" t="str">
        <f t="array" ref="AI515">XLOOKUP($J515,'AP Plants'!D:D,'AP Plants'!B:B)</f>
        <v>Class 3</v>
      </c>
      <c r="AJ515" s="56">
        <f>(AG515*'Currency &amp; Conversion'!$L$6)</f>
        <v>954.6156597</v>
      </c>
      <c r="AK515" s="56"/>
      <c r="AL515" s="49">
        <v>0.015</v>
      </c>
      <c r="AM515" s="49">
        <f t="array" ref="AM515">XLOOKUP($AI515,Warranty!B:B,Warranty!E:E)</f>
        <v>0.015</v>
      </c>
      <c r="AN515" s="8">
        <f>IF($L515="AUD",VLOOKUP(RIGHT('Wk - Margins'!$J515,3),'AU Freight'!C:G,5,0),0)</f>
        <v>100</v>
      </c>
      <c r="AO515" s="49">
        <f t="shared" si="11"/>
        <v>0</v>
      </c>
      <c r="AP515" s="63">
        <f t="shared" si="12"/>
        <v>1083.25413</v>
      </c>
      <c r="AQ515" s="58">
        <f t="shared" si="13"/>
        <v>0.1556339214</v>
      </c>
      <c r="AR515" s="59">
        <f>IF(L515="AUD",O515*'Currency &amp; Conversion'!$L$7,'Wk - Margins'!O515)</f>
        <v>1436.967022</v>
      </c>
      <c r="AS515" s="59">
        <f>IF(L515="AUD",P515*'Currency &amp; Conversion'!$L$7,'Wk - Margins'!P515)</f>
        <v>861.4550148</v>
      </c>
    </row>
    <row r="516" ht="12.75" hidden="1" customHeight="1">
      <c r="A516" s="42" t="str">
        <f>'Input - Bookings'!A516</f>
        <v>28/06/2023</v>
      </c>
      <c r="B516" s="43" t="str">
        <f t="shared" si="1"/>
        <v>Australia</v>
      </c>
      <c r="C516" s="43" t="str">
        <f t="shared" si="2"/>
        <v>PAU</v>
      </c>
      <c r="D516" s="43" t="str">
        <f>'Input - Bookings'!D516</f>
        <v>P</v>
      </c>
      <c r="E516" s="43" t="str">
        <f>'Input - Bookings'!J516</f>
        <v>AU</v>
      </c>
      <c r="F516" s="44" t="str">
        <f>'Input - Bookings'!F516</f>
        <v>065</v>
      </c>
      <c r="G516" s="44" t="str">
        <f>'Input - Bookings'!I516</f>
        <v>ADAPT-A-LIFT GROUP (VIC)</v>
      </c>
      <c r="H516" s="45" t="str">
        <f>'Input - Bookings'!K516</f>
        <v>H39998</v>
      </c>
      <c r="I516" s="45" t="str">
        <f>VLOOKUP(H516,'Input - Bookings'!$G$2:$H$611,2,0)</f>
        <v>087565</v>
      </c>
      <c r="J516" s="44" t="str">
        <f>'Input - Bookings'!N516</f>
        <v>A6W9</v>
      </c>
      <c r="K516" s="44" t="str">
        <f>'Input - Bookings'!O516</f>
        <v>PC1.5</v>
      </c>
      <c r="L516" s="44" t="str">
        <f>'Input - Bookings'!C516</f>
        <v>AUD</v>
      </c>
      <c r="M516" s="46" t="str">
        <f t="array" ref="M516">IF(L516="USD",INDEX('AP Plants'!A:A,MATCH(J516,'AP Plants'!D:D,0)),INDEX('Australia Plants'!A:A,MATCH(J516,'Australia Plants'!D:D,0)))</f>
        <v>Staxx</v>
      </c>
      <c r="N516" s="10">
        <v>1.0</v>
      </c>
      <c r="O516" s="9">
        <v>2140.0</v>
      </c>
      <c r="P516" s="9">
        <v>1282.92</v>
      </c>
      <c r="Q516" s="47">
        <v>0.15563392142436872</v>
      </c>
      <c r="R516" s="48">
        <f t="shared" si="3"/>
        <v>0.4005046729</v>
      </c>
      <c r="S516" s="49">
        <f t="shared" si="4"/>
        <v>0</v>
      </c>
      <c r="T516" s="49">
        <f t="shared" si="21"/>
        <v>0.1556339214</v>
      </c>
      <c r="U516" s="50" t="str">
        <f t="shared" si="6"/>
        <v>AOP</v>
      </c>
      <c r="V516" s="51">
        <f t="shared" si="28"/>
        <v>199.6658705</v>
      </c>
      <c r="W516" s="52" t="str">
        <f t="shared" si="8"/>
        <v>#DIV/0!</v>
      </c>
      <c r="X516" s="9" t="str">
        <f t="shared" si="25"/>
        <v>#DIV/0!</v>
      </c>
      <c r="Y516" s="8"/>
      <c r="Z516" s="8"/>
      <c r="AA516" s="8"/>
      <c r="AB516" s="8" t="str">
        <f t="shared" si="10"/>
        <v>PAUH39998PC1.5</v>
      </c>
      <c r="AC516" s="8" t="str">
        <f>IF(AB516='Input - Bookings'!S749,"OK","Check")</f>
        <v>Check</v>
      </c>
      <c r="AD516" s="53"/>
      <c r="AE516" s="65"/>
      <c r="AF516" s="65"/>
      <c r="AG516" s="55">
        <f t="shared" si="47"/>
        <v>641.0258258</v>
      </c>
      <c r="AH516" s="62"/>
      <c r="AI516" s="8" t="str">
        <f t="array" ref="AI516">XLOOKUP($J516,'AP Plants'!D:D,'AP Plants'!B:B)</f>
        <v>Class 3</v>
      </c>
      <c r="AJ516" s="56">
        <f>(AG516*'Currency &amp; Conversion'!$L$6)</f>
        <v>954.6156597</v>
      </c>
      <c r="AK516" s="56"/>
      <c r="AL516" s="49">
        <v>0.015</v>
      </c>
      <c r="AM516" s="49">
        <f t="array" ref="AM516">XLOOKUP($AI516,Warranty!B:B,Warranty!E:E)</f>
        <v>0.015</v>
      </c>
      <c r="AN516" s="8">
        <f>IF($L516="AUD",VLOOKUP(RIGHT('Wk - Margins'!$J516,3),'AU Freight'!C:G,5,0),0)</f>
        <v>100</v>
      </c>
      <c r="AO516" s="49">
        <f t="shared" si="11"/>
        <v>0</v>
      </c>
      <c r="AP516" s="63">
        <f t="shared" si="12"/>
        <v>1083.25413</v>
      </c>
      <c r="AQ516" s="58">
        <f t="shared" si="13"/>
        <v>0.1556339214</v>
      </c>
      <c r="AR516" s="59">
        <f>IF(L516="AUD",O516*'Currency &amp; Conversion'!$L$7,'Wk - Margins'!O516)</f>
        <v>1436.967022</v>
      </c>
      <c r="AS516" s="59">
        <f>IF(L516="AUD",P516*'Currency &amp; Conversion'!$L$7,'Wk - Margins'!P516)</f>
        <v>861.4550148</v>
      </c>
    </row>
    <row r="517" ht="12.75" hidden="1" customHeight="1">
      <c r="A517" s="42" t="str">
        <f>'Input - Bookings'!A517</f>
        <v>28/06/2023</v>
      </c>
      <c r="B517" s="43" t="str">
        <f t="shared" si="1"/>
        <v>Australia</v>
      </c>
      <c r="C517" s="43" t="str">
        <f t="shared" si="2"/>
        <v>PAU</v>
      </c>
      <c r="D517" s="43" t="str">
        <f>'Input - Bookings'!D517</f>
        <v>P</v>
      </c>
      <c r="E517" s="43" t="str">
        <f>'Input - Bookings'!J517</f>
        <v>AU</v>
      </c>
      <c r="F517" s="44" t="str">
        <f>'Input - Bookings'!F517</f>
        <v>065</v>
      </c>
      <c r="G517" s="44" t="str">
        <f>'Input - Bookings'!I517</f>
        <v>ADAPT-A-LIFT GROUP (VIC)</v>
      </c>
      <c r="H517" s="45" t="str">
        <f>'Input - Bookings'!K517</f>
        <v>H39999</v>
      </c>
      <c r="I517" s="45" t="str">
        <f>VLOOKUP(H517,'Input - Bookings'!$G$2:$H$611,2,0)</f>
        <v>087565</v>
      </c>
      <c r="J517" s="44" t="str">
        <f>'Input - Bookings'!N517</f>
        <v>A6W9</v>
      </c>
      <c r="K517" s="44" t="str">
        <f>'Input - Bookings'!O517</f>
        <v>PC1.5</v>
      </c>
      <c r="L517" s="44" t="str">
        <f>'Input - Bookings'!C517</f>
        <v>AUD</v>
      </c>
      <c r="M517" s="46" t="str">
        <f t="array" ref="M517">IF(L517="USD",INDEX('AP Plants'!A:A,MATCH(J517,'AP Plants'!D:D,0)),INDEX('Australia Plants'!A:A,MATCH(J517,'Australia Plants'!D:D,0)))</f>
        <v>Staxx</v>
      </c>
      <c r="N517" s="10">
        <v>1.0</v>
      </c>
      <c r="O517" s="9">
        <v>2140.0</v>
      </c>
      <c r="P517" s="9">
        <v>1282.92</v>
      </c>
      <c r="Q517" s="47">
        <v>0.15563392142436872</v>
      </c>
      <c r="R517" s="48">
        <f t="shared" si="3"/>
        <v>0.4005046729</v>
      </c>
      <c r="S517" s="49">
        <f t="shared" si="4"/>
        <v>0</v>
      </c>
      <c r="T517" s="49">
        <f t="shared" si="21"/>
        <v>0.1556339214</v>
      </c>
      <c r="U517" s="50" t="str">
        <f t="shared" si="6"/>
        <v>AOP</v>
      </c>
      <c r="V517" s="51">
        <f t="shared" si="28"/>
        <v>199.6658705</v>
      </c>
      <c r="W517" s="52" t="str">
        <f t="shared" si="8"/>
        <v>#DIV/0!</v>
      </c>
      <c r="X517" s="9" t="str">
        <f t="shared" si="25"/>
        <v>#DIV/0!</v>
      </c>
      <c r="Y517" s="8"/>
      <c r="Z517" s="8"/>
      <c r="AA517" s="8"/>
      <c r="AB517" s="8" t="str">
        <f t="shared" si="10"/>
        <v>PAUH39999PC1.5</v>
      </c>
      <c r="AC517" s="8" t="str">
        <f>IF(AB517='Input - Bookings'!S750,"OK","Check")</f>
        <v>Check</v>
      </c>
      <c r="AD517" s="53"/>
      <c r="AE517" s="65"/>
      <c r="AF517" s="65"/>
      <c r="AG517" s="55">
        <f t="shared" si="47"/>
        <v>641.0258258</v>
      </c>
      <c r="AH517" s="62"/>
      <c r="AI517" s="8" t="str">
        <f t="array" ref="AI517">XLOOKUP($J517,'AP Plants'!D:D,'AP Plants'!B:B)</f>
        <v>Class 3</v>
      </c>
      <c r="AJ517" s="56">
        <f>(AG517*'Currency &amp; Conversion'!$L$6)</f>
        <v>954.6156597</v>
      </c>
      <c r="AK517" s="56"/>
      <c r="AL517" s="49">
        <v>0.015</v>
      </c>
      <c r="AM517" s="49">
        <f t="array" ref="AM517">XLOOKUP($AI517,Warranty!B:B,Warranty!E:E)</f>
        <v>0.015</v>
      </c>
      <c r="AN517" s="8">
        <f>IF($L517="AUD",VLOOKUP(RIGHT('Wk - Margins'!$J517,3),'AU Freight'!C:G,5,0),0)</f>
        <v>100</v>
      </c>
      <c r="AO517" s="49">
        <f t="shared" si="11"/>
        <v>0</v>
      </c>
      <c r="AP517" s="63">
        <f t="shared" si="12"/>
        <v>1083.25413</v>
      </c>
      <c r="AQ517" s="58">
        <f t="shared" si="13"/>
        <v>0.1556339214</v>
      </c>
      <c r="AR517" s="59">
        <f>IF(L517="AUD",O517*'Currency &amp; Conversion'!$L$7,'Wk - Margins'!O517)</f>
        <v>1436.967022</v>
      </c>
      <c r="AS517" s="59">
        <f>IF(L517="AUD",P517*'Currency &amp; Conversion'!$L$7,'Wk - Margins'!P517)</f>
        <v>861.4550148</v>
      </c>
    </row>
    <row r="518" ht="12.75" hidden="1" customHeight="1">
      <c r="A518" s="42" t="str">
        <f>'Input - Bookings'!A518</f>
        <v>28/06/2023</v>
      </c>
      <c r="B518" s="43" t="str">
        <f t="shared" si="1"/>
        <v>Australia</v>
      </c>
      <c r="C518" s="43" t="str">
        <f t="shared" si="2"/>
        <v>PAU</v>
      </c>
      <c r="D518" s="43" t="str">
        <f>'Input - Bookings'!D518</f>
        <v>P</v>
      </c>
      <c r="E518" s="43" t="str">
        <f>'Input - Bookings'!J518</f>
        <v>AU</v>
      </c>
      <c r="F518" s="44" t="str">
        <f>'Input - Bookings'!F518</f>
        <v>065</v>
      </c>
      <c r="G518" s="44" t="str">
        <f>'Input - Bookings'!I518</f>
        <v>ADAPT-A-LIFT GROUP (VIC)</v>
      </c>
      <c r="H518" s="45" t="str">
        <f>'Input - Bookings'!K518</f>
        <v>H40000</v>
      </c>
      <c r="I518" s="45" t="str">
        <f>VLOOKUP(H518,'Input - Bookings'!$G$2:$H$611,2,0)</f>
        <v>087565</v>
      </c>
      <c r="J518" s="44" t="str">
        <f>'Input - Bookings'!N518</f>
        <v>A6W9</v>
      </c>
      <c r="K518" s="44" t="str">
        <f>'Input - Bookings'!O518</f>
        <v>PC1.5</v>
      </c>
      <c r="L518" s="44" t="str">
        <f>'Input - Bookings'!C518</f>
        <v>AUD</v>
      </c>
      <c r="M518" s="46" t="str">
        <f t="array" ref="M518">IF(L518="USD",INDEX('AP Plants'!A:A,MATCH(J518,'AP Plants'!D:D,0)),INDEX('Australia Plants'!A:A,MATCH(J518,'Australia Plants'!D:D,0)))</f>
        <v>Staxx</v>
      </c>
      <c r="N518" s="10">
        <v>1.0</v>
      </c>
      <c r="O518" s="9">
        <v>2140.0</v>
      </c>
      <c r="P518" s="9">
        <v>1282.92</v>
      </c>
      <c r="Q518" s="47">
        <v>0.15563392142436872</v>
      </c>
      <c r="R518" s="48">
        <f t="shared" si="3"/>
        <v>0.4005046729</v>
      </c>
      <c r="S518" s="49">
        <f t="shared" si="4"/>
        <v>0</v>
      </c>
      <c r="T518" s="49">
        <f t="shared" si="21"/>
        <v>0.1556339214</v>
      </c>
      <c r="U518" s="50" t="str">
        <f t="shared" si="6"/>
        <v>AOP</v>
      </c>
      <c r="V518" s="51">
        <f t="shared" si="28"/>
        <v>199.6658705</v>
      </c>
      <c r="W518" s="52" t="str">
        <f t="shared" si="8"/>
        <v>#DIV/0!</v>
      </c>
      <c r="X518" s="9" t="str">
        <f t="shared" si="25"/>
        <v>#DIV/0!</v>
      </c>
      <c r="Y518" s="8"/>
      <c r="Z518" s="8"/>
      <c r="AA518" s="8"/>
      <c r="AB518" s="8" t="str">
        <f t="shared" si="10"/>
        <v>PAUH40000PC1.5</v>
      </c>
      <c r="AC518" s="8" t="str">
        <f>IF(AB518='Input - Bookings'!S751,"OK","Check")</f>
        <v>Check</v>
      </c>
      <c r="AD518" s="53"/>
      <c r="AE518" s="65"/>
      <c r="AF518" s="65"/>
      <c r="AG518" s="55">
        <f t="shared" si="47"/>
        <v>641.0258258</v>
      </c>
      <c r="AH518" s="62"/>
      <c r="AI518" s="8" t="str">
        <f t="array" ref="AI518">XLOOKUP($J518,'AP Plants'!D:D,'AP Plants'!B:B)</f>
        <v>Class 3</v>
      </c>
      <c r="AJ518" s="56">
        <f>(AG518*'Currency &amp; Conversion'!$L$6)</f>
        <v>954.6156597</v>
      </c>
      <c r="AK518" s="56"/>
      <c r="AL518" s="49">
        <v>0.015</v>
      </c>
      <c r="AM518" s="49">
        <f t="array" ref="AM518">XLOOKUP($AI518,Warranty!B:B,Warranty!E:E)</f>
        <v>0.015</v>
      </c>
      <c r="AN518" s="8">
        <f>IF($L518="AUD",VLOOKUP(RIGHT('Wk - Margins'!$J518,3),'AU Freight'!C:G,5,0),0)</f>
        <v>100</v>
      </c>
      <c r="AO518" s="49">
        <f t="shared" si="11"/>
        <v>0</v>
      </c>
      <c r="AP518" s="63">
        <f t="shared" si="12"/>
        <v>1083.25413</v>
      </c>
      <c r="AQ518" s="58">
        <f t="shared" si="13"/>
        <v>0.1556339214</v>
      </c>
      <c r="AR518" s="59">
        <f>IF(L518="AUD",O518*'Currency &amp; Conversion'!$L$7,'Wk - Margins'!O518)</f>
        <v>1436.967022</v>
      </c>
      <c r="AS518" s="59">
        <f>IF(L518="AUD",P518*'Currency &amp; Conversion'!$L$7,'Wk - Margins'!P518)</f>
        <v>861.4550148</v>
      </c>
    </row>
    <row r="519" ht="12.75" hidden="1" customHeight="1">
      <c r="A519" s="42" t="str">
        <f>'Input - Bookings'!A519</f>
        <v>28/06/2023</v>
      </c>
      <c r="B519" s="43" t="str">
        <f t="shared" si="1"/>
        <v>Australia</v>
      </c>
      <c r="C519" s="43" t="str">
        <f t="shared" si="2"/>
        <v>PAU</v>
      </c>
      <c r="D519" s="43" t="str">
        <f>'Input - Bookings'!D519</f>
        <v>P</v>
      </c>
      <c r="E519" s="43" t="str">
        <f>'Input - Bookings'!J519</f>
        <v>AU</v>
      </c>
      <c r="F519" s="44" t="str">
        <f>'Input - Bookings'!F519</f>
        <v>065</v>
      </c>
      <c r="G519" s="44" t="str">
        <f>'Input - Bookings'!I519</f>
        <v>ADAPT-A-LIFT GROUP (VIC)</v>
      </c>
      <c r="H519" s="45" t="str">
        <f>'Input - Bookings'!K519</f>
        <v>H40001</v>
      </c>
      <c r="I519" s="45" t="str">
        <f>VLOOKUP(H519,'Input - Bookings'!$G$2:$H$611,2,0)</f>
        <v>087565</v>
      </c>
      <c r="J519" s="44" t="str">
        <f>'Input - Bookings'!N519</f>
        <v>A6W9</v>
      </c>
      <c r="K519" s="44" t="str">
        <f>'Input - Bookings'!O519</f>
        <v>PC1.5</v>
      </c>
      <c r="L519" s="44" t="str">
        <f>'Input - Bookings'!C519</f>
        <v>AUD</v>
      </c>
      <c r="M519" s="46" t="str">
        <f t="array" ref="M519">IF(L519="USD",INDEX('AP Plants'!A:A,MATCH(J519,'AP Plants'!D:D,0)),INDEX('Australia Plants'!A:A,MATCH(J519,'Australia Plants'!D:D,0)))</f>
        <v>Staxx</v>
      </c>
      <c r="N519" s="10">
        <v>1.0</v>
      </c>
      <c r="O519" s="9">
        <v>2140.0</v>
      </c>
      <c r="P519" s="9">
        <v>1282.92</v>
      </c>
      <c r="Q519" s="47">
        <v>0.15563392142436872</v>
      </c>
      <c r="R519" s="48">
        <f t="shared" si="3"/>
        <v>0.4005046729</v>
      </c>
      <c r="S519" s="49">
        <f t="shared" si="4"/>
        <v>0</v>
      </c>
      <c r="T519" s="49">
        <f t="shared" si="21"/>
        <v>0.1556339214</v>
      </c>
      <c r="U519" s="50" t="str">
        <f t="shared" si="6"/>
        <v>AOP</v>
      </c>
      <c r="V519" s="51">
        <f t="shared" si="28"/>
        <v>199.6658705</v>
      </c>
      <c r="W519" s="52" t="str">
        <f t="shared" si="8"/>
        <v>#DIV/0!</v>
      </c>
      <c r="X519" s="9" t="str">
        <f t="shared" si="25"/>
        <v>#DIV/0!</v>
      </c>
      <c r="Y519" s="8"/>
      <c r="Z519" s="8"/>
      <c r="AA519" s="8"/>
      <c r="AB519" s="8" t="str">
        <f t="shared" si="10"/>
        <v>PAUH40001PC1.5</v>
      </c>
      <c r="AC519" s="8" t="str">
        <f>IF(AB519='Input - Bookings'!S752,"OK","Check")</f>
        <v>Check</v>
      </c>
      <c r="AD519" s="53"/>
      <c r="AE519" s="65"/>
      <c r="AF519" s="65"/>
      <c r="AG519" s="55">
        <f t="shared" si="47"/>
        <v>641.0258258</v>
      </c>
      <c r="AH519" s="62"/>
      <c r="AI519" s="8" t="str">
        <f t="array" ref="AI519">XLOOKUP($J519,'AP Plants'!D:D,'AP Plants'!B:B)</f>
        <v>Class 3</v>
      </c>
      <c r="AJ519" s="56">
        <f>(AG519*'Currency &amp; Conversion'!$L$6)</f>
        <v>954.6156597</v>
      </c>
      <c r="AK519" s="56"/>
      <c r="AL519" s="49">
        <v>0.015</v>
      </c>
      <c r="AM519" s="49">
        <f t="array" ref="AM519">XLOOKUP($AI519,Warranty!B:B,Warranty!E:E)</f>
        <v>0.015</v>
      </c>
      <c r="AN519" s="8">
        <f>IF($L519="AUD",VLOOKUP(RIGHT('Wk - Margins'!$J519,3),'AU Freight'!C:G,5,0),0)</f>
        <v>100</v>
      </c>
      <c r="AO519" s="49">
        <f t="shared" si="11"/>
        <v>0</v>
      </c>
      <c r="AP519" s="63">
        <f t="shared" si="12"/>
        <v>1083.25413</v>
      </c>
      <c r="AQ519" s="58">
        <f t="shared" si="13"/>
        <v>0.1556339214</v>
      </c>
      <c r="AR519" s="59">
        <f>IF(L519="AUD",O519*'Currency &amp; Conversion'!$L$7,'Wk - Margins'!O519)</f>
        <v>1436.967022</v>
      </c>
      <c r="AS519" s="59">
        <f>IF(L519="AUD",P519*'Currency &amp; Conversion'!$L$7,'Wk - Margins'!P519)</f>
        <v>861.4550148</v>
      </c>
    </row>
    <row r="520" ht="12.75" hidden="1" customHeight="1">
      <c r="A520" s="42" t="str">
        <f>'Input - Bookings'!A520</f>
        <v>28/06/2023</v>
      </c>
      <c r="B520" s="43" t="str">
        <f t="shared" si="1"/>
        <v>Australia</v>
      </c>
      <c r="C520" s="43" t="str">
        <f t="shared" si="2"/>
        <v>PAU</v>
      </c>
      <c r="D520" s="43" t="str">
        <f>'Input - Bookings'!D520</f>
        <v>P</v>
      </c>
      <c r="E520" s="43" t="str">
        <f>'Input - Bookings'!J520</f>
        <v>AU</v>
      </c>
      <c r="F520" s="44" t="str">
        <f>'Input - Bookings'!F520</f>
        <v>065</v>
      </c>
      <c r="G520" s="44" t="str">
        <f>'Input - Bookings'!I520</f>
        <v>ADAPT-A-LIFT GROUP (VIC)</v>
      </c>
      <c r="H520" s="45" t="str">
        <f>'Input - Bookings'!K520</f>
        <v>H40002</v>
      </c>
      <c r="I520" s="45" t="str">
        <f>VLOOKUP(H520,'Input - Bookings'!$G$2:$H$611,2,0)</f>
        <v>087565</v>
      </c>
      <c r="J520" s="44" t="str">
        <f>'Input - Bookings'!N520</f>
        <v>A6W9</v>
      </c>
      <c r="K520" s="44" t="str">
        <f>'Input - Bookings'!O520</f>
        <v>PC1.5</v>
      </c>
      <c r="L520" s="44" t="str">
        <f>'Input - Bookings'!C520</f>
        <v>AUD</v>
      </c>
      <c r="M520" s="46" t="str">
        <f t="array" ref="M520">IF(L520="USD",INDEX('AP Plants'!A:A,MATCH(J520,'AP Plants'!D:D,0)),INDEX('Australia Plants'!A:A,MATCH(J520,'Australia Plants'!D:D,0)))</f>
        <v>Staxx</v>
      </c>
      <c r="N520" s="10">
        <v>1.0</v>
      </c>
      <c r="O520" s="9">
        <v>2140.0</v>
      </c>
      <c r="P520" s="9">
        <v>1282.92</v>
      </c>
      <c r="Q520" s="47">
        <v>0.15563392142436872</v>
      </c>
      <c r="R520" s="48">
        <f t="shared" si="3"/>
        <v>0.4005046729</v>
      </c>
      <c r="S520" s="49">
        <f t="shared" si="4"/>
        <v>0</v>
      </c>
      <c r="T520" s="49">
        <f t="shared" si="21"/>
        <v>0.1556339214</v>
      </c>
      <c r="U520" s="50" t="str">
        <f t="shared" si="6"/>
        <v>AOP</v>
      </c>
      <c r="V520" s="51">
        <f t="shared" si="28"/>
        <v>199.6658705</v>
      </c>
      <c r="W520" s="52" t="str">
        <f t="shared" si="8"/>
        <v>#DIV/0!</v>
      </c>
      <c r="X520" s="9" t="str">
        <f t="shared" si="25"/>
        <v>#DIV/0!</v>
      </c>
      <c r="Y520" s="8"/>
      <c r="Z520" s="8"/>
      <c r="AA520" s="8"/>
      <c r="AB520" s="8" t="str">
        <f t="shared" si="10"/>
        <v>PAUH40002PC1.5</v>
      </c>
      <c r="AC520" s="8" t="str">
        <f>IF(AB520='Input - Bookings'!S753,"OK","Check")</f>
        <v>Check</v>
      </c>
      <c r="AD520" s="53"/>
      <c r="AE520" s="65"/>
      <c r="AF520" s="65"/>
      <c r="AG520" s="55">
        <f t="shared" si="47"/>
        <v>641.0258258</v>
      </c>
      <c r="AH520" s="62"/>
      <c r="AI520" s="8" t="str">
        <f t="array" ref="AI520">XLOOKUP($J520,'AP Plants'!D:D,'AP Plants'!B:B)</f>
        <v>Class 3</v>
      </c>
      <c r="AJ520" s="56">
        <f>(AG520*'Currency &amp; Conversion'!$L$6)</f>
        <v>954.6156597</v>
      </c>
      <c r="AK520" s="56"/>
      <c r="AL520" s="49">
        <v>0.015</v>
      </c>
      <c r="AM520" s="49">
        <f t="array" ref="AM520">XLOOKUP($AI520,Warranty!B:B,Warranty!E:E)</f>
        <v>0.015</v>
      </c>
      <c r="AN520" s="8">
        <f>IF($L520="AUD",VLOOKUP(RIGHT('Wk - Margins'!$J520,3),'AU Freight'!C:G,5,0),0)</f>
        <v>100</v>
      </c>
      <c r="AO520" s="49">
        <f t="shared" si="11"/>
        <v>0</v>
      </c>
      <c r="AP520" s="63">
        <f t="shared" si="12"/>
        <v>1083.25413</v>
      </c>
      <c r="AQ520" s="58">
        <f t="shared" si="13"/>
        <v>0.1556339214</v>
      </c>
      <c r="AR520" s="59">
        <f>IF(L520="AUD",O520*'Currency &amp; Conversion'!$L$7,'Wk - Margins'!O520)</f>
        <v>1436.967022</v>
      </c>
      <c r="AS520" s="59">
        <f>IF(L520="AUD",P520*'Currency &amp; Conversion'!$L$7,'Wk - Margins'!P520)</f>
        <v>861.4550148</v>
      </c>
    </row>
    <row r="521" ht="12.75" hidden="1" customHeight="1">
      <c r="A521" s="42" t="str">
        <f>'Input - Bookings'!A521</f>
        <v>28/06/2023</v>
      </c>
      <c r="B521" s="43" t="str">
        <f t="shared" si="1"/>
        <v>Australia</v>
      </c>
      <c r="C521" s="43" t="str">
        <f t="shared" si="2"/>
        <v>PAU</v>
      </c>
      <c r="D521" s="43" t="str">
        <f>'Input - Bookings'!D521</f>
        <v>P</v>
      </c>
      <c r="E521" s="43" t="str">
        <f>'Input - Bookings'!J521</f>
        <v>AU</v>
      </c>
      <c r="F521" s="44" t="str">
        <f>'Input - Bookings'!F521</f>
        <v>065</v>
      </c>
      <c r="G521" s="44" t="str">
        <f>'Input - Bookings'!I521</f>
        <v>ADAPT-A-LIFT GROUP (VIC)</v>
      </c>
      <c r="H521" s="45" t="str">
        <f>'Input - Bookings'!K521</f>
        <v>H40003</v>
      </c>
      <c r="I521" s="45" t="str">
        <f>VLOOKUP(H521,'Input - Bookings'!$G$2:$H$611,2,0)</f>
        <v>087565</v>
      </c>
      <c r="J521" s="44" t="str">
        <f>'Input - Bookings'!N521</f>
        <v>A6W9</v>
      </c>
      <c r="K521" s="44" t="str">
        <f>'Input - Bookings'!O521</f>
        <v>PC1.5</v>
      </c>
      <c r="L521" s="44" t="str">
        <f>'Input - Bookings'!C521</f>
        <v>AUD</v>
      </c>
      <c r="M521" s="46" t="str">
        <f t="array" ref="M521">IF(L521="USD",INDEX('AP Plants'!A:A,MATCH(J521,'AP Plants'!D:D,0)),INDEX('Australia Plants'!A:A,MATCH(J521,'Australia Plants'!D:D,0)))</f>
        <v>Staxx</v>
      </c>
      <c r="N521" s="10">
        <v>1.0</v>
      </c>
      <c r="O521" s="9">
        <v>2140.0</v>
      </c>
      <c r="P521" s="9">
        <v>1282.92</v>
      </c>
      <c r="Q521" s="47">
        <v>0.15563392142436872</v>
      </c>
      <c r="R521" s="48">
        <f t="shared" si="3"/>
        <v>0.4005046729</v>
      </c>
      <c r="S521" s="49">
        <f t="shared" si="4"/>
        <v>0</v>
      </c>
      <c r="T521" s="49">
        <f t="shared" si="21"/>
        <v>0.1556339214</v>
      </c>
      <c r="U521" s="50" t="str">
        <f t="shared" si="6"/>
        <v>AOP</v>
      </c>
      <c r="V521" s="51">
        <f t="shared" si="28"/>
        <v>199.6658705</v>
      </c>
      <c r="W521" s="52" t="str">
        <f t="shared" si="8"/>
        <v>#DIV/0!</v>
      </c>
      <c r="X521" s="9" t="str">
        <f t="shared" si="25"/>
        <v>#DIV/0!</v>
      </c>
      <c r="Y521" s="8"/>
      <c r="Z521" s="8"/>
      <c r="AA521" s="8"/>
      <c r="AB521" s="8" t="str">
        <f t="shared" si="10"/>
        <v>PAUH40003PC1.5</v>
      </c>
      <c r="AC521" s="8" t="str">
        <f>IF(AB521='Input - Bookings'!S754,"OK","Check")</f>
        <v>Check</v>
      </c>
      <c r="AD521" s="53"/>
      <c r="AE521" s="65"/>
      <c r="AF521" s="65"/>
      <c r="AG521" s="55">
        <f t="shared" si="47"/>
        <v>641.0258258</v>
      </c>
      <c r="AH521" s="62"/>
      <c r="AI521" s="8" t="str">
        <f t="array" ref="AI521">XLOOKUP($J521,'AP Plants'!D:D,'AP Plants'!B:B)</f>
        <v>Class 3</v>
      </c>
      <c r="AJ521" s="56">
        <f>(AG521*'Currency &amp; Conversion'!$L$6)</f>
        <v>954.6156597</v>
      </c>
      <c r="AK521" s="56"/>
      <c r="AL521" s="49">
        <v>0.015</v>
      </c>
      <c r="AM521" s="49">
        <f t="array" ref="AM521">XLOOKUP($AI521,Warranty!B:B,Warranty!E:E)</f>
        <v>0.015</v>
      </c>
      <c r="AN521" s="8">
        <f>IF($L521="AUD",VLOOKUP(RIGHT('Wk - Margins'!$J521,3),'AU Freight'!C:G,5,0),0)</f>
        <v>100</v>
      </c>
      <c r="AO521" s="49">
        <f t="shared" si="11"/>
        <v>0</v>
      </c>
      <c r="AP521" s="63">
        <f t="shared" si="12"/>
        <v>1083.25413</v>
      </c>
      <c r="AQ521" s="58">
        <f t="shared" si="13"/>
        <v>0.1556339214</v>
      </c>
      <c r="AR521" s="59">
        <f>IF(L521="AUD",O521*'Currency &amp; Conversion'!$L$7,'Wk - Margins'!O521)</f>
        <v>1436.967022</v>
      </c>
      <c r="AS521" s="59">
        <f>IF(L521="AUD",P521*'Currency &amp; Conversion'!$L$7,'Wk - Margins'!P521)</f>
        <v>861.4550148</v>
      </c>
    </row>
    <row r="522" ht="12.75" hidden="1" customHeight="1">
      <c r="A522" s="42" t="str">
        <f>'Input - Bookings'!A522</f>
        <v>28/06/2023</v>
      </c>
      <c r="B522" s="43" t="str">
        <f t="shared" si="1"/>
        <v>Australia</v>
      </c>
      <c r="C522" s="43" t="str">
        <f t="shared" si="2"/>
        <v>PAU</v>
      </c>
      <c r="D522" s="43" t="str">
        <f>'Input - Bookings'!D522</f>
        <v>P</v>
      </c>
      <c r="E522" s="43" t="str">
        <f>'Input - Bookings'!J522</f>
        <v>AU</v>
      </c>
      <c r="F522" s="44" t="str">
        <f>'Input - Bookings'!F522</f>
        <v>065</v>
      </c>
      <c r="G522" s="44" t="str">
        <f>'Input - Bookings'!I522</f>
        <v>ADAPT-A-LIFT GROUP (VIC)</v>
      </c>
      <c r="H522" s="45" t="str">
        <f>'Input - Bookings'!K522</f>
        <v>H40004</v>
      </c>
      <c r="I522" s="45" t="str">
        <f>VLOOKUP(H522,'Input - Bookings'!$G$2:$H$611,2,0)</f>
        <v>087565</v>
      </c>
      <c r="J522" s="44" t="str">
        <f>'Input - Bookings'!N522</f>
        <v>A6W9</v>
      </c>
      <c r="K522" s="44" t="str">
        <f>'Input - Bookings'!O522</f>
        <v>PC1.5</v>
      </c>
      <c r="L522" s="44" t="str">
        <f>'Input - Bookings'!C522</f>
        <v>AUD</v>
      </c>
      <c r="M522" s="46" t="str">
        <f t="array" ref="M522">IF(L522="USD",INDEX('AP Plants'!A:A,MATCH(J522,'AP Plants'!D:D,0)),INDEX('Australia Plants'!A:A,MATCH(J522,'Australia Plants'!D:D,0)))</f>
        <v>Staxx</v>
      </c>
      <c r="N522" s="10">
        <v>1.0</v>
      </c>
      <c r="O522" s="9">
        <v>2140.0</v>
      </c>
      <c r="P522" s="9">
        <v>1282.92</v>
      </c>
      <c r="Q522" s="47">
        <v>0.15563392142436872</v>
      </c>
      <c r="R522" s="48">
        <f t="shared" si="3"/>
        <v>0.4005046729</v>
      </c>
      <c r="S522" s="49">
        <f t="shared" si="4"/>
        <v>0</v>
      </c>
      <c r="T522" s="49">
        <f t="shared" si="21"/>
        <v>0.1556339214</v>
      </c>
      <c r="U522" s="50" t="str">
        <f t="shared" si="6"/>
        <v>AOP</v>
      </c>
      <c r="V522" s="51">
        <f t="shared" si="28"/>
        <v>199.6658705</v>
      </c>
      <c r="W522" s="52" t="str">
        <f t="shared" si="8"/>
        <v>#DIV/0!</v>
      </c>
      <c r="X522" s="9" t="str">
        <f t="shared" si="25"/>
        <v>#DIV/0!</v>
      </c>
      <c r="Y522" s="8"/>
      <c r="Z522" s="8"/>
      <c r="AA522" s="8"/>
      <c r="AB522" s="8" t="str">
        <f t="shared" si="10"/>
        <v>PAUH40004PC1.5</v>
      </c>
      <c r="AC522" s="8" t="str">
        <f>IF(AB522='Input - Bookings'!S755,"OK","Check")</f>
        <v>Check</v>
      </c>
      <c r="AD522" s="53"/>
      <c r="AE522" s="65"/>
      <c r="AF522" s="65"/>
      <c r="AG522" s="55">
        <f t="shared" si="47"/>
        <v>641.0258258</v>
      </c>
      <c r="AH522" s="62"/>
      <c r="AI522" s="8" t="str">
        <f t="array" ref="AI522">XLOOKUP($J522,'AP Plants'!D:D,'AP Plants'!B:B)</f>
        <v>Class 3</v>
      </c>
      <c r="AJ522" s="56">
        <f>(AG522*'Currency &amp; Conversion'!$L$6)</f>
        <v>954.6156597</v>
      </c>
      <c r="AK522" s="56"/>
      <c r="AL522" s="49">
        <v>0.015</v>
      </c>
      <c r="AM522" s="49">
        <f t="array" ref="AM522">XLOOKUP($AI522,Warranty!B:B,Warranty!E:E)</f>
        <v>0.015</v>
      </c>
      <c r="AN522" s="8">
        <f>IF($L522="AUD",VLOOKUP(RIGHT('Wk - Margins'!$J522,3),'AU Freight'!C:G,5,0),0)</f>
        <v>100</v>
      </c>
      <c r="AO522" s="49">
        <f t="shared" si="11"/>
        <v>0</v>
      </c>
      <c r="AP522" s="63">
        <f t="shared" si="12"/>
        <v>1083.25413</v>
      </c>
      <c r="AQ522" s="58">
        <f t="shared" si="13"/>
        <v>0.1556339214</v>
      </c>
      <c r="AR522" s="59">
        <f>IF(L522="AUD",O522*'Currency &amp; Conversion'!$L$7,'Wk - Margins'!O522)</f>
        <v>1436.967022</v>
      </c>
      <c r="AS522" s="59">
        <f>IF(L522="AUD",P522*'Currency &amp; Conversion'!$L$7,'Wk - Margins'!P522)</f>
        <v>861.4550148</v>
      </c>
    </row>
    <row r="523" ht="12.75" hidden="1" customHeight="1">
      <c r="A523" s="42" t="str">
        <f>'Input - Bookings'!A523</f>
        <v>28/06/2023</v>
      </c>
      <c r="B523" s="43" t="str">
        <f t="shared" si="1"/>
        <v>Australia</v>
      </c>
      <c r="C523" s="43" t="str">
        <f t="shared" si="2"/>
        <v>PAU</v>
      </c>
      <c r="D523" s="43" t="str">
        <f>'Input - Bookings'!D523</f>
        <v>P</v>
      </c>
      <c r="E523" s="43" t="str">
        <f>'Input - Bookings'!J523</f>
        <v>AU</v>
      </c>
      <c r="F523" s="44" t="str">
        <f>'Input - Bookings'!F523</f>
        <v>065</v>
      </c>
      <c r="G523" s="44" t="str">
        <f>'Input - Bookings'!I523</f>
        <v>ADAPT-A-LIFT GROUP (VIC)</v>
      </c>
      <c r="H523" s="45" t="str">
        <f>'Input - Bookings'!K523</f>
        <v>H40005</v>
      </c>
      <c r="I523" s="45" t="str">
        <f>VLOOKUP(H523,'Input - Bookings'!$G$2:$H$611,2,0)</f>
        <v>087565</v>
      </c>
      <c r="J523" s="44" t="str">
        <f>'Input - Bookings'!N523</f>
        <v>A6W9</v>
      </c>
      <c r="K523" s="44" t="str">
        <f>'Input - Bookings'!O523</f>
        <v>PC1.5</v>
      </c>
      <c r="L523" s="44" t="str">
        <f>'Input - Bookings'!C523</f>
        <v>AUD</v>
      </c>
      <c r="M523" s="46" t="str">
        <f t="array" ref="M523">IF(L523="USD",INDEX('AP Plants'!A:A,MATCH(J523,'AP Plants'!D:D,0)),INDEX('Australia Plants'!A:A,MATCH(J523,'Australia Plants'!D:D,0)))</f>
        <v>Staxx</v>
      </c>
      <c r="N523" s="10">
        <v>1.0</v>
      </c>
      <c r="O523" s="9">
        <v>2140.0</v>
      </c>
      <c r="P523" s="9">
        <v>1282.92</v>
      </c>
      <c r="Q523" s="47">
        <v>0.15563392142436872</v>
      </c>
      <c r="R523" s="48">
        <f t="shared" si="3"/>
        <v>0.4005046729</v>
      </c>
      <c r="S523" s="49">
        <f t="shared" si="4"/>
        <v>0</v>
      </c>
      <c r="T523" s="49">
        <f t="shared" si="21"/>
        <v>0.1556339214</v>
      </c>
      <c r="U523" s="50" t="str">
        <f t="shared" si="6"/>
        <v>AOP</v>
      </c>
      <c r="V523" s="51">
        <f t="shared" si="28"/>
        <v>199.6658705</v>
      </c>
      <c r="W523" s="52" t="str">
        <f t="shared" si="8"/>
        <v>#DIV/0!</v>
      </c>
      <c r="X523" s="9" t="str">
        <f t="shared" si="25"/>
        <v>#DIV/0!</v>
      </c>
      <c r="Y523" s="8"/>
      <c r="Z523" s="8"/>
      <c r="AA523" s="8"/>
      <c r="AB523" s="8" t="str">
        <f t="shared" si="10"/>
        <v>PAUH40005PC1.5</v>
      </c>
      <c r="AC523" s="8" t="str">
        <f>IF(AB523='Input - Bookings'!S756,"OK","Check")</f>
        <v>Check</v>
      </c>
      <c r="AD523" s="53"/>
      <c r="AE523" s="65"/>
      <c r="AF523" s="65"/>
      <c r="AG523" s="55">
        <f t="shared" si="47"/>
        <v>641.0258258</v>
      </c>
      <c r="AH523" s="62"/>
      <c r="AI523" s="8" t="str">
        <f t="array" ref="AI523">XLOOKUP($J523,'AP Plants'!D:D,'AP Plants'!B:B)</f>
        <v>Class 3</v>
      </c>
      <c r="AJ523" s="56">
        <f>(AG523*'Currency &amp; Conversion'!$L$6)</f>
        <v>954.6156597</v>
      </c>
      <c r="AK523" s="56"/>
      <c r="AL523" s="49">
        <v>0.015</v>
      </c>
      <c r="AM523" s="49">
        <f t="array" ref="AM523">XLOOKUP($AI523,Warranty!B:B,Warranty!E:E)</f>
        <v>0.015</v>
      </c>
      <c r="AN523" s="8">
        <f>IF($L523="AUD",VLOOKUP(RIGHT('Wk - Margins'!$J523,3),'AU Freight'!C:G,5,0),0)</f>
        <v>100</v>
      </c>
      <c r="AO523" s="49">
        <f t="shared" si="11"/>
        <v>0</v>
      </c>
      <c r="AP523" s="63">
        <f t="shared" si="12"/>
        <v>1083.25413</v>
      </c>
      <c r="AQ523" s="58">
        <f t="shared" si="13"/>
        <v>0.1556339214</v>
      </c>
      <c r="AR523" s="59">
        <f>IF(L523="AUD",O523*'Currency &amp; Conversion'!$L$7,'Wk - Margins'!O523)</f>
        <v>1436.967022</v>
      </c>
      <c r="AS523" s="59">
        <f>IF(L523="AUD",P523*'Currency &amp; Conversion'!$L$7,'Wk - Margins'!P523)</f>
        <v>861.4550148</v>
      </c>
    </row>
    <row r="524" ht="12.75" hidden="1" customHeight="1">
      <c r="A524" s="42" t="str">
        <f>'Input - Bookings'!A524</f>
        <v>28/06/2023</v>
      </c>
      <c r="B524" s="43" t="str">
        <f t="shared" si="1"/>
        <v>Australia</v>
      </c>
      <c r="C524" s="43" t="str">
        <f t="shared" si="2"/>
        <v>PAU</v>
      </c>
      <c r="D524" s="43" t="str">
        <f>'Input - Bookings'!D524</f>
        <v>P</v>
      </c>
      <c r="E524" s="43" t="str">
        <f>'Input - Bookings'!J524</f>
        <v>AU</v>
      </c>
      <c r="F524" s="44" t="str">
        <f>'Input - Bookings'!F524</f>
        <v>065</v>
      </c>
      <c r="G524" s="44" t="str">
        <f>'Input - Bookings'!I524</f>
        <v>ADAPT-A-LIFT GROUP (VIC)</v>
      </c>
      <c r="H524" s="45" t="str">
        <f>'Input - Bookings'!K524</f>
        <v>H40006</v>
      </c>
      <c r="I524" s="45" t="str">
        <f>VLOOKUP(H524,'Input - Bookings'!$G$2:$H$611,2,0)</f>
        <v>087565</v>
      </c>
      <c r="J524" s="44" t="str">
        <f>'Input - Bookings'!N524</f>
        <v>A6W9</v>
      </c>
      <c r="K524" s="44" t="str">
        <f>'Input - Bookings'!O524</f>
        <v>PC1.5</v>
      </c>
      <c r="L524" s="44" t="str">
        <f>'Input - Bookings'!C524</f>
        <v>AUD</v>
      </c>
      <c r="M524" s="46" t="str">
        <f t="array" ref="M524">IF(L524="USD",INDEX('AP Plants'!A:A,MATCH(J524,'AP Plants'!D:D,0)),INDEX('Australia Plants'!A:A,MATCH(J524,'Australia Plants'!D:D,0)))</f>
        <v>Staxx</v>
      </c>
      <c r="N524" s="10">
        <v>1.0</v>
      </c>
      <c r="O524" s="9">
        <v>2140.0</v>
      </c>
      <c r="P524" s="9">
        <v>1282.92</v>
      </c>
      <c r="Q524" s="47">
        <v>0.15563392142436872</v>
      </c>
      <c r="R524" s="48">
        <f t="shared" si="3"/>
        <v>0.4005046729</v>
      </c>
      <c r="S524" s="49">
        <f t="shared" si="4"/>
        <v>0</v>
      </c>
      <c r="T524" s="49">
        <f t="shared" si="21"/>
        <v>0.1556339214</v>
      </c>
      <c r="U524" s="50" t="str">
        <f t="shared" si="6"/>
        <v>AOP</v>
      </c>
      <c r="V524" s="51">
        <f t="shared" si="28"/>
        <v>199.6658705</v>
      </c>
      <c r="W524" s="52" t="str">
        <f t="shared" si="8"/>
        <v>#DIV/0!</v>
      </c>
      <c r="X524" s="9" t="str">
        <f t="shared" si="25"/>
        <v>#DIV/0!</v>
      </c>
      <c r="Y524" s="8"/>
      <c r="Z524" s="8"/>
      <c r="AA524" s="8"/>
      <c r="AB524" s="8" t="str">
        <f t="shared" si="10"/>
        <v>PAUH40006PC1.5</v>
      </c>
      <c r="AC524" s="8" t="str">
        <f>IF(AB524='Input - Bookings'!S757,"OK","Check")</f>
        <v>Check</v>
      </c>
      <c r="AD524" s="53"/>
      <c r="AE524" s="65"/>
      <c r="AF524" s="65"/>
      <c r="AG524" s="55">
        <f t="shared" si="47"/>
        <v>641.0258258</v>
      </c>
      <c r="AH524" s="62"/>
      <c r="AI524" s="8" t="str">
        <f t="array" ref="AI524">XLOOKUP($J524,'AP Plants'!D:D,'AP Plants'!B:B)</f>
        <v>Class 3</v>
      </c>
      <c r="AJ524" s="56">
        <f>(AG524*'Currency &amp; Conversion'!$L$6)</f>
        <v>954.6156597</v>
      </c>
      <c r="AK524" s="56"/>
      <c r="AL524" s="49">
        <v>0.015</v>
      </c>
      <c r="AM524" s="49">
        <f t="array" ref="AM524">XLOOKUP($AI524,Warranty!B:B,Warranty!E:E)</f>
        <v>0.015</v>
      </c>
      <c r="AN524" s="8">
        <f>IF($L524="AUD",VLOOKUP(RIGHT('Wk - Margins'!$J524,3),'AU Freight'!C:G,5,0),0)</f>
        <v>100</v>
      </c>
      <c r="AO524" s="49">
        <f t="shared" si="11"/>
        <v>0</v>
      </c>
      <c r="AP524" s="63">
        <f t="shared" si="12"/>
        <v>1083.25413</v>
      </c>
      <c r="AQ524" s="58">
        <f t="shared" si="13"/>
        <v>0.1556339214</v>
      </c>
      <c r="AR524" s="59">
        <f>IF(L524="AUD",O524*'Currency &amp; Conversion'!$L$7,'Wk - Margins'!O524)</f>
        <v>1436.967022</v>
      </c>
      <c r="AS524" s="59">
        <f>IF(L524="AUD",P524*'Currency &amp; Conversion'!$L$7,'Wk - Margins'!P524)</f>
        <v>861.4550148</v>
      </c>
    </row>
    <row r="525" ht="12.75" hidden="1" customHeight="1">
      <c r="A525" s="42" t="str">
        <f>'Input - Bookings'!A525</f>
        <v>28/06/2023</v>
      </c>
      <c r="B525" s="43" t="str">
        <f t="shared" si="1"/>
        <v>Australia</v>
      </c>
      <c r="C525" s="43" t="str">
        <f t="shared" si="2"/>
        <v>PAU</v>
      </c>
      <c r="D525" s="43" t="str">
        <f>'Input - Bookings'!D525</f>
        <v>P</v>
      </c>
      <c r="E525" s="43" t="str">
        <f>'Input - Bookings'!J525</f>
        <v>AU</v>
      </c>
      <c r="F525" s="44" t="str">
        <f>'Input - Bookings'!F525</f>
        <v>065</v>
      </c>
      <c r="G525" s="44" t="str">
        <f>'Input - Bookings'!I525</f>
        <v>ADAPT-A-LIFT GROUP (WA)</v>
      </c>
      <c r="H525" s="44" t="str">
        <f>'Input - Bookings'!K525</f>
        <v>H40785</v>
      </c>
      <c r="I525" s="45" t="str">
        <f>VLOOKUP(H525,'Input - Bookings'!$G$2:$H$611,2,0)</f>
        <v>087605</v>
      </c>
      <c r="J525" s="44" t="str">
        <f>'Input - Bookings'!N525</f>
        <v>C225</v>
      </c>
      <c r="K525" s="44" t="str">
        <f>'Input - Bookings'!O525</f>
        <v>J3.0GX</v>
      </c>
      <c r="L525" s="44" t="str">
        <f>'Input - Bookings'!C525</f>
        <v>AUD</v>
      </c>
      <c r="M525" s="46" t="str">
        <f t="array" ref="M525">IF(L525="USD",INDEX('AP Plants'!A:A,MATCH(J525,'AP Plants'!D:D,0)),INDEX('Australia Plants'!A:A,MATCH(J525,'Australia Plants'!D:D,0)))</f>
        <v>SN</v>
      </c>
      <c r="N525" s="10">
        <v>1.0</v>
      </c>
      <c r="O525" s="9">
        <v>58725.0</v>
      </c>
      <c r="P525" s="9">
        <v>34075.176</v>
      </c>
      <c r="Q525" s="47">
        <v>0.03469643237693576</v>
      </c>
      <c r="R525" s="48">
        <f t="shared" si="3"/>
        <v>0.4197500894</v>
      </c>
      <c r="S525" s="49">
        <f t="shared" si="4"/>
        <v>0</v>
      </c>
      <c r="T525" s="49">
        <f t="shared" si="21"/>
        <v>0.03469643238</v>
      </c>
      <c r="U525" s="50" t="str">
        <f t="shared" si="6"/>
        <v>AOP</v>
      </c>
      <c r="V525" s="51">
        <f t="shared" si="28"/>
        <v>1182.28704</v>
      </c>
      <c r="W525" s="52" t="str">
        <f t="shared" si="8"/>
        <v>#DIV/0!</v>
      </c>
      <c r="X525" s="9" t="str">
        <f t="shared" si="25"/>
        <v>#DIV/0!</v>
      </c>
      <c r="Y525" s="8"/>
      <c r="Z525" s="8"/>
      <c r="AA525" s="8"/>
      <c r="AB525" s="8" t="str">
        <f t="shared" si="10"/>
        <v>PAUH40785J3.0GX</v>
      </c>
      <c r="AC525" s="8" t="str">
        <f>IF(AB525='Input - Bookings'!S758,"OK","Check")</f>
        <v>Check</v>
      </c>
      <c r="AD525" s="53"/>
      <c r="AE525" s="65"/>
      <c r="AF525" s="65"/>
      <c r="AG525" s="55"/>
      <c r="AH525" s="62"/>
      <c r="AI525" s="8" t="str">
        <f t="array" ref="AI525">XLOOKUP($J525,'AP Plants'!D:D,'AP Plants'!B:B)</f>
        <v>Class 1</v>
      </c>
      <c r="AJ525" s="56"/>
      <c r="AK525" s="56"/>
      <c r="AL525" s="49">
        <v>0.015</v>
      </c>
      <c r="AM525" s="49">
        <f t="array" ref="AM525">XLOOKUP($AI525,Warranty!B:B,Warranty!E:E)</f>
        <v>0.005</v>
      </c>
      <c r="AN525" s="8">
        <f>IF($L525="AUD",VLOOKUP(RIGHT('Wk - Margins'!$J525,3),'AU Freight'!C:G,5,0),0)</f>
        <v>2145</v>
      </c>
      <c r="AO525" s="49">
        <f t="shared" si="11"/>
        <v>0</v>
      </c>
      <c r="AP525" s="63">
        <f t="shared" si="12"/>
        <v>2145</v>
      </c>
      <c r="AQ525" s="58">
        <f t="shared" si="13"/>
        <v>0.9370509488</v>
      </c>
      <c r="AR525" s="59">
        <f>IF(L525="AUD",O525*'Currency &amp; Conversion'!$L$7,'Wk - Margins'!O525)</f>
        <v>39432.65811</v>
      </c>
      <c r="AS525" s="59">
        <f>IF(L525="AUD",P525*'Currency &amp; Conversion'!$L$7,'Wk - Margins'!P525)</f>
        <v>22880.79634</v>
      </c>
    </row>
    <row r="526" ht="12.75" hidden="1" customHeight="1">
      <c r="A526" s="42" t="str">
        <f>'Input - Bookings'!A526</f>
        <v>28/06/2023</v>
      </c>
      <c r="B526" s="43" t="str">
        <f t="shared" si="1"/>
        <v>Australia</v>
      </c>
      <c r="C526" s="43" t="str">
        <f t="shared" si="2"/>
        <v>PAU</v>
      </c>
      <c r="D526" s="43" t="str">
        <f>'Input - Bookings'!D526</f>
        <v>P</v>
      </c>
      <c r="E526" s="43" t="str">
        <f>'Input - Bookings'!J526</f>
        <v>AU</v>
      </c>
      <c r="F526" s="44" t="str">
        <f>'Input - Bookings'!F526</f>
        <v>065</v>
      </c>
      <c r="G526" s="44" t="str">
        <f>'Input - Bookings'!I526</f>
        <v>ADAPT-A-LIFT GROUP (WA)</v>
      </c>
      <c r="H526" s="44" t="str">
        <f>'Input - Bookings'!K526</f>
        <v>H40788</v>
      </c>
      <c r="I526" s="45" t="str">
        <f>VLOOKUP(H526,'Input - Bookings'!$G$2:$H$611,2,0)</f>
        <v>087605</v>
      </c>
      <c r="J526" s="44" t="str">
        <f>'Input - Bookings'!N526</f>
        <v>C225</v>
      </c>
      <c r="K526" s="44" t="str">
        <f>'Input - Bookings'!O526</f>
        <v>J3.0GX</v>
      </c>
      <c r="L526" s="44" t="str">
        <f>'Input - Bookings'!C526</f>
        <v>AUD</v>
      </c>
      <c r="M526" s="46" t="str">
        <f t="array" ref="M526">IF(L526="USD",INDEX('AP Plants'!A:A,MATCH(J526,'AP Plants'!D:D,0)),INDEX('Australia Plants'!A:A,MATCH(J526,'Australia Plants'!D:D,0)))</f>
        <v>SN</v>
      </c>
      <c r="N526" s="10">
        <v>1.0</v>
      </c>
      <c r="O526" s="9">
        <v>58725.0</v>
      </c>
      <c r="P526" s="9">
        <v>34075.176</v>
      </c>
      <c r="Q526" s="47">
        <v>0.03469643237693576</v>
      </c>
      <c r="R526" s="48">
        <f t="shared" si="3"/>
        <v>0.4197500894</v>
      </c>
      <c r="S526" s="49">
        <f t="shared" si="4"/>
        <v>0</v>
      </c>
      <c r="T526" s="49">
        <f t="shared" si="21"/>
        <v>0.03469643238</v>
      </c>
      <c r="U526" s="50" t="str">
        <f t="shared" si="6"/>
        <v>AOP</v>
      </c>
      <c r="V526" s="51">
        <f t="shared" si="28"/>
        <v>1182.28704</v>
      </c>
      <c r="W526" s="52" t="str">
        <f t="shared" si="8"/>
        <v>#DIV/0!</v>
      </c>
      <c r="X526" s="9" t="str">
        <f t="shared" si="25"/>
        <v>#DIV/0!</v>
      </c>
      <c r="Y526" s="8"/>
      <c r="Z526" s="8"/>
      <c r="AA526" s="8"/>
      <c r="AB526" s="8" t="str">
        <f t="shared" si="10"/>
        <v>PAUH40788J3.0GX</v>
      </c>
      <c r="AC526" s="8" t="str">
        <f>IF(AB526='Input - Bookings'!S759,"OK","Check")</f>
        <v>Check</v>
      </c>
      <c r="AD526" s="53"/>
      <c r="AE526" s="65"/>
      <c r="AF526" s="65"/>
      <c r="AG526" s="55"/>
      <c r="AH526" s="62"/>
      <c r="AI526" s="8" t="str">
        <f t="array" ref="AI526">XLOOKUP($J526,'AP Plants'!D:D,'AP Plants'!B:B)</f>
        <v>Class 1</v>
      </c>
      <c r="AJ526" s="56"/>
      <c r="AK526" s="56"/>
      <c r="AL526" s="49">
        <v>0.015</v>
      </c>
      <c r="AM526" s="49">
        <f t="array" ref="AM526">XLOOKUP($AI526,Warranty!B:B,Warranty!E:E)</f>
        <v>0.005</v>
      </c>
      <c r="AN526" s="8">
        <f>IF($L526="AUD",VLOOKUP(RIGHT('Wk - Margins'!$J526,3),'AU Freight'!C:G,5,0),0)</f>
        <v>2145</v>
      </c>
      <c r="AO526" s="49">
        <f t="shared" si="11"/>
        <v>0</v>
      </c>
      <c r="AP526" s="63">
        <f t="shared" si="12"/>
        <v>2145</v>
      </c>
      <c r="AQ526" s="58">
        <f t="shared" si="13"/>
        <v>0.9370509488</v>
      </c>
      <c r="AR526" s="59">
        <f>IF(L526="AUD",O526*'Currency &amp; Conversion'!$L$7,'Wk - Margins'!O526)</f>
        <v>39432.65811</v>
      </c>
      <c r="AS526" s="59">
        <f>IF(L526="AUD",P526*'Currency &amp; Conversion'!$L$7,'Wk - Margins'!P526)</f>
        <v>22880.79634</v>
      </c>
    </row>
    <row r="527" ht="12.75" hidden="1" customHeight="1">
      <c r="A527" s="42" t="str">
        <f>'Input - Bookings'!A527</f>
        <v>28/06/2023</v>
      </c>
      <c r="B527" s="43" t="str">
        <f t="shared" si="1"/>
        <v>Australia</v>
      </c>
      <c r="C527" s="43" t="str">
        <f t="shared" si="2"/>
        <v>PAU</v>
      </c>
      <c r="D527" s="43" t="str">
        <f>'Input - Bookings'!D527</f>
        <v>P</v>
      </c>
      <c r="E527" s="43" t="str">
        <f>'Input - Bookings'!J527</f>
        <v>AU</v>
      </c>
      <c r="F527" s="44" t="str">
        <f>'Input - Bookings'!F527</f>
        <v>065</v>
      </c>
      <c r="G527" s="44" t="str">
        <f>'Input - Bookings'!I527</f>
        <v>ADAPT-A-LIFT GROUP (WA)</v>
      </c>
      <c r="H527" s="44" t="str">
        <f>'Input - Bookings'!K527</f>
        <v>H40789</v>
      </c>
      <c r="I527" s="45" t="str">
        <f>VLOOKUP(H527,'Input - Bookings'!$G$2:$H$611,2,0)</f>
        <v>087605</v>
      </c>
      <c r="J527" s="44" t="str">
        <f>'Input - Bookings'!N527</f>
        <v>C225</v>
      </c>
      <c r="K527" s="44" t="str">
        <f>'Input - Bookings'!O527</f>
        <v>J3.0GX</v>
      </c>
      <c r="L527" s="44" t="str">
        <f>'Input - Bookings'!C527</f>
        <v>AUD</v>
      </c>
      <c r="M527" s="46" t="str">
        <f t="array" ref="M527">IF(L527="USD",INDEX('AP Plants'!A:A,MATCH(J527,'AP Plants'!D:D,0)),INDEX('Australia Plants'!A:A,MATCH(J527,'Australia Plants'!D:D,0)))</f>
        <v>SN</v>
      </c>
      <c r="N527" s="10">
        <v>1.0</v>
      </c>
      <c r="O527" s="9">
        <v>58725.0</v>
      </c>
      <c r="P527" s="9">
        <v>34075.176</v>
      </c>
      <c r="Q527" s="47">
        <v>0.03469643237693576</v>
      </c>
      <c r="R527" s="48">
        <f t="shared" si="3"/>
        <v>0.4197500894</v>
      </c>
      <c r="S527" s="49">
        <f t="shared" si="4"/>
        <v>0</v>
      </c>
      <c r="T527" s="49">
        <f t="shared" si="21"/>
        <v>0.03469643238</v>
      </c>
      <c r="U527" s="50" t="str">
        <f t="shared" si="6"/>
        <v>AOP</v>
      </c>
      <c r="V527" s="51">
        <f t="shared" si="28"/>
        <v>1182.28704</v>
      </c>
      <c r="W527" s="52" t="str">
        <f t="shared" si="8"/>
        <v>#DIV/0!</v>
      </c>
      <c r="X527" s="9" t="str">
        <f t="shared" si="25"/>
        <v>#DIV/0!</v>
      </c>
      <c r="Y527" s="8"/>
      <c r="Z527" s="8"/>
      <c r="AA527" s="8"/>
      <c r="AB527" s="8" t="str">
        <f t="shared" si="10"/>
        <v>PAUH40789J3.0GX</v>
      </c>
      <c r="AC527" s="8" t="str">
        <f>IF(AB527='Input - Bookings'!S760,"OK","Check")</f>
        <v>Check</v>
      </c>
      <c r="AD527" s="53"/>
      <c r="AE527" s="65"/>
      <c r="AF527" s="65"/>
      <c r="AG527" s="55"/>
      <c r="AH527" s="62"/>
      <c r="AI527" s="8" t="str">
        <f t="array" ref="AI527">XLOOKUP($J527,'AP Plants'!D:D,'AP Plants'!B:B)</f>
        <v>Class 1</v>
      </c>
      <c r="AJ527" s="56"/>
      <c r="AK527" s="56"/>
      <c r="AL527" s="49">
        <v>0.015</v>
      </c>
      <c r="AM527" s="49">
        <f t="array" ref="AM527">XLOOKUP($AI527,Warranty!B:B,Warranty!E:E)</f>
        <v>0.005</v>
      </c>
      <c r="AN527" s="8">
        <f>IF($L527="AUD",VLOOKUP(RIGHT('Wk - Margins'!$J527,3),'AU Freight'!C:G,5,0),0)</f>
        <v>2145</v>
      </c>
      <c r="AO527" s="49">
        <f t="shared" si="11"/>
        <v>0</v>
      </c>
      <c r="AP527" s="63">
        <f t="shared" si="12"/>
        <v>2145</v>
      </c>
      <c r="AQ527" s="58">
        <f t="shared" si="13"/>
        <v>0.9370509488</v>
      </c>
      <c r="AR527" s="59">
        <f>IF(L527="AUD",O527*'Currency &amp; Conversion'!$L$7,'Wk - Margins'!O527)</f>
        <v>39432.65811</v>
      </c>
      <c r="AS527" s="59">
        <f>IF(L527="AUD",P527*'Currency &amp; Conversion'!$L$7,'Wk - Margins'!P527)</f>
        <v>22880.79634</v>
      </c>
    </row>
    <row r="528" ht="12.75" hidden="1" customHeight="1">
      <c r="A528" s="42" t="str">
        <f>'Input - Bookings'!A528</f>
        <v>28/06/2023</v>
      </c>
      <c r="B528" s="43" t="str">
        <f t="shared" si="1"/>
        <v>Australia</v>
      </c>
      <c r="C528" s="43" t="str">
        <f t="shared" si="2"/>
        <v>PAU</v>
      </c>
      <c r="D528" s="43" t="str">
        <f>'Input - Bookings'!D528</f>
        <v>P</v>
      </c>
      <c r="E528" s="43" t="str">
        <f>'Input - Bookings'!J528</f>
        <v>AU</v>
      </c>
      <c r="F528" s="44" t="str">
        <f>'Input - Bookings'!F528</f>
        <v>065</v>
      </c>
      <c r="G528" s="44" t="str">
        <f>'Input - Bookings'!I528</f>
        <v>ADAPT-A-LIFT GROUP (WA)</v>
      </c>
      <c r="H528" s="44" t="str">
        <f>'Input - Bookings'!K528</f>
        <v>H40790</v>
      </c>
      <c r="I528" s="45" t="str">
        <f>VLOOKUP(H528,'Input - Bookings'!$G$2:$H$611,2,0)</f>
        <v>087605</v>
      </c>
      <c r="J528" s="44" t="str">
        <f>'Input - Bookings'!N528</f>
        <v>C225</v>
      </c>
      <c r="K528" s="44" t="str">
        <f>'Input - Bookings'!O528</f>
        <v>J3.0GX</v>
      </c>
      <c r="L528" s="44" t="str">
        <f>'Input - Bookings'!C528</f>
        <v>AUD</v>
      </c>
      <c r="M528" s="46" t="str">
        <f t="array" ref="M528">IF(L528="USD",INDEX('AP Plants'!A:A,MATCH(J528,'AP Plants'!D:D,0)),INDEX('Australia Plants'!A:A,MATCH(J528,'Australia Plants'!D:D,0)))</f>
        <v>SN</v>
      </c>
      <c r="N528" s="10">
        <v>1.0</v>
      </c>
      <c r="O528" s="9">
        <v>58725.0</v>
      </c>
      <c r="P528" s="9">
        <v>34075.176</v>
      </c>
      <c r="Q528" s="47">
        <v>0.03469643237693576</v>
      </c>
      <c r="R528" s="48">
        <f t="shared" si="3"/>
        <v>0.4197500894</v>
      </c>
      <c r="S528" s="49">
        <f t="shared" si="4"/>
        <v>0</v>
      </c>
      <c r="T528" s="49">
        <f t="shared" si="21"/>
        <v>0.03469643238</v>
      </c>
      <c r="U528" s="50" t="str">
        <f t="shared" si="6"/>
        <v>AOP</v>
      </c>
      <c r="V528" s="51">
        <f t="shared" si="28"/>
        <v>1182.28704</v>
      </c>
      <c r="W528" s="52" t="str">
        <f t="shared" si="8"/>
        <v>#DIV/0!</v>
      </c>
      <c r="X528" s="9" t="str">
        <f t="shared" si="25"/>
        <v>#DIV/0!</v>
      </c>
      <c r="Y528" s="8"/>
      <c r="Z528" s="8"/>
      <c r="AA528" s="8"/>
      <c r="AB528" s="8" t="str">
        <f t="shared" si="10"/>
        <v>PAUH40790J3.0GX</v>
      </c>
      <c r="AC528" s="8" t="str">
        <f>IF(AB528='Input - Bookings'!S761,"OK","Check")</f>
        <v>Check</v>
      </c>
      <c r="AD528" s="53"/>
      <c r="AE528" s="65"/>
      <c r="AF528" s="65"/>
      <c r="AG528" s="55"/>
      <c r="AH528" s="62"/>
      <c r="AI528" s="8" t="str">
        <f t="array" ref="AI528">XLOOKUP($J528,'AP Plants'!D:D,'AP Plants'!B:B)</f>
        <v>Class 1</v>
      </c>
      <c r="AJ528" s="56"/>
      <c r="AK528" s="56"/>
      <c r="AL528" s="49">
        <v>0.015</v>
      </c>
      <c r="AM528" s="49">
        <f t="array" ref="AM528">XLOOKUP($AI528,Warranty!B:B,Warranty!E:E)</f>
        <v>0.005</v>
      </c>
      <c r="AN528" s="8">
        <f>IF($L528="AUD",VLOOKUP(RIGHT('Wk - Margins'!$J528,3),'AU Freight'!C:G,5,0),0)</f>
        <v>2145</v>
      </c>
      <c r="AO528" s="49">
        <f t="shared" si="11"/>
        <v>0</v>
      </c>
      <c r="AP528" s="63">
        <f t="shared" si="12"/>
        <v>2145</v>
      </c>
      <c r="AQ528" s="58">
        <f t="shared" si="13"/>
        <v>0.9370509488</v>
      </c>
      <c r="AR528" s="59">
        <f>IF(L528="AUD",O528*'Currency &amp; Conversion'!$L$7,'Wk - Margins'!O528)</f>
        <v>39432.65811</v>
      </c>
      <c r="AS528" s="59">
        <f>IF(L528="AUD",P528*'Currency &amp; Conversion'!$L$7,'Wk - Margins'!P528)</f>
        <v>22880.79634</v>
      </c>
    </row>
    <row r="529" ht="12.75" hidden="1" customHeight="1">
      <c r="A529" s="42" t="str">
        <f>'Input - Bookings'!A529</f>
        <v>28/06/2023</v>
      </c>
      <c r="B529" s="43" t="str">
        <f t="shared" si="1"/>
        <v>Australia</v>
      </c>
      <c r="C529" s="43" t="str">
        <f t="shared" si="2"/>
        <v>PAU</v>
      </c>
      <c r="D529" s="43" t="str">
        <f>'Input - Bookings'!D529</f>
        <v>P</v>
      </c>
      <c r="E529" s="43" t="str">
        <f>'Input - Bookings'!J529</f>
        <v>AU</v>
      </c>
      <c r="F529" s="44" t="str">
        <f>'Input - Bookings'!F529</f>
        <v>065</v>
      </c>
      <c r="G529" s="44" t="str">
        <f>'Input - Bookings'!I529</f>
        <v>ADAPT-A-LIFT GROUP (WA)</v>
      </c>
      <c r="H529" s="44" t="str">
        <f>'Input - Bookings'!K529</f>
        <v>H40791</v>
      </c>
      <c r="I529" s="45" t="str">
        <f>VLOOKUP(H529,'Input - Bookings'!$G$2:$H$611,2,0)</f>
        <v>087605</v>
      </c>
      <c r="J529" s="44" t="str">
        <f>'Input - Bookings'!N529</f>
        <v>C225</v>
      </c>
      <c r="K529" s="44" t="str">
        <f>'Input - Bookings'!O529</f>
        <v>J3.0GX</v>
      </c>
      <c r="L529" s="44" t="str">
        <f>'Input - Bookings'!C529</f>
        <v>AUD</v>
      </c>
      <c r="M529" s="46" t="str">
        <f t="array" ref="M529">IF(L529="USD",INDEX('AP Plants'!A:A,MATCH(J529,'AP Plants'!D:D,0)),INDEX('Australia Plants'!A:A,MATCH(J529,'Australia Plants'!D:D,0)))</f>
        <v>SN</v>
      </c>
      <c r="N529" s="10">
        <v>1.0</v>
      </c>
      <c r="O529" s="9">
        <v>58725.0</v>
      </c>
      <c r="P529" s="9">
        <v>34075.176</v>
      </c>
      <c r="Q529" s="47">
        <v>0.03469643237693576</v>
      </c>
      <c r="R529" s="48">
        <f t="shared" si="3"/>
        <v>0.4197500894</v>
      </c>
      <c r="S529" s="49">
        <f t="shared" si="4"/>
        <v>0</v>
      </c>
      <c r="T529" s="49">
        <f t="shared" si="21"/>
        <v>0.03469643238</v>
      </c>
      <c r="U529" s="50" t="str">
        <f t="shared" si="6"/>
        <v>AOP</v>
      </c>
      <c r="V529" s="51">
        <f t="shared" si="28"/>
        <v>1182.28704</v>
      </c>
      <c r="W529" s="52" t="str">
        <f t="shared" si="8"/>
        <v>#DIV/0!</v>
      </c>
      <c r="X529" s="9" t="str">
        <f t="shared" si="25"/>
        <v>#DIV/0!</v>
      </c>
      <c r="Y529" s="8"/>
      <c r="Z529" s="8"/>
      <c r="AA529" s="8"/>
      <c r="AB529" s="8" t="str">
        <f t="shared" si="10"/>
        <v>PAUH40791J3.0GX</v>
      </c>
      <c r="AC529" s="8" t="str">
        <f>IF(AB529='Input - Bookings'!S762,"OK","Check")</f>
        <v>Check</v>
      </c>
      <c r="AD529" s="53"/>
      <c r="AE529" s="65"/>
      <c r="AF529" s="65"/>
      <c r="AG529" s="55"/>
      <c r="AH529" s="62"/>
      <c r="AI529" s="8" t="str">
        <f t="array" ref="AI529">XLOOKUP($J529,'AP Plants'!D:D,'AP Plants'!B:B)</f>
        <v>Class 1</v>
      </c>
      <c r="AJ529" s="56"/>
      <c r="AK529" s="56"/>
      <c r="AL529" s="49">
        <v>0.015</v>
      </c>
      <c r="AM529" s="49">
        <f t="array" ref="AM529">XLOOKUP($AI529,Warranty!B:B,Warranty!E:E)</f>
        <v>0.005</v>
      </c>
      <c r="AN529" s="8">
        <f>IF($L529="AUD",VLOOKUP(RIGHT('Wk - Margins'!$J529,3),'AU Freight'!C:G,5,0),0)</f>
        <v>2145</v>
      </c>
      <c r="AO529" s="49">
        <f t="shared" si="11"/>
        <v>0</v>
      </c>
      <c r="AP529" s="63">
        <f t="shared" si="12"/>
        <v>2145</v>
      </c>
      <c r="AQ529" s="58">
        <f t="shared" si="13"/>
        <v>0.9370509488</v>
      </c>
      <c r="AR529" s="59">
        <f>IF(L529="AUD",O529*'Currency &amp; Conversion'!$L$7,'Wk - Margins'!O529)</f>
        <v>39432.65811</v>
      </c>
      <c r="AS529" s="59">
        <f>IF(L529="AUD",P529*'Currency &amp; Conversion'!$L$7,'Wk - Margins'!P529)</f>
        <v>22880.79634</v>
      </c>
    </row>
    <row r="530" ht="12.75" hidden="1" customHeight="1">
      <c r="A530" s="42" t="str">
        <f>'Input - Bookings'!A530</f>
        <v>28/06/2023</v>
      </c>
      <c r="B530" s="43" t="str">
        <f t="shared" si="1"/>
        <v>Australia</v>
      </c>
      <c r="C530" s="43" t="str">
        <f t="shared" si="2"/>
        <v>PAU</v>
      </c>
      <c r="D530" s="43" t="str">
        <f>'Input - Bookings'!D530</f>
        <v>P</v>
      </c>
      <c r="E530" s="43" t="str">
        <f>'Input - Bookings'!J530</f>
        <v>AU</v>
      </c>
      <c r="F530" s="44" t="str">
        <f>'Input - Bookings'!F530</f>
        <v>065</v>
      </c>
      <c r="G530" s="44" t="str">
        <f>'Input - Bookings'!I530</f>
        <v>ADAPT-A-LIFT GROUP (WA)</v>
      </c>
      <c r="H530" s="44" t="str">
        <f>'Input - Bookings'!K530</f>
        <v>H40792</v>
      </c>
      <c r="I530" s="45" t="str">
        <f>VLOOKUP(H530,'Input - Bookings'!$G$2:$H$611,2,0)</f>
        <v>087605</v>
      </c>
      <c r="J530" s="44" t="str">
        <f>'Input - Bookings'!N530</f>
        <v>C225</v>
      </c>
      <c r="K530" s="44" t="str">
        <f>'Input - Bookings'!O530</f>
        <v>J3.0GX</v>
      </c>
      <c r="L530" s="44" t="str">
        <f>'Input - Bookings'!C530</f>
        <v>AUD</v>
      </c>
      <c r="M530" s="46" t="str">
        <f t="array" ref="M530">IF(L530="USD",INDEX('AP Plants'!A:A,MATCH(J530,'AP Plants'!D:D,0)),INDEX('Australia Plants'!A:A,MATCH(J530,'Australia Plants'!D:D,0)))</f>
        <v>SN</v>
      </c>
      <c r="N530" s="10">
        <v>1.0</v>
      </c>
      <c r="O530" s="9">
        <v>58725.0</v>
      </c>
      <c r="P530" s="9">
        <v>34075.176</v>
      </c>
      <c r="Q530" s="47">
        <v>0.03469643237693576</v>
      </c>
      <c r="R530" s="48">
        <f t="shared" si="3"/>
        <v>0.4197500894</v>
      </c>
      <c r="S530" s="49">
        <f t="shared" si="4"/>
        <v>0</v>
      </c>
      <c r="T530" s="49">
        <f t="shared" si="21"/>
        <v>0.03469643238</v>
      </c>
      <c r="U530" s="50" t="str">
        <f t="shared" si="6"/>
        <v>AOP</v>
      </c>
      <c r="V530" s="51">
        <f t="shared" si="28"/>
        <v>1182.28704</v>
      </c>
      <c r="W530" s="52" t="str">
        <f t="shared" si="8"/>
        <v>#DIV/0!</v>
      </c>
      <c r="X530" s="9" t="str">
        <f t="shared" si="25"/>
        <v>#DIV/0!</v>
      </c>
      <c r="Y530" s="8"/>
      <c r="Z530" s="8"/>
      <c r="AA530" s="8"/>
      <c r="AB530" s="8" t="str">
        <f t="shared" si="10"/>
        <v>PAUH40792J3.0GX</v>
      </c>
      <c r="AC530" s="8" t="str">
        <f>IF(AB530='Input - Bookings'!S763,"OK","Check")</f>
        <v>Check</v>
      </c>
      <c r="AD530" s="53"/>
      <c r="AE530" s="65"/>
      <c r="AF530" s="65"/>
      <c r="AG530" s="55"/>
      <c r="AH530" s="62"/>
      <c r="AI530" s="8" t="str">
        <f t="array" ref="AI530">XLOOKUP($J530,'AP Plants'!D:D,'AP Plants'!B:B)</f>
        <v>Class 1</v>
      </c>
      <c r="AJ530" s="56"/>
      <c r="AK530" s="56"/>
      <c r="AL530" s="49">
        <v>0.015</v>
      </c>
      <c r="AM530" s="49">
        <f t="array" ref="AM530">XLOOKUP($AI530,Warranty!B:B,Warranty!E:E)</f>
        <v>0.005</v>
      </c>
      <c r="AN530" s="8">
        <f>IF($L530="AUD",VLOOKUP(RIGHT('Wk - Margins'!$J530,3),'AU Freight'!C:G,5,0),0)</f>
        <v>2145</v>
      </c>
      <c r="AO530" s="49">
        <f t="shared" si="11"/>
        <v>0</v>
      </c>
      <c r="AP530" s="63">
        <f t="shared" si="12"/>
        <v>2145</v>
      </c>
      <c r="AQ530" s="58">
        <f t="shared" si="13"/>
        <v>0.9370509488</v>
      </c>
      <c r="AR530" s="59">
        <f>IF(L530="AUD",O530*'Currency &amp; Conversion'!$L$7,'Wk - Margins'!O530)</f>
        <v>39432.65811</v>
      </c>
      <c r="AS530" s="59">
        <f>IF(L530="AUD",P530*'Currency &amp; Conversion'!$L$7,'Wk - Margins'!P530)</f>
        <v>22880.79634</v>
      </c>
    </row>
    <row r="531" ht="12.75" customHeight="1">
      <c r="A531" s="42" t="str">
        <f>'Input - Bookings'!A531</f>
        <v>28/06/2023</v>
      </c>
      <c r="B531" s="43" t="str">
        <f t="shared" si="1"/>
        <v>Australia</v>
      </c>
      <c r="C531" s="43" t="str">
        <f t="shared" si="2"/>
        <v>PAU</v>
      </c>
      <c r="D531" s="43" t="str">
        <f>'Input - Bookings'!D531</f>
        <v>P</v>
      </c>
      <c r="E531" s="43" t="str">
        <f>'Input - Bookings'!J531</f>
        <v>AU</v>
      </c>
      <c r="F531" s="44" t="str">
        <f>'Input - Bookings'!F531</f>
        <v>065</v>
      </c>
      <c r="G531" s="44" t="str">
        <f>'Input - Bookings'!I531</f>
        <v>ADAPT-A-LIFT GROUP (WA)</v>
      </c>
      <c r="H531" s="44" t="str">
        <f>'Input - Bookings'!K531</f>
        <v>H40786</v>
      </c>
      <c r="I531" s="45" t="str">
        <f>VLOOKUP(H531,'Input - Bookings'!$G$2:$H$611,2,0)</f>
        <v>087605</v>
      </c>
      <c r="J531" s="44" t="str">
        <f>'Input - Bookings'!N531</f>
        <v>D435</v>
      </c>
      <c r="K531" s="44" t="str">
        <f>'Input - Bookings'!O531</f>
        <v>R2.0HD</v>
      </c>
      <c r="L531" s="44" t="str">
        <f>'Input - Bookings'!C531</f>
        <v>AUD</v>
      </c>
      <c r="M531" s="46" t="str">
        <f t="array" ref="M531">IF(L531="USD",INDEX('AP Plants'!A:A,MATCH(J531,'AP Plants'!D:D,0)),INDEX('Australia Plants'!A:A,MATCH(J531,'Australia Plants'!D:D,0)))</f>
        <v>Masate</v>
      </c>
      <c r="N531" s="10">
        <v>1.0</v>
      </c>
      <c r="O531" s="9">
        <v>105205.0</v>
      </c>
      <c r="P531" s="9">
        <v>49162.6875</v>
      </c>
      <c r="Q531" s="47">
        <f t="shared" ref="Q531:Q558" si="48">AQ531</f>
        <v>0.08562986746</v>
      </c>
      <c r="R531" s="48">
        <f t="shared" si="3"/>
        <v>0.5326962834</v>
      </c>
      <c r="S531" s="49">
        <f t="shared" si="4"/>
        <v>0</v>
      </c>
      <c r="T531" s="49">
        <f t="shared" si="21"/>
        <v>0.08562986746</v>
      </c>
      <c r="U531" s="50" t="str">
        <f t="shared" si="6"/>
        <v>AOP</v>
      </c>
      <c r="V531" s="51">
        <f t="shared" si="28"/>
        <v>4209.794415</v>
      </c>
      <c r="W531" s="52" t="str">
        <f t="shared" si="8"/>
        <v>#DIV/0!</v>
      </c>
      <c r="X531" s="9" t="str">
        <f t="shared" si="25"/>
        <v>#DIV/0!</v>
      </c>
      <c r="Y531" s="8"/>
      <c r="Z531" s="8"/>
      <c r="AA531" s="8"/>
      <c r="AB531" s="8" t="str">
        <f t="shared" si="10"/>
        <v>PAUH40786R2.0HD</v>
      </c>
      <c r="AC531" s="8" t="str">
        <f>IF(AB531='Input - Bookings'!S764,"OK","Check")</f>
        <v>Check</v>
      </c>
      <c r="AD531" s="53"/>
      <c r="AE531" s="65">
        <v>0.0</v>
      </c>
      <c r="AF531" s="65">
        <v>0.0</v>
      </c>
      <c r="AG531" s="62"/>
      <c r="AH531" s="55">
        <v>25363.97</v>
      </c>
      <c r="AI531" s="8" t="str">
        <f t="array" ref="AI531">XLOOKUP($J531,'AP Plants'!D:D,'AP Plants'!B:B)</f>
        <v>Class 2</v>
      </c>
      <c r="AJ531" s="56">
        <f>(AH531*(1+VLOOKUP(M531,'Currency &amp; Conversion'!$F$13:$H$19,2,0))*'Currency &amp; Conversion'!$L$4)+((AE531+AF531)*90%)</f>
        <v>40264.94474</v>
      </c>
      <c r="AK531" s="56"/>
      <c r="AL531" s="49">
        <v>0.015</v>
      </c>
      <c r="AM531" s="49">
        <f t="array" ref="AM531">XLOOKUP($AI531,Warranty!B:B,Warranty!E:E)</f>
        <v>0.015</v>
      </c>
      <c r="AN531" s="8">
        <f>IF($L531="AUD",VLOOKUP(RIGHT('Wk - Margins'!$J531,3),'AU Freight'!C:G,5,0),0)</f>
        <v>3480</v>
      </c>
      <c r="AO531" s="49">
        <f t="shared" si="11"/>
        <v>0</v>
      </c>
      <c r="AP531" s="63">
        <f t="shared" si="12"/>
        <v>44952.89309</v>
      </c>
      <c r="AQ531" s="64">
        <f t="shared" si="13"/>
        <v>0.08562986746</v>
      </c>
      <c r="AR531" s="59">
        <f>IF(L531="AUD",O531*'Currency &amp; Conversion'!$L$7,'Wk - Margins'!O531)</f>
        <v>70643.04464</v>
      </c>
      <c r="AS531" s="59">
        <f>IF(L531="AUD",P531*'Currency &amp; Conversion'!$L$7,'Wk - Margins'!P531)</f>
        <v>33011.75731</v>
      </c>
    </row>
    <row r="532" ht="12.75" customHeight="1">
      <c r="A532" s="42" t="str">
        <f>'Input - Bookings'!A532</f>
        <v>28/06/2023</v>
      </c>
      <c r="B532" s="43" t="str">
        <f t="shared" si="1"/>
        <v>Australia</v>
      </c>
      <c r="C532" s="43" t="str">
        <f t="shared" si="2"/>
        <v>PAU</v>
      </c>
      <c r="D532" s="43" t="str">
        <f>'Input - Bookings'!D532</f>
        <v>P</v>
      </c>
      <c r="E532" s="43" t="str">
        <f>'Input - Bookings'!J532</f>
        <v>AU</v>
      </c>
      <c r="F532" s="44" t="str">
        <f>'Input - Bookings'!F532</f>
        <v>065</v>
      </c>
      <c r="G532" s="44" t="str">
        <f>'Input - Bookings'!I532</f>
        <v>ADAPT-A-LIFT GROUP (WA)</v>
      </c>
      <c r="H532" s="44" t="str">
        <f>'Input - Bookings'!K532</f>
        <v>H40793</v>
      </c>
      <c r="I532" s="45" t="str">
        <f>VLOOKUP(H532,'Input - Bookings'!$G$2:$H$611,2,0)</f>
        <v>087605</v>
      </c>
      <c r="J532" s="44" t="str">
        <f>'Input - Bookings'!N532</f>
        <v>D435</v>
      </c>
      <c r="K532" s="44" t="str">
        <f>'Input - Bookings'!O532</f>
        <v>R2.0HD</v>
      </c>
      <c r="L532" s="44" t="str">
        <f>'Input - Bookings'!C532</f>
        <v>AUD</v>
      </c>
      <c r="M532" s="46" t="str">
        <f t="array" ref="M532">IF(L532="USD",INDEX('AP Plants'!A:A,MATCH(J532,'AP Plants'!D:D,0)),INDEX('Australia Plants'!A:A,MATCH(J532,'Australia Plants'!D:D,0)))</f>
        <v>Masate</v>
      </c>
      <c r="N532" s="10">
        <v>1.0</v>
      </c>
      <c r="O532" s="9">
        <v>105205.0</v>
      </c>
      <c r="P532" s="9">
        <v>49162.6875</v>
      </c>
      <c r="Q532" s="47">
        <f t="shared" si="48"/>
        <v>0.08562986746</v>
      </c>
      <c r="R532" s="48">
        <f t="shared" si="3"/>
        <v>0.5326962834</v>
      </c>
      <c r="S532" s="49">
        <f t="shared" si="4"/>
        <v>0</v>
      </c>
      <c r="T532" s="49">
        <f t="shared" si="21"/>
        <v>0.08562986746</v>
      </c>
      <c r="U532" s="50" t="str">
        <f t="shared" si="6"/>
        <v>AOP</v>
      </c>
      <c r="V532" s="51">
        <f t="shared" si="28"/>
        <v>4209.794415</v>
      </c>
      <c r="W532" s="52" t="str">
        <f t="shared" si="8"/>
        <v>#DIV/0!</v>
      </c>
      <c r="X532" s="9" t="str">
        <f t="shared" si="25"/>
        <v>#DIV/0!</v>
      </c>
      <c r="Y532" s="8"/>
      <c r="Z532" s="8"/>
      <c r="AA532" s="8"/>
      <c r="AB532" s="8" t="str">
        <f t="shared" si="10"/>
        <v>PAUH40793R2.0HD</v>
      </c>
      <c r="AC532" s="8" t="str">
        <f>IF(AB532='Input - Bookings'!S765,"OK","Check")</f>
        <v>Check</v>
      </c>
      <c r="AD532" s="53"/>
      <c r="AE532" s="65">
        <v>0.0</v>
      </c>
      <c r="AF532" s="65">
        <v>0.0</v>
      </c>
      <c r="AG532" s="62"/>
      <c r="AH532" s="55">
        <v>25363.97</v>
      </c>
      <c r="AI532" s="8" t="str">
        <f t="array" ref="AI532">XLOOKUP($J532,'AP Plants'!D:D,'AP Plants'!B:B)</f>
        <v>Class 2</v>
      </c>
      <c r="AJ532" s="56">
        <f>(AH532*(1+VLOOKUP(M532,'Currency &amp; Conversion'!$F$13:$H$19,2,0))*'Currency &amp; Conversion'!$L$4)+((AE532+AF532)*90%)</f>
        <v>40264.94474</v>
      </c>
      <c r="AK532" s="56"/>
      <c r="AL532" s="49">
        <v>0.015</v>
      </c>
      <c r="AM532" s="49">
        <f t="array" ref="AM532">XLOOKUP($AI532,Warranty!B:B,Warranty!E:E)</f>
        <v>0.015</v>
      </c>
      <c r="AN532" s="8">
        <f>IF($L532="AUD",VLOOKUP(RIGHT('Wk - Margins'!$J532,3),'AU Freight'!C:G,5,0),0)</f>
        <v>3480</v>
      </c>
      <c r="AO532" s="49">
        <f t="shared" si="11"/>
        <v>0</v>
      </c>
      <c r="AP532" s="63">
        <f t="shared" si="12"/>
        <v>44952.89309</v>
      </c>
      <c r="AQ532" s="64">
        <f t="shared" si="13"/>
        <v>0.08562986746</v>
      </c>
      <c r="AR532" s="59">
        <f>IF(L532="AUD",O532*'Currency &amp; Conversion'!$L$7,'Wk - Margins'!O532)</f>
        <v>70643.04464</v>
      </c>
      <c r="AS532" s="59">
        <f>IF(L532="AUD",P532*'Currency &amp; Conversion'!$L$7,'Wk - Margins'!P532)</f>
        <v>33011.75731</v>
      </c>
    </row>
    <row r="533" ht="12.75" customHeight="1">
      <c r="A533" s="42" t="str">
        <f>'Input - Bookings'!A533</f>
        <v>28/06/2023</v>
      </c>
      <c r="B533" s="43" t="str">
        <f t="shared" si="1"/>
        <v>Australia</v>
      </c>
      <c r="C533" s="43" t="str">
        <f t="shared" si="2"/>
        <v>PAU</v>
      </c>
      <c r="D533" s="43" t="str">
        <f>'Input - Bookings'!D533</f>
        <v>P</v>
      </c>
      <c r="E533" s="43" t="str">
        <f>'Input - Bookings'!J533</f>
        <v>AU</v>
      </c>
      <c r="F533" s="44" t="str">
        <f>'Input - Bookings'!F533</f>
        <v>065</v>
      </c>
      <c r="G533" s="44" t="str">
        <f>'Input - Bookings'!I533</f>
        <v>ADAPT-A-LIFT GROUP (WA)</v>
      </c>
      <c r="H533" s="44" t="str">
        <f>'Input - Bookings'!K533</f>
        <v>H40794</v>
      </c>
      <c r="I533" s="45" t="str">
        <f>VLOOKUP(H533,'Input - Bookings'!$G$2:$H$611,2,0)</f>
        <v>087605</v>
      </c>
      <c r="J533" s="44" t="str">
        <f>'Input - Bookings'!N533</f>
        <v>D435</v>
      </c>
      <c r="K533" s="44" t="str">
        <f>'Input - Bookings'!O533</f>
        <v>R2.0HD</v>
      </c>
      <c r="L533" s="44" t="str">
        <f>'Input - Bookings'!C533</f>
        <v>AUD</v>
      </c>
      <c r="M533" s="46" t="str">
        <f t="array" ref="M533">IF(L533="USD",INDEX('AP Plants'!A:A,MATCH(J533,'AP Plants'!D:D,0)),INDEX('Australia Plants'!A:A,MATCH(J533,'Australia Plants'!D:D,0)))</f>
        <v>Masate</v>
      </c>
      <c r="N533" s="10">
        <v>1.0</v>
      </c>
      <c r="O533" s="9">
        <v>105205.0</v>
      </c>
      <c r="P533" s="9">
        <v>49162.6875</v>
      </c>
      <c r="Q533" s="47">
        <f t="shared" si="48"/>
        <v>0.08562986746</v>
      </c>
      <c r="R533" s="48">
        <f t="shared" si="3"/>
        <v>0.5326962834</v>
      </c>
      <c r="S533" s="49">
        <f t="shared" si="4"/>
        <v>0</v>
      </c>
      <c r="T533" s="49">
        <f t="shared" si="21"/>
        <v>0.08562986746</v>
      </c>
      <c r="U533" s="50" t="str">
        <f t="shared" si="6"/>
        <v>AOP</v>
      </c>
      <c r="V533" s="51">
        <f t="shared" si="28"/>
        <v>4209.794415</v>
      </c>
      <c r="W533" s="52" t="str">
        <f t="shared" si="8"/>
        <v>#DIV/0!</v>
      </c>
      <c r="X533" s="9" t="str">
        <f t="shared" si="25"/>
        <v>#DIV/0!</v>
      </c>
      <c r="Y533" s="8"/>
      <c r="Z533" s="8"/>
      <c r="AA533" s="8"/>
      <c r="AB533" s="8" t="str">
        <f t="shared" si="10"/>
        <v>PAUH40794R2.0HD</v>
      </c>
      <c r="AC533" s="8" t="str">
        <f>IF(AB533='Input - Bookings'!S766,"OK","Check")</f>
        <v>Check</v>
      </c>
      <c r="AD533" s="53"/>
      <c r="AE533" s="65">
        <v>0.0</v>
      </c>
      <c r="AF533" s="65">
        <v>0.0</v>
      </c>
      <c r="AG533" s="62"/>
      <c r="AH533" s="55">
        <v>25363.97</v>
      </c>
      <c r="AI533" s="8" t="str">
        <f t="array" ref="AI533">XLOOKUP($J533,'AP Plants'!D:D,'AP Plants'!B:B)</f>
        <v>Class 2</v>
      </c>
      <c r="AJ533" s="56">
        <f>(AH533*(1+VLOOKUP(M533,'Currency &amp; Conversion'!$F$13:$H$19,2,0))*'Currency &amp; Conversion'!$L$4)+((AE533+AF533)*90%)</f>
        <v>40264.94474</v>
      </c>
      <c r="AK533" s="56"/>
      <c r="AL533" s="49">
        <v>0.015</v>
      </c>
      <c r="AM533" s="49">
        <f t="array" ref="AM533">XLOOKUP($AI533,Warranty!B:B,Warranty!E:E)</f>
        <v>0.015</v>
      </c>
      <c r="AN533" s="8">
        <f>IF($L533="AUD",VLOOKUP(RIGHT('Wk - Margins'!$J533,3),'AU Freight'!C:G,5,0),0)</f>
        <v>3480</v>
      </c>
      <c r="AO533" s="49">
        <f t="shared" si="11"/>
        <v>0</v>
      </c>
      <c r="AP533" s="63">
        <f t="shared" si="12"/>
        <v>44952.89309</v>
      </c>
      <c r="AQ533" s="64">
        <f t="shared" si="13"/>
        <v>0.08562986746</v>
      </c>
      <c r="AR533" s="59">
        <f>IF(L533="AUD",O533*'Currency &amp; Conversion'!$L$7,'Wk - Margins'!O533)</f>
        <v>70643.04464</v>
      </c>
      <c r="AS533" s="59">
        <f>IF(L533="AUD",P533*'Currency &amp; Conversion'!$L$7,'Wk - Margins'!P533)</f>
        <v>33011.75731</v>
      </c>
    </row>
    <row r="534" ht="12.75" customHeight="1">
      <c r="A534" s="42" t="str">
        <f>'Input - Bookings'!A534</f>
        <v>28/06/2023</v>
      </c>
      <c r="B534" s="43" t="str">
        <f t="shared" si="1"/>
        <v>Australia</v>
      </c>
      <c r="C534" s="43" t="str">
        <f t="shared" si="2"/>
        <v>PAU</v>
      </c>
      <c r="D534" s="43" t="str">
        <f>'Input - Bookings'!D534</f>
        <v>P</v>
      </c>
      <c r="E534" s="43" t="str">
        <f>'Input - Bookings'!J534</f>
        <v>AU</v>
      </c>
      <c r="F534" s="44" t="str">
        <f>'Input - Bookings'!F534</f>
        <v>065</v>
      </c>
      <c r="G534" s="44" t="str">
        <f>'Input - Bookings'!I534</f>
        <v>ADAPT-A-LIFT GROUP (WA)</v>
      </c>
      <c r="H534" s="44" t="str">
        <f>'Input - Bookings'!K534</f>
        <v>H40795</v>
      </c>
      <c r="I534" s="45" t="str">
        <f>VLOOKUP(H534,'Input - Bookings'!$G$2:$H$611,2,0)</f>
        <v>087605</v>
      </c>
      <c r="J534" s="44" t="str">
        <f>'Input - Bookings'!N534</f>
        <v>D435</v>
      </c>
      <c r="K534" s="44" t="str">
        <f>'Input - Bookings'!O534</f>
        <v>R2.0HD</v>
      </c>
      <c r="L534" s="44" t="str">
        <f>'Input - Bookings'!C534</f>
        <v>AUD</v>
      </c>
      <c r="M534" s="46" t="str">
        <f t="array" ref="M534">IF(L534="USD",INDEX('AP Plants'!A:A,MATCH(J534,'AP Plants'!D:D,0)),INDEX('Australia Plants'!A:A,MATCH(J534,'Australia Plants'!D:D,0)))</f>
        <v>Masate</v>
      </c>
      <c r="N534" s="10">
        <v>1.0</v>
      </c>
      <c r="O534" s="9">
        <v>105205.0</v>
      </c>
      <c r="P534" s="9">
        <v>49162.6875</v>
      </c>
      <c r="Q534" s="47">
        <f t="shared" si="48"/>
        <v>0.08562986746</v>
      </c>
      <c r="R534" s="48">
        <f t="shared" si="3"/>
        <v>0.5326962834</v>
      </c>
      <c r="S534" s="49">
        <f t="shared" si="4"/>
        <v>0</v>
      </c>
      <c r="T534" s="49">
        <f t="shared" si="21"/>
        <v>0.08562986746</v>
      </c>
      <c r="U534" s="50" t="str">
        <f t="shared" si="6"/>
        <v>AOP</v>
      </c>
      <c r="V534" s="51">
        <f t="shared" si="28"/>
        <v>4209.794415</v>
      </c>
      <c r="W534" s="52" t="str">
        <f t="shared" si="8"/>
        <v>#DIV/0!</v>
      </c>
      <c r="X534" s="9" t="str">
        <f t="shared" si="25"/>
        <v>#DIV/0!</v>
      </c>
      <c r="Y534" s="8"/>
      <c r="Z534" s="8"/>
      <c r="AA534" s="8"/>
      <c r="AB534" s="8" t="str">
        <f t="shared" si="10"/>
        <v>PAUH40795R2.0HD</v>
      </c>
      <c r="AC534" s="8" t="str">
        <f>IF(AB534='Input - Bookings'!S767,"OK","Check")</f>
        <v>Check</v>
      </c>
      <c r="AD534" s="53"/>
      <c r="AE534" s="65">
        <v>0.0</v>
      </c>
      <c r="AF534" s="65">
        <v>0.0</v>
      </c>
      <c r="AG534" s="62"/>
      <c r="AH534" s="55">
        <v>25363.97</v>
      </c>
      <c r="AI534" s="8" t="str">
        <f t="array" ref="AI534">XLOOKUP($J534,'AP Plants'!D:D,'AP Plants'!B:B)</f>
        <v>Class 2</v>
      </c>
      <c r="AJ534" s="56">
        <f>(AH534*(1+VLOOKUP(M534,'Currency &amp; Conversion'!$F$13:$H$19,2,0))*'Currency &amp; Conversion'!$L$4)+((AE534+AF534)*90%)</f>
        <v>40264.94474</v>
      </c>
      <c r="AK534" s="56"/>
      <c r="AL534" s="49">
        <v>0.015</v>
      </c>
      <c r="AM534" s="49">
        <f t="array" ref="AM534">XLOOKUP($AI534,Warranty!B:B,Warranty!E:E)</f>
        <v>0.015</v>
      </c>
      <c r="AN534" s="8">
        <f>IF($L534="AUD",VLOOKUP(RIGHT('Wk - Margins'!$J534,3),'AU Freight'!C:G,5,0),0)</f>
        <v>3480</v>
      </c>
      <c r="AO534" s="49">
        <f t="shared" si="11"/>
        <v>0</v>
      </c>
      <c r="AP534" s="63">
        <f t="shared" si="12"/>
        <v>44952.89309</v>
      </c>
      <c r="AQ534" s="64">
        <f t="shared" si="13"/>
        <v>0.08562986746</v>
      </c>
      <c r="AR534" s="59">
        <f>IF(L534="AUD",O534*'Currency &amp; Conversion'!$L$7,'Wk - Margins'!O534)</f>
        <v>70643.04464</v>
      </c>
      <c r="AS534" s="59">
        <f>IF(L534="AUD",P534*'Currency &amp; Conversion'!$L$7,'Wk - Margins'!P534)</f>
        <v>33011.75731</v>
      </c>
    </row>
    <row r="535" ht="12.75" customHeight="1">
      <c r="A535" s="42" t="str">
        <f>'Input - Bookings'!A535</f>
        <v>28/06/2023</v>
      </c>
      <c r="B535" s="43" t="str">
        <f t="shared" si="1"/>
        <v>Australia</v>
      </c>
      <c r="C535" s="43" t="str">
        <f t="shared" si="2"/>
        <v>PAU</v>
      </c>
      <c r="D535" s="43" t="str">
        <f>'Input - Bookings'!D535</f>
        <v>P</v>
      </c>
      <c r="E535" s="43" t="str">
        <f>'Input - Bookings'!J535</f>
        <v>AU</v>
      </c>
      <c r="F535" s="44" t="str">
        <f>'Input - Bookings'!F535</f>
        <v>065</v>
      </c>
      <c r="G535" s="44" t="str">
        <f>'Input - Bookings'!I535</f>
        <v>ADAPT-A-LIFT GROUP (WA)</v>
      </c>
      <c r="H535" s="44" t="str">
        <f>'Input - Bookings'!K535</f>
        <v>H40796</v>
      </c>
      <c r="I535" s="45" t="str">
        <f>VLOOKUP(H535,'Input - Bookings'!$G$2:$H$611,2,0)</f>
        <v>087605</v>
      </c>
      <c r="J535" s="44" t="str">
        <f>'Input - Bookings'!N535</f>
        <v>D435</v>
      </c>
      <c r="K535" s="44" t="str">
        <f>'Input - Bookings'!O535</f>
        <v>R2.0HD</v>
      </c>
      <c r="L535" s="44" t="str">
        <f>'Input - Bookings'!C535</f>
        <v>AUD</v>
      </c>
      <c r="M535" s="46" t="str">
        <f t="array" ref="M535">IF(L535="USD",INDEX('AP Plants'!A:A,MATCH(J535,'AP Plants'!D:D,0)),INDEX('Australia Plants'!A:A,MATCH(J535,'Australia Plants'!D:D,0)))</f>
        <v>Masate</v>
      </c>
      <c r="N535" s="10">
        <v>1.0</v>
      </c>
      <c r="O535" s="9">
        <v>105205.0</v>
      </c>
      <c r="P535" s="9">
        <v>49162.6875</v>
      </c>
      <c r="Q535" s="47">
        <f t="shared" si="48"/>
        <v>0.08562986746</v>
      </c>
      <c r="R535" s="48">
        <f t="shared" si="3"/>
        <v>0.5326962834</v>
      </c>
      <c r="S535" s="49">
        <f t="shared" si="4"/>
        <v>0</v>
      </c>
      <c r="T535" s="49">
        <f t="shared" si="21"/>
        <v>0.08562986746</v>
      </c>
      <c r="U535" s="50" t="str">
        <f t="shared" si="6"/>
        <v>AOP</v>
      </c>
      <c r="V535" s="51">
        <f t="shared" si="28"/>
        <v>4209.794415</v>
      </c>
      <c r="W535" s="52" t="str">
        <f t="shared" si="8"/>
        <v>#DIV/0!</v>
      </c>
      <c r="X535" s="9" t="str">
        <f t="shared" si="25"/>
        <v>#DIV/0!</v>
      </c>
      <c r="Y535" s="8"/>
      <c r="Z535" s="8"/>
      <c r="AA535" s="8"/>
      <c r="AB535" s="8" t="str">
        <f t="shared" si="10"/>
        <v>PAUH40796R2.0HD</v>
      </c>
      <c r="AC535" s="8" t="str">
        <f>IF(AB535='Input - Bookings'!S768,"OK","Check")</f>
        <v>Check</v>
      </c>
      <c r="AD535" s="53"/>
      <c r="AE535" s="65">
        <v>0.0</v>
      </c>
      <c r="AF535" s="65">
        <v>0.0</v>
      </c>
      <c r="AG535" s="62"/>
      <c r="AH535" s="55">
        <v>25363.97</v>
      </c>
      <c r="AI535" s="8" t="str">
        <f t="array" ref="AI535">XLOOKUP($J535,'AP Plants'!D:D,'AP Plants'!B:B)</f>
        <v>Class 2</v>
      </c>
      <c r="AJ535" s="56">
        <f>(AH535*(1+VLOOKUP(M535,'Currency &amp; Conversion'!$F$13:$H$19,2,0))*'Currency &amp; Conversion'!$L$4)+((AE535+AF535)*90%)</f>
        <v>40264.94474</v>
      </c>
      <c r="AK535" s="56"/>
      <c r="AL535" s="49">
        <v>0.015</v>
      </c>
      <c r="AM535" s="49">
        <f t="array" ref="AM535">XLOOKUP($AI535,Warranty!B:B,Warranty!E:E)</f>
        <v>0.015</v>
      </c>
      <c r="AN535" s="8">
        <f>IF($L535="AUD",VLOOKUP(RIGHT('Wk - Margins'!$J535,3),'AU Freight'!C:G,5,0),0)</f>
        <v>3480</v>
      </c>
      <c r="AO535" s="49">
        <f t="shared" si="11"/>
        <v>0</v>
      </c>
      <c r="AP535" s="63">
        <f t="shared" si="12"/>
        <v>44952.89309</v>
      </c>
      <c r="AQ535" s="64">
        <f t="shared" si="13"/>
        <v>0.08562986746</v>
      </c>
      <c r="AR535" s="59">
        <f>IF(L535="AUD",O535*'Currency &amp; Conversion'!$L$7,'Wk - Margins'!O535)</f>
        <v>70643.04464</v>
      </c>
      <c r="AS535" s="59">
        <f>IF(L535="AUD",P535*'Currency &amp; Conversion'!$L$7,'Wk - Margins'!P535)</f>
        <v>33011.75731</v>
      </c>
    </row>
    <row r="536" ht="12.75" customHeight="1">
      <c r="A536" s="42" t="str">
        <f>'Input - Bookings'!A536</f>
        <v>28/06/2023</v>
      </c>
      <c r="B536" s="43" t="str">
        <f t="shared" si="1"/>
        <v>Australia</v>
      </c>
      <c r="C536" s="43" t="str">
        <f t="shared" si="2"/>
        <v>PAU</v>
      </c>
      <c r="D536" s="43" t="str">
        <f>'Input - Bookings'!D536</f>
        <v>P</v>
      </c>
      <c r="E536" s="43" t="str">
        <f>'Input - Bookings'!J536</f>
        <v>AU</v>
      </c>
      <c r="F536" s="44" t="str">
        <f>'Input - Bookings'!F536</f>
        <v>065</v>
      </c>
      <c r="G536" s="44" t="str">
        <f>'Input - Bookings'!I536</f>
        <v>ADAPT-A-LIFT GROUP (WA)</v>
      </c>
      <c r="H536" s="44" t="str">
        <f>'Input - Bookings'!K536</f>
        <v>H40797</v>
      </c>
      <c r="I536" s="45" t="str">
        <f>VLOOKUP(H536,'Input - Bookings'!$G$2:$H$611,2,0)</f>
        <v>087605</v>
      </c>
      <c r="J536" s="44" t="str">
        <f>'Input - Bookings'!N536</f>
        <v>D435</v>
      </c>
      <c r="K536" s="44" t="str">
        <f>'Input - Bookings'!O536</f>
        <v>R2.0HD</v>
      </c>
      <c r="L536" s="44" t="str">
        <f>'Input - Bookings'!C536</f>
        <v>AUD</v>
      </c>
      <c r="M536" s="46" t="str">
        <f t="array" ref="M536">IF(L536="USD",INDEX('AP Plants'!A:A,MATCH(J536,'AP Plants'!D:D,0)),INDEX('Australia Plants'!A:A,MATCH(J536,'Australia Plants'!D:D,0)))</f>
        <v>Masate</v>
      </c>
      <c r="N536" s="10">
        <v>1.0</v>
      </c>
      <c r="O536" s="9">
        <v>105205.0</v>
      </c>
      <c r="P536" s="9">
        <v>49162.6875</v>
      </c>
      <c r="Q536" s="47">
        <f t="shared" si="48"/>
        <v>0.08562986746</v>
      </c>
      <c r="R536" s="48">
        <f t="shared" si="3"/>
        <v>0.5326962834</v>
      </c>
      <c r="S536" s="49">
        <f t="shared" si="4"/>
        <v>0</v>
      </c>
      <c r="T536" s="49">
        <f t="shared" si="21"/>
        <v>0.08562986746</v>
      </c>
      <c r="U536" s="50" t="str">
        <f t="shared" si="6"/>
        <v>AOP</v>
      </c>
      <c r="V536" s="51">
        <f t="shared" si="28"/>
        <v>4209.794415</v>
      </c>
      <c r="W536" s="52" t="str">
        <f t="shared" si="8"/>
        <v>#DIV/0!</v>
      </c>
      <c r="X536" s="9" t="str">
        <f t="shared" si="25"/>
        <v>#DIV/0!</v>
      </c>
      <c r="Y536" s="8"/>
      <c r="Z536" s="8"/>
      <c r="AA536" s="8"/>
      <c r="AB536" s="8" t="str">
        <f t="shared" si="10"/>
        <v>PAUH40797R2.0HD</v>
      </c>
      <c r="AC536" s="8" t="str">
        <f>IF(AB536='Input - Bookings'!S769,"OK","Check")</f>
        <v>Check</v>
      </c>
      <c r="AD536" s="53"/>
      <c r="AE536" s="65">
        <v>0.0</v>
      </c>
      <c r="AF536" s="65">
        <v>0.0</v>
      </c>
      <c r="AG536" s="62"/>
      <c r="AH536" s="55">
        <v>25363.97</v>
      </c>
      <c r="AI536" s="8" t="str">
        <f t="array" ref="AI536">XLOOKUP($J536,'AP Plants'!D:D,'AP Plants'!B:B)</f>
        <v>Class 2</v>
      </c>
      <c r="AJ536" s="56">
        <f>(AH536*(1+VLOOKUP(M536,'Currency &amp; Conversion'!$F$13:$H$19,2,0))*'Currency &amp; Conversion'!$L$4)+((AE536+AF536)*90%)</f>
        <v>40264.94474</v>
      </c>
      <c r="AK536" s="56"/>
      <c r="AL536" s="49">
        <v>0.015</v>
      </c>
      <c r="AM536" s="49">
        <f t="array" ref="AM536">XLOOKUP($AI536,Warranty!B:B,Warranty!E:E)</f>
        <v>0.015</v>
      </c>
      <c r="AN536" s="8">
        <f>IF($L536="AUD",VLOOKUP(RIGHT('Wk - Margins'!$J536,3),'AU Freight'!C:G,5,0),0)</f>
        <v>3480</v>
      </c>
      <c r="AO536" s="49">
        <f t="shared" si="11"/>
        <v>0</v>
      </c>
      <c r="AP536" s="63">
        <f t="shared" si="12"/>
        <v>44952.89309</v>
      </c>
      <c r="AQ536" s="64">
        <f t="shared" si="13"/>
        <v>0.08562986746</v>
      </c>
      <c r="AR536" s="59">
        <f>IF(L536="AUD",O536*'Currency &amp; Conversion'!$L$7,'Wk - Margins'!O536)</f>
        <v>70643.04464</v>
      </c>
      <c r="AS536" s="59">
        <f>IF(L536="AUD",P536*'Currency &amp; Conversion'!$L$7,'Wk - Margins'!P536)</f>
        <v>33011.75731</v>
      </c>
    </row>
    <row r="537" ht="12.75" customHeight="1">
      <c r="A537" s="42" t="str">
        <f>'Input - Bookings'!A537</f>
        <v>28/06/2023</v>
      </c>
      <c r="B537" s="43" t="str">
        <f t="shared" si="1"/>
        <v>Australia</v>
      </c>
      <c r="C537" s="43" t="str">
        <f t="shared" si="2"/>
        <v>PAU</v>
      </c>
      <c r="D537" s="43" t="str">
        <f>'Input - Bookings'!D537</f>
        <v>P</v>
      </c>
      <c r="E537" s="43" t="str">
        <f>'Input - Bookings'!J537</f>
        <v>AU</v>
      </c>
      <c r="F537" s="44" t="str">
        <f>'Input - Bookings'!F537</f>
        <v>065</v>
      </c>
      <c r="G537" s="44" t="str">
        <f>'Input - Bookings'!I537</f>
        <v>ADAPT-A-LIFT GROUP (WA)</v>
      </c>
      <c r="H537" s="44" t="str">
        <f>'Input - Bookings'!K537</f>
        <v>H40798</v>
      </c>
      <c r="I537" s="45" t="str">
        <f>VLOOKUP(H537,'Input - Bookings'!$G$2:$H$611,2,0)</f>
        <v>087605</v>
      </c>
      <c r="J537" s="44" t="str">
        <f>'Input - Bookings'!N537</f>
        <v>D435</v>
      </c>
      <c r="K537" s="44" t="str">
        <f>'Input - Bookings'!O537</f>
        <v>R2.0HD</v>
      </c>
      <c r="L537" s="44" t="str">
        <f>'Input - Bookings'!C537</f>
        <v>AUD</v>
      </c>
      <c r="M537" s="46" t="str">
        <f t="array" ref="M537">IF(L537="USD",INDEX('AP Plants'!A:A,MATCH(J537,'AP Plants'!D:D,0)),INDEX('Australia Plants'!A:A,MATCH(J537,'Australia Plants'!D:D,0)))</f>
        <v>Masate</v>
      </c>
      <c r="N537" s="10">
        <v>1.0</v>
      </c>
      <c r="O537" s="9">
        <v>105205.0</v>
      </c>
      <c r="P537" s="9">
        <v>49162.6875</v>
      </c>
      <c r="Q537" s="47">
        <f t="shared" si="48"/>
        <v>0.08562986746</v>
      </c>
      <c r="R537" s="48">
        <f t="shared" si="3"/>
        <v>0.5326962834</v>
      </c>
      <c r="S537" s="49">
        <f t="shared" si="4"/>
        <v>0</v>
      </c>
      <c r="T537" s="49">
        <f t="shared" si="21"/>
        <v>0.08562986746</v>
      </c>
      <c r="U537" s="50" t="str">
        <f t="shared" si="6"/>
        <v>AOP</v>
      </c>
      <c r="V537" s="51">
        <f t="shared" si="28"/>
        <v>4209.794415</v>
      </c>
      <c r="W537" s="52" t="str">
        <f t="shared" si="8"/>
        <v>#DIV/0!</v>
      </c>
      <c r="X537" s="9" t="str">
        <f t="shared" si="25"/>
        <v>#DIV/0!</v>
      </c>
      <c r="Y537" s="8"/>
      <c r="Z537" s="8"/>
      <c r="AA537" s="8"/>
      <c r="AB537" s="8" t="str">
        <f t="shared" si="10"/>
        <v>PAUH40798R2.0HD</v>
      </c>
      <c r="AC537" s="8" t="str">
        <f>IF(AB537='Input - Bookings'!S770,"OK","Check")</f>
        <v>Check</v>
      </c>
      <c r="AD537" s="53"/>
      <c r="AE537" s="65">
        <v>0.0</v>
      </c>
      <c r="AF537" s="65">
        <v>0.0</v>
      </c>
      <c r="AG537" s="62"/>
      <c r="AH537" s="55">
        <v>25363.97</v>
      </c>
      <c r="AI537" s="8" t="str">
        <f t="array" ref="AI537">XLOOKUP($J537,'AP Plants'!D:D,'AP Plants'!B:B)</f>
        <v>Class 2</v>
      </c>
      <c r="AJ537" s="56">
        <f>(AH537*(1+VLOOKUP(M537,'Currency &amp; Conversion'!$F$13:$H$19,2,0))*'Currency &amp; Conversion'!$L$4)+((AE537+AF537)*90%)</f>
        <v>40264.94474</v>
      </c>
      <c r="AK537" s="56"/>
      <c r="AL537" s="49">
        <v>0.015</v>
      </c>
      <c r="AM537" s="49">
        <f t="array" ref="AM537">XLOOKUP($AI537,Warranty!B:B,Warranty!E:E)</f>
        <v>0.015</v>
      </c>
      <c r="AN537" s="8">
        <f>IF($L537="AUD",VLOOKUP(RIGHT('Wk - Margins'!$J537,3),'AU Freight'!C:G,5,0),0)</f>
        <v>3480</v>
      </c>
      <c r="AO537" s="49">
        <f t="shared" si="11"/>
        <v>0</v>
      </c>
      <c r="AP537" s="63">
        <f t="shared" si="12"/>
        <v>44952.89309</v>
      </c>
      <c r="AQ537" s="64">
        <f t="shared" si="13"/>
        <v>0.08562986746</v>
      </c>
      <c r="AR537" s="59">
        <f>IF(L537="AUD",O537*'Currency &amp; Conversion'!$L$7,'Wk - Margins'!O537)</f>
        <v>70643.04464</v>
      </c>
      <c r="AS537" s="59">
        <f>IF(L537="AUD",P537*'Currency &amp; Conversion'!$L$7,'Wk - Margins'!P537)</f>
        <v>33011.75731</v>
      </c>
    </row>
    <row r="538" ht="12.75" customHeight="1">
      <c r="A538" s="42" t="str">
        <f>'Input - Bookings'!A538</f>
        <v>28/06/2023</v>
      </c>
      <c r="B538" s="43" t="str">
        <f t="shared" si="1"/>
        <v>Australia</v>
      </c>
      <c r="C538" s="43" t="str">
        <f t="shared" si="2"/>
        <v>PAU</v>
      </c>
      <c r="D538" s="43" t="str">
        <f>'Input - Bookings'!D538</f>
        <v>P</v>
      </c>
      <c r="E538" s="43" t="str">
        <f>'Input - Bookings'!J538</f>
        <v>AU</v>
      </c>
      <c r="F538" s="44" t="str">
        <f>'Input - Bookings'!F538</f>
        <v>065</v>
      </c>
      <c r="G538" s="44" t="str">
        <f>'Input - Bookings'!I538</f>
        <v>ADAPT-A-LIFT GROUP (WA)</v>
      </c>
      <c r="H538" s="44" t="str">
        <f>'Input - Bookings'!K538</f>
        <v>H40799</v>
      </c>
      <c r="I538" s="45" t="str">
        <f>VLOOKUP(H538,'Input - Bookings'!$G$2:$H$611,2,0)</f>
        <v>087605</v>
      </c>
      <c r="J538" s="44" t="str">
        <f>'Input - Bookings'!N538</f>
        <v>D435</v>
      </c>
      <c r="K538" s="44" t="str">
        <f>'Input - Bookings'!O538</f>
        <v>R2.0HD</v>
      </c>
      <c r="L538" s="44" t="str">
        <f>'Input - Bookings'!C538</f>
        <v>AUD</v>
      </c>
      <c r="M538" s="46" t="str">
        <f t="array" ref="M538">IF(L538="USD",INDEX('AP Plants'!A:A,MATCH(J538,'AP Plants'!D:D,0)),INDEX('Australia Plants'!A:A,MATCH(J538,'Australia Plants'!D:D,0)))</f>
        <v>Masate</v>
      </c>
      <c r="N538" s="10">
        <v>1.0</v>
      </c>
      <c r="O538" s="9">
        <v>105205.0</v>
      </c>
      <c r="P538" s="9">
        <v>49162.6875</v>
      </c>
      <c r="Q538" s="47">
        <f t="shared" si="48"/>
        <v>0.08562986746</v>
      </c>
      <c r="R538" s="48">
        <f t="shared" si="3"/>
        <v>0.5326962834</v>
      </c>
      <c r="S538" s="49">
        <f t="shared" si="4"/>
        <v>0</v>
      </c>
      <c r="T538" s="49">
        <f t="shared" si="21"/>
        <v>0.08562986746</v>
      </c>
      <c r="U538" s="50" t="str">
        <f t="shared" si="6"/>
        <v>AOP</v>
      </c>
      <c r="V538" s="51">
        <f t="shared" si="28"/>
        <v>4209.794415</v>
      </c>
      <c r="W538" s="52" t="str">
        <f t="shared" si="8"/>
        <v>#DIV/0!</v>
      </c>
      <c r="X538" s="9" t="str">
        <f t="shared" si="25"/>
        <v>#DIV/0!</v>
      </c>
      <c r="Y538" s="8"/>
      <c r="Z538" s="8"/>
      <c r="AA538" s="8"/>
      <c r="AB538" s="8" t="str">
        <f t="shared" si="10"/>
        <v>PAUH40799R2.0HD</v>
      </c>
      <c r="AC538" s="8" t="str">
        <f>IF(AB538='Input - Bookings'!S771,"OK","Check")</f>
        <v>Check</v>
      </c>
      <c r="AD538" s="53"/>
      <c r="AE538" s="65">
        <v>0.0</v>
      </c>
      <c r="AF538" s="65">
        <v>0.0</v>
      </c>
      <c r="AG538" s="62"/>
      <c r="AH538" s="55">
        <v>25363.97</v>
      </c>
      <c r="AI538" s="8" t="str">
        <f t="array" ref="AI538">XLOOKUP($J538,'AP Plants'!D:D,'AP Plants'!B:B)</f>
        <v>Class 2</v>
      </c>
      <c r="AJ538" s="56">
        <f>(AH538*(1+VLOOKUP(M538,'Currency &amp; Conversion'!$F$13:$H$19,2,0))*'Currency &amp; Conversion'!$L$4)+((AE538+AF538)*90%)</f>
        <v>40264.94474</v>
      </c>
      <c r="AK538" s="56"/>
      <c r="AL538" s="49">
        <v>0.015</v>
      </c>
      <c r="AM538" s="49">
        <f t="array" ref="AM538">XLOOKUP($AI538,Warranty!B:B,Warranty!E:E)</f>
        <v>0.015</v>
      </c>
      <c r="AN538" s="8">
        <f>IF($L538="AUD",VLOOKUP(RIGHT('Wk - Margins'!$J538,3),'AU Freight'!C:G,5,0),0)</f>
        <v>3480</v>
      </c>
      <c r="AO538" s="49">
        <f t="shared" si="11"/>
        <v>0</v>
      </c>
      <c r="AP538" s="63">
        <f t="shared" si="12"/>
        <v>44952.89309</v>
      </c>
      <c r="AQ538" s="64">
        <f t="shared" si="13"/>
        <v>0.08562986746</v>
      </c>
      <c r="AR538" s="59">
        <f>IF(L538="AUD",O538*'Currency &amp; Conversion'!$L$7,'Wk - Margins'!O538)</f>
        <v>70643.04464</v>
      </c>
      <c r="AS538" s="59">
        <f>IF(L538="AUD",P538*'Currency &amp; Conversion'!$L$7,'Wk - Margins'!P538)</f>
        <v>33011.75731</v>
      </c>
    </row>
    <row r="539" ht="12.75" customHeight="1">
      <c r="A539" s="42" t="str">
        <f>'Input - Bookings'!A539</f>
        <v>28/06/2023</v>
      </c>
      <c r="B539" s="43" t="str">
        <f t="shared" si="1"/>
        <v>Australia</v>
      </c>
      <c r="C539" s="43" t="str">
        <f t="shared" si="2"/>
        <v>PAU</v>
      </c>
      <c r="D539" s="43" t="str">
        <f>'Input - Bookings'!D539</f>
        <v>P</v>
      </c>
      <c r="E539" s="43" t="str">
        <f>'Input - Bookings'!J539</f>
        <v>AU</v>
      </c>
      <c r="F539" s="44" t="str">
        <f>'Input - Bookings'!F539</f>
        <v>065</v>
      </c>
      <c r="G539" s="44" t="str">
        <f>'Input - Bookings'!I539</f>
        <v>ADAPT-A-LIFT GROUP (WA)</v>
      </c>
      <c r="H539" s="44" t="str">
        <f>'Input - Bookings'!K539</f>
        <v>H40800</v>
      </c>
      <c r="I539" s="45" t="str">
        <f>VLOOKUP(H539,'Input - Bookings'!$G$2:$H$611,2,0)</f>
        <v>087605</v>
      </c>
      <c r="J539" s="44" t="str">
        <f>'Input - Bookings'!N539</f>
        <v>D435</v>
      </c>
      <c r="K539" s="44" t="str">
        <f>'Input - Bookings'!O539</f>
        <v>R2.0HD</v>
      </c>
      <c r="L539" s="44" t="str">
        <f>'Input - Bookings'!C539</f>
        <v>AUD</v>
      </c>
      <c r="M539" s="46" t="str">
        <f t="array" ref="M539">IF(L539="USD",INDEX('AP Plants'!A:A,MATCH(J539,'AP Plants'!D:D,0)),INDEX('Australia Plants'!A:A,MATCH(J539,'Australia Plants'!D:D,0)))</f>
        <v>Masate</v>
      </c>
      <c r="N539" s="10">
        <v>1.0</v>
      </c>
      <c r="O539" s="9">
        <v>105205.0</v>
      </c>
      <c r="P539" s="9">
        <v>49162.6875</v>
      </c>
      <c r="Q539" s="47">
        <f t="shared" si="48"/>
        <v>0.08562986746</v>
      </c>
      <c r="R539" s="48">
        <f t="shared" si="3"/>
        <v>0.5326962834</v>
      </c>
      <c r="S539" s="49">
        <f t="shared" si="4"/>
        <v>0</v>
      </c>
      <c r="T539" s="49">
        <f t="shared" si="21"/>
        <v>0.08562986746</v>
      </c>
      <c r="U539" s="50" t="str">
        <f t="shared" si="6"/>
        <v>AOP</v>
      </c>
      <c r="V539" s="51">
        <f t="shared" si="28"/>
        <v>4209.794415</v>
      </c>
      <c r="W539" s="52" t="str">
        <f t="shared" si="8"/>
        <v>#DIV/0!</v>
      </c>
      <c r="X539" s="9" t="str">
        <f t="shared" si="25"/>
        <v>#DIV/0!</v>
      </c>
      <c r="Y539" s="8"/>
      <c r="Z539" s="8"/>
      <c r="AA539" s="8"/>
      <c r="AB539" s="8" t="str">
        <f t="shared" si="10"/>
        <v>PAUH40800R2.0HD</v>
      </c>
      <c r="AC539" s="8" t="str">
        <f>IF(AB539='Input - Bookings'!S772,"OK","Check")</f>
        <v>Check</v>
      </c>
      <c r="AD539" s="53"/>
      <c r="AE539" s="65">
        <v>0.0</v>
      </c>
      <c r="AF539" s="65">
        <v>0.0</v>
      </c>
      <c r="AG539" s="62"/>
      <c r="AH539" s="55">
        <v>25363.97</v>
      </c>
      <c r="AI539" s="8" t="str">
        <f t="array" ref="AI539">XLOOKUP($J539,'AP Plants'!D:D,'AP Plants'!B:B)</f>
        <v>Class 2</v>
      </c>
      <c r="AJ539" s="56">
        <f>(AH539*(1+VLOOKUP(M539,'Currency &amp; Conversion'!$F$13:$H$19,2,0))*'Currency &amp; Conversion'!$L$4)+((AE539+AF539)*90%)</f>
        <v>40264.94474</v>
      </c>
      <c r="AK539" s="56"/>
      <c r="AL539" s="49">
        <v>0.015</v>
      </c>
      <c r="AM539" s="49">
        <f t="array" ref="AM539">XLOOKUP($AI539,Warranty!B:B,Warranty!E:E)</f>
        <v>0.015</v>
      </c>
      <c r="AN539" s="8">
        <f>IF($L539="AUD",VLOOKUP(RIGHT('Wk - Margins'!$J539,3),'AU Freight'!C:G,5,0),0)</f>
        <v>3480</v>
      </c>
      <c r="AO539" s="49">
        <f t="shared" si="11"/>
        <v>0</v>
      </c>
      <c r="AP539" s="63">
        <f t="shared" si="12"/>
        <v>44952.89309</v>
      </c>
      <c r="AQ539" s="64">
        <f t="shared" si="13"/>
        <v>0.08562986746</v>
      </c>
      <c r="AR539" s="59">
        <f>IF(L539="AUD",O539*'Currency &amp; Conversion'!$L$7,'Wk - Margins'!O539)</f>
        <v>70643.04464</v>
      </c>
      <c r="AS539" s="59">
        <f>IF(L539="AUD",P539*'Currency &amp; Conversion'!$L$7,'Wk - Margins'!P539)</f>
        <v>33011.75731</v>
      </c>
    </row>
    <row r="540" ht="12.75" customHeight="1">
      <c r="A540" s="42" t="str">
        <f>'Input - Bookings'!A540</f>
        <v>28/06/2023</v>
      </c>
      <c r="B540" s="43" t="str">
        <f t="shared" si="1"/>
        <v>Australia</v>
      </c>
      <c r="C540" s="43" t="str">
        <f t="shared" si="2"/>
        <v>PAU</v>
      </c>
      <c r="D540" s="43" t="str">
        <f>'Input - Bookings'!D540</f>
        <v>P</v>
      </c>
      <c r="E540" s="43" t="str">
        <f>'Input - Bookings'!J540</f>
        <v>AU</v>
      </c>
      <c r="F540" s="44" t="str">
        <f>'Input - Bookings'!F540</f>
        <v>065</v>
      </c>
      <c r="G540" s="44" t="str">
        <f>'Input - Bookings'!I540</f>
        <v>ADAPT-A-LIFT GROUP (WA)</v>
      </c>
      <c r="H540" s="44" t="str">
        <f>'Input - Bookings'!K540</f>
        <v>H40801</v>
      </c>
      <c r="I540" s="45" t="str">
        <f>VLOOKUP(H540,'Input - Bookings'!$G$2:$H$611,2,0)</f>
        <v>087605</v>
      </c>
      <c r="J540" s="44" t="str">
        <f>'Input - Bookings'!N540</f>
        <v>D435</v>
      </c>
      <c r="K540" s="44" t="str">
        <f>'Input - Bookings'!O540</f>
        <v>R2.0HD</v>
      </c>
      <c r="L540" s="44" t="str">
        <f>'Input - Bookings'!C540</f>
        <v>AUD</v>
      </c>
      <c r="M540" s="46" t="str">
        <f t="array" ref="M540">IF(L540="USD",INDEX('AP Plants'!A:A,MATCH(J540,'AP Plants'!D:D,0)),INDEX('Australia Plants'!A:A,MATCH(J540,'Australia Plants'!D:D,0)))</f>
        <v>Masate</v>
      </c>
      <c r="N540" s="10">
        <v>1.0</v>
      </c>
      <c r="O540" s="9">
        <v>105205.0</v>
      </c>
      <c r="P540" s="9">
        <v>49162.6875</v>
      </c>
      <c r="Q540" s="47">
        <f t="shared" si="48"/>
        <v>0.08562986746</v>
      </c>
      <c r="R540" s="48">
        <f t="shared" si="3"/>
        <v>0.5326962834</v>
      </c>
      <c r="S540" s="49">
        <f t="shared" si="4"/>
        <v>0</v>
      </c>
      <c r="T540" s="49">
        <f t="shared" si="21"/>
        <v>0.08562986746</v>
      </c>
      <c r="U540" s="50" t="str">
        <f t="shared" si="6"/>
        <v>AOP</v>
      </c>
      <c r="V540" s="51">
        <f t="shared" si="28"/>
        <v>4209.794415</v>
      </c>
      <c r="W540" s="52" t="str">
        <f t="shared" si="8"/>
        <v>#DIV/0!</v>
      </c>
      <c r="X540" s="9" t="str">
        <f t="shared" si="25"/>
        <v>#DIV/0!</v>
      </c>
      <c r="Y540" s="8"/>
      <c r="Z540" s="8"/>
      <c r="AA540" s="8"/>
      <c r="AB540" s="8" t="str">
        <f t="shared" si="10"/>
        <v>PAUH40801R2.0HD</v>
      </c>
      <c r="AC540" s="8" t="str">
        <f>IF(AB540='Input - Bookings'!S773,"OK","Check")</f>
        <v>Check</v>
      </c>
      <c r="AD540" s="53"/>
      <c r="AE540" s="65">
        <v>0.0</v>
      </c>
      <c r="AF540" s="65">
        <v>0.0</v>
      </c>
      <c r="AG540" s="62"/>
      <c r="AH540" s="55">
        <v>25363.97</v>
      </c>
      <c r="AI540" s="8" t="str">
        <f t="array" ref="AI540">XLOOKUP($J540,'AP Plants'!D:D,'AP Plants'!B:B)</f>
        <v>Class 2</v>
      </c>
      <c r="AJ540" s="56">
        <f>(AH540*(1+VLOOKUP(M540,'Currency &amp; Conversion'!$F$13:$H$19,2,0))*'Currency &amp; Conversion'!$L$4)+((AE540+AF540)*90%)</f>
        <v>40264.94474</v>
      </c>
      <c r="AK540" s="56"/>
      <c r="AL540" s="49">
        <v>0.015</v>
      </c>
      <c r="AM540" s="49">
        <f t="array" ref="AM540">XLOOKUP($AI540,Warranty!B:B,Warranty!E:E)</f>
        <v>0.015</v>
      </c>
      <c r="AN540" s="8">
        <f>IF($L540="AUD",VLOOKUP(RIGHT('Wk - Margins'!$J540,3),'AU Freight'!C:G,5,0),0)</f>
        <v>3480</v>
      </c>
      <c r="AO540" s="49">
        <f t="shared" si="11"/>
        <v>0</v>
      </c>
      <c r="AP540" s="63">
        <f t="shared" si="12"/>
        <v>44952.89309</v>
      </c>
      <c r="AQ540" s="64">
        <f t="shared" si="13"/>
        <v>0.08562986746</v>
      </c>
      <c r="AR540" s="59">
        <f>IF(L540="AUD",O540*'Currency &amp; Conversion'!$L$7,'Wk - Margins'!O540)</f>
        <v>70643.04464</v>
      </c>
      <c r="AS540" s="59">
        <f>IF(L540="AUD",P540*'Currency &amp; Conversion'!$L$7,'Wk - Margins'!P540)</f>
        <v>33011.75731</v>
      </c>
    </row>
    <row r="541" ht="12.75" customHeight="1">
      <c r="A541" s="42" t="str">
        <f>'Input - Bookings'!A541</f>
        <v>28/06/2023</v>
      </c>
      <c r="B541" s="43" t="str">
        <f t="shared" si="1"/>
        <v>Australia</v>
      </c>
      <c r="C541" s="43" t="str">
        <f t="shared" si="2"/>
        <v>PAU</v>
      </c>
      <c r="D541" s="43" t="str">
        <f>'Input - Bookings'!D541</f>
        <v>P</v>
      </c>
      <c r="E541" s="43" t="str">
        <f>'Input - Bookings'!J541</f>
        <v>AU</v>
      </c>
      <c r="F541" s="44" t="str">
        <f>'Input - Bookings'!F541</f>
        <v>065</v>
      </c>
      <c r="G541" s="44" t="str">
        <f>'Input - Bookings'!I541</f>
        <v>ADAPT-A-LIFT GROUP (WA)</v>
      </c>
      <c r="H541" s="44" t="str">
        <f>'Input - Bookings'!K541</f>
        <v>H40802</v>
      </c>
      <c r="I541" s="45" t="str">
        <f>VLOOKUP(H541,'Input - Bookings'!$G$2:$H$611,2,0)</f>
        <v>087605</v>
      </c>
      <c r="J541" s="44" t="str">
        <f>'Input - Bookings'!N541</f>
        <v>D435</v>
      </c>
      <c r="K541" s="44" t="str">
        <f>'Input - Bookings'!O541</f>
        <v>R2.0HD</v>
      </c>
      <c r="L541" s="44" t="str">
        <f>'Input - Bookings'!C541</f>
        <v>AUD</v>
      </c>
      <c r="M541" s="46" t="str">
        <f t="array" ref="M541">IF(L541="USD",INDEX('AP Plants'!A:A,MATCH(J541,'AP Plants'!D:D,0)),INDEX('Australia Plants'!A:A,MATCH(J541,'Australia Plants'!D:D,0)))</f>
        <v>Masate</v>
      </c>
      <c r="N541" s="10">
        <v>1.0</v>
      </c>
      <c r="O541" s="9">
        <v>105205.0</v>
      </c>
      <c r="P541" s="9">
        <v>49162.6875</v>
      </c>
      <c r="Q541" s="47">
        <f t="shared" si="48"/>
        <v>0.08562986746</v>
      </c>
      <c r="R541" s="48">
        <f t="shared" si="3"/>
        <v>0.5326962834</v>
      </c>
      <c r="S541" s="49">
        <f t="shared" si="4"/>
        <v>0</v>
      </c>
      <c r="T541" s="49">
        <f t="shared" si="21"/>
        <v>0.08562986746</v>
      </c>
      <c r="U541" s="50" t="str">
        <f t="shared" si="6"/>
        <v>AOP</v>
      </c>
      <c r="V541" s="51">
        <f t="shared" si="28"/>
        <v>4209.794415</v>
      </c>
      <c r="W541" s="52" t="str">
        <f t="shared" si="8"/>
        <v>#DIV/0!</v>
      </c>
      <c r="X541" s="9" t="str">
        <f t="shared" si="25"/>
        <v>#DIV/0!</v>
      </c>
      <c r="Y541" s="8"/>
      <c r="Z541" s="8"/>
      <c r="AA541" s="8"/>
      <c r="AB541" s="8" t="str">
        <f t="shared" si="10"/>
        <v>PAUH40802R2.0HD</v>
      </c>
      <c r="AC541" s="8" t="str">
        <f>IF(AB541='Input - Bookings'!S774,"OK","Check")</f>
        <v>Check</v>
      </c>
      <c r="AD541" s="53"/>
      <c r="AE541" s="65">
        <v>0.0</v>
      </c>
      <c r="AF541" s="65">
        <v>0.0</v>
      </c>
      <c r="AG541" s="62"/>
      <c r="AH541" s="55">
        <v>25363.97</v>
      </c>
      <c r="AI541" s="8" t="str">
        <f t="array" ref="AI541">XLOOKUP($J541,'AP Plants'!D:D,'AP Plants'!B:B)</f>
        <v>Class 2</v>
      </c>
      <c r="AJ541" s="56">
        <f>(AH541*(1+VLOOKUP(M541,'Currency &amp; Conversion'!$F$13:$H$19,2,0))*'Currency &amp; Conversion'!$L$4)+((AE541+AF541)*90%)</f>
        <v>40264.94474</v>
      </c>
      <c r="AK541" s="56"/>
      <c r="AL541" s="49">
        <v>0.015</v>
      </c>
      <c r="AM541" s="49">
        <f t="array" ref="AM541">XLOOKUP($AI541,Warranty!B:B,Warranty!E:E)</f>
        <v>0.015</v>
      </c>
      <c r="AN541" s="8">
        <f>IF($L541="AUD",VLOOKUP(RIGHT('Wk - Margins'!$J541,3),'AU Freight'!C:G,5,0),0)</f>
        <v>3480</v>
      </c>
      <c r="AO541" s="49">
        <f t="shared" si="11"/>
        <v>0</v>
      </c>
      <c r="AP541" s="63">
        <f t="shared" si="12"/>
        <v>44952.89309</v>
      </c>
      <c r="AQ541" s="64">
        <f t="shared" si="13"/>
        <v>0.08562986746</v>
      </c>
      <c r="AR541" s="59">
        <f>IF(L541="AUD",O541*'Currency &amp; Conversion'!$L$7,'Wk - Margins'!O541)</f>
        <v>70643.04464</v>
      </c>
      <c r="AS541" s="59">
        <f>IF(L541="AUD",P541*'Currency &amp; Conversion'!$L$7,'Wk - Margins'!P541)</f>
        <v>33011.75731</v>
      </c>
    </row>
    <row r="542" ht="12.75" customHeight="1">
      <c r="A542" s="42" t="str">
        <f>'Input - Bookings'!A542</f>
        <v>28/06/2023</v>
      </c>
      <c r="B542" s="43" t="str">
        <f t="shared" si="1"/>
        <v>Australia</v>
      </c>
      <c r="C542" s="43" t="str">
        <f t="shared" si="2"/>
        <v>PAU</v>
      </c>
      <c r="D542" s="43" t="str">
        <f>'Input - Bookings'!D542</f>
        <v>P</v>
      </c>
      <c r="E542" s="43" t="str">
        <f>'Input - Bookings'!J542</f>
        <v>AU</v>
      </c>
      <c r="F542" s="44" t="str">
        <f>'Input - Bookings'!F542</f>
        <v>065</v>
      </c>
      <c r="G542" s="44" t="str">
        <f>'Input - Bookings'!I542</f>
        <v>ADAPT-A-LIFT GROUP (WA)</v>
      </c>
      <c r="H542" s="44" t="str">
        <f>'Input - Bookings'!K542</f>
        <v>H40803</v>
      </c>
      <c r="I542" s="45" t="str">
        <f>VLOOKUP(H542,'Input - Bookings'!$G$2:$H$611,2,0)</f>
        <v>087605</v>
      </c>
      <c r="J542" s="44" t="str">
        <f>'Input - Bookings'!N542</f>
        <v>D435</v>
      </c>
      <c r="K542" s="44" t="str">
        <f>'Input - Bookings'!O542</f>
        <v>R2.0HD</v>
      </c>
      <c r="L542" s="44" t="str">
        <f>'Input - Bookings'!C542</f>
        <v>AUD</v>
      </c>
      <c r="M542" s="46" t="str">
        <f t="array" ref="M542">IF(L542="USD",INDEX('AP Plants'!A:A,MATCH(J542,'AP Plants'!D:D,0)),INDEX('Australia Plants'!A:A,MATCH(J542,'Australia Plants'!D:D,0)))</f>
        <v>Masate</v>
      </c>
      <c r="N542" s="10">
        <v>1.0</v>
      </c>
      <c r="O542" s="9">
        <v>105205.0</v>
      </c>
      <c r="P542" s="9">
        <v>49162.6875</v>
      </c>
      <c r="Q542" s="47">
        <f t="shared" si="48"/>
        <v>0.08562986746</v>
      </c>
      <c r="R542" s="48">
        <f t="shared" si="3"/>
        <v>0.5326962834</v>
      </c>
      <c r="S542" s="49">
        <f t="shared" si="4"/>
        <v>0</v>
      </c>
      <c r="T542" s="49">
        <f t="shared" si="21"/>
        <v>0.08562986746</v>
      </c>
      <c r="U542" s="50" t="str">
        <f t="shared" si="6"/>
        <v>AOP</v>
      </c>
      <c r="V542" s="51">
        <f t="shared" si="28"/>
        <v>4209.794415</v>
      </c>
      <c r="W542" s="52" t="str">
        <f t="shared" si="8"/>
        <v>#DIV/0!</v>
      </c>
      <c r="X542" s="9" t="str">
        <f t="shared" si="25"/>
        <v>#DIV/0!</v>
      </c>
      <c r="Y542" s="8"/>
      <c r="Z542" s="8"/>
      <c r="AA542" s="8"/>
      <c r="AB542" s="8" t="str">
        <f t="shared" si="10"/>
        <v>PAUH40803R2.0HD</v>
      </c>
      <c r="AC542" s="8" t="str">
        <f>IF(AB542='Input - Bookings'!S775,"OK","Check")</f>
        <v>Check</v>
      </c>
      <c r="AD542" s="53"/>
      <c r="AE542" s="65">
        <v>0.0</v>
      </c>
      <c r="AF542" s="65">
        <v>0.0</v>
      </c>
      <c r="AG542" s="62"/>
      <c r="AH542" s="55">
        <v>25363.97</v>
      </c>
      <c r="AI542" s="8" t="str">
        <f t="array" ref="AI542">XLOOKUP($J542,'AP Plants'!D:D,'AP Plants'!B:B)</f>
        <v>Class 2</v>
      </c>
      <c r="AJ542" s="56">
        <f>(AH542*(1+VLOOKUP(M542,'Currency &amp; Conversion'!$F$13:$H$19,2,0))*'Currency &amp; Conversion'!$L$4)+((AE542+AF542)*90%)</f>
        <v>40264.94474</v>
      </c>
      <c r="AK542" s="56"/>
      <c r="AL542" s="49">
        <v>0.015</v>
      </c>
      <c r="AM542" s="49">
        <f t="array" ref="AM542">XLOOKUP($AI542,Warranty!B:B,Warranty!E:E)</f>
        <v>0.015</v>
      </c>
      <c r="AN542" s="8">
        <f>IF($L542="AUD",VLOOKUP(RIGHT('Wk - Margins'!$J542,3),'AU Freight'!C:G,5,0),0)</f>
        <v>3480</v>
      </c>
      <c r="AO542" s="49">
        <f t="shared" si="11"/>
        <v>0</v>
      </c>
      <c r="AP542" s="63">
        <f t="shared" si="12"/>
        <v>44952.89309</v>
      </c>
      <c r="AQ542" s="64">
        <f t="shared" si="13"/>
        <v>0.08562986746</v>
      </c>
      <c r="AR542" s="59">
        <f>IF(L542="AUD",O542*'Currency &amp; Conversion'!$L$7,'Wk - Margins'!O542)</f>
        <v>70643.04464</v>
      </c>
      <c r="AS542" s="59">
        <f>IF(L542="AUD",P542*'Currency &amp; Conversion'!$L$7,'Wk - Margins'!P542)</f>
        <v>33011.75731</v>
      </c>
    </row>
    <row r="543" ht="12.75" customHeight="1">
      <c r="A543" s="42" t="str">
        <f>'Input - Bookings'!A543</f>
        <v>28/06/2023</v>
      </c>
      <c r="B543" s="43" t="str">
        <f t="shared" si="1"/>
        <v>Australia</v>
      </c>
      <c r="C543" s="43" t="str">
        <f t="shared" si="2"/>
        <v>PAU</v>
      </c>
      <c r="D543" s="43" t="str">
        <f>'Input - Bookings'!D543</f>
        <v>P</v>
      </c>
      <c r="E543" s="43" t="str">
        <f>'Input - Bookings'!J543</f>
        <v>AU</v>
      </c>
      <c r="F543" s="44" t="str">
        <f>'Input - Bookings'!F543</f>
        <v>065</v>
      </c>
      <c r="G543" s="44" t="str">
        <f>'Input - Bookings'!I543</f>
        <v>ADAPT-A-LIFT GROUP (WA)</v>
      </c>
      <c r="H543" s="44" t="str">
        <f>'Input - Bookings'!K543</f>
        <v>H40804</v>
      </c>
      <c r="I543" s="45" t="str">
        <f>VLOOKUP(H543,'Input - Bookings'!$G$2:$H$611,2,0)</f>
        <v>087605</v>
      </c>
      <c r="J543" s="44" t="str">
        <f>'Input - Bookings'!N543</f>
        <v>D435</v>
      </c>
      <c r="K543" s="44" t="str">
        <f>'Input - Bookings'!O543</f>
        <v>R2.0HD</v>
      </c>
      <c r="L543" s="44" t="str">
        <f>'Input - Bookings'!C543</f>
        <v>AUD</v>
      </c>
      <c r="M543" s="46" t="str">
        <f t="array" ref="M543">IF(L543="USD",INDEX('AP Plants'!A:A,MATCH(J543,'AP Plants'!D:D,0)),INDEX('Australia Plants'!A:A,MATCH(J543,'Australia Plants'!D:D,0)))</f>
        <v>Masate</v>
      </c>
      <c r="N543" s="10">
        <v>1.0</v>
      </c>
      <c r="O543" s="9">
        <v>105205.0</v>
      </c>
      <c r="P543" s="9">
        <v>49162.6875</v>
      </c>
      <c r="Q543" s="47">
        <f t="shared" si="48"/>
        <v>0.08562986746</v>
      </c>
      <c r="R543" s="48">
        <f t="shared" si="3"/>
        <v>0.5326962834</v>
      </c>
      <c r="S543" s="49">
        <f t="shared" si="4"/>
        <v>0</v>
      </c>
      <c r="T543" s="49">
        <f t="shared" si="21"/>
        <v>0.08562986746</v>
      </c>
      <c r="U543" s="50" t="str">
        <f t="shared" si="6"/>
        <v>AOP</v>
      </c>
      <c r="V543" s="51">
        <f t="shared" si="28"/>
        <v>4209.794415</v>
      </c>
      <c r="W543" s="52" t="str">
        <f t="shared" si="8"/>
        <v>#DIV/0!</v>
      </c>
      <c r="X543" s="9" t="str">
        <f t="shared" si="25"/>
        <v>#DIV/0!</v>
      </c>
      <c r="Y543" s="8"/>
      <c r="Z543" s="8"/>
      <c r="AA543" s="8"/>
      <c r="AB543" s="8" t="str">
        <f t="shared" si="10"/>
        <v>PAUH40804R2.0HD</v>
      </c>
      <c r="AC543" s="8" t="str">
        <f>IF(AB543='Input - Bookings'!S776,"OK","Check")</f>
        <v>Check</v>
      </c>
      <c r="AD543" s="53"/>
      <c r="AE543" s="65">
        <v>0.0</v>
      </c>
      <c r="AF543" s="65">
        <v>0.0</v>
      </c>
      <c r="AG543" s="62"/>
      <c r="AH543" s="55">
        <v>25363.97</v>
      </c>
      <c r="AI543" s="8" t="str">
        <f t="array" ref="AI543">XLOOKUP($J543,'AP Plants'!D:D,'AP Plants'!B:B)</f>
        <v>Class 2</v>
      </c>
      <c r="AJ543" s="56">
        <f>(AH543*(1+VLOOKUP(M543,'Currency &amp; Conversion'!$F$13:$H$19,2,0))*'Currency &amp; Conversion'!$L$4)+((AE543+AF543)*90%)</f>
        <v>40264.94474</v>
      </c>
      <c r="AK543" s="56"/>
      <c r="AL543" s="49">
        <v>0.015</v>
      </c>
      <c r="AM543" s="49">
        <f t="array" ref="AM543">XLOOKUP($AI543,Warranty!B:B,Warranty!E:E)</f>
        <v>0.015</v>
      </c>
      <c r="AN543" s="8">
        <f>IF($L543="AUD",VLOOKUP(RIGHT('Wk - Margins'!$J543,3),'AU Freight'!C:G,5,0),0)</f>
        <v>3480</v>
      </c>
      <c r="AO543" s="49">
        <f t="shared" si="11"/>
        <v>0</v>
      </c>
      <c r="AP543" s="63">
        <f t="shared" si="12"/>
        <v>44952.89309</v>
      </c>
      <c r="AQ543" s="64">
        <f t="shared" si="13"/>
        <v>0.08562986746</v>
      </c>
      <c r="AR543" s="59">
        <f>IF(L543="AUD",O543*'Currency &amp; Conversion'!$L$7,'Wk - Margins'!O543)</f>
        <v>70643.04464</v>
      </c>
      <c r="AS543" s="59">
        <f>IF(L543="AUD",P543*'Currency &amp; Conversion'!$L$7,'Wk - Margins'!P543)</f>
        <v>33011.75731</v>
      </c>
    </row>
    <row r="544" ht="12.75" customHeight="1">
      <c r="A544" s="42" t="str">
        <f>'Input - Bookings'!A544</f>
        <v>28/06/2023</v>
      </c>
      <c r="B544" s="43" t="str">
        <f t="shared" si="1"/>
        <v>Australia</v>
      </c>
      <c r="C544" s="43" t="str">
        <f t="shared" si="2"/>
        <v>PAU</v>
      </c>
      <c r="D544" s="43" t="str">
        <f>'Input - Bookings'!D544</f>
        <v>P</v>
      </c>
      <c r="E544" s="43" t="str">
        <f>'Input - Bookings'!J544</f>
        <v>AU</v>
      </c>
      <c r="F544" s="44" t="str">
        <f>'Input - Bookings'!F544</f>
        <v>065</v>
      </c>
      <c r="G544" s="44" t="str">
        <f>'Input - Bookings'!I544</f>
        <v>ADAPT-A-LIFT GROUP (WA)</v>
      </c>
      <c r="H544" s="44" t="str">
        <f>'Input - Bookings'!K544</f>
        <v>H40805</v>
      </c>
      <c r="I544" s="45" t="str">
        <f>VLOOKUP(H544,'Input - Bookings'!$G$2:$H$611,2,0)</f>
        <v>087605</v>
      </c>
      <c r="J544" s="44" t="str">
        <f>'Input - Bookings'!N544</f>
        <v>D435</v>
      </c>
      <c r="K544" s="44" t="str">
        <f>'Input - Bookings'!O544</f>
        <v>R2.0HD</v>
      </c>
      <c r="L544" s="44" t="str">
        <f>'Input - Bookings'!C544</f>
        <v>AUD</v>
      </c>
      <c r="M544" s="46" t="str">
        <f t="array" ref="M544">IF(L544="USD",INDEX('AP Plants'!A:A,MATCH(J544,'AP Plants'!D:D,0)),INDEX('Australia Plants'!A:A,MATCH(J544,'Australia Plants'!D:D,0)))</f>
        <v>Masate</v>
      </c>
      <c r="N544" s="10">
        <v>1.0</v>
      </c>
      <c r="O544" s="9">
        <v>105205.0</v>
      </c>
      <c r="P544" s="9">
        <v>49162.6875</v>
      </c>
      <c r="Q544" s="47">
        <f t="shared" si="48"/>
        <v>0.08562986746</v>
      </c>
      <c r="R544" s="48">
        <f t="shared" si="3"/>
        <v>0.5326962834</v>
      </c>
      <c r="S544" s="49">
        <f t="shared" si="4"/>
        <v>0</v>
      </c>
      <c r="T544" s="49">
        <f t="shared" si="21"/>
        <v>0.08562986746</v>
      </c>
      <c r="U544" s="50" t="str">
        <f t="shared" si="6"/>
        <v>AOP</v>
      </c>
      <c r="V544" s="51">
        <f t="shared" si="28"/>
        <v>4209.794415</v>
      </c>
      <c r="W544" s="52" t="str">
        <f t="shared" si="8"/>
        <v>#DIV/0!</v>
      </c>
      <c r="X544" s="9" t="str">
        <f t="shared" si="25"/>
        <v>#DIV/0!</v>
      </c>
      <c r="Y544" s="8"/>
      <c r="Z544" s="8"/>
      <c r="AA544" s="8"/>
      <c r="AB544" s="8" t="str">
        <f t="shared" si="10"/>
        <v>PAUH40805R2.0HD</v>
      </c>
      <c r="AC544" s="8" t="str">
        <f>IF(AB544='Input - Bookings'!S777,"OK","Check")</f>
        <v>Check</v>
      </c>
      <c r="AD544" s="53"/>
      <c r="AE544" s="65">
        <v>0.0</v>
      </c>
      <c r="AF544" s="65">
        <v>0.0</v>
      </c>
      <c r="AG544" s="62"/>
      <c r="AH544" s="55">
        <v>25363.97</v>
      </c>
      <c r="AI544" s="8" t="str">
        <f t="array" ref="AI544">XLOOKUP($J544,'AP Plants'!D:D,'AP Plants'!B:B)</f>
        <v>Class 2</v>
      </c>
      <c r="AJ544" s="56">
        <f>(AH544*(1+VLOOKUP(M544,'Currency &amp; Conversion'!$F$13:$H$19,2,0))*'Currency &amp; Conversion'!$L$4)+((AE544+AF544)*90%)</f>
        <v>40264.94474</v>
      </c>
      <c r="AK544" s="56"/>
      <c r="AL544" s="49">
        <v>0.015</v>
      </c>
      <c r="AM544" s="49">
        <f t="array" ref="AM544">XLOOKUP($AI544,Warranty!B:B,Warranty!E:E)</f>
        <v>0.015</v>
      </c>
      <c r="AN544" s="8">
        <f>IF($L544="AUD",VLOOKUP(RIGHT('Wk - Margins'!$J544,3),'AU Freight'!C:G,5,0),0)</f>
        <v>3480</v>
      </c>
      <c r="AO544" s="49">
        <f t="shared" si="11"/>
        <v>0</v>
      </c>
      <c r="AP544" s="63">
        <f t="shared" si="12"/>
        <v>44952.89309</v>
      </c>
      <c r="AQ544" s="64">
        <f t="shared" si="13"/>
        <v>0.08562986746</v>
      </c>
      <c r="AR544" s="59">
        <f>IF(L544="AUD",O544*'Currency &amp; Conversion'!$L$7,'Wk - Margins'!O544)</f>
        <v>70643.04464</v>
      </c>
      <c r="AS544" s="59">
        <f>IF(L544="AUD",P544*'Currency &amp; Conversion'!$L$7,'Wk - Margins'!P544)</f>
        <v>33011.75731</v>
      </c>
    </row>
    <row r="545" ht="12.75" customHeight="1">
      <c r="A545" s="42" t="str">
        <f>'Input - Bookings'!A545</f>
        <v>28/06/2023</v>
      </c>
      <c r="B545" s="43" t="str">
        <f t="shared" si="1"/>
        <v>Australia</v>
      </c>
      <c r="C545" s="43" t="str">
        <f t="shared" si="2"/>
        <v>PAU</v>
      </c>
      <c r="D545" s="43" t="str">
        <f>'Input - Bookings'!D545</f>
        <v>P</v>
      </c>
      <c r="E545" s="43" t="str">
        <f>'Input - Bookings'!J545</f>
        <v>AU</v>
      </c>
      <c r="F545" s="44" t="str">
        <f>'Input - Bookings'!F545</f>
        <v>065</v>
      </c>
      <c r="G545" s="44" t="str">
        <f>'Input - Bookings'!I545</f>
        <v>ADAPT-A-LIFT GROUP (WA)</v>
      </c>
      <c r="H545" s="44" t="str">
        <f>'Input - Bookings'!K545</f>
        <v>H40806</v>
      </c>
      <c r="I545" s="45" t="str">
        <f>VLOOKUP(H545,'Input - Bookings'!$G$2:$H$611,2,0)</f>
        <v>087605</v>
      </c>
      <c r="J545" s="44" t="str">
        <f>'Input - Bookings'!N545</f>
        <v>D435</v>
      </c>
      <c r="K545" s="44" t="str">
        <f>'Input - Bookings'!O545</f>
        <v>R2.0HD</v>
      </c>
      <c r="L545" s="44" t="str">
        <f>'Input - Bookings'!C545</f>
        <v>AUD</v>
      </c>
      <c r="M545" s="46" t="str">
        <f t="array" ref="M545">IF(L545="USD",INDEX('AP Plants'!A:A,MATCH(J545,'AP Plants'!D:D,0)),INDEX('Australia Plants'!A:A,MATCH(J545,'Australia Plants'!D:D,0)))</f>
        <v>Masate</v>
      </c>
      <c r="N545" s="10">
        <v>1.0</v>
      </c>
      <c r="O545" s="9">
        <v>105205.0</v>
      </c>
      <c r="P545" s="9">
        <v>49162.6875</v>
      </c>
      <c r="Q545" s="47">
        <f t="shared" si="48"/>
        <v>0.08562986746</v>
      </c>
      <c r="R545" s="48">
        <f t="shared" si="3"/>
        <v>0.5326962834</v>
      </c>
      <c r="S545" s="49">
        <f t="shared" si="4"/>
        <v>0</v>
      </c>
      <c r="T545" s="49">
        <f t="shared" si="21"/>
        <v>0.08562986746</v>
      </c>
      <c r="U545" s="50" t="str">
        <f t="shared" si="6"/>
        <v>AOP</v>
      </c>
      <c r="V545" s="51">
        <f t="shared" si="28"/>
        <v>4209.794415</v>
      </c>
      <c r="W545" s="52" t="str">
        <f t="shared" si="8"/>
        <v>#DIV/0!</v>
      </c>
      <c r="X545" s="9" t="str">
        <f t="shared" si="25"/>
        <v>#DIV/0!</v>
      </c>
      <c r="Y545" s="8"/>
      <c r="Z545" s="8"/>
      <c r="AA545" s="8"/>
      <c r="AB545" s="8" t="str">
        <f t="shared" si="10"/>
        <v>PAUH40806R2.0HD</v>
      </c>
      <c r="AC545" s="8" t="str">
        <f>IF(AB545='Input - Bookings'!S778,"OK","Check")</f>
        <v>Check</v>
      </c>
      <c r="AD545" s="53"/>
      <c r="AE545" s="65">
        <v>0.0</v>
      </c>
      <c r="AF545" s="65">
        <v>0.0</v>
      </c>
      <c r="AG545" s="62"/>
      <c r="AH545" s="55">
        <v>25363.97</v>
      </c>
      <c r="AI545" s="8" t="str">
        <f t="array" ref="AI545">XLOOKUP($J545,'AP Plants'!D:D,'AP Plants'!B:B)</f>
        <v>Class 2</v>
      </c>
      <c r="AJ545" s="56">
        <f>(AH545*(1+VLOOKUP(M545,'Currency &amp; Conversion'!$F$13:$H$19,2,0))*'Currency &amp; Conversion'!$L$4)+((AE545+AF545)*90%)</f>
        <v>40264.94474</v>
      </c>
      <c r="AK545" s="56"/>
      <c r="AL545" s="49">
        <v>0.015</v>
      </c>
      <c r="AM545" s="49">
        <f t="array" ref="AM545">XLOOKUP($AI545,Warranty!B:B,Warranty!E:E)</f>
        <v>0.015</v>
      </c>
      <c r="AN545" s="8">
        <f>IF($L545="AUD",VLOOKUP(RIGHT('Wk - Margins'!$J545,3),'AU Freight'!C:G,5,0),0)</f>
        <v>3480</v>
      </c>
      <c r="AO545" s="49">
        <f t="shared" si="11"/>
        <v>0</v>
      </c>
      <c r="AP545" s="63">
        <f t="shared" si="12"/>
        <v>44952.89309</v>
      </c>
      <c r="AQ545" s="64">
        <f t="shared" si="13"/>
        <v>0.08562986746</v>
      </c>
      <c r="AR545" s="59">
        <f>IF(L545="AUD",O545*'Currency &amp; Conversion'!$L$7,'Wk - Margins'!O545)</f>
        <v>70643.04464</v>
      </c>
      <c r="AS545" s="59">
        <f>IF(L545="AUD",P545*'Currency &amp; Conversion'!$L$7,'Wk - Margins'!P545)</f>
        <v>33011.75731</v>
      </c>
    </row>
    <row r="546" ht="12.75" customHeight="1">
      <c r="A546" s="42" t="str">
        <f>'Input - Bookings'!A546</f>
        <v>28/06/2023</v>
      </c>
      <c r="B546" s="43" t="str">
        <f t="shared" si="1"/>
        <v>Australia</v>
      </c>
      <c r="C546" s="43" t="str">
        <f t="shared" si="2"/>
        <v>PAU</v>
      </c>
      <c r="D546" s="43" t="str">
        <f>'Input - Bookings'!D546</f>
        <v>P</v>
      </c>
      <c r="E546" s="43" t="str">
        <f>'Input - Bookings'!J546</f>
        <v>AU</v>
      </c>
      <c r="F546" s="44" t="str">
        <f>'Input - Bookings'!F546</f>
        <v>065</v>
      </c>
      <c r="G546" s="44" t="str">
        <f>'Input - Bookings'!I546</f>
        <v>ADAPT-A-LIFT GROUP (WA)</v>
      </c>
      <c r="H546" s="44" t="str">
        <f>'Input - Bookings'!K546</f>
        <v>H40807</v>
      </c>
      <c r="I546" s="45" t="str">
        <f>VLOOKUP(H546,'Input - Bookings'!$G$2:$H$611,2,0)</f>
        <v>087605</v>
      </c>
      <c r="J546" s="44" t="str">
        <f>'Input - Bookings'!N546</f>
        <v>D435</v>
      </c>
      <c r="K546" s="44" t="str">
        <f>'Input - Bookings'!O546</f>
        <v>R2.0HD</v>
      </c>
      <c r="L546" s="44" t="str">
        <f>'Input - Bookings'!C546</f>
        <v>AUD</v>
      </c>
      <c r="M546" s="46" t="str">
        <f t="array" ref="M546">IF(L546="USD",INDEX('AP Plants'!A:A,MATCH(J546,'AP Plants'!D:D,0)),INDEX('Australia Plants'!A:A,MATCH(J546,'Australia Plants'!D:D,0)))</f>
        <v>Masate</v>
      </c>
      <c r="N546" s="10">
        <v>1.0</v>
      </c>
      <c r="O546" s="9">
        <v>105205.0</v>
      </c>
      <c r="P546" s="9">
        <v>49162.6875</v>
      </c>
      <c r="Q546" s="47">
        <f t="shared" si="48"/>
        <v>0.08562986746</v>
      </c>
      <c r="R546" s="48">
        <f t="shared" si="3"/>
        <v>0.5326962834</v>
      </c>
      <c r="S546" s="49">
        <f t="shared" si="4"/>
        <v>0</v>
      </c>
      <c r="T546" s="49">
        <f t="shared" si="21"/>
        <v>0.08562986746</v>
      </c>
      <c r="U546" s="50" t="str">
        <f t="shared" si="6"/>
        <v>AOP</v>
      </c>
      <c r="V546" s="51">
        <f t="shared" si="28"/>
        <v>4209.794415</v>
      </c>
      <c r="W546" s="52" t="str">
        <f t="shared" si="8"/>
        <v>#DIV/0!</v>
      </c>
      <c r="X546" s="9" t="str">
        <f t="shared" si="25"/>
        <v>#DIV/0!</v>
      </c>
      <c r="Y546" s="8"/>
      <c r="Z546" s="8"/>
      <c r="AA546" s="8"/>
      <c r="AB546" s="8" t="str">
        <f t="shared" si="10"/>
        <v>PAUH40807R2.0HD</v>
      </c>
      <c r="AC546" s="8" t="str">
        <f>IF(AB546='Input - Bookings'!S779,"OK","Check")</f>
        <v>Check</v>
      </c>
      <c r="AD546" s="53"/>
      <c r="AE546" s="65">
        <v>0.0</v>
      </c>
      <c r="AF546" s="65">
        <v>0.0</v>
      </c>
      <c r="AG546" s="62"/>
      <c r="AH546" s="55">
        <v>25363.97</v>
      </c>
      <c r="AI546" s="8" t="str">
        <f t="array" ref="AI546">XLOOKUP($J546,'AP Plants'!D:D,'AP Plants'!B:B)</f>
        <v>Class 2</v>
      </c>
      <c r="AJ546" s="56">
        <f>(AH546*(1+VLOOKUP(M546,'Currency &amp; Conversion'!$F$13:$H$19,2,0))*'Currency &amp; Conversion'!$L$4)+((AE546+AF546)*90%)</f>
        <v>40264.94474</v>
      </c>
      <c r="AK546" s="56"/>
      <c r="AL546" s="49">
        <v>0.015</v>
      </c>
      <c r="AM546" s="49">
        <f t="array" ref="AM546">XLOOKUP($AI546,Warranty!B:B,Warranty!E:E)</f>
        <v>0.015</v>
      </c>
      <c r="AN546" s="8">
        <f>IF($L546="AUD",VLOOKUP(RIGHT('Wk - Margins'!$J546,3),'AU Freight'!C:G,5,0),0)</f>
        <v>3480</v>
      </c>
      <c r="AO546" s="49">
        <f t="shared" si="11"/>
        <v>0</v>
      </c>
      <c r="AP546" s="63">
        <f t="shared" si="12"/>
        <v>44952.89309</v>
      </c>
      <c r="AQ546" s="64">
        <f t="shared" si="13"/>
        <v>0.08562986746</v>
      </c>
      <c r="AR546" s="59">
        <f>IF(L546="AUD",O546*'Currency &amp; Conversion'!$L$7,'Wk - Margins'!O546)</f>
        <v>70643.04464</v>
      </c>
      <c r="AS546" s="59">
        <f>IF(L546="AUD",P546*'Currency &amp; Conversion'!$L$7,'Wk - Margins'!P546)</f>
        <v>33011.75731</v>
      </c>
    </row>
    <row r="547" ht="12.75" customHeight="1">
      <c r="A547" s="42" t="str">
        <f>'Input - Bookings'!A547</f>
        <v>28/06/2023</v>
      </c>
      <c r="B547" s="43" t="str">
        <f t="shared" si="1"/>
        <v>Australia</v>
      </c>
      <c r="C547" s="43" t="str">
        <f t="shared" si="2"/>
        <v>PAU</v>
      </c>
      <c r="D547" s="43" t="str">
        <f>'Input - Bookings'!D547</f>
        <v>P</v>
      </c>
      <c r="E547" s="43" t="str">
        <f>'Input - Bookings'!J547</f>
        <v>AU</v>
      </c>
      <c r="F547" s="44" t="str">
        <f>'Input - Bookings'!F547</f>
        <v>065</v>
      </c>
      <c r="G547" s="44" t="str">
        <f>'Input - Bookings'!I547</f>
        <v>ADAPT-A-LIFT GROUP (WA)</v>
      </c>
      <c r="H547" s="44" t="str">
        <f>'Input - Bookings'!K547</f>
        <v>H40808</v>
      </c>
      <c r="I547" s="45" t="str">
        <f>VLOOKUP(H547,'Input - Bookings'!$G$2:$H$611,2,0)</f>
        <v>087605</v>
      </c>
      <c r="J547" s="44" t="str">
        <f>'Input - Bookings'!N547</f>
        <v>D435</v>
      </c>
      <c r="K547" s="44" t="str">
        <f>'Input - Bookings'!O547</f>
        <v>R2.0HD</v>
      </c>
      <c r="L547" s="44" t="str">
        <f>'Input - Bookings'!C547</f>
        <v>AUD</v>
      </c>
      <c r="M547" s="46" t="str">
        <f t="array" ref="M547">IF(L547="USD",INDEX('AP Plants'!A:A,MATCH(J547,'AP Plants'!D:D,0)),INDEX('Australia Plants'!A:A,MATCH(J547,'Australia Plants'!D:D,0)))</f>
        <v>Masate</v>
      </c>
      <c r="N547" s="10">
        <v>1.0</v>
      </c>
      <c r="O547" s="9">
        <v>105205.0</v>
      </c>
      <c r="P547" s="9">
        <v>49162.6875</v>
      </c>
      <c r="Q547" s="47">
        <f t="shared" si="48"/>
        <v>0.08562986746</v>
      </c>
      <c r="R547" s="48">
        <f t="shared" si="3"/>
        <v>0.5326962834</v>
      </c>
      <c r="S547" s="49">
        <f t="shared" si="4"/>
        <v>0</v>
      </c>
      <c r="T547" s="49">
        <f t="shared" si="21"/>
        <v>0.08562986746</v>
      </c>
      <c r="U547" s="50" t="str">
        <f t="shared" si="6"/>
        <v>AOP</v>
      </c>
      <c r="V547" s="51">
        <f t="shared" si="28"/>
        <v>4209.794415</v>
      </c>
      <c r="W547" s="52" t="str">
        <f t="shared" si="8"/>
        <v>#DIV/0!</v>
      </c>
      <c r="X547" s="9" t="str">
        <f t="shared" si="25"/>
        <v>#DIV/0!</v>
      </c>
      <c r="Y547" s="8"/>
      <c r="Z547" s="8"/>
      <c r="AA547" s="8"/>
      <c r="AB547" s="8" t="str">
        <f t="shared" si="10"/>
        <v>PAUH40808R2.0HD</v>
      </c>
      <c r="AC547" s="8" t="str">
        <f>IF(AB547='Input - Bookings'!S780,"OK","Check")</f>
        <v>Check</v>
      </c>
      <c r="AD547" s="53"/>
      <c r="AE547" s="65">
        <v>0.0</v>
      </c>
      <c r="AF547" s="65">
        <v>0.0</v>
      </c>
      <c r="AG547" s="62"/>
      <c r="AH547" s="55">
        <v>25363.97</v>
      </c>
      <c r="AI547" s="8" t="str">
        <f t="array" ref="AI547">XLOOKUP($J547,'AP Plants'!D:D,'AP Plants'!B:B)</f>
        <v>Class 2</v>
      </c>
      <c r="AJ547" s="56">
        <f>(AH547*(1+VLOOKUP(M547,'Currency &amp; Conversion'!$F$13:$H$19,2,0))*'Currency &amp; Conversion'!$L$4)+((AE547+AF547)*90%)</f>
        <v>40264.94474</v>
      </c>
      <c r="AK547" s="56"/>
      <c r="AL547" s="49">
        <v>0.015</v>
      </c>
      <c r="AM547" s="49">
        <f t="array" ref="AM547">XLOOKUP($AI547,Warranty!B:B,Warranty!E:E)</f>
        <v>0.015</v>
      </c>
      <c r="AN547" s="8">
        <f>IF($L547="AUD",VLOOKUP(RIGHT('Wk - Margins'!$J547,3),'AU Freight'!C:G,5,0),0)</f>
        <v>3480</v>
      </c>
      <c r="AO547" s="49">
        <f t="shared" si="11"/>
        <v>0</v>
      </c>
      <c r="AP547" s="63">
        <f t="shared" si="12"/>
        <v>44952.89309</v>
      </c>
      <c r="AQ547" s="64">
        <f t="shared" si="13"/>
        <v>0.08562986746</v>
      </c>
      <c r="AR547" s="59">
        <f>IF(L547="AUD",O547*'Currency &amp; Conversion'!$L$7,'Wk - Margins'!O547)</f>
        <v>70643.04464</v>
      </c>
      <c r="AS547" s="59">
        <f>IF(L547="AUD",P547*'Currency &amp; Conversion'!$L$7,'Wk - Margins'!P547)</f>
        <v>33011.75731</v>
      </c>
    </row>
    <row r="548" ht="12.75" customHeight="1">
      <c r="A548" s="42" t="str">
        <f>'Input - Bookings'!A548</f>
        <v>28/06/2023</v>
      </c>
      <c r="B548" s="43" t="str">
        <f t="shared" si="1"/>
        <v>Australia</v>
      </c>
      <c r="C548" s="43" t="str">
        <f t="shared" si="2"/>
        <v>PAU</v>
      </c>
      <c r="D548" s="43" t="str">
        <f>'Input - Bookings'!D548</f>
        <v>P</v>
      </c>
      <c r="E548" s="43" t="str">
        <f>'Input - Bookings'!J548</f>
        <v>AU</v>
      </c>
      <c r="F548" s="44" t="str">
        <f>'Input - Bookings'!F548</f>
        <v>065</v>
      </c>
      <c r="G548" s="44" t="str">
        <f>'Input - Bookings'!I548</f>
        <v>ADAPT-A-LIFT GROUP (WA)</v>
      </c>
      <c r="H548" s="44" t="str">
        <f>'Input - Bookings'!K548</f>
        <v>H40809</v>
      </c>
      <c r="I548" s="45" t="str">
        <f>VLOOKUP(H548,'Input - Bookings'!$G$2:$H$611,2,0)</f>
        <v>087605</v>
      </c>
      <c r="J548" s="44" t="str">
        <f>'Input - Bookings'!N548</f>
        <v>D435</v>
      </c>
      <c r="K548" s="44" t="str">
        <f>'Input - Bookings'!O548</f>
        <v>R2.0HD</v>
      </c>
      <c r="L548" s="44" t="str">
        <f>'Input - Bookings'!C548</f>
        <v>AUD</v>
      </c>
      <c r="M548" s="46" t="str">
        <f t="array" ref="M548">IF(L548="USD",INDEX('AP Plants'!A:A,MATCH(J548,'AP Plants'!D:D,0)),INDEX('Australia Plants'!A:A,MATCH(J548,'Australia Plants'!D:D,0)))</f>
        <v>Masate</v>
      </c>
      <c r="N548" s="10">
        <v>1.0</v>
      </c>
      <c r="O548" s="9">
        <v>105205.0</v>
      </c>
      <c r="P548" s="9">
        <v>49162.6875</v>
      </c>
      <c r="Q548" s="47">
        <f t="shared" si="48"/>
        <v>0.08562986746</v>
      </c>
      <c r="R548" s="48">
        <f t="shared" si="3"/>
        <v>0.5326962834</v>
      </c>
      <c r="S548" s="49">
        <f t="shared" si="4"/>
        <v>0</v>
      </c>
      <c r="T548" s="49">
        <f t="shared" si="21"/>
        <v>0.08562986746</v>
      </c>
      <c r="U548" s="50" t="str">
        <f t="shared" si="6"/>
        <v>AOP</v>
      </c>
      <c r="V548" s="51">
        <f t="shared" si="28"/>
        <v>4209.794415</v>
      </c>
      <c r="W548" s="52" t="str">
        <f t="shared" si="8"/>
        <v>#DIV/0!</v>
      </c>
      <c r="X548" s="9" t="str">
        <f t="shared" si="25"/>
        <v>#DIV/0!</v>
      </c>
      <c r="Y548" s="8"/>
      <c r="Z548" s="8"/>
      <c r="AA548" s="8"/>
      <c r="AB548" s="8" t="str">
        <f t="shared" si="10"/>
        <v>PAUH40809R2.0HD</v>
      </c>
      <c r="AC548" s="8" t="str">
        <f>IF(AB548='Input - Bookings'!S781,"OK","Check")</f>
        <v>Check</v>
      </c>
      <c r="AD548" s="53"/>
      <c r="AE548" s="65">
        <v>0.0</v>
      </c>
      <c r="AF548" s="65">
        <v>0.0</v>
      </c>
      <c r="AG548" s="62"/>
      <c r="AH548" s="55">
        <v>25363.97</v>
      </c>
      <c r="AI548" s="8" t="str">
        <f t="array" ref="AI548">XLOOKUP($J548,'AP Plants'!D:D,'AP Plants'!B:B)</f>
        <v>Class 2</v>
      </c>
      <c r="AJ548" s="56">
        <f>(AH548*(1+VLOOKUP(M548,'Currency &amp; Conversion'!$F$13:$H$19,2,0))*'Currency &amp; Conversion'!$L$4)+((AE548+AF548)*90%)</f>
        <v>40264.94474</v>
      </c>
      <c r="AK548" s="56"/>
      <c r="AL548" s="49">
        <v>0.015</v>
      </c>
      <c r="AM548" s="49">
        <f t="array" ref="AM548">XLOOKUP($AI548,Warranty!B:B,Warranty!E:E)</f>
        <v>0.015</v>
      </c>
      <c r="AN548" s="8">
        <f>IF($L548="AUD",VLOOKUP(RIGHT('Wk - Margins'!$J548,3),'AU Freight'!C:G,5,0),0)</f>
        <v>3480</v>
      </c>
      <c r="AO548" s="49">
        <f t="shared" si="11"/>
        <v>0</v>
      </c>
      <c r="AP548" s="63">
        <f t="shared" si="12"/>
        <v>44952.89309</v>
      </c>
      <c r="AQ548" s="64">
        <f t="shared" si="13"/>
        <v>0.08562986746</v>
      </c>
      <c r="AR548" s="59">
        <f>IF(L548="AUD",O548*'Currency &amp; Conversion'!$L$7,'Wk - Margins'!O548)</f>
        <v>70643.04464</v>
      </c>
      <c r="AS548" s="59">
        <f>IF(L548="AUD",P548*'Currency &amp; Conversion'!$L$7,'Wk - Margins'!P548)</f>
        <v>33011.75731</v>
      </c>
    </row>
    <row r="549" ht="12.75" customHeight="1">
      <c r="A549" s="42" t="str">
        <f>'Input - Bookings'!A549</f>
        <v>28/06/2023</v>
      </c>
      <c r="B549" s="43" t="str">
        <f t="shared" si="1"/>
        <v>Australia</v>
      </c>
      <c r="C549" s="43" t="str">
        <f t="shared" si="2"/>
        <v>PAU</v>
      </c>
      <c r="D549" s="43" t="str">
        <f>'Input - Bookings'!D549</f>
        <v>P</v>
      </c>
      <c r="E549" s="43" t="str">
        <f>'Input - Bookings'!J549</f>
        <v>AU</v>
      </c>
      <c r="F549" s="44" t="str">
        <f>'Input - Bookings'!F549</f>
        <v>065</v>
      </c>
      <c r="G549" s="44" t="str">
        <f>'Input - Bookings'!I549</f>
        <v>ADAPT-A-LIFT GROUP (WA)</v>
      </c>
      <c r="H549" s="44" t="str">
        <f>'Input - Bookings'!K549</f>
        <v>H40810</v>
      </c>
      <c r="I549" s="45" t="str">
        <f>VLOOKUP(H549,'Input - Bookings'!$G$2:$H$611,2,0)</f>
        <v>087605</v>
      </c>
      <c r="J549" s="44" t="str">
        <f>'Input - Bookings'!N549</f>
        <v>D435</v>
      </c>
      <c r="K549" s="44" t="str">
        <f>'Input - Bookings'!O549</f>
        <v>R2.0HD</v>
      </c>
      <c r="L549" s="44" t="str">
        <f>'Input - Bookings'!C549</f>
        <v>AUD</v>
      </c>
      <c r="M549" s="46" t="str">
        <f t="array" ref="M549">IF(L549="USD",INDEX('AP Plants'!A:A,MATCH(J549,'AP Plants'!D:D,0)),INDEX('Australia Plants'!A:A,MATCH(J549,'Australia Plants'!D:D,0)))</f>
        <v>Masate</v>
      </c>
      <c r="N549" s="10">
        <v>1.0</v>
      </c>
      <c r="O549" s="9">
        <v>105205.0</v>
      </c>
      <c r="P549" s="9">
        <v>49162.6875</v>
      </c>
      <c r="Q549" s="47">
        <f t="shared" si="48"/>
        <v>0.08562986746</v>
      </c>
      <c r="R549" s="48">
        <f t="shared" si="3"/>
        <v>0.5326962834</v>
      </c>
      <c r="S549" s="49">
        <f t="shared" si="4"/>
        <v>0</v>
      </c>
      <c r="T549" s="49">
        <f t="shared" si="21"/>
        <v>0.08562986746</v>
      </c>
      <c r="U549" s="50" t="str">
        <f t="shared" si="6"/>
        <v>AOP</v>
      </c>
      <c r="V549" s="51">
        <f t="shared" si="28"/>
        <v>4209.794415</v>
      </c>
      <c r="W549" s="52" t="str">
        <f t="shared" si="8"/>
        <v>#DIV/0!</v>
      </c>
      <c r="X549" s="9" t="str">
        <f t="shared" si="25"/>
        <v>#DIV/0!</v>
      </c>
      <c r="Y549" s="8"/>
      <c r="Z549" s="8"/>
      <c r="AA549" s="8"/>
      <c r="AB549" s="8" t="str">
        <f t="shared" si="10"/>
        <v>PAUH40810R2.0HD</v>
      </c>
      <c r="AC549" s="8" t="str">
        <f>IF(AB549='Input - Bookings'!S782,"OK","Check")</f>
        <v>Check</v>
      </c>
      <c r="AD549" s="53"/>
      <c r="AE549" s="65">
        <v>0.0</v>
      </c>
      <c r="AF549" s="65">
        <v>0.0</v>
      </c>
      <c r="AG549" s="62"/>
      <c r="AH549" s="55">
        <v>25363.97</v>
      </c>
      <c r="AI549" s="8" t="str">
        <f t="array" ref="AI549">XLOOKUP($J549,'AP Plants'!D:D,'AP Plants'!B:B)</f>
        <v>Class 2</v>
      </c>
      <c r="AJ549" s="56">
        <f>(AH549*(1+VLOOKUP(M549,'Currency &amp; Conversion'!$F$13:$H$19,2,0))*'Currency &amp; Conversion'!$L$4)+((AE549+AF549)*90%)</f>
        <v>40264.94474</v>
      </c>
      <c r="AK549" s="56"/>
      <c r="AL549" s="49">
        <v>0.015</v>
      </c>
      <c r="AM549" s="49">
        <f t="array" ref="AM549">XLOOKUP($AI549,Warranty!B:B,Warranty!E:E)</f>
        <v>0.015</v>
      </c>
      <c r="AN549" s="8">
        <f>IF($L549="AUD",VLOOKUP(RIGHT('Wk - Margins'!$J549,3),'AU Freight'!C:G,5,0),0)</f>
        <v>3480</v>
      </c>
      <c r="AO549" s="49">
        <f t="shared" si="11"/>
        <v>0</v>
      </c>
      <c r="AP549" s="63">
        <f t="shared" si="12"/>
        <v>44952.89309</v>
      </c>
      <c r="AQ549" s="64">
        <f t="shared" si="13"/>
        <v>0.08562986746</v>
      </c>
      <c r="AR549" s="59">
        <f>IF(L549="AUD",O549*'Currency &amp; Conversion'!$L$7,'Wk - Margins'!O549)</f>
        <v>70643.04464</v>
      </c>
      <c r="AS549" s="59">
        <f>IF(L549="AUD",P549*'Currency &amp; Conversion'!$L$7,'Wk - Margins'!P549)</f>
        <v>33011.75731</v>
      </c>
    </row>
    <row r="550" ht="12.75" customHeight="1">
      <c r="A550" s="42" t="str">
        <f>'Input - Bookings'!A550</f>
        <v>28/06/2023</v>
      </c>
      <c r="B550" s="43" t="str">
        <f t="shared" si="1"/>
        <v>Australia</v>
      </c>
      <c r="C550" s="43" t="str">
        <f t="shared" si="2"/>
        <v>PAU</v>
      </c>
      <c r="D550" s="43" t="str">
        <f>'Input - Bookings'!D550</f>
        <v>P</v>
      </c>
      <c r="E550" s="43" t="str">
        <f>'Input - Bookings'!J550</f>
        <v>AU</v>
      </c>
      <c r="F550" s="44" t="str">
        <f>'Input - Bookings'!F550</f>
        <v>065</v>
      </c>
      <c r="G550" s="44" t="str">
        <f>'Input - Bookings'!I550</f>
        <v>ADAPT-A-LIFT GROUP (WA)</v>
      </c>
      <c r="H550" s="44" t="str">
        <f>'Input - Bookings'!K550</f>
        <v>H40787</v>
      </c>
      <c r="I550" s="45" t="str">
        <f>VLOOKUP(H550,'Input - Bookings'!$G$2:$H$611,2,0)</f>
        <v>087605</v>
      </c>
      <c r="J550" s="44" t="str">
        <f>'Input - Bookings'!N550</f>
        <v>E444</v>
      </c>
      <c r="K550" s="44" t="str">
        <f>'Input - Bookings'!O550</f>
        <v>LO2.5</v>
      </c>
      <c r="L550" s="44" t="str">
        <f>'Input - Bookings'!C550</f>
        <v>AUD</v>
      </c>
      <c r="M550" s="46" t="str">
        <f t="array" ref="M550">IF(L550="USD",INDEX('AP Plants'!A:A,MATCH(J550,'AP Plants'!D:D,0)),INDEX('Australia Plants'!A:A,MATCH(J550,'Australia Plants'!D:D,0)))</f>
        <v>Masate</v>
      </c>
      <c r="N550" s="10">
        <v>1.0</v>
      </c>
      <c r="O550" s="9">
        <v>23320.0</v>
      </c>
      <c r="P550" s="9">
        <v>15662.74</v>
      </c>
      <c r="Q550" s="47">
        <f t="shared" si="48"/>
        <v>-0.06338765847</v>
      </c>
      <c r="R550" s="48">
        <f t="shared" si="3"/>
        <v>0.3283559177</v>
      </c>
      <c r="S550" s="49">
        <f t="shared" si="4"/>
        <v>0</v>
      </c>
      <c r="T550" s="49">
        <f t="shared" si="21"/>
        <v>-0.06338765847</v>
      </c>
      <c r="U550" s="50" t="str">
        <f t="shared" si="6"/>
        <v>VP</v>
      </c>
      <c r="V550" s="51">
        <f t="shared" si="28"/>
        <v>-992.8244138</v>
      </c>
      <c r="W550" s="52" t="str">
        <f t="shared" si="8"/>
        <v>#DIV/0!</v>
      </c>
      <c r="X550" s="9" t="str">
        <f t="shared" si="25"/>
        <v>#DIV/0!</v>
      </c>
      <c r="Y550" s="8"/>
      <c r="Z550" s="8"/>
      <c r="AA550" s="8"/>
      <c r="AB550" s="8" t="str">
        <f t="shared" si="10"/>
        <v>PAUH40787LO2.5</v>
      </c>
      <c r="AC550" s="8" t="str">
        <f>IF(AB550='Input - Bookings'!S783,"OK","Check")</f>
        <v>Check</v>
      </c>
      <c r="AD550" s="53"/>
      <c r="AE550" s="65">
        <v>0.0</v>
      </c>
      <c r="AF550" s="65">
        <v>3420.0</v>
      </c>
      <c r="AG550" s="62"/>
      <c r="AH550" s="55">
        <v>6293.29</v>
      </c>
      <c r="AI550" s="8" t="str">
        <f t="array" ref="AI550">XLOOKUP($J550,'AP Plants'!D:D,'AP Plants'!B:B)</f>
        <v>Class 2</v>
      </c>
      <c r="AJ550" s="56">
        <f>(AH550*(1+VLOOKUP(M550,'Currency &amp; Conversion'!$F$13:$H$19,2,0))*'Currency &amp; Conversion'!$L$4)+((AE550+AF550)*90%)</f>
        <v>13068.50914</v>
      </c>
      <c r="AK550" s="56"/>
      <c r="AL550" s="49">
        <v>0.015</v>
      </c>
      <c r="AM550" s="49">
        <f t="array" ref="AM550">XLOOKUP($AI550,Warranty!B:B,Warranty!E:E)</f>
        <v>0.015</v>
      </c>
      <c r="AN550" s="8">
        <f>IF($L550="AUD",VLOOKUP(RIGHT('Wk - Margins'!$J550,3),'AU Freight'!C:G,5,0),0)</f>
        <v>3195</v>
      </c>
      <c r="AO550" s="49">
        <f t="shared" si="11"/>
        <v>0</v>
      </c>
      <c r="AP550" s="63">
        <f t="shared" si="12"/>
        <v>16655.56441</v>
      </c>
      <c r="AQ550" s="64">
        <f t="shared" si="13"/>
        <v>-0.06338765847</v>
      </c>
      <c r="AR550" s="59">
        <f>IF(L550="AUD",O550*'Currency &amp; Conversion'!$L$7,'Wk - Margins'!O550)</f>
        <v>15658.91166</v>
      </c>
      <c r="AS550" s="59">
        <f>IF(L550="AUD",P550*'Currency &amp; Conversion'!$L$7,'Wk - Margins'!P550)</f>
        <v>10517.21535</v>
      </c>
    </row>
    <row r="551" ht="12.75" customHeight="1">
      <c r="A551" s="42" t="str">
        <f>'Input - Bookings'!A551</f>
        <v>28/06/2023</v>
      </c>
      <c r="B551" s="43" t="str">
        <f t="shared" si="1"/>
        <v>Australia</v>
      </c>
      <c r="C551" s="43" t="str">
        <f t="shared" si="2"/>
        <v>PAU</v>
      </c>
      <c r="D551" s="43" t="str">
        <f>'Input - Bookings'!D551</f>
        <v>P</v>
      </c>
      <c r="E551" s="43" t="str">
        <f>'Input - Bookings'!J551</f>
        <v>AU</v>
      </c>
      <c r="F551" s="44" t="str">
        <f>'Input - Bookings'!F551</f>
        <v>065</v>
      </c>
      <c r="G551" s="44" t="str">
        <f>'Input - Bookings'!I551</f>
        <v>ADAPT-A-LIFT GROUP (WA)</v>
      </c>
      <c r="H551" s="44" t="str">
        <f>'Input - Bookings'!K551</f>
        <v>H40811</v>
      </c>
      <c r="I551" s="45" t="str">
        <f>VLOOKUP(H551,'Input - Bookings'!$G$2:$H$611,2,0)</f>
        <v>087605</v>
      </c>
      <c r="J551" s="44" t="str">
        <f>'Input - Bookings'!N551</f>
        <v>E444</v>
      </c>
      <c r="K551" s="44" t="str">
        <f>'Input - Bookings'!O551</f>
        <v>LO2.5</v>
      </c>
      <c r="L551" s="44" t="str">
        <f>'Input - Bookings'!C551</f>
        <v>AUD</v>
      </c>
      <c r="M551" s="46" t="str">
        <f t="array" ref="M551">IF(L551="USD",INDEX('AP Plants'!A:A,MATCH(J551,'AP Plants'!D:D,0)),INDEX('Australia Plants'!A:A,MATCH(J551,'Australia Plants'!D:D,0)))</f>
        <v>Masate</v>
      </c>
      <c r="N551" s="10">
        <v>1.0</v>
      </c>
      <c r="O551" s="9">
        <v>23320.0</v>
      </c>
      <c r="P551" s="9">
        <v>15662.74</v>
      </c>
      <c r="Q551" s="47">
        <f t="shared" si="48"/>
        <v>-0.06338765847</v>
      </c>
      <c r="R551" s="48">
        <f t="shared" si="3"/>
        <v>0.3283559177</v>
      </c>
      <c r="S551" s="49">
        <f t="shared" si="4"/>
        <v>0</v>
      </c>
      <c r="T551" s="49">
        <f t="shared" si="21"/>
        <v>-0.06338765847</v>
      </c>
      <c r="U551" s="50" t="str">
        <f t="shared" si="6"/>
        <v>VP</v>
      </c>
      <c r="V551" s="51">
        <f t="shared" si="28"/>
        <v>-992.8244138</v>
      </c>
      <c r="W551" s="52" t="str">
        <f t="shared" si="8"/>
        <v>#DIV/0!</v>
      </c>
      <c r="X551" s="9" t="str">
        <f t="shared" si="25"/>
        <v>#DIV/0!</v>
      </c>
      <c r="Y551" s="8"/>
      <c r="Z551" s="8"/>
      <c r="AA551" s="8"/>
      <c r="AB551" s="8" t="str">
        <f t="shared" si="10"/>
        <v>PAUH40811LO2.5</v>
      </c>
      <c r="AC551" s="8" t="str">
        <f>IF(AB551='Input - Bookings'!S784,"OK","Check")</f>
        <v>Check</v>
      </c>
      <c r="AD551" s="53"/>
      <c r="AE551" s="65">
        <v>0.0</v>
      </c>
      <c r="AF551" s="65">
        <v>3420.0</v>
      </c>
      <c r="AG551" s="62"/>
      <c r="AH551" s="55">
        <v>6293.29</v>
      </c>
      <c r="AI551" s="8" t="str">
        <f t="array" ref="AI551">XLOOKUP($J551,'AP Plants'!D:D,'AP Plants'!B:B)</f>
        <v>Class 2</v>
      </c>
      <c r="AJ551" s="56">
        <f>(AH551*(1+VLOOKUP(M551,'Currency &amp; Conversion'!$F$13:$H$19,2,0))*'Currency &amp; Conversion'!$L$4)+((AE551+AF551)*90%)</f>
        <v>13068.50914</v>
      </c>
      <c r="AK551" s="56"/>
      <c r="AL551" s="49">
        <v>0.015</v>
      </c>
      <c r="AM551" s="49">
        <f t="array" ref="AM551">XLOOKUP($AI551,Warranty!B:B,Warranty!E:E)</f>
        <v>0.015</v>
      </c>
      <c r="AN551" s="8">
        <f>IF($L551="AUD",VLOOKUP(RIGHT('Wk - Margins'!$J551,3),'AU Freight'!C:G,5,0),0)</f>
        <v>3195</v>
      </c>
      <c r="AO551" s="49">
        <f t="shared" si="11"/>
        <v>0</v>
      </c>
      <c r="AP551" s="63">
        <f t="shared" si="12"/>
        <v>16655.56441</v>
      </c>
      <c r="AQ551" s="64">
        <f t="shared" si="13"/>
        <v>-0.06338765847</v>
      </c>
      <c r="AR551" s="59">
        <f>IF(L551="AUD",O551*'Currency &amp; Conversion'!$L$7,'Wk - Margins'!O551)</f>
        <v>15658.91166</v>
      </c>
      <c r="AS551" s="59">
        <f>IF(L551="AUD",P551*'Currency &amp; Conversion'!$L$7,'Wk - Margins'!P551)</f>
        <v>10517.21535</v>
      </c>
    </row>
    <row r="552" ht="12.75" customHeight="1">
      <c r="A552" s="42" t="str">
        <f>'Input - Bookings'!A552</f>
        <v>28/06/2023</v>
      </c>
      <c r="B552" s="43" t="str">
        <f t="shared" si="1"/>
        <v>Australia</v>
      </c>
      <c r="C552" s="43" t="str">
        <f t="shared" si="2"/>
        <v>PAU</v>
      </c>
      <c r="D552" s="43" t="str">
        <f>'Input - Bookings'!D552</f>
        <v>P</v>
      </c>
      <c r="E552" s="43" t="str">
        <f>'Input - Bookings'!J552</f>
        <v>AU</v>
      </c>
      <c r="F552" s="44" t="str">
        <f>'Input - Bookings'!F552</f>
        <v>065</v>
      </c>
      <c r="G552" s="44" t="str">
        <f>'Input - Bookings'!I552</f>
        <v>ADAPT-A-LIFT GROUP (WA)</v>
      </c>
      <c r="H552" s="44" t="str">
        <f>'Input - Bookings'!K552</f>
        <v>H40812</v>
      </c>
      <c r="I552" s="45" t="str">
        <f>VLOOKUP(H552,'Input - Bookings'!$G$2:$H$611,2,0)</f>
        <v>087605</v>
      </c>
      <c r="J552" s="44" t="str">
        <f>'Input - Bookings'!N552</f>
        <v>E444</v>
      </c>
      <c r="K552" s="44" t="str">
        <f>'Input - Bookings'!O552</f>
        <v>LO2.5</v>
      </c>
      <c r="L552" s="44" t="str">
        <f>'Input - Bookings'!C552</f>
        <v>AUD</v>
      </c>
      <c r="M552" s="46" t="str">
        <f t="array" ref="M552">IF(L552="USD",INDEX('AP Plants'!A:A,MATCH(J552,'AP Plants'!D:D,0)),INDEX('Australia Plants'!A:A,MATCH(J552,'Australia Plants'!D:D,0)))</f>
        <v>Masate</v>
      </c>
      <c r="N552" s="10">
        <v>1.0</v>
      </c>
      <c r="O552" s="9">
        <v>23320.0</v>
      </c>
      <c r="P552" s="9">
        <v>15662.74</v>
      </c>
      <c r="Q552" s="47">
        <f t="shared" si="48"/>
        <v>-0.06338765847</v>
      </c>
      <c r="R552" s="48">
        <f t="shared" si="3"/>
        <v>0.3283559177</v>
      </c>
      <c r="S552" s="49">
        <f t="shared" si="4"/>
        <v>0</v>
      </c>
      <c r="T552" s="49">
        <f t="shared" si="21"/>
        <v>-0.06338765847</v>
      </c>
      <c r="U552" s="50" t="str">
        <f t="shared" si="6"/>
        <v>VP</v>
      </c>
      <c r="V552" s="51">
        <f t="shared" si="28"/>
        <v>-992.8244138</v>
      </c>
      <c r="W552" s="52" t="str">
        <f t="shared" si="8"/>
        <v>#DIV/0!</v>
      </c>
      <c r="X552" s="9" t="str">
        <f t="shared" si="25"/>
        <v>#DIV/0!</v>
      </c>
      <c r="Y552" s="8"/>
      <c r="Z552" s="8"/>
      <c r="AA552" s="8"/>
      <c r="AB552" s="8" t="str">
        <f t="shared" si="10"/>
        <v>PAUH40812LO2.5</v>
      </c>
      <c r="AC552" s="8" t="str">
        <f>IF(AB552='Input - Bookings'!S785,"OK","Check")</f>
        <v>Check</v>
      </c>
      <c r="AD552" s="53"/>
      <c r="AE552" s="65">
        <v>0.0</v>
      </c>
      <c r="AF552" s="65">
        <v>3420.0</v>
      </c>
      <c r="AG552" s="62"/>
      <c r="AH552" s="55">
        <v>6293.29</v>
      </c>
      <c r="AI552" s="8" t="str">
        <f t="array" ref="AI552">XLOOKUP($J552,'AP Plants'!D:D,'AP Plants'!B:B)</f>
        <v>Class 2</v>
      </c>
      <c r="AJ552" s="56">
        <f>(AH552*(1+VLOOKUP(M552,'Currency &amp; Conversion'!$F$13:$H$19,2,0))*'Currency &amp; Conversion'!$L$4)+((AE552+AF552)*90%)</f>
        <v>13068.50914</v>
      </c>
      <c r="AK552" s="56"/>
      <c r="AL552" s="49">
        <v>0.015</v>
      </c>
      <c r="AM552" s="49">
        <f t="array" ref="AM552">XLOOKUP($AI552,Warranty!B:B,Warranty!E:E)</f>
        <v>0.015</v>
      </c>
      <c r="AN552" s="8">
        <f>IF($L552="AUD",VLOOKUP(RIGHT('Wk - Margins'!$J552,3),'AU Freight'!C:G,5,0),0)</f>
        <v>3195</v>
      </c>
      <c r="AO552" s="49">
        <f t="shared" si="11"/>
        <v>0</v>
      </c>
      <c r="AP552" s="63">
        <f t="shared" si="12"/>
        <v>16655.56441</v>
      </c>
      <c r="AQ552" s="64">
        <f t="shared" si="13"/>
        <v>-0.06338765847</v>
      </c>
      <c r="AR552" s="59">
        <f>IF(L552="AUD",O552*'Currency &amp; Conversion'!$L$7,'Wk - Margins'!O552)</f>
        <v>15658.91166</v>
      </c>
      <c r="AS552" s="59">
        <f>IF(L552="AUD",P552*'Currency &amp; Conversion'!$L$7,'Wk - Margins'!P552)</f>
        <v>10517.21535</v>
      </c>
    </row>
    <row r="553" ht="12.75" customHeight="1">
      <c r="A553" s="42" t="str">
        <f>'Input - Bookings'!A553</f>
        <v>28/06/2023</v>
      </c>
      <c r="B553" s="43" t="str">
        <f t="shared" si="1"/>
        <v>Australia</v>
      </c>
      <c r="C553" s="43" t="str">
        <f t="shared" si="2"/>
        <v>PAU</v>
      </c>
      <c r="D553" s="43" t="str">
        <f>'Input - Bookings'!D553</f>
        <v>P</v>
      </c>
      <c r="E553" s="43" t="str">
        <f>'Input - Bookings'!J553</f>
        <v>AU</v>
      </c>
      <c r="F553" s="44" t="str">
        <f>'Input - Bookings'!F553</f>
        <v>065</v>
      </c>
      <c r="G553" s="44" t="str">
        <f>'Input - Bookings'!I553</f>
        <v>ADAPT-A-LIFT GROUP (WA)</v>
      </c>
      <c r="H553" s="44" t="str">
        <f>'Input - Bookings'!K553</f>
        <v>H40813</v>
      </c>
      <c r="I553" s="45" t="str">
        <f>VLOOKUP(H553,'Input - Bookings'!$G$2:$H$611,2,0)</f>
        <v>087605</v>
      </c>
      <c r="J553" s="44" t="str">
        <f>'Input - Bookings'!N553</f>
        <v>E444</v>
      </c>
      <c r="K553" s="44" t="str">
        <f>'Input - Bookings'!O553</f>
        <v>LO2.5</v>
      </c>
      <c r="L553" s="44" t="str">
        <f>'Input - Bookings'!C553</f>
        <v>AUD</v>
      </c>
      <c r="M553" s="46" t="str">
        <f t="array" ref="M553">IF(L553="USD",INDEX('AP Plants'!A:A,MATCH(J553,'AP Plants'!D:D,0)),INDEX('Australia Plants'!A:A,MATCH(J553,'Australia Plants'!D:D,0)))</f>
        <v>Masate</v>
      </c>
      <c r="N553" s="10">
        <v>1.0</v>
      </c>
      <c r="O553" s="9">
        <v>23320.0</v>
      </c>
      <c r="P553" s="9">
        <v>15662.74</v>
      </c>
      <c r="Q553" s="47">
        <f t="shared" si="48"/>
        <v>-0.06338765847</v>
      </c>
      <c r="R553" s="48">
        <f t="shared" si="3"/>
        <v>0.3283559177</v>
      </c>
      <c r="S553" s="49">
        <f t="shared" si="4"/>
        <v>0</v>
      </c>
      <c r="T553" s="49">
        <f t="shared" si="21"/>
        <v>-0.06338765847</v>
      </c>
      <c r="U553" s="50" t="str">
        <f t="shared" si="6"/>
        <v>VP</v>
      </c>
      <c r="V553" s="51">
        <f t="shared" si="28"/>
        <v>-992.8244138</v>
      </c>
      <c r="W553" s="52" t="str">
        <f t="shared" si="8"/>
        <v>#DIV/0!</v>
      </c>
      <c r="X553" s="9" t="str">
        <f t="shared" si="25"/>
        <v>#DIV/0!</v>
      </c>
      <c r="Y553" s="8"/>
      <c r="Z553" s="8"/>
      <c r="AA553" s="8"/>
      <c r="AB553" s="8" t="str">
        <f t="shared" si="10"/>
        <v>PAUH40813LO2.5</v>
      </c>
      <c r="AC553" s="8" t="str">
        <f>IF(AB553='Input - Bookings'!S786,"OK","Check")</f>
        <v>Check</v>
      </c>
      <c r="AD553" s="53"/>
      <c r="AE553" s="65">
        <v>0.0</v>
      </c>
      <c r="AF553" s="65">
        <v>3420.0</v>
      </c>
      <c r="AG553" s="62"/>
      <c r="AH553" s="55">
        <v>6293.29</v>
      </c>
      <c r="AI553" s="8" t="str">
        <f t="array" ref="AI553">XLOOKUP($J553,'AP Plants'!D:D,'AP Plants'!B:B)</f>
        <v>Class 2</v>
      </c>
      <c r="AJ553" s="56">
        <f>(AH553*(1+VLOOKUP(M553,'Currency &amp; Conversion'!$F$13:$H$19,2,0))*'Currency &amp; Conversion'!$L$4)+((AE553+AF553)*90%)</f>
        <v>13068.50914</v>
      </c>
      <c r="AK553" s="56"/>
      <c r="AL553" s="49">
        <v>0.015</v>
      </c>
      <c r="AM553" s="49">
        <f t="array" ref="AM553">XLOOKUP($AI553,Warranty!B:B,Warranty!E:E)</f>
        <v>0.015</v>
      </c>
      <c r="AN553" s="8">
        <f>IF($L553="AUD",VLOOKUP(RIGHT('Wk - Margins'!$J553,3),'AU Freight'!C:G,5,0),0)</f>
        <v>3195</v>
      </c>
      <c r="AO553" s="49">
        <f t="shared" si="11"/>
        <v>0</v>
      </c>
      <c r="AP553" s="63">
        <f t="shared" si="12"/>
        <v>16655.56441</v>
      </c>
      <c r="AQ553" s="64">
        <f t="shared" si="13"/>
        <v>-0.06338765847</v>
      </c>
      <c r="AR553" s="59">
        <f>IF(L553="AUD",O553*'Currency &amp; Conversion'!$L$7,'Wk - Margins'!O553)</f>
        <v>15658.91166</v>
      </c>
      <c r="AS553" s="59">
        <f>IF(L553="AUD",P553*'Currency &amp; Conversion'!$L$7,'Wk - Margins'!P553)</f>
        <v>10517.21535</v>
      </c>
    </row>
    <row r="554" ht="12.75" customHeight="1">
      <c r="A554" s="42" t="str">
        <f>'Input - Bookings'!A554</f>
        <v>28/06/2023</v>
      </c>
      <c r="B554" s="43" t="str">
        <f t="shared" si="1"/>
        <v>Australia</v>
      </c>
      <c r="C554" s="43" t="str">
        <f t="shared" si="2"/>
        <v>PAU</v>
      </c>
      <c r="D554" s="43" t="str">
        <f>'Input - Bookings'!D554</f>
        <v>P</v>
      </c>
      <c r="E554" s="43" t="str">
        <f>'Input - Bookings'!J554</f>
        <v>AU</v>
      </c>
      <c r="F554" s="44" t="str">
        <f>'Input - Bookings'!F554</f>
        <v>065</v>
      </c>
      <c r="G554" s="44" t="str">
        <f>'Input - Bookings'!I554</f>
        <v>ADAPT-A-LIFT GROUP (WA)</v>
      </c>
      <c r="H554" s="44" t="str">
        <f>'Input - Bookings'!K554</f>
        <v>H40814</v>
      </c>
      <c r="I554" s="45" t="str">
        <f>VLOOKUP(H554,'Input - Bookings'!$G$2:$H$611,2,0)</f>
        <v>087605</v>
      </c>
      <c r="J554" s="44" t="str">
        <f>'Input - Bookings'!N554</f>
        <v>E444</v>
      </c>
      <c r="K554" s="44" t="str">
        <f>'Input - Bookings'!O554</f>
        <v>LO2.5</v>
      </c>
      <c r="L554" s="44" t="str">
        <f>'Input - Bookings'!C554</f>
        <v>AUD</v>
      </c>
      <c r="M554" s="46" t="str">
        <f t="array" ref="M554">IF(L554="USD",INDEX('AP Plants'!A:A,MATCH(J554,'AP Plants'!D:D,0)),INDEX('Australia Plants'!A:A,MATCH(J554,'Australia Plants'!D:D,0)))</f>
        <v>Masate</v>
      </c>
      <c r="N554" s="10">
        <v>1.0</v>
      </c>
      <c r="O554" s="9">
        <v>23320.0</v>
      </c>
      <c r="P554" s="9">
        <v>15662.74</v>
      </c>
      <c r="Q554" s="47">
        <f t="shared" si="48"/>
        <v>-0.06338765847</v>
      </c>
      <c r="R554" s="48">
        <f t="shared" si="3"/>
        <v>0.3283559177</v>
      </c>
      <c r="S554" s="49">
        <f t="shared" si="4"/>
        <v>0</v>
      </c>
      <c r="T554" s="49">
        <f t="shared" si="21"/>
        <v>-0.06338765847</v>
      </c>
      <c r="U554" s="50" t="str">
        <f t="shared" si="6"/>
        <v>VP</v>
      </c>
      <c r="V554" s="51">
        <f t="shared" si="28"/>
        <v>-992.8244138</v>
      </c>
      <c r="W554" s="52" t="str">
        <f t="shared" si="8"/>
        <v>#DIV/0!</v>
      </c>
      <c r="X554" s="9" t="str">
        <f t="shared" si="25"/>
        <v>#DIV/0!</v>
      </c>
      <c r="Y554" s="8"/>
      <c r="Z554" s="8"/>
      <c r="AA554" s="8"/>
      <c r="AB554" s="8" t="str">
        <f t="shared" si="10"/>
        <v>PAUH40814LO2.5</v>
      </c>
      <c r="AC554" s="8" t="str">
        <f>IF(AB554='Input - Bookings'!S787,"OK","Check")</f>
        <v>Check</v>
      </c>
      <c r="AD554" s="53"/>
      <c r="AE554" s="65">
        <v>0.0</v>
      </c>
      <c r="AF554" s="65">
        <v>3420.0</v>
      </c>
      <c r="AG554" s="62"/>
      <c r="AH554" s="55">
        <v>6293.29</v>
      </c>
      <c r="AI554" s="8" t="str">
        <f t="array" ref="AI554">XLOOKUP($J554,'AP Plants'!D:D,'AP Plants'!B:B)</f>
        <v>Class 2</v>
      </c>
      <c r="AJ554" s="56">
        <f>(AH554*(1+VLOOKUP(M554,'Currency &amp; Conversion'!$F$13:$H$19,2,0))*'Currency &amp; Conversion'!$L$4)+((AE554+AF554)*90%)</f>
        <v>13068.50914</v>
      </c>
      <c r="AK554" s="56"/>
      <c r="AL554" s="49">
        <v>0.015</v>
      </c>
      <c r="AM554" s="49">
        <f t="array" ref="AM554">XLOOKUP($AI554,Warranty!B:B,Warranty!E:E)</f>
        <v>0.015</v>
      </c>
      <c r="AN554" s="8">
        <f>IF($L554="AUD",VLOOKUP(RIGHT('Wk - Margins'!$J554,3),'AU Freight'!C:G,5,0),0)</f>
        <v>3195</v>
      </c>
      <c r="AO554" s="49">
        <f t="shared" si="11"/>
        <v>0</v>
      </c>
      <c r="AP554" s="63">
        <f t="shared" si="12"/>
        <v>16655.56441</v>
      </c>
      <c r="AQ554" s="64">
        <f t="shared" si="13"/>
        <v>-0.06338765847</v>
      </c>
      <c r="AR554" s="59">
        <f>IF(L554="AUD",O554*'Currency &amp; Conversion'!$L$7,'Wk - Margins'!O554)</f>
        <v>15658.91166</v>
      </c>
      <c r="AS554" s="59">
        <f>IF(L554="AUD",P554*'Currency &amp; Conversion'!$L$7,'Wk - Margins'!P554)</f>
        <v>10517.21535</v>
      </c>
    </row>
    <row r="555" ht="12.75" customHeight="1">
      <c r="A555" s="42" t="str">
        <f>'Input - Bookings'!A555</f>
        <v>28/06/2023</v>
      </c>
      <c r="B555" s="43" t="str">
        <f t="shared" si="1"/>
        <v>Australia</v>
      </c>
      <c r="C555" s="43" t="str">
        <f t="shared" si="2"/>
        <v>PAU</v>
      </c>
      <c r="D555" s="43" t="str">
        <f>'Input - Bookings'!D555</f>
        <v>P</v>
      </c>
      <c r="E555" s="43" t="str">
        <f>'Input - Bookings'!J555</f>
        <v>AU</v>
      </c>
      <c r="F555" s="44" t="str">
        <f>'Input - Bookings'!F555</f>
        <v>065</v>
      </c>
      <c r="G555" s="44" t="str">
        <f>'Input - Bookings'!I555</f>
        <v>ADAPT-A-LIFT GROUP (WA)</v>
      </c>
      <c r="H555" s="44" t="str">
        <f>'Input - Bookings'!K555</f>
        <v>H40782</v>
      </c>
      <c r="I555" s="45" t="str">
        <f>VLOOKUP(H555,'Input - Bookings'!$G$2:$H$611,2,0)</f>
        <v>087605</v>
      </c>
      <c r="J555" s="44" t="str">
        <f>'Input - Bookings'!N555</f>
        <v>E444</v>
      </c>
      <c r="K555" s="44" t="str">
        <f>'Input - Bookings'!O555</f>
        <v>LO2.5</v>
      </c>
      <c r="L555" s="44" t="str">
        <f>'Input - Bookings'!C555</f>
        <v>AUD</v>
      </c>
      <c r="M555" s="46" t="str">
        <f t="array" ref="M555">IF(L555="USD",INDEX('AP Plants'!A:A,MATCH(J555,'AP Plants'!D:D,0)),INDEX('Australia Plants'!A:A,MATCH(J555,'Australia Plants'!D:D,0)))</f>
        <v>Masate</v>
      </c>
      <c r="N555" s="10">
        <v>1.0</v>
      </c>
      <c r="O555" s="9">
        <v>23320.0</v>
      </c>
      <c r="P555" s="9">
        <v>15662.74</v>
      </c>
      <c r="Q555" s="47">
        <f t="shared" si="48"/>
        <v>-0.06338765847</v>
      </c>
      <c r="R555" s="48">
        <f t="shared" si="3"/>
        <v>0.3283559177</v>
      </c>
      <c r="S555" s="49">
        <f t="shared" si="4"/>
        <v>0</v>
      </c>
      <c r="T555" s="49">
        <f t="shared" si="21"/>
        <v>-0.06338765847</v>
      </c>
      <c r="U555" s="50" t="str">
        <f t="shared" si="6"/>
        <v>VP</v>
      </c>
      <c r="V555" s="51">
        <f t="shared" si="28"/>
        <v>-992.8244138</v>
      </c>
      <c r="W555" s="52" t="str">
        <f t="shared" si="8"/>
        <v>#DIV/0!</v>
      </c>
      <c r="X555" s="9" t="str">
        <f t="shared" si="25"/>
        <v>#DIV/0!</v>
      </c>
      <c r="Y555" s="8"/>
      <c r="Z555" s="8"/>
      <c r="AA555" s="8"/>
      <c r="AB555" s="8" t="str">
        <f t="shared" si="10"/>
        <v>PAUH40782LO2.5</v>
      </c>
      <c r="AC555" s="8" t="str">
        <f>IF(AB555='Input - Bookings'!S788,"OK","Check")</f>
        <v>Check</v>
      </c>
      <c r="AD555" s="53"/>
      <c r="AE555" s="65">
        <v>0.0</v>
      </c>
      <c r="AF555" s="65">
        <v>3420.0</v>
      </c>
      <c r="AG555" s="62"/>
      <c r="AH555" s="55">
        <v>6293.29</v>
      </c>
      <c r="AI555" s="8" t="str">
        <f t="array" ref="AI555">XLOOKUP($J555,'AP Plants'!D:D,'AP Plants'!B:B)</f>
        <v>Class 2</v>
      </c>
      <c r="AJ555" s="56">
        <f>(AH555*(1+VLOOKUP(M555,'Currency &amp; Conversion'!$F$13:$H$19,2,0))*'Currency &amp; Conversion'!$L$4)+((AE555+AF555)*90%)</f>
        <v>13068.50914</v>
      </c>
      <c r="AK555" s="56"/>
      <c r="AL555" s="49">
        <v>0.015</v>
      </c>
      <c r="AM555" s="49">
        <f t="array" ref="AM555">XLOOKUP($AI555,Warranty!B:B,Warranty!E:E)</f>
        <v>0.015</v>
      </c>
      <c r="AN555" s="8">
        <f>IF($L555="AUD",VLOOKUP(RIGHT('Wk - Margins'!$J555,3),'AU Freight'!C:G,5,0),0)</f>
        <v>3195</v>
      </c>
      <c r="AO555" s="49">
        <f t="shared" si="11"/>
        <v>0</v>
      </c>
      <c r="AP555" s="63">
        <f t="shared" si="12"/>
        <v>16655.56441</v>
      </c>
      <c r="AQ555" s="64">
        <f t="shared" si="13"/>
        <v>-0.06338765847</v>
      </c>
      <c r="AR555" s="59">
        <f>IF(L555="AUD",O555*'Currency &amp; Conversion'!$L$7,'Wk - Margins'!O555)</f>
        <v>15658.91166</v>
      </c>
      <c r="AS555" s="59">
        <f>IF(L555="AUD",P555*'Currency &amp; Conversion'!$L$7,'Wk - Margins'!P555)</f>
        <v>10517.21535</v>
      </c>
    </row>
    <row r="556" ht="12.75" customHeight="1">
      <c r="A556" s="42" t="str">
        <f>'Input - Bookings'!A556</f>
        <v>28/06/2023</v>
      </c>
      <c r="B556" s="43" t="str">
        <f t="shared" si="1"/>
        <v>Australia</v>
      </c>
      <c r="C556" s="43" t="str">
        <f t="shared" si="2"/>
        <v>PAU</v>
      </c>
      <c r="D556" s="43" t="str">
        <f>'Input - Bookings'!D556</f>
        <v>P</v>
      </c>
      <c r="E556" s="43" t="str">
        <f>'Input - Bookings'!J556</f>
        <v>AU</v>
      </c>
      <c r="F556" s="44" t="str">
        <f>'Input - Bookings'!F556</f>
        <v>065</v>
      </c>
      <c r="G556" s="44" t="str">
        <f>'Input - Bookings'!I556</f>
        <v>ADAPT-A-LIFT GROUP (WA)</v>
      </c>
      <c r="H556" s="44" t="str">
        <f>'Input - Bookings'!K556</f>
        <v>H40783</v>
      </c>
      <c r="I556" s="45" t="str">
        <f>VLOOKUP(H556,'Input - Bookings'!$G$2:$H$611,2,0)</f>
        <v>087605</v>
      </c>
      <c r="J556" s="44" t="str">
        <f>'Input - Bookings'!N556</f>
        <v>E444</v>
      </c>
      <c r="K556" s="44" t="str">
        <f>'Input - Bookings'!O556</f>
        <v>LO2.5</v>
      </c>
      <c r="L556" s="44" t="str">
        <f>'Input - Bookings'!C556</f>
        <v>AUD</v>
      </c>
      <c r="M556" s="46" t="str">
        <f t="array" ref="M556">IF(L556="USD",INDEX('AP Plants'!A:A,MATCH(J556,'AP Plants'!D:D,0)),INDEX('Australia Plants'!A:A,MATCH(J556,'Australia Plants'!D:D,0)))</f>
        <v>Masate</v>
      </c>
      <c r="N556" s="10">
        <v>1.0</v>
      </c>
      <c r="O556" s="9">
        <v>23320.0</v>
      </c>
      <c r="P556" s="9">
        <v>15662.74</v>
      </c>
      <c r="Q556" s="47">
        <f t="shared" si="48"/>
        <v>-0.06338765847</v>
      </c>
      <c r="R556" s="48">
        <f t="shared" si="3"/>
        <v>0.3283559177</v>
      </c>
      <c r="S556" s="49">
        <f t="shared" si="4"/>
        <v>0</v>
      </c>
      <c r="T556" s="49">
        <f t="shared" si="21"/>
        <v>-0.06338765847</v>
      </c>
      <c r="U556" s="50" t="str">
        <f t="shared" si="6"/>
        <v>VP</v>
      </c>
      <c r="V556" s="51">
        <f t="shared" si="28"/>
        <v>-992.8244138</v>
      </c>
      <c r="W556" s="52" t="str">
        <f t="shared" si="8"/>
        <v>#DIV/0!</v>
      </c>
      <c r="X556" s="9" t="str">
        <f t="shared" si="25"/>
        <v>#DIV/0!</v>
      </c>
      <c r="Y556" s="8"/>
      <c r="Z556" s="8"/>
      <c r="AA556" s="8"/>
      <c r="AB556" s="8" t="str">
        <f t="shared" si="10"/>
        <v>PAUH40783LO2.5</v>
      </c>
      <c r="AC556" s="8" t="str">
        <f>IF(AB556='Input - Bookings'!S789,"OK","Check")</f>
        <v>Check</v>
      </c>
      <c r="AD556" s="53"/>
      <c r="AE556" s="65">
        <v>0.0</v>
      </c>
      <c r="AF556" s="65">
        <v>3420.0</v>
      </c>
      <c r="AG556" s="62"/>
      <c r="AH556" s="55">
        <v>6293.29</v>
      </c>
      <c r="AI556" s="8" t="str">
        <f t="array" ref="AI556">XLOOKUP($J556,'AP Plants'!D:D,'AP Plants'!B:B)</f>
        <v>Class 2</v>
      </c>
      <c r="AJ556" s="56">
        <f>(AH556*(1+VLOOKUP(M556,'Currency &amp; Conversion'!$F$13:$H$19,2,0))*'Currency &amp; Conversion'!$L$4)+((AE556+AF556)*90%)</f>
        <v>13068.50914</v>
      </c>
      <c r="AK556" s="56"/>
      <c r="AL556" s="49">
        <v>0.015</v>
      </c>
      <c r="AM556" s="49">
        <f t="array" ref="AM556">XLOOKUP($AI556,Warranty!B:B,Warranty!E:E)</f>
        <v>0.015</v>
      </c>
      <c r="AN556" s="8">
        <f>IF($L556="AUD",VLOOKUP(RIGHT('Wk - Margins'!$J556,3),'AU Freight'!C:G,5,0),0)</f>
        <v>3195</v>
      </c>
      <c r="AO556" s="49">
        <f t="shared" si="11"/>
        <v>0</v>
      </c>
      <c r="AP556" s="63">
        <f t="shared" si="12"/>
        <v>16655.56441</v>
      </c>
      <c r="AQ556" s="64">
        <f t="shared" si="13"/>
        <v>-0.06338765847</v>
      </c>
      <c r="AR556" s="59">
        <f>IF(L556="AUD",O556*'Currency &amp; Conversion'!$L$7,'Wk - Margins'!O556)</f>
        <v>15658.91166</v>
      </c>
      <c r="AS556" s="59">
        <f>IF(L556="AUD",P556*'Currency &amp; Conversion'!$L$7,'Wk - Margins'!P556)</f>
        <v>10517.21535</v>
      </c>
    </row>
    <row r="557" ht="12.75" customHeight="1">
      <c r="A557" s="42" t="str">
        <f>'Input - Bookings'!A557</f>
        <v>28/06/2023</v>
      </c>
      <c r="B557" s="43" t="str">
        <f t="shared" si="1"/>
        <v>Australia</v>
      </c>
      <c r="C557" s="43" t="str">
        <f t="shared" si="2"/>
        <v>PAU</v>
      </c>
      <c r="D557" s="43" t="str">
        <f>'Input - Bookings'!D557</f>
        <v>P</v>
      </c>
      <c r="E557" s="43" t="str">
        <f>'Input - Bookings'!J557</f>
        <v>AU</v>
      </c>
      <c r="F557" s="44" t="str">
        <f>'Input - Bookings'!F557</f>
        <v>065</v>
      </c>
      <c r="G557" s="44" t="str">
        <f>'Input - Bookings'!I557</f>
        <v>ADAPT-A-LIFT GROUP (WA)</v>
      </c>
      <c r="H557" s="44" t="str">
        <f>'Input - Bookings'!K557</f>
        <v>H40784</v>
      </c>
      <c r="I557" s="45" t="str">
        <f>VLOOKUP(H557,'Input - Bookings'!$G$2:$H$611,2,0)</f>
        <v>087605</v>
      </c>
      <c r="J557" s="44" t="str">
        <f>'Input - Bookings'!N557</f>
        <v>E444</v>
      </c>
      <c r="K557" s="44" t="str">
        <f>'Input - Bookings'!O557</f>
        <v>LO2.5</v>
      </c>
      <c r="L557" s="44" t="str">
        <f>'Input - Bookings'!C557</f>
        <v>AUD</v>
      </c>
      <c r="M557" s="46" t="str">
        <f t="array" ref="M557">IF(L557="USD",INDEX('AP Plants'!A:A,MATCH(J557,'AP Plants'!D:D,0)),INDEX('Australia Plants'!A:A,MATCH(J557,'Australia Plants'!D:D,0)))</f>
        <v>Masate</v>
      </c>
      <c r="N557" s="10">
        <v>1.0</v>
      </c>
      <c r="O557" s="9">
        <v>23320.0</v>
      </c>
      <c r="P557" s="9">
        <v>15662.74</v>
      </c>
      <c r="Q557" s="47">
        <f t="shared" si="48"/>
        <v>-0.06338765847</v>
      </c>
      <c r="R557" s="48">
        <f t="shared" si="3"/>
        <v>0.3283559177</v>
      </c>
      <c r="S557" s="49">
        <f t="shared" si="4"/>
        <v>0</v>
      </c>
      <c r="T557" s="49">
        <f t="shared" si="21"/>
        <v>-0.06338765847</v>
      </c>
      <c r="U557" s="50" t="str">
        <f t="shared" si="6"/>
        <v>VP</v>
      </c>
      <c r="V557" s="51">
        <f t="shared" si="28"/>
        <v>-992.8244138</v>
      </c>
      <c r="W557" s="52" t="str">
        <f t="shared" si="8"/>
        <v>#DIV/0!</v>
      </c>
      <c r="X557" s="9" t="str">
        <f t="shared" si="25"/>
        <v>#DIV/0!</v>
      </c>
      <c r="Y557" s="8"/>
      <c r="Z557" s="8"/>
      <c r="AA557" s="8"/>
      <c r="AB557" s="8" t="str">
        <f t="shared" si="10"/>
        <v>PAUH40784LO2.5</v>
      </c>
      <c r="AC557" s="8" t="str">
        <f>IF(AB557='Input - Bookings'!S790,"OK","Check")</f>
        <v>Check</v>
      </c>
      <c r="AD557" s="53"/>
      <c r="AE557" s="65">
        <v>0.0</v>
      </c>
      <c r="AF557" s="65">
        <v>3420.0</v>
      </c>
      <c r="AG557" s="62"/>
      <c r="AH557" s="55">
        <v>6293.29</v>
      </c>
      <c r="AI557" s="8" t="str">
        <f t="array" ref="AI557">XLOOKUP($J557,'AP Plants'!D:D,'AP Plants'!B:B)</f>
        <v>Class 2</v>
      </c>
      <c r="AJ557" s="56">
        <f>(AH557*(1+VLOOKUP(M557,'Currency &amp; Conversion'!$F$13:$H$19,2,0))*'Currency &amp; Conversion'!$L$4)+((AE557+AF557)*90%)</f>
        <v>13068.50914</v>
      </c>
      <c r="AK557" s="56"/>
      <c r="AL557" s="49">
        <v>0.015</v>
      </c>
      <c r="AM557" s="49">
        <f t="array" ref="AM557">XLOOKUP($AI557,Warranty!B:B,Warranty!E:E)</f>
        <v>0.015</v>
      </c>
      <c r="AN557" s="8">
        <f>IF($L557="AUD",VLOOKUP(RIGHT('Wk - Margins'!$J557,3),'AU Freight'!C:G,5,0),0)</f>
        <v>3195</v>
      </c>
      <c r="AO557" s="49">
        <f t="shared" si="11"/>
        <v>0</v>
      </c>
      <c r="AP557" s="63">
        <f t="shared" si="12"/>
        <v>16655.56441</v>
      </c>
      <c r="AQ557" s="64">
        <f t="shared" si="13"/>
        <v>-0.06338765847</v>
      </c>
      <c r="AR557" s="59">
        <f>IF(L557="AUD",O557*'Currency &amp; Conversion'!$L$7,'Wk - Margins'!O557)</f>
        <v>15658.91166</v>
      </c>
      <c r="AS557" s="59">
        <f>IF(L557="AUD",P557*'Currency &amp; Conversion'!$L$7,'Wk - Margins'!P557)</f>
        <v>10517.21535</v>
      </c>
    </row>
    <row r="558" ht="12.75" customHeight="1">
      <c r="A558" s="42" t="str">
        <f>'Input - Bookings'!A558</f>
        <v>28/06/2023</v>
      </c>
      <c r="B558" s="43" t="str">
        <f t="shared" si="1"/>
        <v>Australia</v>
      </c>
      <c r="C558" s="43" t="str">
        <f t="shared" si="2"/>
        <v>PAU</v>
      </c>
      <c r="D558" s="43" t="str">
        <f>'Input - Bookings'!D558</f>
        <v>P</v>
      </c>
      <c r="E558" s="43" t="str">
        <f>'Input - Bookings'!J558</f>
        <v>AU</v>
      </c>
      <c r="F558" s="44" t="str">
        <f>'Input - Bookings'!F558</f>
        <v>065</v>
      </c>
      <c r="G558" s="44" t="str">
        <f>'Input - Bookings'!I558</f>
        <v>ADAPT-A-LIFT GROUP (WA)</v>
      </c>
      <c r="H558" s="44" t="str">
        <f>'Input - Bookings'!K558</f>
        <v>H40774</v>
      </c>
      <c r="I558" s="45" t="str">
        <f>VLOOKUP(H558,'Input - Bookings'!$G$2:$H$611,2,0)</f>
        <v>087605</v>
      </c>
      <c r="J558" s="44" t="str">
        <f>'Input - Bookings'!N558</f>
        <v>R007</v>
      </c>
      <c r="K558" s="44" t="str">
        <f>'Input - Bookings'!O558</f>
        <v>H16XD6</v>
      </c>
      <c r="L558" s="44" t="str">
        <f>'Input - Bookings'!C558</f>
        <v>AUD</v>
      </c>
      <c r="M558" s="46" t="str">
        <f t="array" ref="M558">IF(L558="USD",INDEX('AP Plants'!A:A,MATCH(J558,'AP Plants'!D:D,0)),INDEX('Australia Plants'!A:A,MATCH(J558,'Australia Plants'!D:D,0)))</f>
        <v>Nijmegen</v>
      </c>
      <c r="N558" s="10">
        <v>1.0</v>
      </c>
      <c r="O558" s="9">
        <v>308310.0</v>
      </c>
      <c r="P558" s="9">
        <v>258920.80999999997</v>
      </c>
      <c r="Q558" s="47">
        <f t="shared" si="48"/>
        <v>0.1397934107</v>
      </c>
      <c r="R558" s="48">
        <f t="shared" si="3"/>
        <v>0.1601932795</v>
      </c>
      <c r="S558" s="49">
        <f t="shared" si="4"/>
        <v>0</v>
      </c>
      <c r="T558" s="49">
        <f t="shared" si="21"/>
        <v>0.1397934107</v>
      </c>
      <c r="U558" s="50" t="str">
        <f t="shared" si="6"/>
        <v>AOP</v>
      </c>
      <c r="V558" s="51">
        <f t="shared" si="28"/>
        <v>36195.42314</v>
      </c>
      <c r="W558" s="52" t="str">
        <f t="shared" si="8"/>
        <v>#DIV/0!</v>
      </c>
      <c r="X558" s="9" t="str">
        <f t="shared" si="25"/>
        <v>#DIV/0!</v>
      </c>
      <c r="Y558" s="8"/>
      <c r="Z558" s="8"/>
      <c r="AA558" s="8"/>
      <c r="AB558" s="8" t="str">
        <f t="shared" si="10"/>
        <v>PAUH40774H16XD6</v>
      </c>
      <c r="AC558" s="8" t="str">
        <f>IF(AB558='Input - Bookings'!S791,"OK","Check")</f>
        <v>Check</v>
      </c>
      <c r="AD558" s="53"/>
      <c r="AE558" s="65">
        <v>0.0</v>
      </c>
      <c r="AF558" s="65">
        <v>5000.0</v>
      </c>
      <c r="AG558" s="62"/>
      <c r="AH558" s="55">
        <v>119336.750781</v>
      </c>
      <c r="AI558" s="8" t="str">
        <f t="array" ref="AI558">XLOOKUP($J558,'AP Plants'!D:D,'AP Plants'!B:B)</f>
        <v>Class 5 BT</v>
      </c>
      <c r="AJ558" s="56">
        <f>(AH558*(1+VLOOKUP(M558,'Currency &amp; Conversion'!$F$13:$H$19,2,0))*'Currency &amp; Conversion'!$L$4)+((AE558+AF558)*90%)</f>
        <v>196405.7392</v>
      </c>
      <c r="AK558" s="56"/>
      <c r="AL558" s="49">
        <v>0.015</v>
      </c>
      <c r="AM558" s="49">
        <f t="array" ref="AM558">XLOOKUP($AI558,Warranty!B:B,Warranty!E:E)</f>
        <v>0.013</v>
      </c>
      <c r="AN558" s="8">
        <f>IF($L558="AUD",VLOOKUP(RIGHT('Wk - Margins'!$J558,3),'AU Freight'!C:G,5,0),0)</f>
        <v>11000</v>
      </c>
      <c r="AO558" s="49">
        <f t="shared" si="11"/>
        <v>0.05</v>
      </c>
      <c r="AP558" s="63">
        <f t="shared" si="12"/>
        <v>222725.3869</v>
      </c>
      <c r="AQ558" s="64">
        <f t="shared" si="13"/>
        <v>0.1397934107</v>
      </c>
      <c r="AR558" s="59">
        <f>IF(L558="AUD",O558*'Currency &amp; Conversion'!$L$7,'Wk - Margins'!O558)</f>
        <v>207023.9731</v>
      </c>
      <c r="AS558" s="59">
        <f>IF(L558="AUD",P558*'Currency &amp; Conversion'!$L$7,'Wk - Margins'!P558)</f>
        <v>173860.1239</v>
      </c>
    </row>
    <row r="559" ht="12.75" hidden="1" customHeight="1">
      <c r="A559" s="42" t="str">
        <f>'Input - Bookings'!A559</f>
        <v>28/06/2023</v>
      </c>
      <c r="B559" s="43" t="str">
        <f t="shared" si="1"/>
        <v>Australia</v>
      </c>
      <c r="C559" s="43" t="str">
        <f t="shared" si="2"/>
        <v>PAU</v>
      </c>
      <c r="D559" s="43" t="str">
        <f>'Input - Bookings'!D559</f>
        <v>P</v>
      </c>
      <c r="E559" s="43" t="str">
        <f>'Input - Bookings'!J559</f>
        <v>AU</v>
      </c>
      <c r="F559" s="44" t="str">
        <f>'Input - Bookings'!F559</f>
        <v>065</v>
      </c>
      <c r="G559" s="44" t="str">
        <f>'Input - Bookings'!I559</f>
        <v>UNALLOCATED - HYSTER AUS</v>
      </c>
      <c r="H559" s="45" t="str">
        <f>'Input - Bookings'!K559</f>
        <v>H40008</v>
      </c>
      <c r="I559" s="45" t="str">
        <f>VLOOKUP(H559,'Input - Bookings'!$G$2:$H$611,2,0)</f>
        <v>999000</v>
      </c>
      <c r="J559" s="44" t="str">
        <f>'Input - Bookings'!N559</f>
        <v>A6W9</v>
      </c>
      <c r="K559" s="44" t="str">
        <f>'Input - Bookings'!O559</f>
        <v>PC1.5</v>
      </c>
      <c r="L559" s="44" t="str">
        <f>'Input - Bookings'!C559</f>
        <v>AUD</v>
      </c>
      <c r="M559" s="46" t="str">
        <f t="array" ref="M559">IF(L559="USD",INDEX('AP Plants'!A:A,MATCH(J559,'AP Plants'!D:D,0)),INDEX('Australia Plants'!A:A,MATCH(J559,'Australia Plants'!D:D,0)))</f>
        <v>Staxx</v>
      </c>
      <c r="N559" s="10">
        <v>1.0</v>
      </c>
      <c r="O559" s="9">
        <v>2140.0</v>
      </c>
      <c r="P559" s="9">
        <v>1712.0</v>
      </c>
      <c r="Q559" s="47">
        <v>0.36725810191223773</v>
      </c>
      <c r="R559" s="48">
        <f t="shared" si="3"/>
        <v>0.2</v>
      </c>
      <c r="S559" s="49">
        <f t="shared" si="4"/>
        <v>0</v>
      </c>
      <c r="T559" s="49">
        <f t="shared" si="21"/>
        <v>0.3672581019</v>
      </c>
      <c r="U559" s="50" t="str">
        <f t="shared" si="6"/>
        <v>AOP</v>
      </c>
      <c r="V559" s="51">
        <f t="shared" si="28"/>
        <v>628.7458705</v>
      </c>
      <c r="W559" s="52" t="str">
        <f t="shared" si="8"/>
        <v>#DIV/0!</v>
      </c>
      <c r="X559" s="9" t="str">
        <f t="shared" si="25"/>
        <v>#DIV/0!</v>
      </c>
      <c r="Y559" s="8"/>
      <c r="Z559" s="8"/>
      <c r="AA559" s="8"/>
      <c r="AB559" s="8" t="str">
        <f t="shared" si="10"/>
        <v>PAUH40008PC1.5</v>
      </c>
      <c r="AC559" s="8" t="str">
        <f>IF(AB559='Input - Bookings'!S792,"OK","Check")</f>
        <v>Check</v>
      </c>
      <c r="AD559" s="53"/>
      <c r="AE559" s="65"/>
      <c r="AF559" s="65"/>
      <c r="AG559" s="55">
        <f t="shared" ref="AG559:AG598" si="49">608.025825768347+33</f>
        <v>641.0258258</v>
      </c>
      <c r="AH559" s="62"/>
      <c r="AI559" s="8" t="str">
        <f t="array" ref="AI559">XLOOKUP($J559,'AP Plants'!D:D,'AP Plants'!B:B)</f>
        <v>Class 3</v>
      </c>
      <c r="AJ559" s="56">
        <f>(AG559*'Currency &amp; Conversion'!$L$6)</f>
        <v>954.6156597</v>
      </c>
      <c r="AK559" s="56"/>
      <c r="AL559" s="49">
        <v>0.015</v>
      </c>
      <c r="AM559" s="49">
        <f t="array" ref="AM559">XLOOKUP($AI559,Warranty!B:B,Warranty!E:E)</f>
        <v>0.015</v>
      </c>
      <c r="AN559" s="8">
        <f>IF($L559="AUD",VLOOKUP(RIGHT('Wk - Margins'!$J559,3),'AU Freight'!C:G,5,0),0)</f>
        <v>100</v>
      </c>
      <c r="AO559" s="49">
        <f t="shared" si="11"/>
        <v>0</v>
      </c>
      <c r="AP559" s="63">
        <f t="shared" si="12"/>
        <v>1083.25413</v>
      </c>
      <c r="AQ559" s="58">
        <f t="shared" si="13"/>
        <v>0.3672581019</v>
      </c>
      <c r="AR559" s="59">
        <f>IF(L559="AUD",O559*'Currency &amp; Conversion'!$L$7,'Wk - Margins'!O559)</f>
        <v>1436.967022</v>
      </c>
      <c r="AS559" s="59">
        <f>IF(L559="AUD",P559*'Currency &amp; Conversion'!$L$7,'Wk - Margins'!P559)</f>
        <v>1149.573618</v>
      </c>
    </row>
    <row r="560" ht="12.75" hidden="1" customHeight="1">
      <c r="A560" s="42" t="str">
        <f>'Input - Bookings'!A560</f>
        <v>28/06/2023</v>
      </c>
      <c r="B560" s="43" t="str">
        <f t="shared" si="1"/>
        <v>Australia</v>
      </c>
      <c r="C560" s="43" t="str">
        <f t="shared" si="2"/>
        <v>PAU</v>
      </c>
      <c r="D560" s="43" t="str">
        <f>'Input - Bookings'!D560</f>
        <v>P</v>
      </c>
      <c r="E560" s="43" t="str">
        <f>'Input - Bookings'!J560</f>
        <v>AU</v>
      </c>
      <c r="F560" s="44" t="str">
        <f>'Input - Bookings'!F560</f>
        <v>065</v>
      </c>
      <c r="G560" s="44" t="str">
        <f>'Input - Bookings'!I560</f>
        <v>UNALLOCATED - HYSTER AUS</v>
      </c>
      <c r="H560" s="45" t="str">
        <f>'Input - Bookings'!K560</f>
        <v>H40017</v>
      </c>
      <c r="I560" s="45" t="str">
        <f>VLOOKUP(H560,'Input - Bookings'!$G$2:$H$611,2,0)</f>
        <v>999000</v>
      </c>
      <c r="J560" s="44" t="str">
        <f>'Input - Bookings'!N560</f>
        <v>A6W9</v>
      </c>
      <c r="K560" s="44" t="str">
        <f>'Input - Bookings'!O560</f>
        <v>PC1.5</v>
      </c>
      <c r="L560" s="44" t="str">
        <f>'Input - Bookings'!C560</f>
        <v>AUD</v>
      </c>
      <c r="M560" s="46" t="str">
        <f t="array" ref="M560">IF(L560="USD",INDEX('AP Plants'!A:A,MATCH(J560,'AP Plants'!D:D,0)),INDEX('Australia Plants'!A:A,MATCH(J560,'Australia Plants'!D:D,0)))</f>
        <v>Staxx</v>
      </c>
      <c r="N560" s="10">
        <v>1.0</v>
      </c>
      <c r="O560" s="9">
        <v>2140.0</v>
      </c>
      <c r="P560" s="9">
        <v>1712.0</v>
      </c>
      <c r="Q560" s="47">
        <v>0.36725810191223773</v>
      </c>
      <c r="R560" s="48">
        <f t="shared" si="3"/>
        <v>0.2</v>
      </c>
      <c r="S560" s="49">
        <f t="shared" si="4"/>
        <v>0</v>
      </c>
      <c r="T560" s="49">
        <f t="shared" si="21"/>
        <v>0.3672581019</v>
      </c>
      <c r="U560" s="50" t="str">
        <f t="shared" si="6"/>
        <v>AOP</v>
      </c>
      <c r="V560" s="51">
        <f t="shared" si="28"/>
        <v>628.7458705</v>
      </c>
      <c r="W560" s="52" t="str">
        <f t="shared" si="8"/>
        <v>#DIV/0!</v>
      </c>
      <c r="X560" s="9" t="str">
        <f t="shared" si="25"/>
        <v>#DIV/0!</v>
      </c>
      <c r="Y560" s="8"/>
      <c r="Z560" s="8"/>
      <c r="AA560" s="8"/>
      <c r="AB560" s="8" t="str">
        <f t="shared" si="10"/>
        <v>PAUH40017PC1.5</v>
      </c>
      <c r="AC560" s="8" t="str">
        <f>IF(AB560='Input - Bookings'!S793,"OK","Check")</f>
        <v>Check</v>
      </c>
      <c r="AD560" s="53"/>
      <c r="AE560" s="65"/>
      <c r="AF560" s="65"/>
      <c r="AG560" s="55">
        <f t="shared" si="49"/>
        <v>641.0258258</v>
      </c>
      <c r="AH560" s="62"/>
      <c r="AI560" s="8" t="str">
        <f t="array" ref="AI560">XLOOKUP($J560,'AP Plants'!D:D,'AP Plants'!B:B)</f>
        <v>Class 3</v>
      </c>
      <c r="AJ560" s="56">
        <f>(AG560*'Currency &amp; Conversion'!$L$6)</f>
        <v>954.6156597</v>
      </c>
      <c r="AK560" s="56"/>
      <c r="AL560" s="49">
        <v>0.015</v>
      </c>
      <c r="AM560" s="49">
        <f t="array" ref="AM560">XLOOKUP($AI560,Warranty!B:B,Warranty!E:E)</f>
        <v>0.015</v>
      </c>
      <c r="AN560" s="8">
        <f>IF($L560="AUD",VLOOKUP(RIGHT('Wk - Margins'!$J560,3),'AU Freight'!C:G,5,0),0)</f>
        <v>100</v>
      </c>
      <c r="AO560" s="49">
        <f t="shared" si="11"/>
        <v>0</v>
      </c>
      <c r="AP560" s="63">
        <f t="shared" si="12"/>
        <v>1083.25413</v>
      </c>
      <c r="AQ560" s="58">
        <f t="shared" si="13"/>
        <v>0.3672581019</v>
      </c>
      <c r="AR560" s="59">
        <f>IF(L560="AUD",O560*'Currency &amp; Conversion'!$L$7,'Wk - Margins'!O560)</f>
        <v>1436.967022</v>
      </c>
      <c r="AS560" s="59">
        <f>IF(L560="AUD",P560*'Currency &amp; Conversion'!$L$7,'Wk - Margins'!P560)</f>
        <v>1149.573618</v>
      </c>
    </row>
    <row r="561" ht="12.75" hidden="1" customHeight="1">
      <c r="A561" s="42" t="str">
        <f>'Input - Bookings'!A561</f>
        <v>28/06/2023</v>
      </c>
      <c r="B561" s="43" t="str">
        <f t="shared" si="1"/>
        <v>Australia</v>
      </c>
      <c r="C561" s="43" t="str">
        <f t="shared" si="2"/>
        <v>PAU</v>
      </c>
      <c r="D561" s="43" t="str">
        <f>'Input - Bookings'!D561</f>
        <v>P</v>
      </c>
      <c r="E561" s="43" t="str">
        <f>'Input - Bookings'!J561</f>
        <v>AU</v>
      </c>
      <c r="F561" s="44" t="str">
        <f>'Input - Bookings'!F561</f>
        <v>065</v>
      </c>
      <c r="G561" s="44" t="str">
        <f>'Input - Bookings'!I561</f>
        <v>UNALLOCATED - HYSTER AUS</v>
      </c>
      <c r="H561" s="45" t="str">
        <f>'Input - Bookings'!K561</f>
        <v>H40018</v>
      </c>
      <c r="I561" s="45" t="str">
        <f>VLOOKUP(H561,'Input - Bookings'!$G$2:$H$611,2,0)</f>
        <v>999000</v>
      </c>
      <c r="J561" s="44" t="str">
        <f>'Input - Bookings'!N561</f>
        <v>A6W9</v>
      </c>
      <c r="K561" s="44" t="str">
        <f>'Input - Bookings'!O561</f>
        <v>PC1.5</v>
      </c>
      <c r="L561" s="44" t="str">
        <f>'Input - Bookings'!C561</f>
        <v>AUD</v>
      </c>
      <c r="M561" s="46" t="str">
        <f t="array" ref="M561">IF(L561="USD",INDEX('AP Plants'!A:A,MATCH(J561,'AP Plants'!D:D,0)),INDEX('Australia Plants'!A:A,MATCH(J561,'Australia Plants'!D:D,0)))</f>
        <v>Staxx</v>
      </c>
      <c r="N561" s="10">
        <v>1.0</v>
      </c>
      <c r="O561" s="9">
        <v>2140.0</v>
      </c>
      <c r="P561" s="9">
        <v>1712.0</v>
      </c>
      <c r="Q561" s="47">
        <v>0.36725810191223773</v>
      </c>
      <c r="R561" s="48">
        <f t="shared" si="3"/>
        <v>0.2</v>
      </c>
      <c r="S561" s="49">
        <f t="shared" si="4"/>
        <v>0</v>
      </c>
      <c r="T561" s="49">
        <f t="shared" si="21"/>
        <v>0.3672581019</v>
      </c>
      <c r="U561" s="50" t="str">
        <f t="shared" si="6"/>
        <v>AOP</v>
      </c>
      <c r="V561" s="51">
        <f t="shared" si="28"/>
        <v>628.7458705</v>
      </c>
      <c r="W561" s="52" t="str">
        <f t="shared" si="8"/>
        <v>#DIV/0!</v>
      </c>
      <c r="X561" s="9" t="str">
        <f t="shared" si="25"/>
        <v>#DIV/0!</v>
      </c>
      <c r="Y561" s="8"/>
      <c r="Z561" s="8"/>
      <c r="AA561" s="8"/>
      <c r="AB561" s="8" t="str">
        <f t="shared" si="10"/>
        <v>PAUH40018PC1.5</v>
      </c>
      <c r="AC561" s="8" t="str">
        <f>IF(AB561='Input - Bookings'!S794,"OK","Check")</f>
        <v>Check</v>
      </c>
      <c r="AD561" s="53"/>
      <c r="AE561" s="65"/>
      <c r="AF561" s="65"/>
      <c r="AG561" s="55">
        <f t="shared" si="49"/>
        <v>641.0258258</v>
      </c>
      <c r="AH561" s="62"/>
      <c r="AI561" s="8" t="str">
        <f t="array" ref="AI561">XLOOKUP($J561,'AP Plants'!D:D,'AP Plants'!B:B)</f>
        <v>Class 3</v>
      </c>
      <c r="AJ561" s="56">
        <f>(AG561*'Currency &amp; Conversion'!$L$6)</f>
        <v>954.6156597</v>
      </c>
      <c r="AK561" s="56"/>
      <c r="AL561" s="49">
        <v>0.015</v>
      </c>
      <c r="AM561" s="49">
        <f t="array" ref="AM561">XLOOKUP($AI561,Warranty!B:B,Warranty!E:E)</f>
        <v>0.015</v>
      </c>
      <c r="AN561" s="8">
        <f>IF($L561="AUD",VLOOKUP(RIGHT('Wk - Margins'!$J561,3),'AU Freight'!C:G,5,0),0)</f>
        <v>100</v>
      </c>
      <c r="AO561" s="49">
        <f t="shared" si="11"/>
        <v>0</v>
      </c>
      <c r="AP561" s="63">
        <f t="shared" si="12"/>
        <v>1083.25413</v>
      </c>
      <c r="AQ561" s="58">
        <f t="shared" si="13"/>
        <v>0.3672581019</v>
      </c>
      <c r="AR561" s="59">
        <f>IF(L561="AUD",O561*'Currency &amp; Conversion'!$L$7,'Wk - Margins'!O561)</f>
        <v>1436.967022</v>
      </c>
      <c r="AS561" s="59">
        <f>IF(L561="AUD",P561*'Currency &amp; Conversion'!$L$7,'Wk - Margins'!P561)</f>
        <v>1149.573618</v>
      </c>
    </row>
    <row r="562" ht="12.75" hidden="1" customHeight="1">
      <c r="A562" s="42" t="str">
        <f>'Input - Bookings'!A562</f>
        <v>28/06/2023</v>
      </c>
      <c r="B562" s="43" t="str">
        <f t="shared" si="1"/>
        <v>Australia</v>
      </c>
      <c r="C562" s="43" t="str">
        <f t="shared" si="2"/>
        <v>PAU</v>
      </c>
      <c r="D562" s="43" t="str">
        <f>'Input - Bookings'!D562</f>
        <v>P</v>
      </c>
      <c r="E562" s="43" t="str">
        <f>'Input - Bookings'!J562</f>
        <v>AU</v>
      </c>
      <c r="F562" s="44" t="str">
        <f>'Input - Bookings'!F562</f>
        <v>065</v>
      </c>
      <c r="G562" s="44" t="str">
        <f>'Input - Bookings'!I562</f>
        <v>UNALLOCATED - HYSTER AUS</v>
      </c>
      <c r="H562" s="45" t="str">
        <f>'Input - Bookings'!K562</f>
        <v>H40019</v>
      </c>
      <c r="I562" s="45" t="str">
        <f>VLOOKUP(H562,'Input - Bookings'!$G$2:$H$611,2,0)</f>
        <v>999000</v>
      </c>
      <c r="J562" s="44" t="str">
        <f>'Input - Bookings'!N562</f>
        <v>A6W9</v>
      </c>
      <c r="K562" s="44" t="str">
        <f>'Input - Bookings'!O562</f>
        <v>PC1.5</v>
      </c>
      <c r="L562" s="44" t="str">
        <f>'Input - Bookings'!C562</f>
        <v>AUD</v>
      </c>
      <c r="M562" s="46" t="str">
        <f t="array" ref="M562">IF(L562="USD",INDEX('AP Plants'!A:A,MATCH(J562,'AP Plants'!D:D,0)),INDEX('Australia Plants'!A:A,MATCH(J562,'Australia Plants'!D:D,0)))</f>
        <v>Staxx</v>
      </c>
      <c r="N562" s="10">
        <v>1.0</v>
      </c>
      <c r="O562" s="9">
        <v>2140.0</v>
      </c>
      <c r="P562" s="9">
        <v>1712.0</v>
      </c>
      <c r="Q562" s="47">
        <v>0.36725810191223773</v>
      </c>
      <c r="R562" s="48">
        <f t="shared" si="3"/>
        <v>0.2</v>
      </c>
      <c r="S562" s="49">
        <f t="shared" si="4"/>
        <v>0</v>
      </c>
      <c r="T562" s="49">
        <f t="shared" si="21"/>
        <v>0.3672581019</v>
      </c>
      <c r="U562" s="50" t="str">
        <f t="shared" si="6"/>
        <v>AOP</v>
      </c>
      <c r="V562" s="51">
        <f t="shared" si="28"/>
        <v>628.7458705</v>
      </c>
      <c r="W562" s="52" t="str">
        <f t="shared" si="8"/>
        <v>#DIV/0!</v>
      </c>
      <c r="X562" s="9" t="str">
        <f t="shared" si="25"/>
        <v>#DIV/0!</v>
      </c>
      <c r="Y562" s="8"/>
      <c r="Z562" s="8"/>
      <c r="AA562" s="8"/>
      <c r="AB562" s="8" t="str">
        <f t="shared" si="10"/>
        <v>PAUH40019PC1.5</v>
      </c>
      <c r="AC562" s="8" t="str">
        <f>IF(AB562='Input - Bookings'!S795,"OK","Check")</f>
        <v>Check</v>
      </c>
      <c r="AD562" s="53"/>
      <c r="AE562" s="65"/>
      <c r="AF562" s="65"/>
      <c r="AG562" s="55">
        <f t="shared" si="49"/>
        <v>641.0258258</v>
      </c>
      <c r="AH562" s="62"/>
      <c r="AI562" s="8" t="str">
        <f t="array" ref="AI562">XLOOKUP($J562,'AP Plants'!D:D,'AP Plants'!B:B)</f>
        <v>Class 3</v>
      </c>
      <c r="AJ562" s="56">
        <f>(AG562*'Currency &amp; Conversion'!$L$6)</f>
        <v>954.6156597</v>
      </c>
      <c r="AK562" s="56"/>
      <c r="AL562" s="49">
        <v>0.015</v>
      </c>
      <c r="AM562" s="49">
        <f t="array" ref="AM562">XLOOKUP($AI562,Warranty!B:B,Warranty!E:E)</f>
        <v>0.015</v>
      </c>
      <c r="AN562" s="8">
        <f>IF($L562="AUD",VLOOKUP(RIGHT('Wk - Margins'!$J562,3),'AU Freight'!C:G,5,0),0)</f>
        <v>100</v>
      </c>
      <c r="AO562" s="49">
        <f t="shared" si="11"/>
        <v>0</v>
      </c>
      <c r="AP562" s="63">
        <f t="shared" si="12"/>
        <v>1083.25413</v>
      </c>
      <c r="AQ562" s="58">
        <f t="shared" si="13"/>
        <v>0.3672581019</v>
      </c>
      <c r="AR562" s="59">
        <f>IF(L562="AUD",O562*'Currency &amp; Conversion'!$L$7,'Wk - Margins'!O562)</f>
        <v>1436.967022</v>
      </c>
      <c r="AS562" s="59">
        <f>IF(L562="AUD",P562*'Currency &amp; Conversion'!$L$7,'Wk - Margins'!P562)</f>
        <v>1149.573618</v>
      </c>
    </row>
    <row r="563" ht="12.75" hidden="1" customHeight="1">
      <c r="A563" s="42" t="str">
        <f>'Input - Bookings'!A563</f>
        <v>28/06/2023</v>
      </c>
      <c r="B563" s="43" t="str">
        <f t="shared" si="1"/>
        <v>Australia</v>
      </c>
      <c r="C563" s="43" t="str">
        <f t="shared" si="2"/>
        <v>PAU</v>
      </c>
      <c r="D563" s="43" t="str">
        <f>'Input - Bookings'!D563</f>
        <v>P</v>
      </c>
      <c r="E563" s="43" t="str">
        <f>'Input - Bookings'!J563</f>
        <v>AU</v>
      </c>
      <c r="F563" s="44" t="str">
        <f>'Input - Bookings'!F563</f>
        <v>065</v>
      </c>
      <c r="G563" s="44" t="str">
        <f>'Input - Bookings'!I563</f>
        <v>UNALLOCATED - HYSTER AUS</v>
      </c>
      <c r="H563" s="45" t="str">
        <f>'Input - Bookings'!K563</f>
        <v>H40020</v>
      </c>
      <c r="I563" s="45" t="str">
        <f>VLOOKUP(H563,'Input - Bookings'!$G$2:$H$611,2,0)</f>
        <v>999000</v>
      </c>
      <c r="J563" s="44" t="str">
        <f>'Input - Bookings'!N563</f>
        <v>A6W9</v>
      </c>
      <c r="K563" s="44" t="str">
        <f>'Input - Bookings'!O563</f>
        <v>PC1.5</v>
      </c>
      <c r="L563" s="44" t="str">
        <f>'Input - Bookings'!C563</f>
        <v>AUD</v>
      </c>
      <c r="M563" s="46" t="str">
        <f t="array" ref="M563">IF(L563="USD",INDEX('AP Plants'!A:A,MATCH(J563,'AP Plants'!D:D,0)),INDEX('Australia Plants'!A:A,MATCH(J563,'Australia Plants'!D:D,0)))</f>
        <v>Staxx</v>
      </c>
      <c r="N563" s="10">
        <v>1.0</v>
      </c>
      <c r="O563" s="9">
        <v>2140.0</v>
      </c>
      <c r="P563" s="9">
        <v>1712.0</v>
      </c>
      <c r="Q563" s="47">
        <v>0.36725810191223773</v>
      </c>
      <c r="R563" s="48">
        <f t="shared" si="3"/>
        <v>0.2</v>
      </c>
      <c r="S563" s="49">
        <f t="shared" si="4"/>
        <v>0</v>
      </c>
      <c r="T563" s="49">
        <f t="shared" si="21"/>
        <v>0.3672581019</v>
      </c>
      <c r="U563" s="50" t="str">
        <f t="shared" si="6"/>
        <v>AOP</v>
      </c>
      <c r="V563" s="51">
        <f t="shared" si="28"/>
        <v>628.7458705</v>
      </c>
      <c r="W563" s="52" t="str">
        <f t="shared" si="8"/>
        <v>#DIV/0!</v>
      </c>
      <c r="X563" s="9" t="str">
        <f t="shared" si="25"/>
        <v>#DIV/0!</v>
      </c>
      <c r="Y563" s="8"/>
      <c r="Z563" s="8"/>
      <c r="AA563" s="8"/>
      <c r="AB563" s="8" t="str">
        <f t="shared" si="10"/>
        <v>PAUH40020PC1.5</v>
      </c>
      <c r="AC563" s="8" t="str">
        <f>IF(AB563='Input - Bookings'!S796,"OK","Check")</f>
        <v>Check</v>
      </c>
      <c r="AD563" s="53"/>
      <c r="AE563" s="65"/>
      <c r="AF563" s="65"/>
      <c r="AG563" s="55">
        <f t="shared" si="49"/>
        <v>641.0258258</v>
      </c>
      <c r="AH563" s="62"/>
      <c r="AI563" s="8" t="str">
        <f t="array" ref="AI563">XLOOKUP($J563,'AP Plants'!D:D,'AP Plants'!B:B)</f>
        <v>Class 3</v>
      </c>
      <c r="AJ563" s="56">
        <f>(AG563*'Currency &amp; Conversion'!$L$6)</f>
        <v>954.6156597</v>
      </c>
      <c r="AK563" s="56"/>
      <c r="AL563" s="49">
        <v>0.015</v>
      </c>
      <c r="AM563" s="49">
        <f t="array" ref="AM563">XLOOKUP($AI563,Warranty!B:B,Warranty!E:E)</f>
        <v>0.015</v>
      </c>
      <c r="AN563" s="8">
        <f>IF($L563="AUD",VLOOKUP(RIGHT('Wk - Margins'!$J563,3),'AU Freight'!C:G,5,0),0)</f>
        <v>100</v>
      </c>
      <c r="AO563" s="49">
        <f t="shared" si="11"/>
        <v>0</v>
      </c>
      <c r="AP563" s="63">
        <f t="shared" si="12"/>
        <v>1083.25413</v>
      </c>
      <c r="AQ563" s="58">
        <f t="shared" si="13"/>
        <v>0.3672581019</v>
      </c>
      <c r="AR563" s="59">
        <f>IF(L563="AUD",O563*'Currency &amp; Conversion'!$L$7,'Wk - Margins'!O563)</f>
        <v>1436.967022</v>
      </c>
      <c r="AS563" s="59">
        <f>IF(L563="AUD",P563*'Currency &amp; Conversion'!$L$7,'Wk - Margins'!P563)</f>
        <v>1149.573618</v>
      </c>
    </row>
    <row r="564" ht="12.75" hidden="1" customHeight="1">
      <c r="A564" s="42" t="str">
        <f>'Input - Bookings'!A564</f>
        <v>28/06/2023</v>
      </c>
      <c r="B564" s="43" t="str">
        <f t="shared" si="1"/>
        <v>Australia</v>
      </c>
      <c r="C564" s="43" t="str">
        <f t="shared" si="2"/>
        <v>PAU</v>
      </c>
      <c r="D564" s="43" t="str">
        <f>'Input - Bookings'!D564</f>
        <v>P</v>
      </c>
      <c r="E564" s="43" t="str">
        <f>'Input - Bookings'!J564</f>
        <v>AU</v>
      </c>
      <c r="F564" s="44" t="str">
        <f>'Input - Bookings'!F564</f>
        <v>065</v>
      </c>
      <c r="G564" s="44" t="str">
        <f>'Input - Bookings'!I564</f>
        <v>UNALLOCATED - HYSTER AUS</v>
      </c>
      <c r="H564" s="45" t="str">
        <f>'Input - Bookings'!K564</f>
        <v>H40021</v>
      </c>
      <c r="I564" s="45" t="str">
        <f>VLOOKUP(H564,'Input - Bookings'!$G$2:$H$611,2,0)</f>
        <v>999000</v>
      </c>
      <c r="J564" s="44" t="str">
        <f>'Input - Bookings'!N564</f>
        <v>A6W9</v>
      </c>
      <c r="K564" s="44" t="str">
        <f>'Input - Bookings'!O564</f>
        <v>PC1.5</v>
      </c>
      <c r="L564" s="44" t="str">
        <f>'Input - Bookings'!C564</f>
        <v>AUD</v>
      </c>
      <c r="M564" s="46" t="str">
        <f t="array" ref="M564">IF(L564="USD",INDEX('AP Plants'!A:A,MATCH(J564,'AP Plants'!D:D,0)),INDEX('Australia Plants'!A:A,MATCH(J564,'Australia Plants'!D:D,0)))</f>
        <v>Staxx</v>
      </c>
      <c r="N564" s="10">
        <v>1.0</v>
      </c>
      <c r="O564" s="9">
        <v>2140.0</v>
      </c>
      <c r="P564" s="9">
        <v>1712.0</v>
      </c>
      <c r="Q564" s="47">
        <v>0.36725810191223773</v>
      </c>
      <c r="R564" s="48">
        <f t="shared" si="3"/>
        <v>0.2</v>
      </c>
      <c r="S564" s="49">
        <f t="shared" si="4"/>
        <v>0</v>
      </c>
      <c r="T564" s="49">
        <f t="shared" si="21"/>
        <v>0.3672581019</v>
      </c>
      <c r="U564" s="50" t="str">
        <f t="shared" si="6"/>
        <v>AOP</v>
      </c>
      <c r="V564" s="51">
        <f t="shared" si="28"/>
        <v>628.7458705</v>
      </c>
      <c r="W564" s="52" t="str">
        <f t="shared" si="8"/>
        <v>#DIV/0!</v>
      </c>
      <c r="X564" s="9" t="str">
        <f t="shared" si="25"/>
        <v>#DIV/0!</v>
      </c>
      <c r="Y564" s="8"/>
      <c r="Z564" s="8"/>
      <c r="AA564" s="8"/>
      <c r="AB564" s="8" t="str">
        <f t="shared" si="10"/>
        <v>PAUH40021PC1.5</v>
      </c>
      <c r="AC564" s="8" t="str">
        <f>IF(AB564='Input - Bookings'!S797,"OK","Check")</f>
        <v>Check</v>
      </c>
      <c r="AD564" s="53"/>
      <c r="AE564" s="65"/>
      <c r="AF564" s="65"/>
      <c r="AG564" s="55">
        <f t="shared" si="49"/>
        <v>641.0258258</v>
      </c>
      <c r="AH564" s="62"/>
      <c r="AI564" s="8" t="str">
        <f t="array" ref="AI564">XLOOKUP($J564,'AP Plants'!D:D,'AP Plants'!B:B)</f>
        <v>Class 3</v>
      </c>
      <c r="AJ564" s="56">
        <f>(AG564*'Currency &amp; Conversion'!$L$6)</f>
        <v>954.6156597</v>
      </c>
      <c r="AK564" s="56"/>
      <c r="AL564" s="49">
        <v>0.015</v>
      </c>
      <c r="AM564" s="49">
        <f t="array" ref="AM564">XLOOKUP($AI564,Warranty!B:B,Warranty!E:E)</f>
        <v>0.015</v>
      </c>
      <c r="AN564" s="8">
        <f>IF($L564="AUD",VLOOKUP(RIGHT('Wk - Margins'!$J564,3),'AU Freight'!C:G,5,0),0)</f>
        <v>100</v>
      </c>
      <c r="AO564" s="49">
        <f t="shared" si="11"/>
        <v>0</v>
      </c>
      <c r="AP564" s="63">
        <f t="shared" si="12"/>
        <v>1083.25413</v>
      </c>
      <c r="AQ564" s="58">
        <f t="shared" si="13"/>
        <v>0.3672581019</v>
      </c>
      <c r="AR564" s="59">
        <f>IF(L564="AUD",O564*'Currency &amp; Conversion'!$L$7,'Wk - Margins'!O564)</f>
        <v>1436.967022</v>
      </c>
      <c r="AS564" s="59">
        <f>IF(L564="AUD",P564*'Currency &amp; Conversion'!$L$7,'Wk - Margins'!P564)</f>
        <v>1149.573618</v>
      </c>
    </row>
    <row r="565" ht="12.75" hidden="1" customHeight="1">
      <c r="A565" s="42" t="str">
        <f>'Input - Bookings'!A565</f>
        <v>28/06/2023</v>
      </c>
      <c r="B565" s="43" t="str">
        <f t="shared" si="1"/>
        <v>Australia</v>
      </c>
      <c r="C565" s="43" t="str">
        <f t="shared" si="2"/>
        <v>PAU</v>
      </c>
      <c r="D565" s="43" t="str">
        <f>'Input - Bookings'!D565</f>
        <v>P</v>
      </c>
      <c r="E565" s="43" t="str">
        <f>'Input - Bookings'!J565</f>
        <v>AU</v>
      </c>
      <c r="F565" s="44" t="str">
        <f>'Input - Bookings'!F565</f>
        <v>065</v>
      </c>
      <c r="G565" s="44" t="str">
        <f>'Input - Bookings'!I565</f>
        <v>UNALLOCATED - HYSTER AUS</v>
      </c>
      <c r="H565" s="45" t="str">
        <f>'Input - Bookings'!K565</f>
        <v>H40022</v>
      </c>
      <c r="I565" s="45" t="str">
        <f>VLOOKUP(H565,'Input - Bookings'!$G$2:$H$611,2,0)</f>
        <v>999000</v>
      </c>
      <c r="J565" s="44" t="str">
        <f>'Input - Bookings'!N565</f>
        <v>A6W9</v>
      </c>
      <c r="K565" s="44" t="str">
        <f>'Input - Bookings'!O565</f>
        <v>PC1.5</v>
      </c>
      <c r="L565" s="44" t="str">
        <f>'Input - Bookings'!C565</f>
        <v>AUD</v>
      </c>
      <c r="M565" s="46" t="str">
        <f t="array" ref="M565">IF(L565="USD",INDEX('AP Plants'!A:A,MATCH(J565,'AP Plants'!D:D,0)),INDEX('Australia Plants'!A:A,MATCH(J565,'Australia Plants'!D:D,0)))</f>
        <v>Staxx</v>
      </c>
      <c r="N565" s="10">
        <v>1.0</v>
      </c>
      <c r="O565" s="9">
        <v>2140.0</v>
      </c>
      <c r="P565" s="9">
        <v>1712.0</v>
      </c>
      <c r="Q565" s="47">
        <v>0.36725810191223773</v>
      </c>
      <c r="R565" s="48">
        <f t="shared" si="3"/>
        <v>0.2</v>
      </c>
      <c r="S565" s="49">
        <f t="shared" si="4"/>
        <v>0</v>
      </c>
      <c r="T565" s="49">
        <f t="shared" si="21"/>
        <v>0.3672581019</v>
      </c>
      <c r="U565" s="50" t="str">
        <f t="shared" si="6"/>
        <v>AOP</v>
      </c>
      <c r="V565" s="51">
        <f t="shared" si="28"/>
        <v>628.7458705</v>
      </c>
      <c r="W565" s="52" t="str">
        <f t="shared" si="8"/>
        <v>#DIV/0!</v>
      </c>
      <c r="X565" s="9" t="str">
        <f t="shared" si="25"/>
        <v>#DIV/0!</v>
      </c>
      <c r="Y565" s="8"/>
      <c r="Z565" s="8"/>
      <c r="AA565" s="8"/>
      <c r="AB565" s="8" t="str">
        <f t="shared" si="10"/>
        <v>PAUH40022PC1.5</v>
      </c>
      <c r="AC565" s="8" t="str">
        <f>IF(AB565='Input - Bookings'!S798,"OK","Check")</f>
        <v>Check</v>
      </c>
      <c r="AD565" s="53"/>
      <c r="AE565" s="65"/>
      <c r="AF565" s="65"/>
      <c r="AG565" s="55">
        <f t="shared" si="49"/>
        <v>641.0258258</v>
      </c>
      <c r="AH565" s="62"/>
      <c r="AI565" s="8" t="str">
        <f t="array" ref="AI565">XLOOKUP($J565,'AP Plants'!D:D,'AP Plants'!B:B)</f>
        <v>Class 3</v>
      </c>
      <c r="AJ565" s="56">
        <f>(AG565*'Currency &amp; Conversion'!$L$6)</f>
        <v>954.6156597</v>
      </c>
      <c r="AK565" s="56"/>
      <c r="AL565" s="49">
        <v>0.015</v>
      </c>
      <c r="AM565" s="49">
        <f t="array" ref="AM565">XLOOKUP($AI565,Warranty!B:B,Warranty!E:E)</f>
        <v>0.015</v>
      </c>
      <c r="AN565" s="8">
        <f>IF($L565="AUD",VLOOKUP(RIGHT('Wk - Margins'!$J565,3),'AU Freight'!C:G,5,0),0)</f>
        <v>100</v>
      </c>
      <c r="AO565" s="49">
        <f t="shared" si="11"/>
        <v>0</v>
      </c>
      <c r="AP565" s="63">
        <f t="shared" si="12"/>
        <v>1083.25413</v>
      </c>
      <c r="AQ565" s="58">
        <f t="shared" si="13"/>
        <v>0.3672581019</v>
      </c>
      <c r="AR565" s="59">
        <f>IF(L565="AUD",O565*'Currency &amp; Conversion'!$L$7,'Wk - Margins'!O565)</f>
        <v>1436.967022</v>
      </c>
      <c r="AS565" s="59">
        <f>IF(L565="AUD",P565*'Currency &amp; Conversion'!$L$7,'Wk - Margins'!P565)</f>
        <v>1149.573618</v>
      </c>
    </row>
    <row r="566" ht="12.75" hidden="1" customHeight="1">
      <c r="A566" s="42" t="str">
        <f>'Input - Bookings'!A566</f>
        <v>28/06/2023</v>
      </c>
      <c r="B566" s="43" t="str">
        <f t="shared" si="1"/>
        <v>Australia</v>
      </c>
      <c r="C566" s="43" t="str">
        <f t="shared" si="2"/>
        <v>PAU</v>
      </c>
      <c r="D566" s="43" t="str">
        <f>'Input - Bookings'!D566</f>
        <v>P</v>
      </c>
      <c r="E566" s="43" t="str">
        <f>'Input - Bookings'!J566</f>
        <v>AU</v>
      </c>
      <c r="F566" s="44" t="str">
        <f>'Input - Bookings'!F566</f>
        <v>065</v>
      </c>
      <c r="G566" s="44" t="str">
        <f>'Input - Bookings'!I566</f>
        <v>UNALLOCATED - HYSTER AUS</v>
      </c>
      <c r="H566" s="45" t="str">
        <f>'Input - Bookings'!K566</f>
        <v>H40023</v>
      </c>
      <c r="I566" s="45" t="str">
        <f>VLOOKUP(H566,'Input - Bookings'!$G$2:$H$611,2,0)</f>
        <v>999000</v>
      </c>
      <c r="J566" s="44" t="str">
        <f>'Input - Bookings'!N566</f>
        <v>A6W9</v>
      </c>
      <c r="K566" s="44" t="str">
        <f>'Input - Bookings'!O566</f>
        <v>PC1.5</v>
      </c>
      <c r="L566" s="44" t="str">
        <f>'Input - Bookings'!C566</f>
        <v>AUD</v>
      </c>
      <c r="M566" s="46" t="str">
        <f t="array" ref="M566">IF(L566="USD",INDEX('AP Plants'!A:A,MATCH(J566,'AP Plants'!D:D,0)),INDEX('Australia Plants'!A:A,MATCH(J566,'Australia Plants'!D:D,0)))</f>
        <v>Staxx</v>
      </c>
      <c r="N566" s="10">
        <v>1.0</v>
      </c>
      <c r="O566" s="9">
        <v>2140.0</v>
      </c>
      <c r="P566" s="9">
        <v>1712.0</v>
      </c>
      <c r="Q566" s="47">
        <v>0.36725810191223773</v>
      </c>
      <c r="R566" s="48">
        <f t="shared" si="3"/>
        <v>0.2</v>
      </c>
      <c r="S566" s="49">
        <f t="shared" si="4"/>
        <v>0</v>
      </c>
      <c r="T566" s="49">
        <f t="shared" si="21"/>
        <v>0.3672581019</v>
      </c>
      <c r="U566" s="50" t="str">
        <f t="shared" si="6"/>
        <v>AOP</v>
      </c>
      <c r="V566" s="51">
        <f t="shared" si="28"/>
        <v>628.7458705</v>
      </c>
      <c r="W566" s="52" t="str">
        <f t="shared" si="8"/>
        <v>#DIV/0!</v>
      </c>
      <c r="X566" s="9" t="str">
        <f t="shared" si="25"/>
        <v>#DIV/0!</v>
      </c>
      <c r="Y566" s="8"/>
      <c r="Z566" s="8"/>
      <c r="AA566" s="8"/>
      <c r="AB566" s="8" t="str">
        <f t="shared" si="10"/>
        <v>PAUH40023PC1.5</v>
      </c>
      <c r="AC566" s="8" t="str">
        <f>IF(AB566='Input - Bookings'!S799,"OK","Check")</f>
        <v>Check</v>
      </c>
      <c r="AD566" s="53"/>
      <c r="AE566" s="65"/>
      <c r="AF566" s="65"/>
      <c r="AG566" s="55">
        <f t="shared" si="49"/>
        <v>641.0258258</v>
      </c>
      <c r="AH566" s="62"/>
      <c r="AI566" s="8" t="str">
        <f t="array" ref="AI566">XLOOKUP($J566,'AP Plants'!D:D,'AP Plants'!B:B)</f>
        <v>Class 3</v>
      </c>
      <c r="AJ566" s="56">
        <f>(AG566*'Currency &amp; Conversion'!$L$6)</f>
        <v>954.6156597</v>
      </c>
      <c r="AK566" s="56"/>
      <c r="AL566" s="49">
        <v>0.015</v>
      </c>
      <c r="AM566" s="49">
        <f t="array" ref="AM566">XLOOKUP($AI566,Warranty!B:B,Warranty!E:E)</f>
        <v>0.015</v>
      </c>
      <c r="AN566" s="8">
        <f>IF($L566="AUD",VLOOKUP(RIGHT('Wk - Margins'!$J566,3),'AU Freight'!C:G,5,0),0)</f>
        <v>100</v>
      </c>
      <c r="AO566" s="49">
        <f t="shared" si="11"/>
        <v>0</v>
      </c>
      <c r="AP566" s="63">
        <f t="shared" si="12"/>
        <v>1083.25413</v>
      </c>
      <c r="AQ566" s="58">
        <f t="shared" si="13"/>
        <v>0.3672581019</v>
      </c>
      <c r="AR566" s="59">
        <f>IF(L566="AUD",O566*'Currency &amp; Conversion'!$L$7,'Wk - Margins'!O566)</f>
        <v>1436.967022</v>
      </c>
      <c r="AS566" s="59">
        <f>IF(L566="AUD",P566*'Currency &amp; Conversion'!$L$7,'Wk - Margins'!P566)</f>
        <v>1149.573618</v>
      </c>
    </row>
    <row r="567" ht="12.75" hidden="1" customHeight="1">
      <c r="A567" s="42" t="str">
        <f>'Input - Bookings'!A567</f>
        <v>28/06/2023</v>
      </c>
      <c r="B567" s="43" t="str">
        <f t="shared" si="1"/>
        <v>Australia</v>
      </c>
      <c r="C567" s="43" t="str">
        <f t="shared" si="2"/>
        <v>PAU</v>
      </c>
      <c r="D567" s="43" t="str">
        <f>'Input - Bookings'!D567</f>
        <v>P</v>
      </c>
      <c r="E567" s="43" t="str">
        <f>'Input - Bookings'!J567</f>
        <v>AU</v>
      </c>
      <c r="F567" s="44" t="str">
        <f>'Input - Bookings'!F567</f>
        <v>065</v>
      </c>
      <c r="G567" s="44" t="str">
        <f>'Input - Bookings'!I567</f>
        <v>UNALLOCATED - HYSTER AUS</v>
      </c>
      <c r="H567" s="45" t="str">
        <f>'Input - Bookings'!K567</f>
        <v>H40024</v>
      </c>
      <c r="I567" s="45" t="str">
        <f>VLOOKUP(H567,'Input - Bookings'!$G$2:$H$611,2,0)</f>
        <v>999000</v>
      </c>
      <c r="J567" s="44" t="str">
        <f>'Input - Bookings'!N567</f>
        <v>A6W9</v>
      </c>
      <c r="K567" s="44" t="str">
        <f>'Input - Bookings'!O567</f>
        <v>PC1.5</v>
      </c>
      <c r="L567" s="44" t="str">
        <f>'Input - Bookings'!C567</f>
        <v>AUD</v>
      </c>
      <c r="M567" s="46" t="str">
        <f t="array" ref="M567">IF(L567="USD",INDEX('AP Plants'!A:A,MATCH(J567,'AP Plants'!D:D,0)),INDEX('Australia Plants'!A:A,MATCH(J567,'Australia Plants'!D:D,0)))</f>
        <v>Staxx</v>
      </c>
      <c r="N567" s="10">
        <v>1.0</v>
      </c>
      <c r="O567" s="9">
        <v>2140.0</v>
      </c>
      <c r="P567" s="9">
        <v>1712.0</v>
      </c>
      <c r="Q567" s="47">
        <v>0.36725810191223773</v>
      </c>
      <c r="R567" s="48">
        <f t="shared" si="3"/>
        <v>0.2</v>
      </c>
      <c r="S567" s="49">
        <f t="shared" si="4"/>
        <v>0</v>
      </c>
      <c r="T567" s="49">
        <f t="shared" si="21"/>
        <v>0.3672581019</v>
      </c>
      <c r="U567" s="50" t="str">
        <f t="shared" si="6"/>
        <v>AOP</v>
      </c>
      <c r="V567" s="51">
        <f t="shared" si="28"/>
        <v>628.7458705</v>
      </c>
      <c r="W567" s="52" t="str">
        <f t="shared" si="8"/>
        <v>#DIV/0!</v>
      </c>
      <c r="X567" s="9" t="str">
        <f t="shared" si="25"/>
        <v>#DIV/0!</v>
      </c>
      <c r="Y567" s="8"/>
      <c r="Z567" s="8"/>
      <c r="AA567" s="8"/>
      <c r="AB567" s="8" t="str">
        <f t="shared" si="10"/>
        <v>PAUH40024PC1.5</v>
      </c>
      <c r="AC567" s="8" t="str">
        <f>IF(AB567='Input - Bookings'!S800,"OK","Check")</f>
        <v>Check</v>
      </c>
      <c r="AD567" s="53"/>
      <c r="AE567" s="65"/>
      <c r="AF567" s="65"/>
      <c r="AG567" s="55">
        <f t="shared" si="49"/>
        <v>641.0258258</v>
      </c>
      <c r="AH567" s="62"/>
      <c r="AI567" s="8" t="str">
        <f t="array" ref="AI567">XLOOKUP($J567,'AP Plants'!D:D,'AP Plants'!B:B)</f>
        <v>Class 3</v>
      </c>
      <c r="AJ567" s="56">
        <f>(AG567*'Currency &amp; Conversion'!$L$6)</f>
        <v>954.6156597</v>
      </c>
      <c r="AK567" s="56"/>
      <c r="AL567" s="49">
        <v>0.015</v>
      </c>
      <c r="AM567" s="49">
        <f t="array" ref="AM567">XLOOKUP($AI567,Warranty!B:B,Warranty!E:E)</f>
        <v>0.015</v>
      </c>
      <c r="AN567" s="8">
        <f>IF($L567="AUD",VLOOKUP(RIGHT('Wk - Margins'!$J567,3),'AU Freight'!C:G,5,0),0)</f>
        <v>100</v>
      </c>
      <c r="AO567" s="49">
        <f t="shared" si="11"/>
        <v>0</v>
      </c>
      <c r="AP567" s="63">
        <f t="shared" si="12"/>
        <v>1083.25413</v>
      </c>
      <c r="AQ567" s="58">
        <f t="shared" si="13"/>
        <v>0.3672581019</v>
      </c>
      <c r="AR567" s="59">
        <f>IF(L567="AUD",O567*'Currency &amp; Conversion'!$L$7,'Wk - Margins'!O567)</f>
        <v>1436.967022</v>
      </c>
      <c r="AS567" s="59">
        <f>IF(L567="AUD",P567*'Currency &amp; Conversion'!$L$7,'Wk - Margins'!P567)</f>
        <v>1149.573618</v>
      </c>
    </row>
    <row r="568" ht="12.75" hidden="1" customHeight="1">
      <c r="A568" s="42" t="str">
        <f>'Input - Bookings'!A568</f>
        <v>28/06/2023</v>
      </c>
      <c r="B568" s="43" t="str">
        <f t="shared" si="1"/>
        <v>Australia</v>
      </c>
      <c r="C568" s="43" t="str">
        <f t="shared" si="2"/>
        <v>PAU</v>
      </c>
      <c r="D568" s="43" t="str">
        <f>'Input - Bookings'!D568</f>
        <v>P</v>
      </c>
      <c r="E568" s="43" t="str">
        <f>'Input - Bookings'!J568</f>
        <v>AU</v>
      </c>
      <c r="F568" s="44" t="str">
        <f>'Input - Bookings'!F568</f>
        <v>065</v>
      </c>
      <c r="G568" s="44" t="str">
        <f>'Input - Bookings'!I568</f>
        <v>UNALLOCATED - HYSTER AUS</v>
      </c>
      <c r="H568" s="45" t="str">
        <f>'Input - Bookings'!K568</f>
        <v>H40025</v>
      </c>
      <c r="I568" s="45" t="str">
        <f>VLOOKUP(H568,'Input - Bookings'!$G$2:$H$611,2,0)</f>
        <v>999000</v>
      </c>
      <c r="J568" s="44" t="str">
        <f>'Input - Bookings'!N568</f>
        <v>A6W9</v>
      </c>
      <c r="K568" s="44" t="str">
        <f>'Input - Bookings'!O568</f>
        <v>PC1.5</v>
      </c>
      <c r="L568" s="44" t="str">
        <f>'Input - Bookings'!C568</f>
        <v>AUD</v>
      </c>
      <c r="M568" s="46" t="str">
        <f t="array" ref="M568">IF(L568="USD",INDEX('AP Plants'!A:A,MATCH(J568,'AP Plants'!D:D,0)),INDEX('Australia Plants'!A:A,MATCH(J568,'Australia Plants'!D:D,0)))</f>
        <v>Staxx</v>
      </c>
      <c r="N568" s="10">
        <v>1.0</v>
      </c>
      <c r="O568" s="9">
        <v>2140.0</v>
      </c>
      <c r="P568" s="9">
        <v>1712.0</v>
      </c>
      <c r="Q568" s="47">
        <v>0.36725810191223773</v>
      </c>
      <c r="R568" s="48">
        <f t="shared" si="3"/>
        <v>0.2</v>
      </c>
      <c r="S568" s="49">
        <f t="shared" si="4"/>
        <v>0</v>
      </c>
      <c r="T568" s="49">
        <f t="shared" si="21"/>
        <v>0.3672581019</v>
      </c>
      <c r="U568" s="50" t="str">
        <f t="shared" si="6"/>
        <v>AOP</v>
      </c>
      <c r="V568" s="51">
        <f t="shared" si="28"/>
        <v>628.7458705</v>
      </c>
      <c r="W568" s="52" t="str">
        <f t="shared" si="8"/>
        <v>#DIV/0!</v>
      </c>
      <c r="X568" s="9" t="str">
        <f t="shared" si="25"/>
        <v>#DIV/0!</v>
      </c>
      <c r="Y568" s="8"/>
      <c r="Z568" s="8"/>
      <c r="AA568" s="8"/>
      <c r="AB568" s="8" t="str">
        <f t="shared" si="10"/>
        <v>PAUH40025PC1.5</v>
      </c>
      <c r="AC568" s="8" t="str">
        <f>IF(AB568='Input - Bookings'!S801,"OK","Check")</f>
        <v>Check</v>
      </c>
      <c r="AD568" s="53"/>
      <c r="AE568" s="65"/>
      <c r="AF568" s="65"/>
      <c r="AG568" s="55">
        <f t="shared" si="49"/>
        <v>641.0258258</v>
      </c>
      <c r="AH568" s="62"/>
      <c r="AI568" s="8" t="str">
        <f t="array" ref="AI568">XLOOKUP($J568,'AP Plants'!D:D,'AP Plants'!B:B)</f>
        <v>Class 3</v>
      </c>
      <c r="AJ568" s="56">
        <f>(AG568*'Currency &amp; Conversion'!$L$6)</f>
        <v>954.6156597</v>
      </c>
      <c r="AK568" s="56"/>
      <c r="AL568" s="49">
        <v>0.015</v>
      </c>
      <c r="AM568" s="49">
        <f t="array" ref="AM568">XLOOKUP($AI568,Warranty!B:B,Warranty!E:E)</f>
        <v>0.015</v>
      </c>
      <c r="AN568" s="8">
        <f>IF($L568="AUD",VLOOKUP(RIGHT('Wk - Margins'!$J568,3),'AU Freight'!C:G,5,0),0)</f>
        <v>100</v>
      </c>
      <c r="AO568" s="49">
        <f t="shared" si="11"/>
        <v>0</v>
      </c>
      <c r="AP568" s="63">
        <f t="shared" si="12"/>
        <v>1083.25413</v>
      </c>
      <c r="AQ568" s="58">
        <f t="shared" si="13"/>
        <v>0.3672581019</v>
      </c>
      <c r="AR568" s="59">
        <f>IF(L568="AUD",O568*'Currency &amp; Conversion'!$L$7,'Wk - Margins'!O568)</f>
        <v>1436.967022</v>
      </c>
      <c r="AS568" s="59">
        <f>IF(L568="AUD",P568*'Currency &amp; Conversion'!$L$7,'Wk - Margins'!P568)</f>
        <v>1149.573618</v>
      </c>
    </row>
    <row r="569" ht="12.75" hidden="1" customHeight="1">
      <c r="A569" s="42" t="str">
        <f>'Input - Bookings'!A569</f>
        <v>28/06/2023</v>
      </c>
      <c r="B569" s="43" t="str">
        <f t="shared" si="1"/>
        <v>Australia</v>
      </c>
      <c r="C569" s="43" t="str">
        <f t="shared" si="2"/>
        <v>PAU</v>
      </c>
      <c r="D569" s="43" t="str">
        <f>'Input - Bookings'!D569</f>
        <v>P</v>
      </c>
      <c r="E569" s="43" t="str">
        <f>'Input - Bookings'!J569</f>
        <v>AU</v>
      </c>
      <c r="F569" s="44" t="str">
        <f>'Input - Bookings'!F569</f>
        <v>065</v>
      </c>
      <c r="G569" s="44" t="str">
        <f>'Input - Bookings'!I569</f>
        <v>UNALLOCATED - HYSTER AUS</v>
      </c>
      <c r="H569" s="45" t="str">
        <f>'Input - Bookings'!K569</f>
        <v>H40026</v>
      </c>
      <c r="I569" s="45" t="str">
        <f>VLOOKUP(H569,'Input - Bookings'!$G$2:$H$611,2,0)</f>
        <v>999000</v>
      </c>
      <c r="J569" s="44" t="str">
        <f>'Input - Bookings'!N569</f>
        <v>A6W9</v>
      </c>
      <c r="K569" s="44" t="str">
        <f>'Input - Bookings'!O569</f>
        <v>PC1.5</v>
      </c>
      <c r="L569" s="44" t="str">
        <f>'Input - Bookings'!C569</f>
        <v>AUD</v>
      </c>
      <c r="M569" s="46" t="str">
        <f t="array" ref="M569">IF(L569="USD",INDEX('AP Plants'!A:A,MATCH(J569,'AP Plants'!D:D,0)),INDEX('Australia Plants'!A:A,MATCH(J569,'Australia Plants'!D:D,0)))</f>
        <v>Staxx</v>
      </c>
      <c r="N569" s="10">
        <v>1.0</v>
      </c>
      <c r="O569" s="9">
        <v>2140.0</v>
      </c>
      <c r="P569" s="9">
        <v>1712.0</v>
      </c>
      <c r="Q569" s="47">
        <v>0.36725810191223773</v>
      </c>
      <c r="R569" s="48">
        <f t="shared" si="3"/>
        <v>0.2</v>
      </c>
      <c r="S569" s="49">
        <f t="shared" si="4"/>
        <v>0</v>
      </c>
      <c r="T569" s="49">
        <f t="shared" si="21"/>
        <v>0.3672581019</v>
      </c>
      <c r="U569" s="50" t="str">
        <f t="shared" si="6"/>
        <v>AOP</v>
      </c>
      <c r="V569" s="51">
        <f t="shared" si="28"/>
        <v>628.7458705</v>
      </c>
      <c r="W569" s="52" t="str">
        <f t="shared" si="8"/>
        <v>#DIV/0!</v>
      </c>
      <c r="X569" s="9" t="str">
        <f t="shared" si="25"/>
        <v>#DIV/0!</v>
      </c>
      <c r="Y569" s="8"/>
      <c r="Z569" s="8"/>
      <c r="AA569" s="8"/>
      <c r="AB569" s="8" t="str">
        <f t="shared" si="10"/>
        <v>PAUH40026PC1.5</v>
      </c>
      <c r="AC569" s="8" t="str">
        <f>IF(AB569='Input - Bookings'!S802,"OK","Check")</f>
        <v>Check</v>
      </c>
      <c r="AD569" s="53"/>
      <c r="AE569" s="65"/>
      <c r="AF569" s="65"/>
      <c r="AG569" s="55">
        <f t="shared" si="49"/>
        <v>641.0258258</v>
      </c>
      <c r="AH569" s="62"/>
      <c r="AI569" s="8" t="str">
        <f t="array" ref="AI569">XLOOKUP($J569,'AP Plants'!D:D,'AP Plants'!B:B)</f>
        <v>Class 3</v>
      </c>
      <c r="AJ569" s="56">
        <f>(AG569*'Currency &amp; Conversion'!$L$6)</f>
        <v>954.6156597</v>
      </c>
      <c r="AK569" s="56"/>
      <c r="AL569" s="49">
        <v>0.015</v>
      </c>
      <c r="AM569" s="49">
        <f t="array" ref="AM569">XLOOKUP($AI569,Warranty!B:B,Warranty!E:E)</f>
        <v>0.015</v>
      </c>
      <c r="AN569" s="8">
        <f>IF($L569="AUD",VLOOKUP(RIGHT('Wk - Margins'!$J569,3),'AU Freight'!C:G,5,0),0)</f>
        <v>100</v>
      </c>
      <c r="AO569" s="49">
        <f t="shared" si="11"/>
        <v>0</v>
      </c>
      <c r="AP569" s="63">
        <f t="shared" si="12"/>
        <v>1083.25413</v>
      </c>
      <c r="AQ569" s="58">
        <f t="shared" si="13"/>
        <v>0.3672581019</v>
      </c>
      <c r="AR569" s="59">
        <f>IF(L569="AUD",O569*'Currency &amp; Conversion'!$L$7,'Wk - Margins'!O569)</f>
        <v>1436.967022</v>
      </c>
      <c r="AS569" s="59">
        <f>IF(L569="AUD",P569*'Currency &amp; Conversion'!$L$7,'Wk - Margins'!P569)</f>
        <v>1149.573618</v>
      </c>
    </row>
    <row r="570" ht="12.75" hidden="1" customHeight="1">
      <c r="A570" s="42" t="str">
        <f>'Input - Bookings'!A570</f>
        <v>28/06/2023</v>
      </c>
      <c r="B570" s="43" t="str">
        <f t="shared" si="1"/>
        <v>Australia</v>
      </c>
      <c r="C570" s="43" t="str">
        <f t="shared" si="2"/>
        <v>PAU</v>
      </c>
      <c r="D570" s="43" t="str">
        <f>'Input - Bookings'!D570</f>
        <v>P</v>
      </c>
      <c r="E570" s="43" t="str">
        <f>'Input - Bookings'!J570</f>
        <v>AU</v>
      </c>
      <c r="F570" s="44" t="str">
        <f>'Input - Bookings'!F570</f>
        <v>065</v>
      </c>
      <c r="G570" s="44" t="str">
        <f>'Input - Bookings'!I570</f>
        <v>UNALLOCATED - HYSTER AUS</v>
      </c>
      <c r="H570" s="45" t="str">
        <f>'Input - Bookings'!K570</f>
        <v>H40009</v>
      </c>
      <c r="I570" s="45" t="str">
        <f>VLOOKUP(H570,'Input - Bookings'!$G$2:$H$611,2,0)</f>
        <v>999000</v>
      </c>
      <c r="J570" s="44" t="str">
        <f>'Input - Bookings'!N570</f>
        <v>A6W9</v>
      </c>
      <c r="K570" s="44" t="str">
        <f>'Input - Bookings'!O570</f>
        <v>PC1.5</v>
      </c>
      <c r="L570" s="44" t="str">
        <f>'Input - Bookings'!C570</f>
        <v>AUD</v>
      </c>
      <c r="M570" s="46" t="str">
        <f t="array" ref="M570">IF(L570="USD",INDEX('AP Plants'!A:A,MATCH(J570,'AP Plants'!D:D,0)),INDEX('Australia Plants'!A:A,MATCH(J570,'Australia Plants'!D:D,0)))</f>
        <v>Staxx</v>
      </c>
      <c r="N570" s="10">
        <v>1.0</v>
      </c>
      <c r="O570" s="9">
        <v>2140.0</v>
      </c>
      <c r="P570" s="9">
        <v>1712.0</v>
      </c>
      <c r="Q570" s="47">
        <v>0.36725810191223773</v>
      </c>
      <c r="R570" s="48">
        <f t="shared" si="3"/>
        <v>0.2</v>
      </c>
      <c r="S570" s="49">
        <f t="shared" si="4"/>
        <v>0</v>
      </c>
      <c r="T570" s="49">
        <f t="shared" si="21"/>
        <v>0.3672581019</v>
      </c>
      <c r="U570" s="50" t="str">
        <f t="shared" si="6"/>
        <v>AOP</v>
      </c>
      <c r="V570" s="51">
        <f t="shared" si="28"/>
        <v>628.7458705</v>
      </c>
      <c r="W570" s="52" t="str">
        <f t="shared" si="8"/>
        <v>#DIV/0!</v>
      </c>
      <c r="X570" s="9" t="str">
        <f t="shared" si="25"/>
        <v>#DIV/0!</v>
      </c>
      <c r="Y570" s="8"/>
      <c r="Z570" s="8"/>
      <c r="AA570" s="8"/>
      <c r="AB570" s="8" t="str">
        <f t="shared" si="10"/>
        <v>PAUH40009PC1.5</v>
      </c>
      <c r="AC570" s="8" t="str">
        <f>IF(AB570='Input - Bookings'!S803,"OK","Check")</f>
        <v>Check</v>
      </c>
      <c r="AD570" s="53"/>
      <c r="AE570" s="65"/>
      <c r="AF570" s="65"/>
      <c r="AG570" s="55">
        <f t="shared" si="49"/>
        <v>641.0258258</v>
      </c>
      <c r="AH570" s="62"/>
      <c r="AI570" s="8" t="str">
        <f t="array" ref="AI570">XLOOKUP($J570,'AP Plants'!D:D,'AP Plants'!B:B)</f>
        <v>Class 3</v>
      </c>
      <c r="AJ570" s="56">
        <f>(AG570*'Currency &amp; Conversion'!$L$6)</f>
        <v>954.6156597</v>
      </c>
      <c r="AK570" s="56"/>
      <c r="AL570" s="49">
        <v>0.015</v>
      </c>
      <c r="AM570" s="49">
        <f t="array" ref="AM570">XLOOKUP($AI570,Warranty!B:B,Warranty!E:E)</f>
        <v>0.015</v>
      </c>
      <c r="AN570" s="8">
        <f>IF($L570="AUD",VLOOKUP(RIGHT('Wk - Margins'!$J570,3),'AU Freight'!C:G,5,0),0)</f>
        <v>100</v>
      </c>
      <c r="AO570" s="49">
        <f t="shared" si="11"/>
        <v>0</v>
      </c>
      <c r="AP570" s="63">
        <f t="shared" si="12"/>
        <v>1083.25413</v>
      </c>
      <c r="AQ570" s="58">
        <f t="shared" si="13"/>
        <v>0.3672581019</v>
      </c>
      <c r="AR570" s="59">
        <f>IF(L570="AUD",O570*'Currency &amp; Conversion'!$L$7,'Wk - Margins'!O570)</f>
        <v>1436.967022</v>
      </c>
      <c r="AS570" s="59">
        <f>IF(L570="AUD",P570*'Currency &amp; Conversion'!$L$7,'Wk - Margins'!P570)</f>
        <v>1149.573618</v>
      </c>
    </row>
    <row r="571" ht="12.75" hidden="1" customHeight="1">
      <c r="A571" s="42" t="str">
        <f>'Input - Bookings'!A571</f>
        <v>28/06/2023</v>
      </c>
      <c r="B571" s="43" t="str">
        <f t="shared" si="1"/>
        <v>Australia</v>
      </c>
      <c r="C571" s="43" t="str">
        <f t="shared" si="2"/>
        <v>PAU</v>
      </c>
      <c r="D571" s="43" t="str">
        <f>'Input - Bookings'!D571</f>
        <v>P</v>
      </c>
      <c r="E571" s="43" t="str">
        <f>'Input - Bookings'!J571</f>
        <v>AU</v>
      </c>
      <c r="F571" s="44" t="str">
        <f>'Input - Bookings'!F571</f>
        <v>065</v>
      </c>
      <c r="G571" s="44" t="str">
        <f>'Input - Bookings'!I571</f>
        <v>UNALLOCATED - HYSTER AUS</v>
      </c>
      <c r="H571" s="45" t="str">
        <f>'Input - Bookings'!K571</f>
        <v>H40027</v>
      </c>
      <c r="I571" s="45" t="str">
        <f>VLOOKUP(H571,'Input - Bookings'!$G$2:$H$611,2,0)</f>
        <v>999000</v>
      </c>
      <c r="J571" s="44" t="str">
        <f>'Input - Bookings'!N571</f>
        <v>A6W9</v>
      </c>
      <c r="K571" s="44" t="str">
        <f>'Input - Bookings'!O571</f>
        <v>PC1.5</v>
      </c>
      <c r="L571" s="44" t="str">
        <f>'Input - Bookings'!C571</f>
        <v>AUD</v>
      </c>
      <c r="M571" s="46" t="str">
        <f t="array" ref="M571">IF(L571="USD",INDEX('AP Plants'!A:A,MATCH(J571,'AP Plants'!D:D,0)),INDEX('Australia Plants'!A:A,MATCH(J571,'Australia Plants'!D:D,0)))</f>
        <v>Staxx</v>
      </c>
      <c r="N571" s="10">
        <v>1.0</v>
      </c>
      <c r="O571" s="9">
        <v>2140.0</v>
      </c>
      <c r="P571" s="9">
        <v>1712.0</v>
      </c>
      <c r="Q571" s="47">
        <v>0.36725810191223773</v>
      </c>
      <c r="R571" s="48">
        <f t="shared" si="3"/>
        <v>0.2</v>
      </c>
      <c r="S571" s="49">
        <f t="shared" si="4"/>
        <v>0</v>
      </c>
      <c r="T571" s="49">
        <f t="shared" si="21"/>
        <v>0.3672581019</v>
      </c>
      <c r="U571" s="50" t="str">
        <f t="shared" si="6"/>
        <v>AOP</v>
      </c>
      <c r="V571" s="51">
        <f t="shared" si="28"/>
        <v>628.7458705</v>
      </c>
      <c r="W571" s="52" t="str">
        <f t="shared" si="8"/>
        <v>#DIV/0!</v>
      </c>
      <c r="X571" s="9" t="str">
        <f t="shared" si="25"/>
        <v>#DIV/0!</v>
      </c>
      <c r="Y571" s="8"/>
      <c r="Z571" s="8"/>
      <c r="AA571" s="8"/>
      <c r="AB571" s="8" t="str">
        <f t="shared" si="10"/>
        <v>PAUH40027PC1.5</v>
      </c>
      <c r="AC571" s="8" t="str">
        <f>IF(AB571='Input - Bookings'!S804,"OK","Check")</f>
        <v>Check</v>
      </c>
      <c r="AD571" s="53"/>
      <c r="AE571" s="65"/>
      <c r="AF571" s="65"/>
      <c r="AG571" s="55">
        <f t="shared" si="49"/>
        <v>641.0258258</v>
      </c>
      <c r="AH571" s="62"/>
      <c r="AI571" s="8" t="str">
        <f t="array" ref="AI571">XLOOKUP($J571,'AP Plants'!D:D,'AP Plants'!B:B)</f>
        <v>Class 3</v>
      </c>
      <c r="AJ571" s="56">
        <f>(AG571*'Currency &amp; Conversion'!$L$6)</f>
        <v>954.6156597</v>
      </c>
      <c r="AK571" s="56"/>
      <c r="AL571" s="49">
        <v>0.015</v>
      </c>
      <c r="AM571" s="49">
        <f t="array" ref="AM571">XLOOKUP($AI571,Warranty!B:B,Warranty!E:E)</f>
        <v>0.015</v>
      </c>
      <c r="AN571" s="8">
        <f>IF($L571="AUD",VLOOKUP(RIGHT('Wk - Margins'!$J571,3),'AU Freight'!C:G,5,0),0)</f>
        <v>100</v>
      </c>
      <c r="AO571" s="49">
        <f t="shared" si="11"/>
        <v>0</v>
      </c>
      <c r="AP571" s="63">
        <f t="shared" si="12"/>
        <v>1083.25413</v>
      </c>
      <c r="AQ571" s="58">
        <f t="shared" si="13"/>
        <v>0.3672581019</v>
      </c>
      <c r="AR571" s="59">
        <f>IF(L571="AUD",O571*'Currency &amp; Conversion'!$L$7,'Wk - Margins'!O571)</f>
        <v>1436.967022</v>
      </c>
      <c r="AS571" s="59">
        <f>IF(L571="AUD",P571*'Currency &amp; Conversion'!$L$7,'Wk - Margins'!P571)</f>
        <v>1149.573618</v>
      </c>
    </row>
    <row r="572" ht="12.75" hidden="1" customHeight="1">
      <c r="A572" s="42" t="str">
        <f>'Input - Bookings'!A572</f>
        <v>28/06/2023</v>
      </c>
      <c r="B572" s="43" t="str">
        <f t="shared" si="1"/>
        <v>Australia</v>
      </c>
      <c r="C572" s="43" t="str">
        <f t="shared" si="2"/>
        <v>PAU</v>
      </c>
      <c r="D572" s="43" t="str">
        <f>'Input - Bookings'!D572</f>
        <v>P</v>
      </c>
      <c r="E572" s="43" t="str">
        <f>'Input - Bookings'!J572</f>
        <v>AU</v>
      </c>
      <c r="F572" s="44" t="str">
        <f>'Input - Bookings'!F572</f>
        <v>065</v>
      </c>
      <c r="G572" s="44" t="str">
        <f>'Input - Bookings'!I572</f>
        <v>UNALLOCATED - HYSTER AUS</v>
      </c>
      <c r="H572" s="45" t="str">
        <f>'Input - Bookings'!K572</f>
        <v>H40028</v>
      </c>
      <c r="I572" s="45" t="str">
        <f>VLOOKUP(H572,'Input - Bookings'!$G$2:$H$611,2,0)</f>
        <v>999000</v>
      </c>
      <c r="J572" s="44" t="str">
        <f>'Input - Bookings'!N572</f>
        <v>A6W9</v>
      </c>
      <c r="K572" s="44" t="str">
        <f>'Input - Bookings'!O572</f>
        <v>PC1.5</v>
      </c>
      <c r="L572" s="44" t="str">
        <f>'Input - Bookings'!C572</f>
        <v>AUD</v>
      </c>
      <c r="M572" s="46" t="str">
        <f t="array" ref="M572">IF(L572="USD",INDEX('AP Plants'!A:A,MATCH(J572,'AP Plants'!D:D,0)),INDEX('Australia Plants'!A:A,MATCH(J572,'Australia Plants'!D:D,0)))</f>
        <v>Staxx</v>
      </c>
      <c r="N572" s="10">
        <v>1.0</v>
      </c>
      <c r="O572" s="9">
        <v>2140.0</v>
      </c>
      <c r="P572" s="9">
        <v>1712.0</v>
      </c>
      <c r="Q572" s="47">
        <v>0.36725810191223773</v>
      </c>
      <c r="R572" s="48">
        <f t="shared" si="3"/>
        <v>0.2</v>
      </c>
      <c r="S572" s="49">
        <f t="shared" si="4"/>
        <v>0</v>
      </c>
      <c r="T572" s="49">
        <f t="shared" si="21"/>
        <v>0.3672581019</v>
      </c>
      <c r="U572" s="50" t="str">
        <f t="shared" si="6"/>
        <v>AOP</v>
      </c>
      <c r="V572" s="51">
        <f t="shared" si="28"/>
        <v>628.7458705</v>
      </c>
      <c r="W572" s="52" t="str">
        <f t="shared" si="8"/>
        <v>#DIV/0!</v>
      </c>
      <c r="X572" s="9" t="str">
        <f t="shared" si="25"/>
        <v>#DIV/0!</v>
      </c>
      <c r="Y572" s="8"/>
      <c r="Z572" s="8"/>
      <c r="AA572" s="8"/>
      <c r="AB572" s="8" t="str">
        <f t="shared" si="10"/>
        <v>PAUH40028PC1.5</v>
      </c>
      <c r="AC572" s="8" t="str">
        <f>IF(AB572='Input - Bookings'!S805,"OK","Check")</f>
        <v>Check</v>
      </c>
      <c r="AD572" s="53"/>
      <c r="AE572" s="65"/>
      <c r="AF572" s="65"/>
      <c r="AG572" s="55">
        <f t="shared" si="49"/>
        <v>641.0258258</v>
      </c>
      <c r="AH572" s="62"/>
      <c r="AI572" s="8" t="str">
        <f t="array" ref="AI572">XLOOKUP($J572,'AP Plants'!D:D,'AP Plants'!B:B)</f>
        <v>Class 3</v>
      </c>
      <c r="AJ572" s="56">
        <f>(AG572*'Currency &amp; Conversion'!$L$6)</f>
        <v>954.6156597</v>
      </c>
      <c r="AK572" s="56"/>
      <c r="AL572" s="49">
        <v>0.015</v>
      </c>
      <c r="AM572" s="49">
        <f t="array" ref="AM572">XLOOKUP($AI572,Warranty!B:B,Warranty!E:E)</f>
        <v>0.015</v>
      </c>
      <c r="AN572" s="8">
        <f>IF($L572="AUD",VLOOKUP(RIGHT('Wk - Margins'!$J572,3),'AU Freight'!C:G,5,0),0)</f>
        <v>100</v>
      </c>
      <c r="AO572" s="49">
        <f t="shared" si="11"/>
        <v>0</v>
      </c>
      <c r="AP572" s="63">
        <f t="shared" si="12"/>
        <v>1083.25413</v>
      </c>
      <c r="AQ572" s="58">
        <f t="shared" si="13"/>
        <v>0.3672581019</v>
      </c>
      <c r="AR572" s="59">
        <f>IF(L572="AUD",O572*'Currency &amp; Conversion'!$L$7,'Wk - Margins'!O572)</f>
        <v>1436.967022</v>
      </c>
      <c r="AS572" s="59">
        <f>IF(L572="AUD",P572*'Currency &amp; Conversion'!$L$7,'Wk - Margins'!P572)</f>
        <v>1149.573618</v>
      </c>
    </row>
    <row r="573" ht="12.75" hidden="1" customHeight="1">
      <c r="A573" s="42" t="str">
        <f>'Input - Bookings'!A573</f>
        <v>28/06/2023</v>
      </c>
      <c r="B573" s="43" t="str">
        <f t="shared" si="1"/>
        <v>Australia</v>
      </c>
      <c r="C573" s="43" t="str">
        <f t="shared" si="2"/>
        <v>PAU</v>
      </c>
      <c r="D573" s="43" t="str">
        <f>'Input - Bookings'!D573</f>
        <v>P</v>
      </c>
      <c r="E573" s="43" t="str">
        <f>'Input - Bookings'!J573</f>
        <v>AU</v>
      </c>
      <c r="F573" s="44" t="str">
        <f>'Input - Bookings'!F573</f>
        <v>065</v>
      </c>
      <c r="G573" s="44" t="str">
        <f>'Input - Bookings'!I573</f>
        <v>UNALLOCATED - HYSTER AUS</v>
      </c>
      <c r="H573" s="45" t="str">
        <f>'Input - Bookings'!K573</f>
        <v>H40029</v>
      </c>
      <c r="I573" s="45" t="str">
        <f>VLOOKUP(H573,'Input - Bookings'!$G$2:$H$611,2,0)</f>
        <v>999000</v>
      </c>
      <c r="J573" s="44" t="str">
        <f>'Input - Bookings'!N573</f>
        <v>A6W9</v>
      </c>
      <c r="K573" s="44" t="str">
        <f>'Input - Bookings'!O573</f>
        <v>PC1.5</v>
      </c>
      <c r="L573" s="44" t="str">
        <f>'Input - Bookings'!C573</f>
        <v>AUD</v>
      </c>
      <c r="M573" s="46" t="str">
        <f t="array" ref="M573">IF(L573="USD",INDEX('AP Plants'!A:A,MATCH(J573,'AP Plants'!D:D,0)),INDEX('Australia Plants'!A:A,MATCH(J573,'Australia Plants'!D:D,0)))</f>
        <v>Staxx</v>
      </c>
      <c r="N573" s="10">
        <v>1.0</v>
      </c>
      <c r="O573" s="9">
        <v>2140.0</v>
      </c>
      <c r="P573" s="9">
        <v>1712.0</v>
      </c>
      <c r="Q573" s="47">
        <v>0.36725810191223773</v>
      </c>
      <c r="R573" s="48">
        <f t="shared" si="3"/>
        <v>0.2</v>
      </c>
      <c r="S573" s="49">
        <f t="shared" si="4"/>
        <v>0</v>
      </c>
      <c r="T573" s="49">
        <f t="shared" si="21"/>
        <v>0.3672581019</v>
      </c>
      <c r="U573" s="50" t="str">
        <f t="shared" si="6"/>
        <v>AOP</v>
      </c>
      <c r="V573" s="51">
        <f t="shared" si="28"/>
        <v>628.7458705</v>
      </c>
      <c r="W573" s="52" t="str">
        <f t="shared" si="8"/>
        <v>#DIV/0!</v>
      </c>
      <c r="X573" s="9" t="str">
        <f t="shared" si="25"/>
        <v>#DIV/0!</v>
      </c>
      <c r="Y573" s="8"/>
      <c r="Z573" s="8"/>
      <c r="AA573" s="8"/>
      <c r="AB573" s="8" t="str">
        <f t="shared" si="10"/>
        <v>PAUH40029PC1.5</v>
      </c>
      <c r="AC573" s="8" t="str">
        <f>IF(AB573='Input - Bookings'!S806,"OK","Check")</f>
        <v>Check</v>
      </c>
      <c r="AD573" s="53"/>
      <c r="AE573" s="65"/>
      <c r="AF573" s="65"/>
      <c r="AG573" s="55">
        <f t="shared" si="49"/>
        <v>641.0258258</v>
      </c>
      <c r="AH573" s="62"/>
      <c r="AI573" s="8" t="str">
        <f t="array" ref="AI573">XLOOKUP($J573,'AP Plants'!D:D,'AP Plants'!B:B)</f>
        <v>Class 3</v>
      </c>
      <c r="AJ573" s="56">
        <f>(AG573*'Currency &amp; Conversion'!$L$6)</f>
        <v>954.6156597</v>
      </c>
      <c r="AK573" s="56"/>
      <c r="AL573" s="49">
        <v>0.015</v>
      </c>
      <c r="AM573" s="49">
        <f t="array" ref="AM573">XLOOKUP($AI573,Warranty!B:B,Warranty!E:E)</f>
        <v>0.015</v>
      </c>
      <c r="AN573" s="8">
        <f>IF($L573="AUD",VLOOKUP(RIGHT('Wk - Margins'!$J573,3),'AU Freight'!C:G,5,0),0)</f>
        <v>100</v>
      </c>
      <c r="AO573" s="49">
        <f t="shared" si="11"/>
        <v>0</v>
      </c>
      <c r="AP573" s="63">
        <f t="shared" si="12"/>
        <v>1083.25413</v>
      </c>
      <c r="AQ573" s="58">
        <f t="shared" si="13"/>
        <v>0.3672581019</v>
      </c>
      <c r="AR573" s="59">
        <f>IF(L573="AUD",O573*'Currency &amp; Conversion'!$L$7,'Wk - Margins'!O573)</f>
        <v>1436.967022</v>
      </c>
      <c r="AS573" s="59">
        <f>IF(L573="AUD",P573*'Currency &amp; Conversion'!$L$7,'Wk - Margins'!P573)</f>
        <v>1149.573618</v>
      </c>
    </row>
    <row r="574" ht="12.75" hidden="1" customHeight="1">
      <c r="A574" s="42" t="str">
        <f>'Input - Bookings'!A574</f>
        <v>28/06/2023</v>
      </c>
      <c r="B574" s="43" t="str">
        <f t="shared" si="1"/>
        <v>Australia</v>
      </c>
      <c r="C574" s="43" t="str">
        <f t="shared" si="2"/>
        <v>PAU</v>
      </c>
      <c r="D574" s="43" t="str">
        <f>'Input - Bookings'!D574</f>
        <v>P</v>
      </c>
      <c r="E574" s="43" t="str">
        <f>'Input - Bookings'!J574</f>
        <v>AU</v>
      </c>
      <c r="F574" s="44" t="str">
        <f>'Input - Bookings'!F574</f>
        <v>065</v>
      </c>
      <c r="G574" s="44" t="str">
        <f>'Input - Bookings'!I574</f>
        <v>UNALLOCATED - HYSTER AUS</v>
      </c>
      <c r="H574" s="45" t="str">
        <f>'Input - Bookings'!K574</f>
        <v>H40030</v>
      </c>
      <c r="I574" s="45" t="str">
        <f>VLOOKUP(H574,'Input - Bookings'!$G$2:$H$611,2,0)</f>
        <v>999000</v>
      </c>
      <c r="J574" s="44" t="str">
        <f>'Input - Bookings'!N574</f>
        <v>A6W9</v>
      </c>
      <c r="K574" s="44" t="str">
        <f>'Input - Bookings'!O574</f>
        <v>PC1.5</v>
      </c>
      <c r="L574" s="44" t="str">
        <f>'Input - Bookings'!C574</f>
        <v>AUD</v>
      </c>
      <c r="M574" s="46" t="str">
        <f t="array" ref="M574">IF(L574="USD",INDEX('AP Plants'!A:A,MATCH(J574,'AP Plants'!D:D,0)),INDEX('Australia Plants'!A:A,MATCH(J574,'Australia Plants'!D:D,0)))</f>
        <v>Staxx</v>
      </c>
      <c r="N574" s="10">
        <v>1.0</v>
      </c>
      <c r="O574" s="9">
        <v>2140.0</v>
      </c>
      <c r="P574" s="9">
        <v>1712.0</v>
      </c>
      <c r="Q574" s="47">
        <v>0.36725810191223773</v>
      </c>
      <c r="R574" s="48">
        <f t="shared" si="3"/>
        <v>0.2</v>
      </c>
      <c r="S574" s="49">
        <f t="shared" si="4"/>
        <v>0</v>
      </c>
      <c r="T574" s="49">
        <f t="shared" si="21"/>
        <v>0.3672581019</v>
      </c>
      <c r="U574" s="50" t="str">
        <f t="shared" si="6"/>
        <v>AOP</v>
      </c>
      <c r="V574" s="51">
        <f t="shared" si="28"/>
        <v>628.7458705</v>
      </c>
      <c r="W574" s="52" t="str">
        <f t="shared" si="8"/>
        <v>#DIV/0!</v>
      </c>
      <c r="X574" s="9" t="str">
        <f t="shared" si="25"/>
        <v>#DIV/0!</v>
      </c>
      <c r="Y574" s="8"/>
      <c r="Z574" s="8"/>
      <c r="AA574" s="8"/>
      <c r="AB574" s="8" t="str">
        <f t="shared" si="10"/>
        <v>PAUH40030PC1.5</v>
      </c>
      <c r="AC574" s="8" t="str">
        <f>IF(AB574='Input - Bookings'!S807,"OK","Check")</f>
        <v>Check</v>
      </c>
      <c r="AD574" s="53"/>
      <c r="AE574" s="65"/>
      <c r="AF574" s="65"/>
      <c r="AG574" s="55">
        <f t="shared" si="49"/>
        <v>641.0258258</v>
      </c>
      <c r="AH574" s="62"/>
      <c r="AI574" s="8" t="str">
        <f t="array" ref="AI574">XLOOKUP($J574,'AP Plants'!D:D,'AP Plants'!B:B)</f>
        <v>Class 3</v>
      </c>
      <c r="AJ574" s="56">
        <f>(AG574*'Currency &amp; Conversion'!$L$6)</f>
        <v>954.6156597</v>
      </c>
      <c r="AK574" s="56"/>
      <c r="AL574" s="49">
        <v>0.015</v>
      </c>
      <c r="AM574" s="49">
        <f t="array" ref="AM574">XLOOKUP($AI574,Warranty!B:B,Warranty!E:E)</f>
        <v>0.015</v>
      </c>
      <c r="AN574" s="8">
        <f>IF($L574="AUD",VLOOKUP(RIGHT('Wk - Margins'!$J574,3),'AU Freight'!C:G,5,0),0)</f>
        <v>100</v>
      </c>
      <c r="AO574" s="49">
        <f t="shared" si="11"/>
        <v>0</v>
      </c>
      <c r="AP574" s="63">
        <f t="shared" si="12"/>
        <v>1083.25413</v>
      </c>
      <c r="AQ574" s="58">
        <f t="shared" si="13"/>
        <v>0.3672581019</v>
      </c>
      <c r="AR574" s="59">
        <f>IF(L574="AUD",O574*'Currency &amp; Conversion'!$L$7,'Wk - Margins'!O574)</f>
        <v>1436.967022</v>
      </c>
      <c r="AS574" s="59">
        <f>IF(L574="AUD",P574*'Currency &amp; Conversion'!$L$7,'Wk - Margins'!P574)</f>
        <v>1149.573618</v>
      </c>
    </row>
    <row r="575" ht="12.75" hidden="1" customHeight="1">
      <c r="A575" s="42" t="str">
        <f>'Input - Bookings'!A575</f>
        <v>28/06/2023</v>
      </c>
      <c r="B575" s="43" t="str">
        <f t="shared" si="1"/>
        <v>Australia</v>
      </c>
      <c r="C575" s="43" t="str">
        <f t="shared" si="2"/>
        <v>PAU</v>
      </c>
      <c r="D575" s="43" t="str">
        <f>'Input - Bookings'!D575</f>
        <v>P</v>
      </c>
      <c r="E575" s="43" t="str">
        <f>'Input - Bookings'!J575</f>
        <v>AU</v>
      </c>
      <c r="F575" s="44" t="str">
        <f>'Input - Bookings'!F575</f>
        <v>065</v>
      </c>
      <c r="G575" s="44" t="str">
        <f>'Input - Bookings'!I575</f>
        <v>UNALLOCATED - HYSTER AUS</v>
      </c>
      <c r="H575" s="45" t="str">
        <f>'Input - Bookings'!K575</f>
        <v>H40031</v>
      </c>
      <c r="I575" s="45" t="str">
        <f>VLOOKUP(H575,'Input - Bookings'!$G$2:$H$611,2,0)</f>
        <v>999000</v>
      </c>
      <c r="J575" s="44" t="str">
        <f>'Input - Bookings'!N575</f>
        <v>A6W9</v>
      </c>
      <c r="K575" s="44" t="str">
        <f>'Input - Bookings'!O575</f>
        <v>PC1.5</v>
      </c>
      <c r="L575" s="44" t="str">
        <f>'Input - Bookings'!C575</f>
        <v>AUD</v>
      </c>
      <c r="M575" s="46" t="str">
        <f t="array" ref="M575">IF(L575="USD",INDEX('AP Plants'!A:A,MATCH(J575,'AP Plants'!D:D,0)),INDEX('Australia Plants'!A:A,MATCH(J575,'Australia Plants'!D:D,0)))</f>
        <v>Staxx</v>
      </c>
      <c r="N575" s="10">
        <v>1.0</v>
      </c>
      <c r="O575" s="9">
        <v>2140.0</v>
      </c>
      <c r="P575" s="9">
        <v>1712.0</v>
      </c>
      <c r="Q575" s="47">
        <v>0.36725810191223773</v>
      </c>
      <c r="R575" s="48">
        <f t="shared" si="3"/>
        <v>0.2</v>
      </c>
      <c r="S575" s="49">
        <f t="shared" si="4"/>
        <v>0</v>
      </c>
      <c r="T575" s="49">
        <f t="shared" si="21"/>
        <v>0.3672581019</v>
      </c>
      <c r="U575" s="50" t="str">
        <f t="shared" si="6"/>
        <v>AOP</v>
      </c>
      <c r="V575" s="51">
        <f t="shared" si="28"/>
        <v>628.7458705</v>
      </c>
      <c r="W575" s="52" t="str">
        <f t="shared" si="8"/>
        <v>#DIV/0!</v>
      </c>
      <c r="X575" s="9" t="str">
        <f t="shared" si="25"/>
        <v>#DIV/0!</v>
      </c>
      <c r="Y575" s="8"/>
      <c r="Z575" s="8"/>
      <c r="AA575" s="8"/>
      <c r="AB575" s="8" t="str">
        <f t="shared" si="10"/>
        <v>PAUH40031PC1.5</v>
      </c>
      <c r="AC575" s="8" t="str">
        <f>IF(AB575='Input - Bookings'!S808,"OK","Check")</f>
        <v>Check</v>
      </c>
      <c r="AD575" s="53"/>
      <c r="AE575" s="65"/>
      <c r="AF575" s="65"/>
      <c r="AG575" s="55">
        <f t="shared" si="49"/>
        <v>641.0258258</v>
      </c>
      <c r="AH575" s="62"/>
      <c r="AI575" s="8" t="str">
        <f t="array" ref="AI575">XLOOKUP($J575,'AP Plants'!D:D,'AP Plants'!B:B)</f>
        <v>Class 3</v>
      </c>
      <c r="AJ575" s="56">
        <f>(AG575*'Currency &amp; Conversion'!$L$6)</f>
        <v>954.6156597</v>
      </c>
      <c r="AK575" s="56"/>
      <c r="AL575" s="49">
        <v>0.015</v>
      </c>
      <c r="AM575" s="49">
        <f t="array" ref="AM575">XLOOKUP($AI575,Warranty!B:B,Warranty!E:E)</f>
        <v>0.015</v>
      </c>
      <c r="AN575" s="8">
        <f>IF($L575="AUD",VLOOKUP(RIGHT('Wk - Margins'!$J575,3),'AU Freight'!C:G,5,0),0)</f>
        <v>100</v>
      </c>
      <c r="AO575" s="49">
        <f t="shared" si="11"/>
        <v>0</v>
      </c>
      <c r="AP575" s="63">
        <f t="shared" si="12"/>
        <v>1083.25413</v>
      </c>
      <c r="AQ575" s="58">
        <f t="shared" si="13"/>
        <v>0.3672581019</v>
      </c>
      <c r="AR575" s="59">
        <f>IF(L575="AUD",O575*'Currency &amp; Conversion'!$L$7,'Wk - Margins'!O575)</f>
        <v>1436.967022</v>
      </c>
      <c r="AS575" s="59">
        <f>IF(L575="AUD",P575*'Currency &amp; Conversion'!$L$7,'Wk - Margins'!P575)</f>
        <v>1149.573618</v>
      </c>
    </row>
    <row r="576" ht="12.75" hidden="1" customHeight="1">
      <c r="A576" s="42" t="str">
        <f>'Input - Bookings'!A576</f>
        <v>28/06/2023</v>
      </c>
      <c r="B576" s="43" t="str">
        <f t="shared" si="1"/>
        <v>Australia</v>
      </c>
      <c r="C576" s="43" t="str">
        <f t="shared" si="2"/>
        <v>PAU</v>
      </c>
      <c r="D576" s="43" t="str">
        <f>'Input - Bookings'!D576</f>
        <v>P</v>
      </c>
      <c r="E576" s="43" t="str">
        <f>'Input - Bookings'!J576</f>
        <v>AU</v>
      </c>
      <c r="F576" s="44" t="str">
        <f>'Input - Bookings'!F576</f>
        <v>065</v>
      </c>
      <c r="G576" s="44" t="str">
        <f>'Input - Bookings'!I576</f>
        <v>UNALLOCATED - HYSTER AUS</v>
      </c>
      <c r="H576" s="45" t="str">
        <f>'Input - Bookings'!K576</f>
        <v>H40032</v>
      </c>
      <c r="I576" s="45" t="str">
        <f>VLOOKUP(H576,'Input - Bookings'!$G$2:$H$611,2,0)</f>
        <v>999000</v>
      </c>
      <c r="J576" s="44" t="str">
        <f>'Input - Bookings'!N576</f>
        <v>A6W9</v>
      </c>
      <c r="K576" s="44" t="str">
        <f>'Input - Bookings'!O576</f>
        <v>PC1.5</v>
      </c>
      <c r="L576" s="44" t="str">
        <f>'Input - Bookings'!C576</f>
        <v>AUD</v>
      </c>
      <c r="M576" s="46" t="str">
        <f t="array" ref="M576">IF(L576="USD",INDEX('AP Plants'!A:A,MATCH(J576,'AP Plants'!D:D,0)),INDEX('Australia Plants'!A:A,MATCH(J576,'Australia Plants'!D:D,0)))</f>
        <v>Staxx</v>
      </c>
      <c r="N576" s="10">
        <v>1.0</v>
      </c>
      <c r="O576" s="9">
        <v>2140.0</v>
      </c>
      <c r="P576" s="9">
        <v>1712.0</v>
      </c>
      <c r="Q576" s="47">
        <v>0.36725810191223773</v>
      </c>
      <c r="R576" s="48">
        <f t="shared" si="3"/>
        <v>0.2</v>
      </c>
      <c r="S576" s="49">
        <f t="shared" si="4"/>
        <v>0</v>
      </c>
      <c r="T576" s="49">
        <f t="shared" si="21"/>
        <v>0.3672581019</v>
      </c>
      <c r="U576" s="50" t="str">
        <f t="shared" si="6"/>
        <v>AOP</v>
      </c>
      <c r="V576" s="51">
        <f t="shared" si="28"/>
        <v>628.7458705</v>
      </c>
      <c r="W576" s="52" t="str">
        <f t="shared" si="8"/>
        <v>#DIV/0!</v>
      </c>
      <c r="X576" s="9" t="str">
        <f t="shared" si="25"/>
        <v>#DIV/0!</v>
      </c>
      <c r="Y576" s="8"/>
      <c r="Z576" s="8"/>
      <c r="AA576" s="8"/>
      <c r="AB576" s="8" t="str">
        <f t="shared" si="10"/>
        <v>PAUH40032PC1.5</v>
      </c>
      <c r="AC576" s="8" t="str">
        <f>IF(AB576='Input - Bookings'!S809,"OK","Check")</f>
        <v>Check</v>
      </c>
      <c r="AD576" s="53"/>
      <c r="AE576" s="65"/>
      <c r="AF576" s="65"/>
      <c r="AG576" s="55">
        <f t="shared" si="49"/>
        <v>641.0258258</v>
      </c>
      <c r="AH576" s="62"/>
      <c r="AI576" s="8" t="str">
        <f t="array" ref="AI576">XLOOKUP($J576,'AP Plants'!D:D,'AP Plants'!B:B)</f>
        <v>Class 3</v>
      </c>
      <c r="AJ576" s="56">
        <f>(AG576*'Currency &amp; Conversion'!$L$6)</f>
        <v>954.6156597</v>
      </c>
      <c r="AK576" s="56"/>
      <c r="AL576" s="49">
        <v>0.015</v>
      </c>
      <c r="AM576" s="49">
        <f t="array" ref="AM576">XLOOKUP($AI576,Warranty!B:B,Warranty!E:E)</f>
        <v>0.015</v>
      </c>
      <c r="AN576" s="8">
        <f>IF($L576="AUD",VLOOKUP(RIGHT('Wk - Margins'!$J576,3),'AU Freight'!C:G,5,0),0)</f>
        <v>100</v>
      </c>
      <c r="AO576" s="49">
        <f t="shared" si="11"/>
        <v>0</v>
      </c>
      <c r="AP576" s="63">
        <f t="shared" si="12"/>
        <v>1083.25413</v>
      </c>
      <c r="AQ576" s="58">
        <f t="shared" si="13"/>
        <v>0.3672581019</v>
      </c>
      <c r="AR576" s="59">
        <f>IF(L576="AUD",O576*'Currency &amp; Conversion'!$L$7,'Wk - Margins'!O576)</f>
        <v>1436.967022</v>
      </c>
      <c r="AS576" s="59">
        <f>IF(L576="AUD",P576*'Currency &amp; Conversion'!$L$7,'Wk - Margins'!P576)</f>
        <v>1149.573618</v>
      </c>
    </row>
    <row r="577" ht="12.75" hidden="1" customHeight="1">
      <c r="A577" s="42" t="str">
        <f>'Input - Bookings'!A577</f>
        <v>28/06/2023</v>
      </c>
      <c r="B577" s="43" t="str">
        <f t="shared" si="1"/>
        <v>Australia</v>
      </c>
      <c r="C577" s="43" t="str">
        <f t="shared" si="2"/>
        <v>PAU</v>
      </c>
      <c r="D577" s="43" t="str">
        <f>'Input - Bookings'!D577</f>
        <v>P</v>
      </c>
      <c r="E577" s="43" t="str">
        <f>'Input - Bookings'!J577</f>
        <v>AU</v>
      </c>
      <c r="F577" s="44" t="str">
        <f>'Input - Bookings'!F577</f>
        <v>065</v>
      </c>
      <c r="G577" s="44" t="str">
        <f>'Input - Bookings'!I577</f>
        <v>UNALLOCATED - HYSTER AUS</v>
      </c>
      <c r="H577" s="45" t="str">
        <f>'Input - Bookings'!K577</f>
        <v>H40033</v>
      </c>
      <c r="I577" s="45" t="str">
        <f>VLOOKUP(H577,'Input - Bookings'!$G$2:$H$611,2,0)</f>
        <v>999000</v>
      </c>
      <c r="J577" s="44" t="str">
        <f>'Input - Bookings'!N577</f>
        <v>A6W9</v>
      </c>
      <c r="K577" s="44" t="str">
        <f>'Input - Bookings'!O577</f>
        <v>PC1.5</v>
      </c>
      <c r="L577" s="44" t="str">
        <f>'Input - Bookings'!C577</f>
        <v>AUD</v>
      </c>
      <c r="M577" s="46" t="str">
        <f t="array" ref="M577">IF(L577="USD",INDEX('AP Plants'!A:A,MATCH(J577,'AP Plants'!D:D,0)),INDEX('Australia Plants'!A:A,MATCH(J577,'Australia Plants'!D:D,0)))</f>
        <v>Staxx</v>
      </c>
      <c r="N577" s="10">
        <v>1.0</v>
      </c>
      <c r="O577" s="9">
        <v>2140.0</v>
      </c>
      <c r="P577" s="9">
        <v>1712.0</v>
      </c>
      <c r="Q577" s="47">
        <v>0.36725810191223773</v>
      </c>
      <c r="R577" s="48">
        <f t="shared" si="3"/>
        <v>0.2</v>
      </c>
      <c r="S577" s="49">
        <f t="shared" si="4"/>
        <v>0</v>
      </c>
      <c r="T577" s="49">
        <f t="shared" si="21"/>
        <v>0.3672581019</v>
      </c>
      <c r="U577" s="50" t="str">
        <f t="shared" si="6"/>
        <v>AOP</v>
      </c>
      <c r="V577" s="51">
        <f t="shared" si="28"/>
        <v>628.7458705</v>
      </c>
      <c r="W577" s="52" t="str">
        <f t="shared" si="8"/>
        <v>#DIV/0!</v>
      </c>
      <c r="X577" s="9" t="str">
        <f t="shared" si="25"/>
        <v>#DIV/0!</v>
      </c>
      <c r="Y577" s="8"/>
      <c r="Z577" s="8"/>
      <c r="AA577" s="8"/>
      <c r="AB577" s="8" t="str">
        <f t="shared" si="10"/>
        <v>PAUH40033PC1.5</v>
      </c>
      <c r="AC577" s="8" t="str">
        <f>IF(AB577='Input - Bookings'!S810,"OK","Check")</f>
        <v>Check</v>
      </c>
      <c r="AD577" s="53"/>
      <c r="AE577" s="65"/>
      <c r="AF577" s="65"/>
      <c r="AG577" s="55">
        <f t="shared" si="49"/>
        <v>641.0258258</v>
      </c>
      <c r="AH577" s="62"/>
      <c r="AI577" s="8" t="str">
        <f t="array" ref="AI577">XLOOKUP($J577,'AP Plants'!D:D,'AP Plants'!B:B)</f>
        <v>Class 3</v>
      </c>
      <c r="AJ577" s="56">
        <f>(AG577*'Currency &amp; Conversion'!$L$6)</f>
        <v>954.6156597</v>
      </c>
      <c r="AK577" s="56"/>
      <c r="AL577" s="49">
        <v>0.015</v>
      </c>
      <c r="AM577" s="49">
        <f t="array" ref="AM577">XLOOKUP($AI577,Warranty!B:B,Warranty!E:E)</f>
        <v>0.015</v>
      </c>
      <c r="AN577" s="8">
        <f>IF($L577="AUD",VLOOKUP(RIGHT('Wk - Margins'!$J577,3),'AU Freight'!C:G,5,0),0)</f>
        <v>100</v>
      </c>
      <c r="AO577" s="49">
        <f t="shared" si="11"/>
        <v>0</v>
      </c>
      <c r="AP577" s="63">
        <f t="shared" si="12"/>
        <v>1083.25413</v>
      </c>
      <c r="AQ577" s="58">
        <f t="shared" si="13"/>
        <v>0.3672581019</v>
      </c>
      <c r="AR577" s="59">
        <f>IF(L577="AUD",O577*'Currency &amp; Conversion'!$L$7,'Wk - Margins'!O577)</f>
        <v>1436.967022</v>
      </c>
      <c r="AS577" s="59">
        <f>IF(L577="AUD",P577*'Currency &amp; Conversion'!$L$7,'Wk - Margins'!P577)</f>
        <v>1149.573618</v>
      </c>
    </row>
    <row r="578" ht="12.75" hidden="1" customHeight="1">
      <c r="A578" s="42" t="str">
        <f>'Input - Bookings'!A578</f>
        <v>28/06/2023</v>
      </c>
      <c r="B578" s="43" t="str">
        <f t="shared" si="1"/>
        <v>Australia</v>
      </c>
      <c r="C578" s="43" t="str">
        <f t="shared" si="2"/>
        <v>PAU</v>
      </c>
      <c r="D578" s="43" t="str">
        <f>'Input - Bookings'!D578</f>
        <v>P</v>
      </c>
      <c r="E578" s="43" t="str">
        <f>'Input - Bookings'!J578</f>
        <v>AU</v>
      </c>
      <c r="F578" s="44" t="str">
        <f>'Input - Bookings'!F578</f>
        <v>065</v>
      </c>
      <c r="G578" s="44" t="str">
        <f>'Input - Bookings'!I578</f>
        <v>UNALLOCATED - HYSTER AUS</v>
      </c>
      <c r="H578" s="45" t="str">
        <f>'Input - Bookings'!K578</f>
        <v>H40034</v>
      </c>
      <c r="I578" s="45" t="str">
        <f>VLOOKUP(H578,'Input - Bookings'!$G$2:$H$611,2,0)</f>
        <v>999000</v>
      </c>
      <c r="J578" s="44" t="str">
        <f>'Input - Bookings'!N578</f>
        <v>A6W9</v>
      </c>
      <c r="K578" s="44" t="str">
        <f>'Input - Bookings'!O578</f>
        <v>PC1.5</v>
      </c>
      <c r="L578" s="44" t="str">
        <f>'Input - Bookings'!C578</f>
        <v>AUD</v>
      </c>
      <c r="M578" s="46" t="str">
        <f t="array" ref="M578">IF(L578="USD",INDEX('AP Plants'!A:A,MATCH(J578,'AP Plants'!D:D,0)),INDEX('Australia Plants'!A:A,MATCH(J578,'Australia Plants'!D:D,0)))</f>
        <v>Staxx</v>
      </c>
      <c r="N578" s="10">
        <v>1.0</v>
      </c>
      <c r="O578" s="9">
        <v>2140.0</v>
      </c>
      <c r="P578" s="9">
        <v>1712.0</v>
      </c>
      <c r="Q578" s="47">
        <v>0.36725810191223773</v>
      </c>
      <c r="R578" s="48">
        <f t="shared" si="3"/>
        <v>0.2</v>
      </c>
      <c r="S578" s="49">
        <f t="shared" si="4"/>
        <v>0</v>
      </c>
      <c r="T578" s="49">
        <f t="shared" si="21"/>
        <v>0.3672581019</v>
      </c>
      <c r="U578" s="50" t="str">
        <f t="shared" si="6"/>
        <v>AOP</v>
      </c>
      <c r="V578" s="51">
        <f t="shared" si="28"/>
        <v>628.7458705</v>
      </c>
      <c r="W578" s="52" t="str">
        <f t="shared" si="8"/>
        <v>#DIV/0!</v>
      </c>
      <c r="X578" s="9" t="str">
        <f t="shared" si="25"/>
        <v>#DIV/0!</v>
      </c>
      <c r="Y578" s="8"/>
      <c r="Z578" s="8"/>
      <c r="AA578" s="8"/>
      <c r="AB578" s="8" t="str">
        <f t="shared" si="10"/>
        <v>PAUH40034PC1.5</v>
      </c>
      <c r="AC578" s="8" t="str">
        <f>IF(AB578='Input - Bookings'!S811,"OK","Check")</f>
        <v>Check</v>
      </c>
      <c r="AD578" s="53"/>
      <c r="AE578" s="65"/>
      <c r="AF578" s="65"/>
      <c r="AG578" s="55">
        <f t="shared" si="49"/>
        <v>641.0258258</v>
      </c>
      <c r="AH578" s="62"/>
      <c r="AI578" s="8" t="str">
        <f t="array" ref="AI578">XLOOKUP($J578,'AP Plants'!D:D,'AP Plants'!B:B)</f>
        <v>Class 3</v>
      </c>
      <c r="AJ578" s="56">
        <f>(AG578*'Currency &amp; Conversion'!$L$6)</f>
        <v>954.6156597</v>
      </c>
      <c r="AK578" s="56"/>
      <c r="AL578" s="49">
        <v>0.015</v>
      </c>
      <c r="AM578" s="49">
        <f t="array" ref="AM578">XLOOKUP($AI578,Warranty!B:B,Warranty!E:E)</f>
        <v>0.015</v>
      </c>
      <c r="AN578" s="8">
        <f>IF($L578="AUD",VLOOKUP(RIGHT('Wk - Margins'!$J578,3),'AU Freight'!C:G,5,0),0)</f>
        <v>100</v>
      </c>
      <c r="AO578" s="49">
        <f t="shared" si="11"/>
        <v>0</v>
      </c>
      <c r="AP578" s="63">
        <f t="shared" si="12"/>
        <v>1083.25413</v>
      </c>
      <c r="AQ578" s="58">
        <f t="shared" si="13"/>
        <v>0.3672581019</v>
      </c>
      <c r="AR578" s="59">
        <f>IF(L578="AUD",O578*'Currency &amp; Conversion'!$L$7,'Wk - Margins'!O578)</f>
        <v>1436.967022</v>
      </c>
      <c r="AS578" s="59">
        <f>IF(L578="AUD",P578*'Currency &amp; Conversion'!$L$7,'Wk - Margins'!P578)</f>
        <v>1149.573618</v>
      </c>
    </row>
    <row r="579" ht="12.75" hidden="1" customHeight="1">
      <c r="A579" s="42" t="str">
        <f>'Input - Bookings'!A579</f>
        <v>28/06/2023</v>
      </c>
      <c r="B579" s="43" t="str">
        <f t="shared" si="1"/>
        <v>Australia</v>
      </c>
      <c r="C579" s="43" t="str">
        <f t="shared" si="2"/>
        <v>PAU</v>
      </c>
      <c r="D579" s="43" t="str">
        <f>'Input - Bookings'!D579</f>
        <v>P</v>
      </c>
      <c r="E579" s="43" t="str">
        <f>'Input - Bookings'!J579</f>
        <v>AU</v>
      </c>
      <c r="F579" s="44" t="str">
        <f>'Input - Bookings'!F579</f>
        <v>065</v>
      </c>
      <c r="G579" s="44" t="str">
        <f>'Input - Bookings'!I579</f>
        <v>UNALLOCATED - HYSTER AUS</v>
      </c>
      <c r="H579" s="45" t="str">
        <f>'Input - Bookings'!K579</f>
        <v>H40035</v>
      </c>
      <c r="I579" s="45" t="str">
        <f>VLOOKUP(H579,'Input - Bookings'!$G$2:$H$611,2,0)</f>
        <v>999000</v>
      </c>
      <c r="J579" s="44" t="str">
        <f>'Input - Bookings'!N579</f>
        <v>A6W9</v>
      </c>
      <c r="K579" s="44" t="str">
        <f>'Input - Bookings'!O579</f>
        <v>PC1.5</v>
      </c>
      <c r="L579" s="44" t="str">
        <f>'Input - Bookings'!C579</f>
        <v>AUD</v>
      </c>
      <c r="M579" s="46" t="str">
        <f t="array" ref="M579">IF(L579="USD",INDEX('AP Plants'!A:A,MATCH(J579,'AP Plants'!D:D,0)),INDEX('Australia Plants'!A:A,MATCH(J579,'Australia Plants'!D:D,0)))</f>
        <v>Staxx</v>
      </c>
      <c r="N579" s="10">
        <v>1.0</v>
      </c>
      <c r="O579" s="9">
        <v>2140.0</v>
      </c>
      <c r="P579" s="9">
        <v>1712.0</v>
      </c>
      <c r="Q579" s="47">
        <v>0.36725810191223773</v>
      </c>
      <c r="R579" s="48">
        <f t="shared" si="3"/>
        <v>0.2</v>
      </c>
      <c r="S579" s="49">
        <f t="shared" si="4"/>
        <v>0</v>
      </c>
      <c r="T579" s="49">
        <f t="shared" si="21"/>
        <v>0.3672581019</v>
      </c>
      <c r="U579" s="50" t="str">
        <f t="shared" si="6"/>
        <v>AOP</v>
      </c>
      <c r="V579" s="51">
        <f t="shared" si="28"/>
        <v>628.7458705</v>
      </c>
      <c r="W579" s="52" t="str">
        <f t="shared" si="8"/>
        <v>#DIV/0!</v>
      </c>
      <c r="X579" s="9" t="str">
        <f t="shared" si="25"/>
        <v>#DIV/0!</v>
      </c>
      <c r="Y579" s="8"/>
      <c r="Z579" s="8"/>
      <c r="AA579" s="8"/>
      <c r="AB579" s="8" t="str">
        <f t="shared" si="10"/>
        <v>PAUH40035PC1.5</v>
      </c>
      <c r="AC579" s="8" t="str">
        <f>IF(AB579='Input - Bookings'!S812,"OK","Check")</f>
        <v>Check</v>
      </c>
      <c r="AD579" s="53"/>
      <c r="AE579" s="65"/>
      <c r="AF579" s="65"/>
      <c r="AG579" s="55">
        <f t="shared" si="49"/>
        <v>641.0258258</v>
      </c>
      <c r="AH579" s="62"/>
      <c r="AI579" s="8" t="str">
        <f t="array" ref="AI579">XLOOKUP($J579,'AP Plants'!D:D,'AP Plants'!B:B)</f>
        <v>Class 3</v>
      </c>
      <c r="AJ579" s="56">
        <f>(AG579*'Currency &amp; Conversion'!$L$6)</f>
        <v>954.6156597</v>
      </c>
      <c r="AK579" s="56"/>
      <c r="AL579" s="49">
        <v>0.015</v>
      </c>
      <c r="AM579" s="49">
        <f t="array" ref="AM579">XLOOKUP($AI579,Warranty!B:B,Warranty!E:E)</f>
        <v>0.015</v>
      </c>
      <c r="AN579" s="8">
        <f>IF($L579="AUD",VLOOKUP(RIGHT('Wk - Margins'!$J579,3),'AU Freight'!C:G,5,0),0)</f>
        <v>100</v>
      </c>
      <c r="AO579" s="49">
        <f t="shared" si="11"/>
        <v>0</v>
      </c>
      <c r="AP579" s="63">
        <f t="shared" si="12"/>
        <v>1083.25413</v>
      </c>
      <c r="AQ579" s="58">
        <f t="shared" si="13"/>
        <v>0.3672581019</v>
      </c>
      <c r="AR579" s="59">
        <f>IF(L579="AUD",O579*'Currency &amp; Conversion'!$L$7,'Wk - Margins'!O579)</f>
        <v>1436.967022</v>
      </c>
      <c r="AS579" s="59">
        <f>IF(L579="AUD",P579*'Currency &amp; Conversion'!$L$7,'Wk - Margins'!P579)</f>
        <v>1149.573618</v>
      </c>
    </row>
    <row r="580" ht="12.75" hidden="1" customHeight="1">
      <c r="A580" s="42" t="str">
        <f>'Input - Bookings'!A580</f>
        <v>28/06/2023</v>
      </c>
      <c r="B580" s="43" t="str">
        <f t="shared" si="1"/>
        <v>Australia</v>
      </c>
      <c r="C580" s="43" t="str">
        <f t="shared" si="2"/>
        <v>PAU</v>
      </c>
      <c r="D580" s="43" t="str">
        <f>'Input - Bookings'!D580</f>
        <v>P</v>
      </c>
      <c r="E580" s="43" t="str">
        <f>'Input - Bookings'!J580</f>
        <v>AU</v>
      </c>
      <c r="F580" s="44" t="str">
        <f>'Input - Bookings'!F580</f>
        <v>065</v>
      </c>
      <c r="G580" s="44" t="str">
        <f>'Input - Bookings'!I580</f>
        <v>UNALLOCATED - HYSTER AUS</v>
      </c>
      <c r="H580" s="45" t="str">
        <f>'Input - Bookings'!K580</f>
        <v>H40036</v>
      </c>
      <c r="I580" s="45" t="str">
        <f>VLOOKUP(H580,'Input - Bookings'!$G$2:$H$611,2,0)</f>
        <v>999000</v>
      </c>
      <c r="J580" s="44" t="str">
        <f>'Input - Bookings'!N580</f>
        <v>A6W9</v>
      </c>
      <c r="K580" s="44" t="str">
        <f>'Input - Bookings'!O580</f>
        <v>PC1.5</v>
      </c>
      <c r="L580" s="44" t="str">
        <f>'Input - Bookings'!C580</f>
        <v>AUD</v>
      </c>
      <c r="M580" s="46" t="str">
        <f t="array" ref="M580">IF(L580="USD",INDEX('AP Plants'!A:A,MATCH(J580,'AP Plants'!D:D,0)),INDEX('Australia Plants'!A:A,MATCH(J580,'Australia Plants'!D:D,0)))</f>
        <v>Staxx</v>
      </c>
      <c r="N580" s="10">
        <v>1.0</v>
      </c>
      <c r="O580" s="9">
        <v>2140.0</v>
      </c>
      <c r="P580" s="9">
        <v>1712.0</v>
      </c>
      <c r="Q580" s="47">
        <v>0.36725810191223773</v>
      </c>
      <c r="R580" s="48">
        <f t="shared" si="3"/>
        <v>0.2</v>
      </c>
      <c r="S580" s="49">
        <f t="shared" si="4"/>
        <v>0</v>
      </c>
      <c r="T580" s="49">
        <f t="shared" si="21"/>
        <v>0.3672581019</v>
      </c>
      <c r="U580" s="50" t="str">
        <f t="shared" si="6"/>
        <v>AOP</v>
      </c>
      <c r="V580" s="51">
        <f t="shared" si="28"/>
        <v>628.7458705</v>
      </c>
      <c r="W580" s="52" t="str">
        <f t="shared" si="8"/>
        <v>#DIV/0!</v>
      </c>
      <c r="X580" s="9" t="str">
        <f t="shared" si="25"/>
        <v>#DIV/0!</v>
      </c>
      <c r="Y580" s="8"/>
      <c r="Z580" s="8"/>
      <c r="AA580" s="8"/>
      <c r="AB580" s="8" t="str">
        <f t="shared" si="10"/>
        <v>PAUH40036PC1.5</v>
      </c>
      <c r="AC580" s="8" t="str">
        <f>IF(AB580='Input - Bookings'!S813,"OK","Check")</f>
        <v>Check</v>
      </c>
      <c r="AD580" s="53"/>
      <c r="AE580" s="65"/>
      <c r="AF580" s="65"/>
      <c r="AG580" s="55">
        <f t="shared" si="49"/>
        <v>641.0258258</v>
      </c>
      <c r="AH580" s="62"/>
      <c r="AI580" s="8" t="str">
        <f t="array" ref="AI580">XLOOKUP($J580,'AP Plants'!D:D,'AP Plants'!B:B)</f>
        <v>Class 3</v>
      </c>
      <c r="AJ580" s="56">
        <f>(AG580*'Currency &amp; Conversion'!$L$6)</f>
        <v>954.6156597</v>
      </c>
      <c r="AK580" s="56"/>
      <c r="AL580" s="49">
        <v>0.015</v>
      </c>
      <c r="AM580" s="49">
        <f t="array" ref="AM580">XLOOKUP($AI580,Warranty!B:B,Warranty!E:E)</f>
        <v>0.015</v>
      </c>
      <c r="AN580" s="8">
        <f>IF($L580="AUD",VLOOKUP(RIGHT('Wk - Margins'!$J580,3),'AU Freight'!C:G,5,0),0)</f>
        <v>100</v>
      </c>
      <c r="AO580" s="49">
        <f t="shared" si="11"/>
        <v>0</v>
      </c>
      <c r="AP580" s="63">
        <f t="shared" si="12"/>
        <v>1083.25413</v>
      </c>
      <c r="AQ580" s="58">
        <f t="shared" si="13"/>
        <v>0.3672581019</v>
      </c>
      <c r="AR580" s="59">
        <f>IF(L580="AUD",O580*'Currency &amp; Conversion'!$L$7,'Wk - Margins'!O580)</f>
        <v>1436.967022</v>
      </c>
      <c r="AS580" s="59">
        <f>IF(L580="AUD",P580*'Currency &amp; Conversion'!$L$7,'Wk - Margins'!P580)</f>
        <v>1149.573618</v>
      </c>
    </row>
    <row r="581" ht="12.75" hidden="1" customHeight="1">
      <c r="A581" s="42" t="str">
        <f>'Input - Bookings'!A581</f>
        <v>28/06/2023</v>
      </c>
      <c r="B581" s="43" t="str">
        <f t="shared" si="1"/>
        <v>Australia</v>
      </c>
      <c r="C581" s="43" t="str">
        <f t="shared" si="2"/>
        <v>PAU</v>
      </c>
      <c r="D581" s="43" t="str">
        <f>'Input - Bookings'!D581</f>
        <v>P</v>
      </c>
      <c r="E581" s="43" t="str">
        <f>'Input - Bookings'!J581</f>
        <v>AU</v>
      </c>
      <c r="F581" s="44" t="str">
        <f>'Input - Bookings'!F581</f>
        <v>065</v>
      </c>
      <c r="G581" s="44" t="str">
        <f>'Input - Bookings'!I581</f>
        <v>UNALLOCATED - HYSTER AUS</v>
      </c>
      <c r="H581" s="45" t="str">
        <f>'Input - Bookings'!K581</f>
        <v>H40010</v>
      </c>
      <c r="I581" s="45" t="str">
        <f>VLOOKUP(H581,'Input - Bookings'!$G$2:$H$611,2,0)</f>
        <v>999000</v>
      </c>
      <c r="J581" s="44" t="str">
        <f>'Input - Bookings'!N581</f>
        <v>A6W9</v>
      </c>
      <c r="K581" s="44" t="str">
        <f>'Input - Bookings'!O581</f>
        <v>PC1.5</v>
      </c>
      <c r="L581" s="44" t="str">
        <f>'Input - Bookings'!C581</f>
        <v>AUD</v>
      </c>
      <c r="M581" s="46" t="str">
        <f t="array" ref="M581">IF(L581="USD",INDEX('AP Plants'!A:A,MATCH(J581,'AP Plants'!D:D,0)),INDEX('Australia Plants'!A:A,MATCH(J581,'Australia Plants'!D:D,0)))</f>
        <v>Staxx</v>
      </c>
      <c r="N581" s="10">
        <v>1.0</v>
      </c>
      <c r="O581" s="9">
        <v>2140.0</v>
      </c>
      <c r="P581" s="9">
        <v>1712.0</v>
      </c>
      <c r="Q581" s="47">
        <v>0.36725810191223773</v>
      </c>
      <c r="R581" s="48">
        <f t="shared" si="3"/>
        <v>0.2</v>
      </c>
      <c r="S581" s="49">
        <f t="shared" si="4"/>
        <v>0</v>
      </c>
      <c r="T581" s="49">
        <f t="shared" si="21"/>
        <v>0.3672581019</v>
      </c>
      <c r="U581" s="50" t="str">
        <f t="shared" si="6"/>
        <v>AOP</v>
      </c>
      <c r="V581" s="51">
        <f t="shared" si="28"/>
        <v>628.7458705</v>
      </c>
      <c r="W581" s="52" t="str">
        <f t="shared" si="8"/>
        <v>#DIV/0!</v>
      </c>
      <c r="X581" s="9" t="str">
        <f t="shared" si="25"/>
        <v>#DIV/0!</v>
      </c>
      <c r="Y581" s="8"/>
      <c r="Z581" s="8"/>
      <c r="AA581" s="8"/>
      <c r="AB581" s="8" t="str">
        <f t="shared" si="10"/>
        <v>PAUH40010PC1.5</v>
      </c>
      <c r="AC581" s="8" t="str">
        <f>IF(AB581='Input - Bookings'!S814,"OK","Check")</f>
        <v>Check</v>
      </c>
      <c r="AD581" s="53"/>
      <c r="AE581" s="65"/>
      <c r="AF581" s="65"/>
      <c r="AG581" s="55">
        <f t="shared" si="49"/>
        <v>641.0258258</v>
      </c>
      <c r="AH581" s="62"/>
      <c r="AI581" s="8" t="str">
        <f t="array" ref="AI581">XLOOKUP($J581,'AP Plants'!D:D,'AP Plants'!B:B)</f>
        <v>Class 3</v>
      </c>
      <c r="AJ581" s="56">
        <f>(AG581*'Currency &amp; Conversion'!$L$6)</f>
        <v>954.6156597</v>
      </c>
      <c r="AK581" s="56"/>
      <c r="AL581" s="49">
        <v>0.015</v>
      </c>
      <c r="AM581" s="49">
        <f t="array" ref="AM581">XLOOKUP($AI581,Warranty!B:B,Warranty!E:E)</f>
        <v>0.015</v>
      </c>
      <c r="AN581" s="8">
        <f>IF($L581="AUD",VLOOKUP(RIGHT('Wk - Margins'!$J581,3),'AU Freight'!C:G,5,0),0)</f>
        <v>100</v>
      </c>
      <c r="AO581" s="49">
        <f t="shared" si="11"/>
        <v>0</v>
      </c>
      <c r="AP581" s="63">
        <f t="shared" si="12"/>
        <v>1083.25413</v>
      </c>
      <c r="AQ581" s="58">
        <f t="shared" si="13"/>
        <v>0.3672581019</v>
      </c>
      <c r="AR581" s="59">
        <f>IF(L581="AUD",O581*'Currency &amp; Conversion'!$L$7,'Wk - Margins'!O581)</f>
        <v>1436.967022</v>
      </c>
      <c r="AS581" s="59">
        <f>IF(L581="AUD",P581*'Currency &amp; Conversion'!$L$7,'Wk - Margins'!P581)</f>
        <v>1149.573618</v>
      </c>
    </row>
    <row r="582" ht="12.75" hidden="1" customHeight="1">
      <c r="A582" s="42" t="str">
        <f>'Input - Bookings'!A582</f>
        <v>28/06/2023</v>
      </c>
      <c r="B582" s="43" t="str">
        <f t="shared" si="1"/>
        <v>Australia</v>
      </c>
      <c r="C582" s="43" t="str">
        <f t="shared" si="2"/>
        <v>PAU</v>
      </c>
      <c r="D582" s="43" t="str">
        <f>'Input - Bookings'!D582</f>
        <v>P</v>
      </c>
      <c r="E582" s="43" t="str">
        <f>'Input - Bookings'!J582</f>
        <v>AU</v>
      </c>
      <c r="F582" s="44" t="str">
        <f>'Input - Bookings'!F582</f>
        <v>065</v>
      </c>
      <c r="G582" s="44" t="str">
        <f>'Input - Bookings'!I582</f>
        <v>UNALLOCATED - HYSTER AUS</v>
      </c>
      <c r="H582" s="45" t="str">
        <f>'Input - Bookings'!K582</f>
        <v>H40037</v>
      </c>
      <c r="I582" s="45" t="str">
        <f>VLOOKUP(H582,'Input - Bookings'!$G$2:$H$611,2,0)</f>
        <v>999000</v>
      </c>
      <c r="J582" s="44" t="str">
        <f>'Input - Bookings'!N582</f>
        <v>A6W9</v>
      </c>
      <c r="K582" s="44" t="str">
        <f>'Input - Bookings'!O582</f>
        <v>PC1.5</v>
      </c>
      <c r="L582" s="44" t="str">
        <f>'Input - Bookings'!C582</f>
        <v>AUD</v>
      </c>
      <c r="M582" s="46" t="str">
        <f t="array" ref="M582">IF(L582="USD",INDEX('AP Plants'!A:A,MATCH(J582,'AP Plants'!D:D,0)),INDEX('Australia Plants'!A:A,MATCH(J582,'Australia Plants'!D:D,0)))</f>
        <v>Staxx</v>
      </c>
      <c r="N582" s="10">
        <v>1.0</v>
      </c>
      <c r="O582" s="9">
        <v>2140.0</v>
      </c>
      <c r="P582" s="9">
        <v>1712.0</v>
      </c>
      <c r="Q582" s="47">
        <v>0.36725810191223773</v>
      </c>
      <c r="R582" s="48">
        <f t="shared" si="3"/>
        <v>0.2</v>
      </c>
      <c r="S582" s="49">
        <f t="shared" si="4"/>
        <v>0</v>
      </c>
      <c r="T582" s="49">
        <f t="shared" si="21"/>
        <v>0.3672581019</v>
      </c>
      <c r="U582" s="50" t="str">
        <f t="shared" si="6"/>
        <v>AOP</v>
      </c>
      <c r="V582" s="51">
        <f t="shared" si="28"/>
        <v>628.7458705</v>
      </c>
      <c r="W582" s="52" t="str">
        <f t="shared" si="8"/>
        <v>#DIV/0!</v>
      </c>
      <c r="X582" s="9" t="str">
        <f t="shared" si="25"/>
        <v>#DIV/0!</v>
      </c>
      <c r="Y582" s="8"/>
      <c r="Z582" s="8"/>
      <c r="AA582" s="8"/>
      <c r="AB582" s="8" t="str">
        <f t="shared" si="10"/>
        <v>PAUH40037PC1.5</v>
      </c>
      <c r="AC582" s="8" t="str">
        <f>IF(AB582='Input - Bookings'!S815,"OK","Check")</f>
        <v>Check</v>
      </c>
      <c r="AD582" s="53"/>
      <c r="AE582" s="65"/>
      <c r="AF582" s="65"/>
      <c r="AG582" s="55">
        <f t="shared" si="49"/>
        <v>641.0258258</v>
      </c>
      <c r="AH582" s="62"/>
      <c r="AI582" s="8" t="str">
        <f t="array" ref="AI582">XLOOKUP($J582,'AP Plants'!D:D,'AP Plants'!B:B)</f>
        <v>Class 3</v>
      </c>
      <c r="AJ582" s="56">
        <f>(AG582*'Currency &amp; Conversion'!$L$6)</f>
        <v>954.6156597</v>
      </c>
      <c r="AK582" s="56"/>
      <c r="AL582" s="49">
        <v>0.015</v>
      </c>
      <c r="AM582" s="49">
        <f t="array" ref="AM582">XLOOKUP($AI582,Warranty!B:B,Warranty!E:E)</f>
        <v>0.015</v>
      </c>
      <c r="AN582" s="8">
        <f>IF($L582="AUD",VLOOKUP(RIGHT('Wk - Margins'!$J582,3),'AU Freight'!C:G,5,0),0)</f>
        <v>100</v>
      </c>
      <c r="AO582" s="49">
        <f t="shared" si="11"/>
        <v>0</v>
      </c>
      <c r="AP582" s="63">
        <f t="shared" si="12"/>
        <v>1083.25413</v>
      </c>
      <c r="AQ582" s="58">
        <f t="shared" si="13"/>
        <v>0.3672581019</v>
      </c>
      <c r="AR582" s="59">
        <f>IF(L582="AUD",O582*'Currency &amp; Conversion'!$L$7,'Wk - Margins'!O582)</f>
        <v>1436.967022</v>
      </c>
      <c r="AS582" s="59">
        <f>IF(L582="AUD",P582*'Currency &amp; Conversion'!$L$7,'Wk - Margins'!P582)</f>
        <v>1149.573618</v>
      </c>
    </row>
    <row r="583" ht="12.75" hidden="1" customHeight="1">
      <c r="A583" s="42" t="str">
        <f>'Input - Bookings'!A583</f>
        <v>28/06/2023</v>
      </c>
      <c r="B583" s="43" t="str">
        <f t="shared" si="1"/>
        <v>Australia</v>
      </c>
      <c r="C583" s="43" t="str">
        <f t="shared" si="2"/>
        <v>PAU</v>
      </c>
      <c r="D583" s="43" t="str">
        <f>'Input - Bookings'!D583</f>
        <v>P</v>
      </c>
      <c r="E583" s="43" t="str">
        <f>'Input - Bookings'!J583</f>
        <v>AU</v>
      </c>
      <c r="F583" s="44" t="str">
        <f>'Input - Bookings'!F583</f>
        <v>065</v>
      </c>
      <c r="G583" s="44" t="str">
        <f>'Input - Bookings'!I583</f>
        <v>UNALLOCATED - HYSTER AUS</v>
      </c>
      <c r="H583" s="45" t="str">
        <f>'Input - Bookings'!K583</f>
        <v>H40038</v>
      </c>
      <c r="I583" s="45" t="str">
        <f>VLOOKUP(H583,'Input - Bookings'!$G$2:$H$611,2,0)</f>
        <v>999000</v>
      </c>
      <c r="J583" s="44" t="str">
        <f>'Input - Bookings'!N583</f>
        <v>A6W9</v>
      </c>
      <c r="K583" s="44" t="str">
        <f>'Input - Bookings'!O583</f>
        <v>PC1.5</v>
      </c>
      <c r="L583" s="44" t="str">
        <f>'Input - Bookings'!C583</f>
        <v>AUD</v>
      </c>
      <c r="M583" s="46" t="str">
        <f t="array" ref="M583">IF(L583="USD",INDEX('AP Plants'!A:A,MATCH(J583,'AP Plants'!D:D,0)),INDEX('Australia Plants'!A:A,MATCH(J583,'Australia Plants'!D:D,0)))</f>
        <v>Staxx</v>
      </c>
      <c r="N583" s="10">
        <v>1.0</v>
      </c>
      <c r="O583" s="9">
        <v>2140.0</v>
      </c>
      <c r="P583" s="9">
        <v>1712.0</v>
      </c>
      <c r="Q583" s="47">
        <v>0.36725810191223773</v>
      </c>
      <c r="R583" s="48">
        <f t="shared" si="3"/>
        <v>0.2</v>
      </c>
      <c r="S583" s="49">
        <f t="shared" si="4"/>
        <v>0</v>
      </c>
      <c r="T583" s="49">
        <f t="shared" si="21"/>
        <v>0.3672581019</v>
      </c>
      <c r="U583" s="50" t="str">
        <f t="shared" si="6"/>
        <v>AOP</v>
      </c>
      <c r="V583" s="51">
        <f t="shared" si="28"/>
        <v>628.7458705</v>
      </c>
      <c r="W583" s="52" t="str">
        <f t="shared" si="8"/>
        <v>#DIV/0!</v>
      </c>
      <c r="X583" s="9" t="str">
        <f t="shared" si="25"/>
        <v>#DIV/0!</v>
      </c>
      <c r="Y583" s="8"/>
      <c r="Z583" s="8"/>
      <c r="AA583" s="8"/>
      <c r="AB583" s="8" t="str">
        <f t="shared" si="10"/>
        <v>PAUH40038PC1.5</v>
      </c>
      <c r="AC583" s="8" t="str">
        <f>IF(AB583='Input - Bookings'!S816,"OK","Check")</f>
        <v>Check</v>
      </c>
      <c r="AD583" s="53"/>
      <c r="AE583" s="65"/>
      <c r="AF583" s="65"/>
      <c r="AG583" s="55">
        <f t="shared" si="49"/>
        <v>641.0258258</v>
      </c>
      <c r="AH583" s="62"/>
      <c r="AI583" s="8" t="str">
        <f t="array" ref="AI583">XLOOKUP($J583,'AP Plants'!D:D,'AP Plants'!B:B)</f>
        <v>Class 3</v>
      </c>
      <c r="AJ583" s="56">
        <f>(AG583*'Currency &amp; Conversion'!$L$6)</f>
        <v>954.6156597</v>
      </c>
      <c r="AK583" s="56"/>
      <c r="AL583" s="49">
        <v>0.015</v>
      </c>
      <c r="AM583" s="49">
        <f t="array" ref="AM583">XLOOKUP($AI583,Warranty!B:B,Warranty!E:E)</f>
        <v>0.015</v>
      </c>
      <c r="AN583" s="8">
        <f>IF($L583="AUD",VLOOKUP(RIGHT('Wk - Margins'!$J583,3),'AU Freight'!C:G,5,0),0)</f>
        <v>100</v>
      </c>
      <c r="AO583" s="49">
        <f t="shared" si="11"/>
        <v>0</v>
      </c>
      <c r="AP583" s="63">
        <f t="shared" si="12"/>
        <v>1083.25413</v>
      </c>
      <c r="AQ583" s="58">
        <f t="shared" si="13"/>
        <v>0.3672581019</v>
      </c>
      <c r="AR583" s="59">
        <f>IF(L583="AUD",O583*'Currency &amp; Conversion'!$L$7,'Wk - Margins'!O583)</f>
        <v>1436.967022</v>
      </c>
      <c r="AS583" s="59">
        <f>IF(L583="AUD",P583*'Currency &amp; Conversion'!$L$7,'Wk - Margins'!P583)</f>
        <v>1149.573618</v>
      </c>
    </row>
    <row r="584" ht="12.75" hidden="1" customHeight="1">
      <c r="A584" s="42" t="str">
        <f>'Input - Bookings'!A584</f>
        <v>28/06/2023</v>
      </c>
      <c r="B584" s="43" t="str">
        <f t="shared" si="1"/>
        <v>Australia</v>
      </c>
      <c r="C584" s="43" t="str">
        <f t="shared" si="2"/>
        <v>PAU</v>
      </c>
      <c r="D584" s="43" t="str">
        <f>'Input - Bookings'!D584</f>
        <v>P</v>
      </c>
      <c r="E584" s="43" t="str">
        <f>'Input - Bookings'!J584</f>
        <v>AU</v>
      </c>
      <c r="F584" s="44" t="str">
        <f>'Input - Bookings'!F584</f>
        <v>065</v>
      </c>
      <c r="G584" s="44" t="str">
        <f>'Input - Bookings'!I584</f>
        <v>UNALLOCATED - HYSTER AUS</v>
      </c>
      <c r="H584" s="45" t="str">
        <f>'Input - Bookings'!K584</f>
        <v>H40039</v>
      </c>
      <c r="I584" s="45" t="str">
        <f>VLOOKUP(H584,'Input - Bookings'!$G$2:$H$611,2,0)</f>
        <v>999000</v>
      </c>
      <c r="J584" s="44" t="str">
        <f>'Input - Bookings'!N584</f>
        <v>A6W9</v>
      </c>
      <c r="K584" s="44" t="str">
        <f>'Input - Bookings'!O584</f>
        <v>PC1.5</v>
      </c>
      <c r="L584" s="44" t="str">
        <f>'Input - Bookings'!C584</f>
        <v>AUD</v>
      </c>
      <c r="M584" s="46" t="str">
        <f t="array" ref="M584">IF(L584="USD",INDEX('AP Plants'!A:A,MATCH(J584,'AP Plants'!D:D,0)),INDEX('Australia Plants'!A:A,MATCH(J584,'Australia Plants'!D:D,0)))</f>
        <v>Staxx</v>
      </c>
      <c r="N584" s="10">
        <v>1.0</v>
      </c>
      <c r="O584" s="9">
        <v>2140.0</v>
      </c>
      <c r="P584" s="9">
        <v>1712.0</v>
      </c>
      <c r="Q584" s="47">
        <v>0.36725810191223773</v>
      </c>
      <c r="R584" s="48">
        <f t="shared" si="3"/>
        <v>0.2</v>
      </c>
      <c r="S584" s="49">
        <f t="shared" si="4"/>
        <v>0</v>
      </c>
      <c r="T584" s="49">
        <f t="shared" si="21"/>
        <v>0.3672581019</v>
      </c>
      <c r="U584" s="50" t="str">
        <f t="shared" si="6"/>
        <v>AOP</v>
      </c>
      <c r="V584" s="51">
        <f t="shared" si="28"/>
        <v>628.7458705</v>
      </c>
      <c r="W584" s="52" t="str">
        <f t="shared" si="8"/>
        <v>#DIV/0!</v>
      </c>
      <c r="X584" s="9" t="str">
        <f t="shared" si="25"/>
        <v>#DIV/0!</v>
      </c>
      <c r="Y584" s="8"/>
      <c r="Z584" s="8"/>
      <c r="AA584" s="8"/>
      <c r="AB584" s="8" t="str">
        <f t="shared" si="10"/>
        <v>PAUH40039PC1.5</v>
      </c>
      <c r="AC584" s="8" t="str">
        <f>IF(AB584='Input - Bookings'!S817,"OK","Check")</f>
        <v>Check</v>
      </c>
      <c r="AD584" s="53"/>
      <c r="AE584" s="65"/>
      <c r="AF584" s="65"/>
      <c r="AG584" s="55">
        <f t="shared" si="49"/>
        <v>641.0258258</v>
      </c>
      <c r="AH584" s="62"/>
      <c r="AI584" s="8" t="str">
        <f t="array" ref="AI584">XLOOKUP($J584,'AP Plants'!D:D,'AP Plants'!B:B)</f>
        <v>Class 3</v>
      </c>
      <c r="AJ584" s="56">
        <f>(AG584*'Currency &amp; Conversion'!$L$6)</f>
        <v>954.6156597</v>
      </c>
      <c r="AK584" s="56"/>
      <c r="AL584" s="49">
        <v>0.015</v>
      </c>
      <c r="AM584" s="49">
        <f t="array" ref="AM584">XLOOKUP($AI584,Warranty!B:B,Warranty!E:E)</f>
        <v>0.015</v>
      </c>
      <c r="AN584" s="8">
        <f>IF($L584="AUD",VLOOKUP(RIGHT('Wk - Margins'!$J584,3),'AU Freight'!C:G,5,0),0)</f>
        <v>100</v>
      </c>
      <c r="AO584" s="49">
        <f t="shared" si="11"/>
        <v>0</v>
      </c>
      <c r="AP584" s="63">
        <f t="shared" si="12"/>
        <v>1083.25413</v>
      </c>
      <c r="AQ584" s="58">
        <f t="shared" si="13"/>
        <v>0.3672581019</v>
      </c>
      <c r="AR584" s="59">
        <f>IF(L584="AUD",O584*'Currency &amp; Conversion'!$L$7,'Wk - Margins'!O584)</f>
        <v>1436.967022</v>
      </c>
      <c r="AS584" s="59">
        <f>IF(L584="AUD",P584*'Currency &amp; Conversion'!$L$7,'Wk - Margins'!P584)</f>
        <v>1149.573618</v>
      </c>
    </row>
    <row r="585" ht="12.75" hidden="1" customHeight="1">
      <c r="A585" s="42" t="str">
        <f>'Input - Bookings'!A585</f>
        <v>28/06/2023</v>
      </c>
      <c r="B585" s="43" t="str">
        <f t="shared" si="1"/>
        <v>Australia</v>
      </c>
      <c r="C585" s="43" t="str">
        <f t="shared" si="2"/>
        <v>PAU</v>
      </c>
      <c r="D585" s="43" t="str">
        <f>'Input - Bookings'!D585</f>
        <v>P</v>
      </c>
      <c r="E585" s="43" t="str">
        <f>'Input - Bookings'!J585</f>
        <v>AU</v>
      </c>
      <c r="F585" s="44" t="str">
        <f>'Input - Bookings'!F585</f>
        <v>065</v>
      </c>
      <c r="G585" s="44" t="str">
        <f>'Input - Bookings'!I585</f>
        <v>UNALLOCATED - HYSTER AUS</v>
      </c>
      <c r="H585" s="45" t="str">
        <f>'Input - Bookings'!K585</f>
        <v>H40040</v>
      </c>
      <c r="I585" s="45" t="str">
        <f>VLOOKUP(H585,'Input - Bookings'!$G$2:$H$611,2,0)</f>
        <v>999000</v>
      </c>
      <c r="J585" s="44" t="str">
        <f>'Input - Bookings'!N585</f>
        <v>A6W9</v>
      </c>
      <c r="K585" s="44" t="str">
        <f>'Input - Bookings'!O585</f>
        <v>PC1.5</v>
      </c>
      <c r="L585" s="44" t="str">
        <f>'Input - Bookings'!C585</f>
        <v>AUD</v>
      </c>
      <c r="M585" s="46" t="str">
        <f t="array" ref="M585">IF(L585="USD",INDEX('AP Plants'!A:A,MATCH(J585,'AP Plants'!D:D,0)),INDEX('Australia Plants'!A:A,MATCH(J585,'Australia Plants'!D:D,0)))</f>
        <v>Staxx</v>
      </c>
      <c r="N585" s="10">
        <v>1.0</v>
      </c>
      <c r="O585" s="9">
        <v>2140.0</v>
      </c>
      <c r="P585" s="9">
        <v>1712.0</v>
      </c>
      <c r="Q585" s="47">
        <v>0.36725810191223773</v>
      </c>
      <c r="R585" s="48">
        <f t="shared" si="3"/>
        <v>0.2</v>
      </c>
      <c r="S585" s="49">
        <f t="shared" si="4"/>
        <v>0</v>
      </c>
      <c r="T585" s="49">
        <f t="shared" si="21"/>
        <v>0.3672581019</v>
      </c>
      <c r="U585" s="50" t="str">
        <f t="shared" si="6"/>
        <v>AOP</v>
      </c>
      <c r="V585" s="51">
        <f t="shared" si="28"/>
        <v>628.7458705</v>
      </c>
      <c r="W585" s="52" t="str">
        <f t="shared" si="8"/>
        <v>#DIV/0!</v>
      </c>
      <c r="X585" s="9" t="str">
        <f t="shared" si="25"/>
        <v>#DIV/0!</v>
      </c>
      <c r="Y585" s="8"/>
      <c r="Z585" s="8"/>
      <c r="AA585" s="8"/>
      <c r="AB585" s="8" t="str">
        <f t="shared" si="10"/>
        <v>PAUH40040PC1.5</v>
      </c>
      <c r="AC585" s="8" t="str">
        <f>IF(AB585='Input - Bookings'!S818,"OK","Check")</f>
        <v>Check</v>
      </c>
      <c r="AD585" s="53"/>
      <c r="AE585" s="65"/>
      <c r="AF585" s="65"/>
      <c r="AG585" s="55">
        <f t="shared" si="49"/>
        <v>641.0258258</v>
      </c>
      <c r="AH585" s="62"/>
      <c r="AI585" s="8" t="str">
        <f t="array" ref="AI585">XLOOKUP($J585,'AP Plants'!D:D,'AP Plants'!B:B)</f>
        <v>Class 3</v>
      </c>
      <c r="AJ585" s="56">
        <f>(AG585*'Currency &amp; Conversion'!$L$6)</f>
        <v>954.6156597</v>
      </c>
      <c r="AK585" s="56"/>
      <c r="AL585" s="49">
        <v>0.015</v>
      </c>
      <c r="AM585" s="49">
        <f t="array" ref="AM585">XLOOKUP($AI585,Warranty!B:B,Warranty!E:E)</f>
        <v>0.015</v>
      </c>
      <c r="AN585" s="8">
        <f>IF($L585="AUD",VLOOKUP(RIGHT('Wk - Margins'!$J585,3),'AU Freight'!C:G,5,0),0)</f>
        <v>100</v>
      </c>
      <c r="AO585" s="49">
        <f t="shared" si="11"/>
        <v>0</v>
      </c>
      <c r="AP585" s="63">
        <f t="shared" si="12"/>
        <v>1083.25413</v>
      </c>
      <c r="AQ585" s="58">
        <f t="shared" si="13"/>
        <v>0.3672581019</v>
      </c>
      <c r="AR585" s="59">
        <f>IF(L585="AUD",O585*'Currency &amp; Conversion'!$L$7,'Wk - Margins'!O585)</f>
        <v>1436.967022</v>
      </c>
      <c r="AS585" s="59">
        <f>IF(L585="AUD",P585*'Currency &amp; Conversion'!$L$7,'Wk - Margins'!P585)</f>
        <v>1149.573618</v>
      </c>
    </row>
    <row r="586" ht="12.75" hidden="1" customHeight="1">
      <c r="A586" s="42" t="str">
        <f>'Input - Bookings'!A586</f>
        <v>28/06/2023</v>
      </c>
      <c r="B586" s="43" t="str">
        <f t="shared" si="1"/>
        <v>Australia</v>
      </c>
      <c r="C586" s="43" t="str">
        <f t="shared" si="2"/>
        <v>PAU</v>
      </c>
      <c r="D586" s="43" t="str">
        <f>'Input - Bookings'!D586</f>
        <v>P</v>
      </c>
      <c r="E586" s="43" t="str">
        <f>'Input - Bookings'!J586</f>
        <v>AU</v>
      </c>
      <c r="F586" s="44" t="str">
        <f>'Input - Bookings'!F586</f>
        <v>065</v>
      </c>
      <c r="G586" s="44" t="str">
        <f>'Input - Bookings'!I586</f>
        <v>UNALLOCATED - HYSTER AUS</v>
      </c>
      <c r="H586" s="45" t="str">
        <f>'Input - Bookings'!K586</f>
        <v>H40041</v>
      </c>
      <c r="I586" s="45" t="str">
        <f>VLOOKUP(H586,'Input - Bookings'!$G$2:$H$611,2,0)</f>
        <v>999000</v>
      </c>
      <c r="J586" s="44" t="str">
        <f>'Input - Bookings'!N586</f>
        <v>A6W9</v>
      </c>
      <c r="K586" s="44" t="str">
        <f>'Input - Bookings'!O586</f>
        <v>PC1.5</v>
      </c>
      <c r="L586" s="44" t="str">
        <f>'Input - Bookings'!C586</f>
        <v>AUD</v>
      </c>
      <c r="M586" s="46" t="str">
        <f t="array" ref="M586">IF(L586="USD",INDEX('AP Plants'!A:A,MATCH(J586,'AP Plants'!D:D,0)),INDEX('Australia Plants'!A:A,MATCH(J586,'Australia Plants'!D:D,0)))</f>
        <v>Staxx</v>
      </c>
      <c r="N586" s="10">
        <v>1.0</v>
      </c>
      <c r="O586" s="9">
        <v>2140.0</v>
      </c>
      <c r="P586" s="9">
        <v>1712.0</v>
      </c>
      <c r="Q586" s="47">
        <v>0.36725810191223773</v>
      </c>
      <c r="R586" s="48">
        <f t="shared" si="3"/>
        <v>0.2</v>
      </c>
      <c r="S586" s="49">
        <f t="shared" si="4"/>
        <v>0</v>
      </c>
      <c r="T586" s="49">
        <f t="shared" si="21"/>
        <v>0.3672581019</v>
      </c>
      <c r="U586" s="50" t="str">
        <f t="shared" si="6"/>
        <v>AOP</v>
      </c>
      <c r="V586" s="51">
        <f t="shared" si="28"/>
        <v>628.7458705</v>
      </c>
      <c r="W586" s="52" t="str">
        <f t="shared" si="8"/>
        <v>#DIV/0!</v>
      </c>
      <c r="X586" s="9" t="str">
        <f t="shared" si="25"/>
        <v>#DIV/0!</v>
      </c>
      <c r="Y586" s="8"/>
      <c r="Z586" s="8"/>
      <c r="AA586" s="8"/>
      <c r="AB586" s="8" t="str">
        <f t="shared" si="10"/>
        <v>PAUH40041PC1.5</v>
      </c>
      <c r="AC586" s="8" t="str">
        <f>IF(AB586='Input - Bookings'!S819,"OK","Check")</f>
        <v>Check</v>
      </c>
      <c r="AD586" s="53"/>
      <c r="AE586" s="65"/>
      <c r="AF586" s="65"/>
      <c r="AG586" s="55">
        <f t="shared" si="49"/>
        <v>641.0258258</v>
      </c>
      <c r="AH586" s="62"/>
      <c r="AI586" s="8" t="str">
        <f t="array" ref="AI586">XLOOKUP($J586,'AP Plants'!D:D,'AP Plants'!B:B)</f>
        <v>Class 3</v>
      </c>
      <c r="AJ586" s="56">
        <f>(AG586*'Currency &amp; Conversion'!$L$6)</f>
        <v>954.6156597</v>
      </c>
      <c r="AK586" s="56"/>
      <c r="AL586" s="49">
        <v>0.015</v>
      </c>
      <c r="AM586" s="49">
        <f t="array" ref="AM586">XLOOKUP($AI586,Warranty!B:B,Warranty!E:E)</f>
        <v>0.015</v>
      </c>
      <c r="AN586" s="8">
        <f>IF($L586="AUD",VLOOKUP(RIGHT('Wk - Margins'!$J586,3),'AU Freight'!C:G,5,0),0)</f>
        <v>100</v>
      </c>
      <c r="AO586" s="49">
        <f t="shared" si="11"/>
        <v>0</v>
      </c>
      <c r="AP586" s="63">
        <f t="shared" si="12"/>
        <v>1083.25413</v>
      </c>
      <c r="AQ586" s="58">
        <f t="shared" si="13"/>
        <v>0.3672581019</v>
      </c>
      <c r="AR586" s="59">
        <f>IF(L586="AUD",O586*'Currency &amp; Conversion'!$L$7,'Wk - Margins'!O586)</f>
        <v>1436.967022</v>
      </c>
      <c r="AS586" s="59">
        <f>IF(L586="AUD",P586*'Currency &amp; Conversion'!$L$7,'Wk - Margins'!P586)</f>
        <v>1149.573618</v>
      </c>
    </row>
    <row r="587" ht="12.75" hidden="1" customHeight="1">
      <c r="A587" s="42" t="str">
        <f>'Input - Bookings'!A587</f>
        <v>28/06/2023</v>
      </c>
      <c r="B587" s="43" t="str">
        <f t="shared" si="1"/>
        <v>Australia</v>
      </c>
      <c r="C587" s="43" t="str">
        <f t="shared" si="2"/>
        <v>PAU</v>
      </c>
      <c r="D587" s="43" t="str">
        <f>'Input - Bookings'!D587</f>
        <v>P</v>
      </c>
      <c r="E587" s="43" t="str">
        <f>'Input - Bookings'!J587</f>
        <v>AU</v>
      </c>
      <c r="F587" s="44" t="str">
        <f>'Input - Bookings'!F587</f>
        <v>065</v>
      </c>
      <c r="G587" s="44" t="str">
        <f>'Input - Bookings'!I587</f>
        <v>UNALLOCATED - HYSTER AUS</v>
      </c>
      <c r="H587" s="45" t="str">
        <f>'Input - Bookings'!K587</f>
        <v>H40042</v>
      </c>
      <c r="I587" s="45" t="str">
        <f>VLOOKUP(H587,'Input - Bookings'!$G$2:$H$611,2,0)</f>
        <v>999000</v>
      </c>
      <c r="J587" s="44" t="str">
        <f>'Input - Bookings'!N587</f>
        <v>A6W9</v>
      </c>
      <c r="K587" s="44" t="str">
        <f>'Input - Bookings'!O587</f>
        <v>PC1.5</v>
      </c>
      <c r="L587" s="44" t="str">
        <f>'Input - Bookings'!C587</f>
        <v>AUD</v>
      </c>
      <c r="M587" s="46" t="str">
        <f t="array" ref="M587">IF(L587="USD",INDEX('AP Plants'!A:A,MATCH(J587,'AP Plants'!D:D,0)),INDEX('Australia Plants'!A:A,MATCH(J587,'Australia Plants'!D:D,0)))</f>
        <v>Staxx</v>
      </c>
      <c r="N587" s="10">
        <v>1.0</v>
      </c>
      <c r="O587" s="9">
        <v>2140.0</v>
      </c>
      <c r="P587" s="9">
        <v>1712.0</v>
      </c>
      <c r="Q587" s="47">
        <v>0.36725810191223773</v>
      </c>
      <c r="R587" s="48">
        <f t="shared" si="3"/>
        <v>0.2</v>
      </c>
      <c r="S587" s="49">
        <f t="shared" si="4"/>
        <v>0</v>
      </c>
      <c r="T587" s="49">
        <f t="shared" si="21"/>
        <v>0.3672581019</v>
      </c>
      <c r="U587" s="50" t="str">
        <f t="shared" si="6"/>
        <v>AOP</v>
      </c>
      <c r="V587" s="51">
        <f t="shared" si="28"/>
        <v>628.7458705</v>
      </c>
      <c r="W587" s="52" t="str">
        <f t="shared" si="8"/>
        <v>#DIV/0!</v>
      </c>
      <c r="X587" s="9" t="str">
        <f t="shared" si="25"/>
        <v>#DIV/0!</v>
      </c>
      <c r="Y587" s="8"/>
      <c r="Z587" s="8"/>
      <c r="AA587" s="8"/>
      <c r="AB587" s="8" t="str">
        <f t="shared" si="10"/>
        <v>PAUH40042PC1.5</v>
      </c>
      <c r="AC587" s="8" t="str">
        <f>IF(AB587='Input - Bookings'!S820,"OK","Check")</f>
        <v>Check</v>
      </c>
      <c r="AD587" s="53"/>
      <c r="AE587" s="65"/>
      <c r="AF587" s="65"/>
      <c r="AG587" s="55">
        <f t="shared" si="49"/>
        <v>641.0258258</v>
      </c>
      <c r="AH587" s="62"/>
      <c r="AI587" s="8" t="str">
        <f t="array" ref="AI587">XLOOKUP($J587,'AP Plants'!D:D,'AP Plants'!B:B)</f>
        <v>Class 3</v>
      </c>
      <c r="AJ587" s="56">
        <f>(AG587*'Currency &amp; Conversion'!$L$6)</f>
        <v>954.6156597</v>
      </c>
      <c r="AK587" s="56"/>
      <c r="AL587" s="49">
        <v>0.015</v>
      </c>
      <c r="AM587" s="49">
        <f t="array" ref="AM587">XLOOKUP($AI587,Warranty!B:B,Warranty!E:E)</f>
        <v>0.015</v>
      </c>
      <c r="AN587" s="8">
        <f>IF($L587="AUD",VLOOKUP(RIGHT('Wk - Margins'!$J587,3),'AU Freight'!C:G,5,0),0)</f>
        <v>100</v>
      </c>
      <c r="AO587" s="49">
        <f t="shared" si="11"/>
        <v>0</v>
      </c>
      <c r="AP587" s="63">
        <f t="shared" si="12"/>
        <v>1083.25413</v>
      </c>
      <c r="AQ587" s="58">
        <f t="shared" si="13"/>
        <v>0.3672581019</v>
      </c>
      <c r="AR587" s="59">
        <f>IF(L587="AUD",O587*'Currency &amp; Conversion'!$L$7,'Wk - Margins'!O587)</f>
        <v>1436.967022</v>
      </c>
      <c r="AS587" s="59">
        <f>IF(L587="AUD",P587*'Currency &amp; Conversion'!$L$7,'Wk - Margins'!P587)</f>
        <v>1149.573618</v>
      </c>
    </row>
    <row r="588" ht="12.75" hidden="1" customHeight="1">
      <c r="A588" s="42" t="str">
        <f>'Input - Bookings'!A588</f>
        <v>28/06/2023</v>
      </c>
      <c r="B588" s="43" t="str">
        <f t="shared" si="1"/>
        <v>Australia</v>
      </c>
      <c r="C588" s="43" t="str">
        <f t="shared" si="2"/>
        <v>PAU</v>
      </c>
      <c r="D588" s="43" t="str">
        <f>'Input - Bookings'!D588</f>
        <v>P</v>
      </c>
      <c r="E588" s="43" t="str">
        <f>'Input - Bookings'!J588</f>
        <v>AU</v>
      </c>
      <c r="F588" s="44" t="str">
        <f>'Input - Bookings'!F588</f>
        <v>065</v>
      </c>
      <c r="G588" s="44" t="str">
        <f>'Input - Bookings'!I588</f>
        <v>UNALLOCATED - HYSTER AUS</v>
      </c>
      <c r="H588" s="45" t="str">
        <f>'Input - Bookings'!K588</f>
        <v>H40043</v>
      </c>
      <c r="I588" s="45" t="str">
        <f>VLOOKUP(H588,'Input - Bookings'!$G$2:$H$611,2,0)</f>
        <v>999000</v>
      </c>
      <c r="J588" s="44" t="str">
        <f>'Input - Bookings'!N588</f>
        <v>A6W9</v>
      </c>
      <c r="K588" s="44" t="str">
        <f>'Input - Bookings'!O588</f>
        <v>PC1.5</v>
      </c>
      <c r="L588" s="44" t="str">
        <f>'Input - Bookings'!C588</f>
        <v>AUD</v>
      </c>
      <c r="M588" s="46" t="str">
        <f t="array" ref="M588">IF(L588="USD",INDEX('AP Plants'!A:A,MATCH(J588,'AP Plants'!D:D,0)),INDEX('Australia Plants'!A:A,MATCH(J588,'Australia Plants'!D:D,0)))</f>
        <v>Staxx</v>
      </c>
      <c r="N588" s="10">
        <v>1.0</v>
      </c>
      <c r="O588" s="9">
        <v>2140.0</v>
      </c>
      <c r="P588" s="9">
        <v>1712.0</v>
      </c>
      <c r="Q588" s="47">
        <v>0.36725810191223773</v>
      </c>
      <c r="R588" s="48">
        <f t="shared" si="3"/>
        <v>0.2</v>
      </c>
      <c r="S588" s="49">
        <f t="shared" si="4"/>
        <v>0</v>
      </c>
      <c r="T588" s="49">
        <f t="shared" si="21"/>
        <v>0.3672581019</v>
      </c>
      <c r="U588" s="50" t="str">
        <f t="shared" si="6"/>
        <v>AOP</v>
      </c>
      <c r="V588" s="51">
        <f t="shared" si="28"/>
        <v>628.7458705</v>
      </c>
      <c r="W588" s="52" t="str">
        <f t="shared" si="8"/>
        <v>#DIV/0!</v>
      </c>
      <c r="X588" s="9" t="str">
        <f t="shared" si="25"/>
        <v>#DIV/0!</v>
      </c>
      <c r="Y588" s="8"/>
      <c r="Z588" s="8"/>
      <c r="AA588" s="8"/>
      <c r="AB588" s="8" t="str">
        <f t="shared" si="10"/>
        <v>PAUH40043PC1.5</v>
      </c>
      <c r="AC588" s="8" t="str">
        <f>IF(AB588='Input - Bookings'!S821,"OK","Check")</f>
        <v>Check</v>
      </c>
      <c r="AD588" s="53"/>
      <c r="AE588" s="65"/>
      <c r="AF588" s="65"/>
      <c r="AG588" s="55">
        <f t="shared" si="49"/>
        <v>641.0258258</v>
      </c>
      <c r="AH588" s="62"/>
      <c r="AI588" s="8" t="str">
        <f t="array" ref="AI588">XLOOKUP($J588,'AP Plants'!D:D,'AP Plants'!B:B)</f>
        <v>Class 3</v>
      </c>
      <c r="AJ588" s="56">
        <f>(AG588*'Currency &amp; Conversion'!$L$6)</f>
        <v>954.6156597</v>
      </c>
      <c r="AK588" s="56"/>
      <c r="AL588" s="49">
        <v>0.015</v>
      </c>
      <c r="AM588" s="49">
        <f t="array" ref="AM588">XLOOKUP($AI588,Warranty!B:B,Warranty!E:E)</f>
        <v>0.015</v>
      </c>
      <c r="AN588" s="8">
        <f>IF($L588="AUD",VLOOKUP(RIGHT('Wk - Margins'!$J588,3),'AU Freight'!C:G,5,0),0)</f>
        <v>100</v>
      </c>
      <c r="AO588" s="49">
        <f t="shared" si="11"/>
        <v>0</v>
      </c>
      <c r="AP588" s="63">
        <f t="shared" si="12"/>
        <v>1083.25413</v>
      </c>
      <c r="AQ588" s="58">
        <f t="shared" si="13"/>
        <v>0.3672581019</v>
      </c>
      <c r="AR588" s="59">
        <f>IF(L588="AUD",O588*'Currency &amp; Conversion'!$L$7,'Wk - Margins'!O588)</f>
        <v>1436.967022</v>
      </c>
      <c r="AS588" s="59">
        <f>IF(L588="AUD",P588*'Currency &amp; Conversion'!$L$7,'Wk - Margins'!P588)</f>
        <v>1149.573618</v>
      </c>
    </row>
    <row r="589" ht="12.75" hidden="1" customHeight="1">
      <c r="A589" s="42" t="str">
        <f>'Input - Bookings'!A589</f>
        <v>28/06/2023</v>
      </c>
      <c r="B589" s="43" t="str">
        <f t="shared" si="1"/>
        <v>Australia</v>
      </c>
      <c r="C589" s="43" t="str">
        <f t="shared" si="2"/>
        <v>PAU</v>
      </c>
      <c r="D589" s="43" t="str">
        <f>'Input - Bookings'!D589</f>
        <v>P</v>
      </c>
      <c r="E589" s="43" t="str">
        <f>'Input - Bookings'!J589</f>
        <v>AU</v>
      </c>
      <c r="F589" s="44" t="str">
        <f>'Input - Bookings'!F589</f>
        <v>065</v>
      </c>
      <c r="G589" s="44" t="str">
        <f>'Input - Bookings'!I589</f>
        <v>UNALLOCATED - HYSTER AUS</v>
      </c>
      <c r="H589" s="45" t="str">
        <f>'Input - Bookings'!K589</f>
        <v>H40044</v>
      </c>
      <c r="I589" s="45" t="str">
        <f>VLOOKUP(H589,'Input - Bookings'!$G$2:$H$611,2,0)</f>
        <v>999000</v>
      </c>
      <c r="J589" s="44" t="str">
        <f>'Input - Bookings'!N589</f>
        <v>A6W9</v>
      </c>
      <c r="K589" s="44" t="str">
        <f>'Input - Bookings'!O589</f>
        <v>PC1.5</v>
      </c>
      <c r="L589" s="44" t="str">
        <f>'Input - Bookings'!C589</f>
        <v>AUD</v>
      </c>
      <c r="M589" s="46" t="str">
        <f t="array" ref="M589">IF(L589="USD",INDEX('AP Plants'!A:A,MATCH(J589,'AP Plants'!D:D,0)),INDEX('Australia Plants'!A:A,MATCH(J589,'Australia Plants'!D:D,0)))</f>
        <v>Staxx</v>
      </c>
      <c r="N589" s="10">
        <v>1.0</v>
      </c>
      <c r="O589" s="9">
        <v>2140.0</v>
      </c>
      <c r="P589" s="9">
        <v>1712.0</v>
      </c>
      <c r="Q589" s="47">
        <v>0.36725810191223773</v>
      </c>
      <c r="R589" s="48">
        <f t="shared" si="3"/>
        <v>0.2</v>
      </c>
      <c r="S589" s="49">
        <f t="shared" si="4"/>
        <v>0</v>
      </c>
      <c r="T589" s="49">
        <f t="shared" si="21"/>
        <v>0.3672581019</v>
      </c>
      <c r="U589" s="50" t="str">
        <f t="shared" si="6"/>
        <v>AOP</v>
      </c>
      <c r="V589" s="51">
        <f t="shared" si="28"/>
        <v>628.7458705</v>
      </c>
      <c r="W589" s="52" t="str">
        <f t="shared" si="8"/>
        <v>#DIV/0!</v>
      </c>
      <c r="X589" s="9" t="str">
        <f t="shared" si="25"/>
        <v>#DIV/0!</v>
      </c>
      <c r="Y589" s="8"/>
      <c r="Z589" s="8"/>
      <c r="AA589" s="8"/>
      <c r="AB589" s="8" t="str">
        <f t="shared" si="10"/>
        <v>PAUH40044PC1.5</v>
      </c>
      <c r="AC589" s="8" t="str">
        <f>IF(AB589='Input - Bookings'!S822,"OK","Check")</f>
        <v>Check</v>
      </c>
      <c r="AD589" s="53"/>
      <c r="AE589" s="65"/>
      <c r="AF589" s="65"/>
      <c r="AG589" s="55">
        <f t="shared" si="49"/>
        <v>641.0258258</v>
      </c>
      <c r="AH589" s="62"/>
      <c r="AI589" s="8" t="str">
        <f t="array" ref="AI589">XLOOKUP($J589,'AP Plants'!D:D,'AP Plants'!B:B)</f>
        <v>Class 3</v>
      </c>
      <c r="AJ589" s="56">
        <f>(AG589*'Currency &amp; Conversion'!$L$6)</f>
        <v>954.6156597</v>
      </c>
      <c r="AK589" s="56"/>
      <c r="AL589" s="49">
        <v>0.015</v>
      </c>
      <c r="AM589" s="49">
        <f t="array" ref="AM589">XLOOKUP($AI589,Warranty!B:B,Warranty!E:E)</f>
        <v>0.015</v>
      </c>
      <c r="AN589" s="8">
        <f>IF($L589="AUD",VLOOKUP(RIGHT('Wk - Margins'!$J589,3),'AU Freight'!C:G,5,0),0)</f>
        <v>100</v>
      </c>
      <c r="AO589" s="49">
        <f t="shared" si="11"/>
        <v>0</v>
      </c>
      <c r="AP589" s="63">
        <f t="shared" si="12"/>
        <v>1083.25413</v>
      </c>
      <c r="AQ589" s="58">
        <f t="shared" si="13"/>
        <v>0.3672581019</v>
      </c>
      <c r="AR589" s="59">
        <f>IF(L589="AUD",O589*'Currency &amp; Conversion'!$L$7,'Wk - Margins'!O589)</f>
        <v>1436.967022</v>
      </c>
      <c r="AS589" s="59">
        <f>IF(L589="AUD",P589*'Currency &amp; Conversion'!$L$7,'Wk - Margins'!P589)</f>
        <v>1149.573618</v>
      </c>
    </row>
    <row r="590" ht="12.75" hidden="1" customHeight="1">
      <c r="A590" s="42" t="str">
        <f>'Input - Bookings'!A590</f>
        <v>28/06/2023</v>
      </c>
      <c r="B590" s="43" t="str">
        <f t="shared" si="1"/>
        <v>Australia</v>
      </c>
      <c r="C590" s="43" t="str">
        <f t="shared" si="2"/>
        <v>PAU</v>
      </c>
      <c r="D590" s="43" t="str">
        <f>'Input - Bookings'!D590</f>
        <v>P</v>
      </c>
      <c r="E590" s="43" t="str">
        <f>'Input - Bookings'!J590</f>
        <v>AU</v>
      </c>
      <c r="F590" s="44" t="str">
        <f>'Input - Bookings'!F590</f>
        <v>065</v>
      </c>
      <c r="G590" s="44" t="str">
        <f>'Input - Bookings'!I590</f>
        <v>UNALLOCATED - HYSTER AUS</v>
      </c>
      <c r="H590" s="45" t="str">
        <f>'Input - Bookings'!K590</f>
        <v>H40045</v>
      </c>
      <c r="I590" s="45" t="str">
        <f>VLOOKUP(H590,'Input - Bookings'!$G$2:$H$611,2,0)</f>
        <v>999000</v>
      </c>
      <c r="J590" s="44" t="str">
        <f>'Input - Bookings'!N590</f>
        <v>A6W9</v>
      </c>
      <c r="K590" s="44" t="str">
        <f>'Input - Bookings'!O590</f>
        <v>PC1.5</v>
      </c>
      <c r="L590" s="44" t="str">
        <f>'Input - Bookings'!C590</f>
        <v>AUD</v>
      </c>
      <c r="M590" s="46" t="str">
        <f t="array" ref="M590">IF(L590="USD",INDEX('AP Plants'!A:A,MATCH(J590,'AP Plants'!D:D,0)),INDEX('Australia Plants'!A:A,MATCH(J590,'Australia Plants'!D:D,0)))</f>
        <v>Staxx</v>
      </c>
      <c r="N590" s="10">
        <v>1.0</v>
      </c>
      <c r="O590" s="9">
        <v>2140.0</v>
      </c>
      <c r="P590" s="9">
        <v>1712.0</v>
      </c>
      <c r="Q590" s="47">
        <v>0.36725810191223773</v>
      </c>
      <c r="R590" s="48">
        <f t="shared" si="3"/>
        <v>0.2</v>
      </c>
      <c r="S590" s="49">
        <f t="shared" si="4"/>
        <v>0</v>
      </c>
      <c r="T590" s="49">
        <f t="shared" si="21"/>
        <v>0.3672581019</v>
      </c>
      <c r="U590" s="50" t="str">
        <f t="shared" si="6"/>
        <v>AOP</v>
      </c>
      <c r="V590" s="51">
        <f t="shared" si="28"/>
        <v>628.7458705</v>
      </c>
      <c r="W590" s="52" t="str">
        <f t="shared" si="8"/>
        <v>#DIV/0!</v>
      </c>
      <c r="X590" s="9" t="str">
        <f t="shared" si="25"/>
        <v>#DIV/0!</v>
      </c>
      <c r="Y590" s="8"/>
      <c r="Z590" s="8"/>
      <c r="AA590" s="8"/>
      <c r="AB590" s="8" t="str">
        <f t="shared" si="10"/>
        <v>PAUH40045PC1.5</v>
      </c>
      <c r="AC590" s="8" t="str">
        <f>IF(AB590='Input - Bookings'!S823,"OK","Check")</f>
        <v>Check</v>
      </c>
      <c r="AD590" s="53"/>
      <c r="AE590" s="65"/>
      <c r="AF590" s="65"/>
      <c r="AG590" s="55">
        <f t="shared" si="49"/>
        <v>641.0258258</v>
      </c>
      <c r="AH590" s="62"/>
      <c r="AI590" s="8" t="str">
        <f t="array" ref="AI590">XLOOKUP($J590,'AP Plants'!D:D,'AP Plants'!B:B)</f>
        <v>Class 3</v>
      </c>
      <c r="AJ590" s="56">
        <f>(AG590*'Currency &amp; Conversion'!$L$6)</f>
        <v>954.6156597</v>
      </c>
      <c r="AK590" s="56"/>
      <c r="AL590" s="49">
        <v>0.015</v>
      </c>
      <c r="AM590" s="49">
        <f t="array" ref="AM590">XLOOKUP($AI590,Warranty!B:B,Warranty!E:E)</f>
        <v>0.015</v>
      </c>
      <c r="AN590" s="8">
        <f>IF($L590="AUD",VLOOKUP(RIGHT('Wk - Margins'!$J590,3),'AU Freight'!C:G,5,0),0)</f>
        <v>100</v>
      </c>
      <c r="AO590" s="49">
        <f t="shared" si="11"/>
        <v>0</v>
      </c>
      <c r="AP590" s="63">
        <f t="shared" si="12"/>
        <v>1083.25413</v>
      </c>
      <c r="AQ590" s="58">
        <f t="shared" si="13"/>
        <v>0.3672581019</v>
      </c>
      <c r="AR590" s="59">
        <f>IF(L590="AUD",O590*'Currency &amp; Conversion'!$L$7,'Wk - Margins'!O590)</f>
        <v>1436.967022</v>
      </c>
      <c r="AS590" s="59">
        <f>IF(L590="AUD",P590*'Currency &amp; Conversion'!$L$7,'Wk - Margins'!P590)</f>
        <v>1149.573618</v>
      </c>
    </row>
    <row r="591" ht="12.75" hidden="1" customHeight="1">
      <c r="A591" s="42" t="str">
        <f>'Input - Bookings'!A591</f>
        <v>28/06/2023</v>
      </c>
      <c r="B591" s="43" t="str">
        <f t="shared" si="1"/>
        <v>Australia</v>
      </c>
      <c r="C591" s="43" t="str">
        <f t="shared" si="2"/>
        <v>PAU</v>
      </c>
      <c r="D591" s="43" t="str">
        <f>'Input - Bookings'!D591</f>
        <v>P</v>
      </c>
      <c r="E591" s="43" t="str">
        <f>'Input - Bookings'!J591</f>
        <v>AU</v>
      </c>
      <c r="F591" s="44" t="str">
        <f>'Input - Bookings'!F591</f>
        <v>065</v>
      </c>
      <c r="G591" s="44" t="str">
        <f>'Input - Bookings'!I591</f>
        <v>UNALLOCATED - HYSTER AUS</v>
      </c>
      <c r="H591" s="45" t="str">
        <f>'Input - Bookings'!K591</f>
        <v>H40046</v>
      </c>
      <c r="I591" s="45" t="str">
        <f>VLOOKUP(H591,'Input - Bookings'!$G$2:$H$611,2,0)</f>
        <v>999000</v>
      </c>
      <c r="J591" s="44" t="str">
        <f>'Input - Bookings'!N591</f>
        <v>A6W9</v>
      </c>
      <c r="K591" s="44" t="str">
        <f>'Input - Bookings'!O591</f>
        <v>PC1.5</v>
      </c>
      <c r="L591" s="44" t="str">
        <f>'Input - Bookings'!C591</f>
        <v>AUD</v>
      </c>
      <c r="M591" s="46" t="str">
        <f t="array" ref="M591">IF(L591="USD",INDEX('AP Plants'!A:A,MATCH(J591,'AP Plants'!D:D,0)),INDEX('Australia Plants'!A:A,MATCH(J591,'Australia Plants'!D:D,0)))</f>
        <v>Staxx</v>
      </c>
      <c r="N591" s="10">
        <v>1.0</v>
      </c>
      <c r="O591" s="9">
        <v>2140.0</v>
      </c>
      <c r="P591" s="9">
        <v>1712.0</v>
      </c>
      <c r="Q591" s="47">
        <v>0.36725810191223773</v>
      </c>
      <c r="R591" s="48">
        <f t="shared" si="3"/>
        <v>0.2</v>
      </c>
      <c r="S591" s="49">
        <f t="shared" si="4"/>
        <v>0</v>
      </c>
      <c r="T591" s="49">
        <f t="shared" si="21"/>
        <v>0.3672581019</v>
      </c>
      <c r="U591" s="50" t="str">
        <f t="shared" si="6"/>
        <v>AOP</v>
      </c>
      <c r="V591" s="51">
        <f t="shared" si="28"/>
        <v>628.7458705</v>
      </c>
      <c r="W591" s="52" t="str">
        <f t="shared" si="8"/>
        <v>#DIV/0!</v>
      </c>
      <c r="X591" s="9" t="str">
        <f t="shared" si="25"/>
        <v>#DIV/0!</v>
      </c>
      <c r="Y591" s="8"/>
      <c r="Z591" s="8"/>
      <c r="AA591" s="8"/>
      <c r="AB591" s="8" t="str">
        <f t="shared" si="10"/>
        <v>PAUH40046PC1.5</v>
      </c>
      <c r="AC591" s="8" t="str">
        <f>IF(AB591='Input - Bookings'!S824,"OK","Check")</f>
        <v>Check</v>
      </c>
      <c r="AD591" s="53"/>
      <c r="AE591" s="65"/>
      <c r="AF591" s="65"/>
      <c r="AG591" s="55">
        <f t="shared" si="49"/>
        <v>641.0258258</v>
      </c>
      <c r="AH591" s="62"/>
      <c r="AI591" s="8" t="str">
        <f t="array" ref="AI591">XLOOKUP($J591,'AP Plants'!D:D,'AP Plants'!B:B)</f>
        <v>Class 3</v>
      </c>
      <c r="AJ591" s="56">
        <f>(AG591*'Currency &amp; Conversion'!$L$6)</f>
        <v>954.6156597</v>
      </c>
      <c r="AK591" s="56"/>
      <c r="AL591" s="49">
        <v>0.015</v>
      </c>
      <c r="AM591" s="49">
        <f t="array" ref="AM591">XLOOKUP($AI591,Warranty!B:B,Warranty!E:E)</f>
        <v>0.015</v>
      </c>
      <c r="AN591" s="8">
        <f>IF($L591="AUD",VLOOKUP(RIGHT('Wk - Margins'!$J591,3),'AU Freight'!C:G,5,0),0)</f>
        <v>100</v>
      </c>
      <c r="AO591" s="49">
        <f t="shared" si="11"/>
        <v>0</v>
      </c>
      <c r="AP591" s="63">
        <f t="shared" si="12"/>
        <v>1083.25413</v>
      </c>
      <c r="AQ591" s="58">
        <f t="shared" si="13"/>
        <v>0.3672581019</v>
      </c>
      <c r="AR591" s="59">
        <f>IF(L591="AUD",O591*'Currency &amp; Conversion'!$L$7,'Wk - Margins'!O591)</f>
        <v>1436.967022</v>
      </c>
      <c r="AS591" s="59">
        <f>IF(L591="AUD",P591*'Currency &amp; Conversion'!$L$7,'Wk - Margins'!P591)</f>
        <v>1149.573618</v>
      </c>
    </row>
    <row r="592" ht="12.75" hidden="1" customHeight="1">
      <c r="A592" s="42" t="str">
        <f>'Input - Bookings'!A592</f>
        <v>28/06/2023</v>
      </c>
      <c r="B592" s="43" t="str">
        <f t="shared" si="1"/>
        <v>Australia</v>
      </c>
      <c r="C592" s="43" t="str">
        <f t="shared" si="2"/>
        <v>PAU</v>
      </c>
      <c r="D592" s="43" t="str">
        <f>'Input - Bookings'!D592</f>
        <v>P</v>
      </c>
      <c r="E592" s="43" t="str">
        <f>'Input - Bookings'!J592</f>
        <v>AU</v>
      </c>
      <c r="F592" s="44" t="str">
        <f>'Input - Bookings'!F592</f>
        <v>065</v>
      </c>
      <c r="G592" s="44" t="str">
        <f>'Input - Bookings'!I592</f>
        <v>UNALLOCATED - HYSTER AUS</v>
      </c>
      <c r="H592" s="45" t="str">
        <f>'Input - Bookings'!K592</f>
        <v>H40011</v>
      </c>
      <c r="I592" s="45" t="str">
        <f>VLOOKUP(H592,'Input - Bookings'!$G$2:$H$611,2,0)</f>
        <v>999000</v>
      </c>
      <c r="J592" s="44" t="str">
        <f>'Input - Bookings'!N592</f>
        <v>A6W9</v>
      </c>
      <c r="K592" s="44" t="str">
        <f>'Input - Bookings'!O592</f>
        <v>PC1.5</v>
      </c>
      <c r="L592" s="44" t="str">
        <f>'Input - Bookings'!C592</f>
        <v>AUD</v>
      </c>
      <c r="M592" s="46" t="str">
        <f t="array" ref="M592">IF(L592="USD",INDEX('AP Plants'!A:A,MATCH(J592,'AP Plants'!D:D,0)),INDEX('Australia Plants'!A:A,MATCH(J592,'Australia Plants'!D:D,0)))</f>
        <v>Staxx</v>
      </c>
      <c r="N592" s="10">
        <v>1.0</v>
      </c>
      <c r="O592" s="9">
        <v>2140.0</v>
      </c>
      <c r="P592" s="9">
        <v>1712.0</v>
      </c>
      <c r="Q592" s="47">
        <v>0.36725810191223773</v>
      </c>
      <c r="R592" s="48">
        <f t="shared" si="3"/>
        <v>0.2</v>
      </c>
      <c r="S592" s="49">
        <f t="shared" si="4"/>
        <v>0</v>
      </c>
      <c r="T592" s="49">
        <f t="shared" si="21"/>
        <v>0.3672581019</v>
      </c>
      <c r="U592" s="50" t="str">
        <f t="shared" si="6"/>
        <v>AOP</v>
      </c>
      <c r="V592" s="51">
        <f t="shared" si="28"/>
        <v>628.7458705</v>
      </c>
      <c r="W592" s="52" t="str">
        <f t="shared" si="8"/>
        <v>#DIV/0!</v>
      </c>
      <c r="X592" s="9" t="str">
        <f t="shared" si="25"/>
        <v>#DIV/0!</v>
      </c>
      <c r="Y592" s="8"/>
      <c r="Z592" s="8"/>
      <c r="AA592" s="8"/>
      <c r="AB592" s="8" t="str">
        <f t="shared" si="10"/>
        <v>PAUH40011PC1.5</v>
      </c>
      <c r="AC592" s="8" t="str">
        <f>IF(AB592='Input - Bookings'!S825,"OK","Check")</f>
        <v>Check</v>
      </c>
      <c r="AD592" s="53"/>
      <c r="AE592" s="65"/>
      <c r="AF592" s="65"/>
      <c r="AG592" s="55">
        <f t="shared" si="49"/>
        <v>641.0258258</v>
      </c>
      <c r="AH592" s="62"/>
      <c r="AI592" s="8" t="str">
        <f t="array" ref="AI592">XLOOKUP($J592,'AP Plants'!D:D,'AP Plants'!B:B)</f>
        <v>Class 3</v>
      </c>
      <c r="AJ592" s="56">
        <f>(AG592*'Currency &amp; Conversion'!$L$6)</f>
        <v>954.6156597</v>
      </c>
      <c r="AK592" s="56"/>
      <c r="AL592" s="49">
        <v>0.015</v>
      </c>
      <c r="AM592" s="49">
        <f t="array" ref="AM592">XLOOKUP($AI592,Warranty!B:B,Warranty!E:E)</f>
        <v>0.015</v>
      </c>
      <c r="AN592" s="8">
        <f>IF($L592="AUD",VLOOKUP(RIGHT('Wk - Margins'!$J592,3),'AU Freight'!C:G,5,0),0)</f>
        <v>100</v>
      </c>
      <c r="AO592" s="49">
        <f t="shared" si="11"/>
        <v>0</v>
      </c>
      <c r="AP592" s="63">
        <f t="shared" si="12"/>
        <v>1083.25413</v>
      </c>
      <c r="AQ592" s="58">
        <f t="shared" si="13"/>
        <v>0.3672581019</v>
      </c>
      <c r="AR592" s="59">
        <f>IF(L592="AUD",O592*'Currency &amp; Conversion'!$L$7,'Wk - Margins'!O592)</f>
        <v>1436.967022</v>
      </c>
      <c r="AS592" s="59">
        <f>IF(L592="AUD",P592*'Currency &amp; Conversion'!$L$7,'Wk - Margins'!P592)</f>
        <v>1149.573618</v>
      </c>
    </row>
    <row r="593" ht="12.75" hidden="1" customHeight="1">
      <c r="A593" s="42" t="str">
        <f>'Input - Bookings'!A593</f>
        <v>28/06/2023</v>
      </c>
      <c r="B593" s="43" t="str">
        <f t="shared" si="1"/>
        <v>Australia</v>
      </c>
      <c r="C593" s="43" t="str">
        <f t="shared" si="2"/>
        <v>PAU</v>
      </c>
      <c r="D593" s="43" t="str">
        <f>'Input - Bookings'!D593</f>
        <v>P</v>
      </c>
      <c r="E593" s="43" t="str">
        <f>'Input - Bookings'!J593</f>
        <v>AU</v>
      </c>
      <c r="F593" s="44" t="str">
        <f>'Input - Bookings'!F593</f>
        <v>065</v>
      </c>
      <c r="G593" s="44" t="str">
        <f>'Input - Bookings'!I593</f>
        <v>UNALLOCATED - HYSTER AUS</v>
      </c>
      <c r="H593" s="45" t="str">
        <f>'Input - Bookings'!K593</f>
        <v>H40047</v>
      </c>
      <c r="I593" s="45" t="str">
        <f>VLOOKUP(H593,'Input - Bookings'!$G$2:$H$611,2,0)</f>
        <v>999000</v>
      </c>
      <c r="J593" s="44" t="str">
        <f>'Input - Bookings'!N593</f>
        <v>A6W9</v>
      </c>
      <c r="K593" s="44" t="str">
        <f>'Input - Bookings'!O593</f>
        <v>PC1.5</v>
      </c>
      <c r="L593" s="44" t="str">
        <f>'Input - Bookings'!C593</f>
        <v>AUD</v>
      </c>
      <c r="M593" s="46" t="str">
        <f t="array" ref="M593">IF(L593="USD",INDEX('AP Plants'!A:A,MATCH(J593,'AP Plants'!D:D,0)),INDEX('Australia Plants'!A:A,MATCH(J593,'Australia Plants'!D:D,0)))</f>
        <v>Staxx</v>
      </c>
      <c r="N593" s="10">
        <v>1.0</v>
      </c>
      <c r="O593" s="9">
        <v>2140.0</v>
      </c>
      <c r="P593" s="9">
        <v>1712.0</v>
      </c>
      <c r="Q593" s="47">
        <v>0.36725810191223773</v>
      </c>
      <c r="R593" s="48">
        <f t="shared" si="3"/>
        <v>0.2</v>
      </c>
      <c r="S593" s="49">
        <f t="shared" si="4"/>
        <v>0</v>
      </c>
      <c r="T593" s="49">
        <f t="shared" si="21"/>
        <v>0.3672581019</v>
      </c>
      <c r="U593" s="50" t="str">
        <f t="shared" si="6"/>
        <v>AOP</v>
      </c>
      <c r="V593" s="51">
        <f t="shared" si="28"/>
        <v>628.7458705</v>
      </c>
      <c r="W593" s="52" t="str">
        <f t="shared" si="8"/>
        <v>#DIV/0!</v>
      </c>
      <c r="X593" s="9" t="str">
        <f t="shared" si="25"/>
        <v>#DIV/0!</v>
      </c>
      <c r="Y593" s="8"/>
      <c r="Z593" s="8"/>
      <c r="AA593" s="8"/>
      <c r="AB593" s="8" t="str">
        <f t="shared" si="10"/>
        <v>PAUH40047PC1.5</v>
      </c>
      <c r="AC593" s="8" t="str">
        <f>IF(AB593='Input - Bookings'!S826,"OK","Check")</f>
        <v>Check</v>
      </c>
      <c r="AD593" s="53"/>
      <c r="AE593" s="65"/>
      <c r="AF593" s="65"/>
      <c r="AG593" s="55">
        <f t="shared" si="49"/>
        <v>641.0258258</v>
      </c>
      <c r="AH593" s="62"/>
      <c r="AI593" s="8" t="str">
        <f t="array" ref="AI593">XLOOKUP($J593,'AP Plants'!D:D,'AP Plants'!B:B)</f>
        <v>Class 3</v>
      </c>
      <c r="AJ593" s="56">
        <f>(AG593*'Currency &amp; Conversion'!$L$6)</f>
        <v>954.6156597</v>
      </c>
      <c r="AK593" s="56"/>
      <c r="AL593" s="49">
        <v>0.015</v>
      </c>
      <c r="AM593" s="49">
        <f t="array" ref="AM593">XLOOKUP($AI593,Warranty!B:B,Warranty!E:E)</f>
        <v>0.015</v>
      </c>
      <c r="AN593" s="8">
        <f>IF($L593="AUD",VLOOKUP(RIGHT('Wk - Margins'!$J593,3),'AU Freight'!C:G,5,0),0)</f>
        <v>100</v>
      </c>
      <c r="AO593" s="49">
        <f t="shared" si="11"/>
        <v>0</v>
      </c>
      <c r="AP593" s="63">
        <f t="shared" si="12"/>
        <v>1083.25413</v>
      </c>
      <c r="AQ593" s="58">
        <f t="shared" si="13"/>
        <v>0.3672581019</v>
      </c>
      <c r="AR593" s="59">
        <f>IF(L593="AUD",O593*'Currency &amp; Conversion'!$L$7,'Wk - Margins'!O593)</f>
        <v>1436.967022</v>
      </c>
      <c r="AS593" s="59">
        <f>IF(L593="AUD",P593*'Currency &amp; Conversion'!$L$7,'Wk - Margins'!P593)</f>
        <v>1149.573618</v>
      </c>
    </row>
    <row r="594" ht="12.75" hidden="1" customHeight="1">
      <c r="A594" s="42" t="str">
        <f>'Input - Bookings'!A594</f>
        <v>28/06/2023</v>
      </c>
      <c r="B594" s="43" t="str">
        <f t="shared" si="1"/>
        <v>Australia</v>
      </c>
      <c r="C594" s="43" t="str">
        <f t="shared" si="2"/>
        <v>PAU</v>
      </c>
      <c r="D594" s="43" t="str">
        <f>'Input - Bookings'!D594</f>
        <v>P</v>
      </c>
      <c r="E594" s="43" t="str">
        <f>'Input - Bookings'!J594</f>
        <v>AU</v>
      </c>
      <c r="F594" s="44" t="str">
        <f>'Input - Bookings'!F594</f>
        <v>065</v>
      </c>
      <c r="G594" s="44" t="str">
        <f>'Input - Bookings'!I594</f>
        <v>UNALLOCATED - HYSTER AUS</v>
      </c>
      <c r="H594" s="45" t="str">
        <f>'Input - Bookings'!K594</f>
        <v>H40012</v>
      </c>
      <c r="I594" s="45" t="str">
        <f>VLOOKUP(H594,'Input - Bookings'!$G$2:$H$611,2,0)</f>
        <v>999000</v>
      </c>
      <c r="J594" s="44" t="str">
        <f>'Input - Bookings'!N594</f>
        <v>A6W9</v>
      </c>
      <c r="K594" s="44" t="str">
        <f>'Input - Bookings'!O594</f>
        <v>PC1.5</v>
      </c>
      <c r="L594" s="44" t="str">
        <f>'Input - Bookings'!C594</f>
        <v>AUD</v>
      </c>
      <c r="M594" s="46" t="str">
        <f t="array" ref="M594">IF(L594="USD",INDEX('AP Plants'!A:A,MATCH(J594,'AP Plants'!D:D,0)),INDEX('Australia Plants'!A:A,MATCH(J594,'Australia Plants'!D:D,0)))</f>
        <v>Staxx</v>
      </c>
      <c r="N594" s="10">
        <v>1.0</v>
      </c>
      <c r="O594" s="9">
        <v>2140.0</v>
      </c>
      <c r="P594" s="9">
        <v>1712.0</v>
      </c>
      <c r="Q594" s="47">
        <v>0.36725810191223773</v>
      </c>
      <c r="R594" s="48">
        <f t="shared" si="3"/>
        <v>0.2</v>
      </c>
      <c r="S594" s="49">
        <f t="shared" si="4"/>
        <v>0</v>
      </c>
      <c r="T594" s="49">
        <f t="shared" si="21"/>
        <v>0.3672581019</v>
      </c>
      <c r="U594" s="50" t="str">
        <f t="shared" si="6"/>
        <v>AOP</v>
      </c>
      <c r="V594" s="51">
        <f t="shared" si="28"/>
        <v>628.7458705</v>
      </c>
      <c r="W594" s="52" t="str">
        <f t="shared" si="8"/>
        <v>#DIV/0!</v>
      </c>
      <c r="X594" s="9" t="str">
        <f t="shared" si="25"/>
        <v>#DIV/0!</v>
      </c>
      <c r="Y594" s="8"/>
      <c r="Z594" s="8"/>
      <c r="AA594" s="8"/>
      <c r="AB594" s="8" t="str">
        <f t="shared" si="10"/>
        <v>PAUH40012PC1.5</v>
      </c>
      <c r="AC594" s="8" t="str">
        <f>IF(AB594='Input - Bookings'!S827,"OK","Check")</f>
        <v>Check</v>
      </c>
      <c r="AD594" s="53"/>
      <c r="AE594" s="65"/>
      <c r="AF594" s="65"/>
      <c r="AG594" s="55">
        <f t="shared" si="49"/>
        <v>641.0258258</v>
      </c>
      <c r="AH594" s="62"/>
      <c r="AI594" s="8" t="str">
        <f t="array" ref="AI594">XLOOKUP($J594,'AP Plants'!D:D,'AP Plants'!B:B)</f>
        <v>Class 3</v>
      </c>
      <c r="AJ594" s="56">
        <f>(AG594*'Currency &amp; Conversion'!$L$6)</f>
        <v>954.6156597</v>
      </c>
      <c r="AK594" s="56"/>
      <c r="AL594" s="49">
        <v>0.015</v>
      </c>
      <c r="AM594" s="49">
        <f t="array" ref="AM594">XLOOKUP($AI594,Warranty!B:B,Warranty!E:E)</f>
        <v>0.015</v>
      </c>
      <c r="AN594" s="8">
        <f>IF($L594="AUD",VLOOKUP(RIGHT('Wk - Margins'!$J594,3),'AU Freight'!C:G,5,0),0)</f>
        <v>100</v>
      </c>
      <c r="AO594" s="49">
        <f t="shared" si="11"/>
        <v>0</v>
      </c>
      <c r="AP594" s="63">
        <f t="shared" si="12"/>
        <v>1083.25413</v>
      </c>
      <c r="AQ594" s="58">
        <f t="shared" si="13"/>
        <v>0.3672581019</v>
      </c>
      <c r="AR594" s="59">
        <f>IF(L594="AUD",O594*'Currency &amp; Conversion'!$L$7,'Wk - Margins'!O594)</f>
        <v>1436.967022</v>
      </c>
      <c r="AS594" s="59">
        <f>IF(L594="AUD",P594*'Currency &amp; Conversion'!$L$7,'Wk - Margins'!P594)</f>
        <v>1149.573618</v>
      </c>
    </row>
    <row r="595" ht="12.75" hidden="1" customHeight="1">
      <c r="A595" s="42" t="str">
        <f>'Input - Bookings'!A595</f>
        <v>28/06/2023</v>
      </c>
      <c r="B595" s="43" t="str">
        <f t="shared" si="1"/>
        <v>Australia</v>
      </c>
      <c r="C595" s="43" t="str">
        <f t="shared" si="2"/>
        <v>PAU</v>
      </c>
      <c r="D595" s="43" t="str">
        <f>'Input - Bookings'!D595</f>
        <v>P</v>
      </c>
      <c r="E595" s="43" t="str">
        <f>'Input - Bookings'!J595</f>
        <v>AU</v>
      </c>
      <c r="F595" s="44" t="str">
        <f>'Input - Bookings'!F595</f>
        <v>065</v>
      </c>
      <c r="G595" s="44" t="str">
        <f>'Input - Bookings'!I595</f>
        <v>UNALLOCATED - HYSTER AUS</v>
      </c>
      <c r="H595" s="45" t="str">
        <f>'Input - Bookings'!K595</f>
        <v>H40013</v>
      </c>
      <c r="I595" s="45" t="str">
        <f>VLOOKUP(H595,'Input - Bookings'!$G$2:$H$611,2,0)</f>
        <v>999000</v>
      </c>
      <c r="J595" s="44" t="str">
        <f>'Input - Bookings'!N595</f>
        <v>A6W9</v>
      </c>
      <c r="K595" s="44" t="str">
        <f>'Input - Bookings'!O595</f>
        <v>PC1.5</v>
      </c>
      <c r="L595" s="44" t="str">
        <f>'Input - Bookings'!C595</f>
        <v>AUD</v>
      </c>
      <c r="M595" s="46" t="str">
        <f t="array" ref="M595">IF(L595="USD",INDEX('AP Plants'!A:A,MATCH(J595,'AP Plants'!D:D,0)),INDEX('Australia Plants'!A:A,MATCH(J595,'Australia Plants'!D:D,0)))</f>
        <v>Staxx</v>
      </c>
      <c r="N595" s="10">
        <v>1.0</v>
      </c>
      <c r="O595" s="9">
        <v>2140.0</v>
      </c>
      <c r="P595" s="9">
        <v>1712.0</v>
      </c>
      <c r="Q595" s="47">
        <v>0.36725810191223773</v>
      </c>
      <c r="R595" s="48">
        <f t="shared" si="3"/>
        <v>0.2</v>
      </c>
      <c r="S595" s="49">
        <f t="shared" si="4"/>
        <v>0</v>
      </c>
      <c r="T595" s="49">
        <f t="shared" si="21"/>
        <v>0.3672581019</v>
      </c>
      <c r="U595" s="50" t="str">
        <f t="shared" si="6"/>
        <v>AOP</v>
      </c>
      <c r="V595" s="51">
        <f t="shared" si="28"/>
        <v>628.7458705</v>
      </c>
      <c r="W595" s="52" t="str">
        <f t="shared" si="8"/>
        <v>#DIV/0!</v>
      </c>
      <c r="X595" s="9" t="str">
        <f t="shared" si="25"/>
        <v>#DIV/0!</v>
      </c>
      <c r="Y595" s="8"/>
      <c r="Z595" s="8"/>
      <c r="AA595" s="8"/>
      <c r="AB595" s="8" t="str">
        <f t="shared" si="10"/>
        <v>PAUH40013PC1.5</v>
      </c>
      <c r="AC595" s="8" t="str">
        <f>IF(AB595='Input - Bookings'!S828,"OK","Check")</f>
        <v>Check</v>
      </c>
      <c r="AD595" s="53"/>
      <c r="AE595" s="65"/>
      <c r="AF595" s="65"/>
      <c r="AG595" s="55">
        <f t="shared" si="49"/>
        <v>641.0258258</v>
      </c>
      <c r="AH595" s="62"/>
      <c r="AI595" s="8" t="str">
        <f t="array" ref="AI595">XLOOKUP($J595,'AP Plants'!D:D,'AP Plants'!B:B)</f>
        <v>Class 3</v>
      </c>
      <c r="AJ595" s="56">
        <f>(AG595*'Currency &amp; Conversion'!$L$6)</f>
        <v>954.6156597</v>
      </c>
      <c r="AK595" s="56"/>
      <c r="AL595" s="49">
        <v>0.015</v>
      </c>
      <c r="AM595" s="49">
        <f t="array" ref="AM595">XLOOKUP($AI595,Warranty!B:B,Warranty!E:E)</f>
        <v>0.015</v>
      </c>
      <c r="AN595" s="8">
        <f>IF($L595="AUD",VLOOKUP(RIGHT('Wk - Margins'!$J595,3),'AU Freight'!C:G,5,0),0)</f>
        <v>100</v>
      </c>
      <c r="AO595" s="49">
        <f t="shared" si="11"/>
        <v>0</v>
      </c>
      <c r="AP595" s="63">
        <f t="shared" si="12"/>
        <v>1083.25413</v>
      </c>
      <c r="AQ595" s="58">
        <f t="shared" si="13"/>
        <v>0.3672581019</v>
      </c>
      <c r="AR595" s="59">
        <f>IF(L595="AUD",O595*'Currency &amp; Conversion'!$L$7,'Wk - Margins'!O595)</f>
        <v>1436.967022</v>
      </c>
      <c r="AS595" s="59">
        <f>IF(L595="AUD",P595*'Currency &amp; Conversion'!$L$7,'Wk - Margins'!P595)</f>
        <v>1149.573618</v>
      </c>
    </row>
    <row r="596" ht="12.75" hidden="1" customHeight="1">
      <c r="A596" s="42" t="str">
        <f>'Input - Bookings'!A596</f>
        <v>28/06/2023</v>
      </c>
      <c r="B596" s="43" t="str">
        <f t="shared" si="1"/>
        <v>Australia</v>
      </c>
      <c r="C596" s="43" t="str">
        <f t="shared" si="2"/>
        <v>PAU</v>
      </c>
      <c r="D596" s="43" t="str">
        <f>'Input - Bookings'!D596</f>
        <v>P</v>
      </c>
      <c r="E596" s="43" t="str">
        <f>'Input - Bookings'!J596</f>
        <v>AU</v>
      </c>
      <c r="F596" s="44" t="str">
        <f>'Input - Bookings'!F596</f>
        <v>065</v>
      </c>
      <c r="G596" s="44" t="str">
        <f>'Input - Bookings'!I596</f>
        <v>UNALLOCATED - HYSTER AUS</v>
      </c>
      <c r="H596" s="45" t="str">
        <f>'Input - Bookings'!K596</f>
        <v>H40014</v>
      </c>
      <c r="I596" s="45" t="str">
        <f>VLOOKUP(H596,'Input - Bookings'!$G$2:$H$611,2,0)</f>
        <v>999000</v>
      </c>
      <c r="J596" s="44" t="str">
        <f>'Input - Bookings'!N596</f>
        <v>A6W9</v>
      </c>
      <c r="K596" s="44" t="str">
        <f>'Input - Bookings'!O596</f>
        <v>PC1.5</v>
      </c>
      <c r="L596" s="44" t="str">
        <f>'Input - Bookings'!C596</f>
        <v>AUD</v>
      </c>
      <c r="M596" s="46" t="str">
        <f t="array" ref="M596">IF(L596="USD",INDEX('AP Plants'!A:A,MATCH(J596,'AP Plants'!D:D,0)),INDEX('Australia Plants'!A:A,MATCH(J596,'Australia Plants'!D:D,0)))</f>
        <v>Staxx</v>
      </c>
      <c r="N596" s="10">
        <v>1.0</v>
      </c>
      <c r="O596" s="9">
        <v>2140.0</v>
      </c>
      <c r="P596" s="9">
        <v>1712.0</v>
      </c>
      <c r="Q596" s="47">
        <v>0.36725810191223773</v>
      </c>
      <c r="R596" s="48">
        <f t="shared" si="3"/>
        <v>0.2</v>
      </c>
      <c r="S596" s="49">
        <f t="shared" si="4"/>
        <v>0</v>
      </c>
      <c r="T596" s="49">
        <f t="shared" si="21"/>
        <v>0.3672581019</v>
      </c>
      <c r="U596" s="50" t="str">
        <f t="shared" si="6"/>
        <v>AOP</v>
      </c>
      <c r="V596" s="51">
        <f t="shared" si="28"/>
        <v>628.7458705</v>
      </c>
      <c r="W596" s="52" t="str">
        <f t="shared" si="8"/>
        <v>#DIV/0!</v>
      </c>
      <c r="X596" s="9" t="str">
        <f t="shared" si="25"/>
        <v>#DIV/0!</v>
      </c>
      <c r="Y596" s="8"/>
      <c r="Z596" s="8"/>
      <c r="AA596" s="8"/>
      <c r="AB596" s="8" t="str">
        <f t="shared" si="10"/>
        <v>PAUH40014PC1.5</v>
      </c>
      <c r="AC596" s="8" t="str">
        <f>IF(AB596='Input - Bookings'!S829,"OK","Check")</f>
        <v>Check</v>
      </c>
      <c r="AD596" s="53"/>
      <c r="AE596" s="65"/>
      <c r="AF596" s="65"/>
      <c r="AG596" s="55">
        <f t="shared" si="49"/>
        <v>641.0258258</v>
      </c>
      <c r="AH596" s="62"/>
      <c r="AI596" s="8" t="str">
        <f t="array" ref="AI596">XLOOKUP($J596,'AP Plants'!D:D,'AP Plants'!B:B)</f>
        <v>Class 3</v>
      </c>
      <c r="AJ596" s="56">
        <f>(AG596*'Currency &amp; Conversion'!$L$6)</f>
        <v>954.6156597</v>
      </c>
      <c r="AK596" s="56"/>
      <c r="AL596" s="49">
        <v>0.015</v>
      </c>
      <c r="AM596" s="49">
        <f t="array" ref="AM596">XLOOKUP($AI596,Warranty!B:B,Warranty!E:E)</f>
        <v>0.015</v>
      </c>
      <c r="AN596" s="8">
        <f>IF($L596="AUD",VLOOKUP(RIGHT('Wk - Margins'!$J596,3),'AU Freight'!C:G,5,0),0)</f>
        <v>100</v>
      </c>
      <c r="AO596" s="49">
        <f t="shared" si="11"/>
        <v>0</v>
      </c>
      <c r="AP596" s="63">
        <f t="shared" si="12"/>
        <v>1083.25413</v>
      </c>
      <c r="AQ596" s="58">
        <f t="shared" si="13"/>
        <v>0.3672581019</v>
      </c>
      <c r="AR596" s="59">
        <f>IF(L596="AUD",O596*'Currency &amp; Conversion'!$L$7,'Wk - Margins'!O596)</f>
        <v>1436.967022</v>
      </c>
      <c r="AS596" s="59">
        <f>IF(L596="AUD",P596*'Currency &amp; Conversion'!$L$7,'Wk - Margins'!P596)</f>
        <v>1149.573618</v>
      </c>
    </row>
    <row r="597" ht="12.75" hidden="1" customHeight="1">
      <c r="A597" s="42" t="str">
        <f>'Input - Bookings'!A597</f>
        <v>28/06/2023</v>
      </c>
      <c r="B597" s="43" t="str">
        <f t="shared" si="1"/>
        <v>Australia</v>
      </c>
      <c r="C597" s="43" t="str">
        <f t="shared" si="2"/>
        <v>PAU</v>
      </c>
      <c r="D597" s="43" t="str">
        <f>'Input - Bookings'!D597</f>
        <v>P</v>
      </c>
      <c r="E597" s="43" t="str">
        <f>'Input - Bookings'!J597</f>
        <v>AU</v>
      </c>
      <c r="F597" s="44" t="str">
        <f>'Input - Bookings'!F597</f>
        <v>065</v>
      </c>
      <c r="G597" s="44" t="str">
        <f>'Input - Bookings'!I597</f>
        <v>UNALLOCATED - HYSTER AUS</v>
      </c>
      <c r="H597" s="45" t="str">
        <f>'Input - Bookings'!K597</f>
        <v>H40015</v>
      </c>
      <c r="I597" s="45" t="str">
        <f>VLOOKUP(H597,'Input - Bookings'!$G$2:$H$611,2,0)</f>
        <v>999000</v>
      </c>
      <c r="J597" s="44" t="str">
        <f>'Input - Bookings'!N597</f>
        <v>A6W9</v>
      </c>
      <c r="K597" s="44" t="str">
        <f>'Input - Bookings'!O597</f>
        <v>PC1.5</v>
      </c>
      <c r="L597" s="44" t="str">
        <f>'Input - Bookings'!C597</f>
        <v>AUD</v>
      </c>
      <c r="M597" s="46" t="str">
        <f t="array" ref="M597">IF(L597="USD",INDEX('AP Plants'!A:A,MATCH(J597,'AP Plants'!D:D,0)),INDEX('Australia Plants'!A:A,MATCH(J597,'Australia Plants'!D:D,0)))</f>
        <v>Staxx</v>
      </c>
      <c r="N597" s="10">
        <v>1.0</v>
      </c>
      <c r="O597" s="9">
        <v>2140.0</v>
      </c>
      <c r="P597" s="9">
        <v>1712.0</v>
      </c>
      <c r="Q597" s="47">
        <v>0.36725810191223773</v>
      </c>
      <c r="R597" s="48">
        <f t="shared" si="3"/>
        <v>0.2</v>
      </c>
      <c r="S597" s="49">
        <f t="shared" si="4"/>
        <v>0</v>
      </c>
      <c r="T597" s="49">
        <f t="shared" si="21"/>
        <v>0.3672581019</v>
      </c>
      <c r="U597" s="50" t="str">
        <f t="shared" si="6"/>
        <v>AOP</v>
      </c>
      <c r="V597" s="51">
        <f t="shared" si="28"/>
        <v>628.7458705</v>
      </c>
      <c r="W597" s="52" t="str">
        <f t="shared" si="8"/>
        <v>#DIV/0!</v>
      </c>
      <c r="X597" s="9" t="str">
        <f t="shared" si="25"/>
        <v>#DIV/0!</v>
      </c>
      <c r="Y597" s="8"/>
      <c r="Z597" s="8"/>
      <c r="AA597" s="8"/>
      <c r="AB597" s="8" t="str">
        <f t="shared" si="10"/>
        <v>PAUH40015PC1.5</v>
      </c>
      <c r="AC597" s="8" t="str">
        <f>IF(AB597='Input - Bookings'!S830,"OK","Check")</f>
        <v>Check</v>
      </c>
      <c r="AD597" s="53"/>
      <c r="AE597" s="65"/>
      <c r="AF597" s="65"/>
      <c r="AG597" s="55">
        <f t="shared" si="49"/>
        <v>641.0258258</v>
      </c>
      <c r="AH597" s="62"/>
      <c r="AI597" s="8" t="str">
        <f t="array" ref="AI597">XLOOKUP($J597,'AP Plants'!D:D,'AP Plants'!B:B)</f>
        <v>Class 3</v>
      </c>
      <c r="AJ597" s="56">
        <f>(AG597*'Currency &amp; Conversion'!$L$6)</f>
        <v>954.6156597</v>
      </c>
      <c r="AK597" s="56"/>
      <c r="AL597" s="49">
        <v>0.015</v>
      </c>
      <c r="AM597" s="49">
        <f t="array" ref="AM597">XLOOKUP($AI597,Warranty!B:B,Warranty!E:E)</f>
        <v>0.015</v>
      </c>
      <c r="AN597" s="8">
        <f>IF($L597="AUD",VLOOKUP(RIGHT('Wk - Margins'!$J597,3),'AU Freight'!C:G,5,0),0)</f>
        <v>100</v>
      </c>
      <c r="AO597" s="49">
        <f t="shared" si="11"/>
        <v>0</v>
      </c>
      <c r="AP597" s="63">
        <f t="shared" si="12"/>
        <v>1083.25413</v>
      </c>
      <c r="AQ597" s="58">
        <f t="shared" si="13"/>
        <v>0.3672581019</v>
      </c>
      <c r="AR597" s="59">
        <f>IF(L597="AUD",O597*'Currency &amp; Conversion'!$L$7,'Wk - Margins'!O597)</f>
        <v>1436.967022</v>
      </c>
      <c r="AS597" s="59">
        <f>IF(L597="AUD",P597*'Currency &amp; Conversion'!$L$7,'Wk - Margins'!P597)</f>
        <v>1149.573618</v>
      </c>
    </row>
    <row r="598" ht="12.75" hidden="1" customHeight="1">
      <c r="A598" s="42" t="str">
        <f>'Input - Bookings'!A598</f>
        <v>28/06/2023</v>
      </c>
      <c r="B598" s="43" t="str">
        <f t="shared" si="1"/>
        <v>Australia</v>
      </c>
      <c r="C598" s="43" t="str">
        <f t="shared" si="2"/>
        <v>PAU</v>
      </c>
      <c r="D598" s="43" t="str">
        <f>'Input - Bookings'!D598</f>
        <v>P</v>
      </c>
      <c r="E598" s="43" t="str">
        <f>'Input - Bookings'!J598</f>
        <v>AU</v>
      </c>
      <c r="F598" s="44" t="str">
        <f>'Input - Bookings'!F598</f>
        <v>065</v>
      </c>
      <c r="G598" s="44" t="str">
        <f>'Input - Bookings'!I598</f>
        <v>UNALLOCATED - HYSTER AUS</v>
      </c>
      <c r="H598" s="45" t="str">
        <f>'Input - Bookings'!K598</f>
        <v>H40016</v>
      </c>
      <c r="I598" s="45" t="str">
        <f>VLOOKUP(H598,'Input - Bookings'!$G$2:$H$611,2,0)</f>
        <v>999000</v>
      </c>
      <c r="J598" s="44" t="str">
        <f>'Input - Bookings'!N598</f>
        <v>A6W9</v>
      </c>
      <c r="K598" s="44" t="str">
        <f>'Input - Bookings'!O598</f>
        <v>PC1.5</v>
      </c>
      <c r="L598" s="44" t="str">
        <f>'Input - Bookings'!C598</f>
        <v>AUD</v>
      </c>
      <c r="M598" s="46" t="str">
        <f t="array" ref="M598">IF(L598="USD",INDEX('AP Plants'!A:A,MATCH(J598,'AP Plants'!D:D,0)),INDEX('Australia Plants'!A:A,MATCH(J598,'Australia Plants'!D:D,0)))</f>
        <v>Staxx</v>
      </c>
      <c r="N598" s="10">
        <v>1.0</v>
      </c>
      <c r="O598" s="9">
        <v>2140.0</v>
      </c>
      <c r="P598" s="9">
        <v>1712.0</v>
      </c>
      <c r="Q598" s="47">
        <v>0.36725810191223773</v>
      </c>
      <c r="R598" s="48">
        <f t="shared" si="3"/>
        <v>0.2</v>
      </c>
      <c r="S598" s="49">
        <f t="shared" si="4"/>
        <v>0</v>
      </c>
      <c r="T598" s="49">
        <f t="shared" si="21"/>
        <v>0.3672581019</v>
      </c>
      <c r="U598" s="50" t="str">
        <f t="shared" si="6"/>
        <v>AOP</v>
      </c>
      <c r="V598" s="51">
        <f t="shared" si="28"/>
        <v>628.7458705</v>
      </c>
      <c r="W598" s="52" t="str">
        <f t="shared" si="8"/>
        <v>#DIV/0!</v>
      </c>
      <c r="X598" s="9" t="str">
        <f t="shared" si="25"/>
        <v>#DIV/0!</v>
      </c>
      <c r="Y598" s="8"/>
      <c r="Z598" s="8"/>
      <c r="AA598" s="8"/>
      <c r="AB598" s="8" t="str">
        <f t="shared" si="10"/>
        <v>PAUH40016PC1.5</v>
      </c>
      <c r="AC598" s="8" t="str">
        <f>IF(AB598='Input - Bookings'!S831,"OK","Check")</f>
        <v>Check</v>
      </c>
      <c r="AD598" s="53"/>
      <c r="AE598" s="65"/>
      <c r="AF598" s="65"/>
      <c r="AG598" s="55">
        <f t="shared" si="49"/>
        <v>641.0258258</v>
      </c>
      <c r="AH598" s="62"/>
      <c r="AI598" s="8" t="str">
        <f t="array" ref="AI598">XLOOKUP($J598,'AP Plants'!D:D,'AP Plants'!B:B)</f>
        <v>Class 3</v>
      </c>
      <c r="AJ598" s="56">
        <f>(AG598*'Currency &amp; Conversion'!$L$6)</f>
        <v>954.6156597</v>
      </c>
      <c r="AK598" s="56"/>
      <c r="AL598" s="49">
        <v>0.015</v>
      </c>
      <c r="AM598" s="49">
        <f t="array" ref="AM598">XLOOKUP($AI598,Warranty!B:B,Warranty!E:E)</f>
        <v>0.015</v>
      </c>
      <c r="AN598" s="8">
        <f>IF($L598="AUD",VLOOKUP(RIGHT('Wk - Margins'!$J598,3),'AU Freight'!C:G,5,0),0)</f>
        <v>100</v>
      </c>
      <c r="AO598" s="49">
        <f t="shared" si="11"/>
        <v>0</v>
      </c>
      <c r="AP598" s="63">
        <f t="shared" si="12"/>
        <v>1083.25413</v>
      </c>
      <c r="AQ598" s="58">
        <f t="shared" si="13"/>
        <v>0.3672581019</v>
      </c>
      <c r="AR598" s="59">
        <f>IF(L598="AUD",O598*'Currency &amp; Conversion'!$L$7,'Wk - Margins'!O598)</f>
        <v>1436.967022</v>
      </c>
      <c r="AS598" s="59">
        <f>IF(L598="AUD",P598*'Currency &amp; Conversion'!$L$7,'Wk - Margins'!P598)</f>
        <v>1149.573618</v>
      </c>
    </row>
    <row r="599" ht="12.75" hidden="1" customHeight="1">
      <c r="A599" s="42" t="str">
        <f>'Input - Bookings'!A599</f>
        <v>29/06/2023</v>
      </c>
      <c r="B599" s="43" t="str">
        <f t="shared" si="1"/>
        <v>Australia</v>
      </c>
      <c r="C599" s="43" t="str">
        <f t="shared" si="2"/>
        <v>PAU</v>
      </c>
      <c r="D599" s="43" t="str">
        <f>'Input - Bookings'!D599</f>
        <v>P</v>
      </c>
      <c r="E599" s="43" t="str">
        <f>'Input - Bookings'!J599</f>
        <v>AU</v>
      </c>
      <c r="F599" s="44" t="str">
        <f>'Input - Bookings'!F599</f>
        <v>065</v>
      </c>
      <c r="G599" s="44" t="str">
        <f>'Input - Bookings'!I599</f>
        <v>ADAPT-A-LIFT GROUP (QLD)</v>
      </c>
      <c r="H599" s="45" t="str">
        <f>'Input - Bookings'!K599</f>
        <v>H41669</v>
      </c>
      <c r="I599" s="45" t="str">
        <f>VLOOKUP(H599,'Input - Bookings'!$G$2:$H$611,2,0)</f>
        <v>087575</v>
      </c>
      <c r="J599" s="44" t="str">
        <f>'Input - Bookings'!N599</f>
        <v>A3C4</v>
      </c>
      <c r="K599" s="44" t="str">
        <f>'Input - Bookings'!O599</f>
        <v>J3.0UT</v>
      </c>
      <c r="L599" s="44" t="str">
        <f>'Input - Bookings'!C599</f>
        <v>AUD</v>
      </c>
      <c r="M599" s="46" t="str">
        <f t="array" ref="M599">IF(L599="USD",INDEX('AP Plants'!A:A,MATCH(J599,'AP Plants'!D:D,0)),INDEX('Australia Plants'!A:A,MATCH(J599,'Australia Plants'!D:D,0)))</f>
        <v>Maximal</v>
      </c>
      <c r="N599" s="10">
        <v>1.0</v>
      </c>
      <c r="O599" s="9">
        <v>46488.0</v>
      </c>
      <c r="P599" s="9">
        <v>38232.4</v>
      </c>
      <c r="Q599" s="47">
        <v>0.19267223441800685</v>
      </c>
      <c r="R599" s="48">
        <f t="shared" si="3"/>
        <v>0.1775856135</v>
      </c>
      <c r="S599" s="49">
        <f t="shared" si="4"/>
        <v>0</v>
      </c>
      <c r="T599" s="49">
        <f t="shared" si="21"/>
        <v>0.1926722344</v>
      </c>
      <c r="U599" s="50" t="str">
        <f t="shared" si="6"/>
        <v>AOP</v>
      </c>
      <c r="V599" s="51">
        <f t="shared" si="28"/>
        <v>7366.321935</v>
      </c>
      <c r="W599" s="52" t="str">
        <f t="shared" si="8"/>
        <v>#DIV/0!</v>
      </c>
      <c r="X599" s="9" t="str">
        <f t="shared" si="25"/>
        <v>#DIV/0!</v>
      </c>
      <c r="Y599" s="8"/>
      <c r="Z599" s="8"/>
      <c r="AA599" s="8"/>
      <c r="AB599" s="8" t="str">
        <f t="shared" si="10"/>
        <v>PAUH41669J3.0UT</v>
      </c>
      <c r="AC599" s="8" t="str">
        <f>IF(AB599='Input - Bookings'!S832,"OK","Check")</f>
        <v>Check</v>
      </c>
      <c r="AD599" s="53"/>
      <c r="AE599" s="65"/>
      <c r="AF599" s="65"/>
      <c r="AG599" s="55"/>
      <c r="AH599" s="62"/>
      <c r="AI599" s="8" t="str">
        <f t="array" ref="AI599">XLOOKUP($J599,'AP Plants'!D:D,'AP Plants'!B:B)</f>
        <v>Class 1</v>
      </c>
      <c r="AJ599" s="56"/>
      <c r="AK599" s="56"/>
      <c r="AL599" s="49">
        <v>0.015</v>
      </c>
      <c r="AM599" s="49">
        <f t="array" ref="AM599">XLOOKUP($AI599,Warranty!B:B,Warranty!E:E)</f>
        <v>0.005</v>
      </c>
      <c r="AN599" s="8">
        <f>IF($L599="AUD",VLOOKUP(RIGHT('Wk - Margins'!$J599,3),'AU Freight'!C:G,5,0),0)</f>
        <v>2000</v>
      </c>
      <c r="AO599" s="49">
        <f t="shared" si="11"/>
        <v>0</v>
      </c>
      <c r="AP599" s="63">
        <f t="shared" si="12"/>
        <v>2000</v>
      </c>
      <c r="AQ599" s="58">
        <f t="shared" si="13"/>
        <v>0.9476883481</v>
      </c>
      <c r="AR599" s="59">
        <f>IF(L599="AUD",O599*'Currency &amp; Conversion'!$L$7,'Wk - Margins'!O599)</f>
        <v>31215.75837</v>
      </c>
      <c r="AS599" s="59">
        <f>IF(L599="AUD",P599*'Currency &amp; Conversion'!$L$7,'Wk - Margins'!P599)</f>
        <v>25672.28877</v>
      </c>
    </row>
    <row r="600" ht="12.75" customHeight="1">
      <c r="A600" s="42" t="str">
        <f>'Input - Bookings'!A600</f>
        <v>29/06/2023</v>
      </c>
      <c r="B600" s="43" t="str">
        <f t="shared" si="1"/>
        <v>Australia</v>
      </c>
      <c r="C600" s="43" t="str">
        <f t="shared" si="2"/>
        <v>PAU</v>
      </c>
      <c r="D600" s="43" t="str">
        <f>'Input - Bookings'!D600</f>
        <v>P</v>
      </c>
      <c r="E600" s="43" t="str">
        <f>'Input - Bookings'!J600</f>
        <v>AU</v>
      </c>
      <c r="F600" s="44" t="str">
        <f>'Input - Bookings'!F600</f>
        <v>065</v>
      </c>
      <c r="G600" s="44" t="str">
        <f>'Input - Bookings'!I600</f>
        <v>ADAPT-A-LIFT GROUP (VIC)</v>
      </c>
      <c r="H600" s="44" t="str">
        <f>'Input - Bookings'!K600</f>
        <v>H41686</v>
      </c>
      <c r="I600" s="45" t="str">
        <f>VLOOKUP(H600,'Input - Bookings'!$G$2:$H$611,2,0)</f>
        <v>087565</v>
      </c>
      <c r="J600" s="44" t="str">
        <f>'Input - Bookings'!N600</f>
        <v>F214</v>
      </c>
      <c r="K600" s="44" t="str">
        <f>'Input - Bookings'!O600</f>
        <v>H10XD-ECD8</v>
      </c>
      <c r="L600" s="44" t="str">
        <f>'Input - Bookings'!C600</f>
        <v>AUD</v>
      </c>
      <c r="M600" s="46" t="str">
        <f t="array" ref="M600">IF(L600="USD",INDEX('AP Plants'!A:A,MATCH(J600,'AP Plants'!D:D,0)),INDEX('Australia Plants'!A:A,MATCH(J600,'Australia Plants'!D:D,0)))</f>
        <v>Nijmegen</v>
      </c>
      <c r="N600" s="10">
        <v>1.0</v>
      </c>
      <c r="O600" s="9">
        <v>551650.0</v>
      </c>
      <c r="P600" s="9">
        <v>494695.63</v>
      </c>
      <c r="Q600" s="47">
        <f t="shared" ref="Q600:Q604" si="50">AQ600</f>
        <v>0.1561239761</v>
      </c>
      <c r="R600" s="48">
        <f t="shared" si="3"/>
        <v>0.103243669</v>
      </c>
      <c r="S600" s="49">
        <f t="shared" si="4"/>
        <v>0</v>
      </c>
      <c r="T600" s="49">
        <f t="shared" si="21"/>
        <v>0.1561239761</v>
      </c>
      <c r="U600" s="50" t="str">
        <f t="shared" si="6"/>
        <v>AOP</v>
      </c>
      <c r="V600" s="51">
        <f t="shared" si="28"/>
        <v>77233.84873</v>
      </c>
      <c r="W600" s="52" t="str">
        <f t="shared" si="8"/>
        <v>#DIV/0!</v>
      </c>
      <c r="X600" s="9" t="str">
        <f t="shared" si="25"/>
        <v>#DIV/0!</v>
      </c>
      <c r="Y600" s="8"/>
      <c r="Z600" s="8"/>
      <c r="AA600" s="8"/>
      <c r="AB600" s="8" t="str">
        <f t="shared" si="10"/>
        <v>PAUH41686H10XD-ECD8</v>
      </c>
      <c r="AC600" s="8" t="str">
        <f>IF(AB600='Input - Bookings'!S833,"OK","Check")</f>
        <v>Check</v>
      </c>
      <c r="AD600" s="53"/>
      <c r="AE600" s="65">
        <v>3986.75</v>
      </c>
      <c r="AF600" s="65">
        <v>3700.0</v>
      </c>
      <c r="AG600" s="62"/>
      <c r="AH600" s="55">
        <v>221515.103191</v>
      </c>
      <c r="AI600" s="8" t="str">
        <f t="array" ref="AI600">XLOOKUP($J600,'AP Plants'!D:D,'AP Plants'!B:B)</f>
        <v>Class 5 BT</v>
      </c>
      <c r="AJ600" s="56">
        <f>(AH600*(1+VLOOKUP(M600,'Currency &amp; Conversion'!$F$13:$H$19,2,0))*'Currency &amp; Conversion'!$L$4)+((AE600+AF600)*90%)</f>
        <v>363137.0884</v>
      </c>
      <c r="AK600" s="56"/>
      <c r="AL600" s="49">
        <v>0.015</v>
      </c>
      <c r="AM600" s="49">
        <f t="array" ref="AM600">XLOOKUP($AI600,Warranty!B:B,Warranty!E:E)</f>
        <v>0.013</v>
      </c>
      <c r="AN600" s="8">
        <f>IF($L600="AUD",VLOOKUP(RIGHT('Wk - Margins'!$J600,3),'AU Freight'!C:G,5,0),0)</f>
        <v>26000</v>
      </c>
      <c r="AO600" s="49">
        <f t="shared" si="11"/>
        <v>0.05</v>
      </c>
      <c r="AP600" s="63">
        <f t="shared" si="12"/>
        <v>417461.7813</v>
      </c>
      <c r="AQ600" s="64">
        <f t="shared" si="13"/>
        <v>0.1561239761</v>
      </c>
      <c r="AR600" s="59">
        <f>IF(L600="AUD",O600*'Currency &amp; Conversion'!$L$7,'Wk - Margins'!O600)</f>
        <v>370421.8961</v>
      </c>
      <c r="AS600" s="59">
        <f>IF(L600="AUD",P600*'Currency &amp; Conversion'!$L$7,'Wk - Margins'!P600)</f>
        <v>332178.1805</v>
      </c>
    </row>
    <row r="601" ht="12.75" customHeight="1">
      <c r="A601" s="42" t="str">
        <f>'Input - Bookings'!A601</f>
        <v>29/06/2023</v>
      </c>
      <c r="B601" s="43" t="str">
        <f t="shared" si="1"/>
        <v>Australia</v>
      </c>
      <c r="C601" s="43" t="str">
        <f t="shared" si="2"/>
        <v>PAU</v>
      </c>
      <c r="D601" s="43" t="str">
        <f>'Input - Bookings'!D601</f>
        <v>P</v>
      </c>
      <c r="E601" s="43" t="str">
        <f>'Input - Bookings'!J601</f>
        <v>AU</v>
      </c>
      <c r="F601" s="44" t="str">
        <f>'Input - Bookings'!F601</f>
        <v>065</v>
      </c>
      <c r="G601" s="44" t="str">
        <f>'Input - Bookings'!I601</f>
        <v>ADAPT-A-LIFT GROUP (VIC)</v>
      </c>
      <c r="H601" s="44" t="str">
        <f>'Input - Bookings'!K601</f>
        <v>H41687</v>
      </c>
      <c r="I601" s="45" t="str">
        <f>VLOOKUP(H601,'Input - Bookings'!$G$2:$H$611,2,0)</f>
        <v>087565</v>
      </c>
      <c r="J601" s="44" t="str">
        <f>'Input - Bookings'!N601</f>
        <v>F214</v>
      </c>
      <c r="K601" s="44" t="str">
        <f>'Input - Bookings'!O601</f>
        <v>H10XD-ECD8</v>
      </c>
      <c r="L601" s="44" t="str">
        <f>'Input - Bookings'!C601</f>
        <v>AUD</v>
      </c>
      <c r="M601" s="46" t="str">
        <f t="array" ref="M601">IF(L601="USD",INDEX('AP Plants'!A:A,MATCH(J601,'AP Plants'!D:D,0)),INDEX('Australia Plants'!A:A,MATCH(J601,'Australia Plants'!D:D,0)))</f>
        <v>Nijmegen</v>
      </c>
      <c r="N601" s="10">
        <v>1.0</v>
      </c>
      <c r="O601" s="9">
        <v>551650.0</v>
      </c>
      <c r="P601" s="9">
        <v>494695.63</v>
      </c>
      <c r="Q601" s="47">
        <f t="shared" si="50"/>
        <v>0.1561239761</v>
      </c>
      <c r="R601" s="48">
        <f t="shared" si="3"/>
        <v>0.103243669</v>
      </c>
      <c r="S601" s="49">
        <f t="shared" si="4"/>
        <v>0</v>
      </c>
      <c r="T601" s="49">
        <f t="shared" si="21"/>
        <v>0.1561239761</v>
      </c>
      <c r="U601" s="50" t="str">
        <f t="shared" si="6"/>
        <v>AOP</v>
      </c>
      <c r="V601" s="51">
        <f t="shared" si="28"/>
        <v>77233.84873</v>
      </c>
      <c r="W601" s="52" t="str">
        <f t="shared" si="8"/>
        <v>#DIV/0!</v>
      </c>
      <c r="X601" s="9" t="str">
        <f t="shared" si="25"/>
        <v>#DIV/0!</v>
      </c>
      <c r="Y601" s="8"/>
      <c r="Z601" s="8"/>
      <c r="AA601" s="8"/>
      <c r="AB601" s="8" t="str">
        <f t="shared" si="10"/>
        <v>PAUH41687H10XD-ECD8</v>
      </c>
      <c r="AC601" s="8" t="str">
        <f>IF(AB601='Input - Bookings'!S834,"OK","Check")</f>
        <v>Check</v>
      </c>
      <c r="AD601" s="53"/>
      <c r="AE601" s="65">
        <v>3986.75</v>
      </c>
      <c r="AF601" s="65">
        <v>3700.0</v>
      </c>
      <c r="AG601" s="62"/>
      <c r="AH601" s="55">
        <v>221515.103191</v>
      </c>
      <c r="AI601" s="8" t="str">
        <f t="array" ref="AI601">XLOOKUP($J601,'AP Plants'!D:D,'AP Plants'!B:B)</f>
        <v>Class 5 BT</v>
      </c>
      <c r="AJ601" s="56">
        <f>(AH601*(1+VLOOKUP(M601,'Currency &amp; Conversion'!$F$13:$H$19,2,0))*'Currency &amp; Conversion'!$L$4)+((AE601+AF601)*90%)</f>
        <v>363137.0884</v>
      </c>
      <c r="AK601" s="56"/>
      <c r="AL601" s="49">
        <v>0.015</v>
      </c>
      <c r="AM601" s="49">
        <f t="array" ref="AM601">XLOOKUP($AI601,Warranty!B:B,Warranty!E:E)</f>
        <v>0.013</v>
      </c>
      <c r="AN601" s="8">
        <f>IF($L601="AUD",VLOOKUP(RIGHT('Wk - Margins'!$J601,3),'AU Freight'!C:G,5,0),0)</f>
        <v>26000</v>
      </c>
      <c r="AO601" s="49">
        <f t="shared" si="11"/>
        <v>0.05</v>
      </c>
      <c r="AP601" s="63">
        <f t="shared" si="12"/>
        <v>417461.7813</v>
      </c>
      <c r="AQ601" s="64">
        <f t="shared" si="13"/>
        <v>0.1561239761</v>
      </c>
      <c r="AR601" s="59">
        <f>IF(L601="AUD",O601*'Currency &amp; Conversion'!$L$7,'Wk - Margins'!O601)</f>
        <v>370421.8961</v>
      </c>
      <c r="AS601" s="59">
        <f>IF(L601="AUD",P601*'Currency &amp; Conversion'!$L$7,'Wk - Margins'!P601)</f>
        <v>332178.1805</v>
      </c>
    </row>
    <row r="602" ht="12.75" customHeight="1">
      <c r="A602" s="42" t="str">
        <f>'Input - Bookings'!A602</f>
        <v>29/06/2023</v>
      </c>
      <c r="B602" s="43" t="str">
        <f t="shared" si="1"/>
        <v>Australia</v>
      </c>
      <c r="C602" s="43" t="str">
        <f t="shared" si="2"/>
        <v>PAU</v>
      </c>
      <c r="D602" s="43" t="str">
        <f>'Input - Bookings'!D602</f>
        <v>P</v>
      </c>
      <c r="E602" s="43" t="str">
        <f>'Input - Bookings'!J602</f>
        <v>AU</v>
      </c>
      <c r="F602" s="44" t="str">
        <f>'Input - Bookings'!F602</f>
        <v>065</v>
      </c>
      <c r="G602" s="44" t="str">
        <f>'Input - Bookings'!I602</f>
        <v>ADAPT-A-LIFT GROUP (NSW)</v>
      </c>
      <c r="H602" s="44" t="str">
        <f>'Input - Bookings'!K602</f>
        <v>H41668</v>
      </c>
      <c r="I602" s="45" t="str">
        <f>VLOOKUP(H602,'Input - Bookings'!$G$2:$H$611,2,0)</f>
        <v>087585</v>
      </c>
      <c r="J602" s="44" t="str">
        <f>'Input - Bookings'!N602</f>
        <v>E264</v>
      </c>
      <c r="K602" s="44" t="str">
        <f>'Input - Bookings'!O602</f>
        <v>N35ZR3</v>
      </c>
      <c r="L602" s="44" t="str">
        <f>'Input - Bookings'!C602</f>
        <v>AUD</v>
      </c>
      <c r="M602" s="46" t="str">
        <f t="array" ref="M602">IF(L602="USD",INDEX('AP Plants'!A:A,MATCH(J602,'AP Plants'!D:D,0)),INDEX('Australia Plants'!A:A,MATCH(J602,'Australia Plants'!D:D,0)))</f>
        <v>Greenville</v>
      </c>
      <c r="N602" s="10">
        <v>1.0</v>
      </c>
      <c r="O602" s="9">
        <v>56105.0</v>
      </c>
      <c r="P602" s="9">
        <v>54573.425</v>
      </c>
      <c r="Q602" s="47">
        <f t="shared" si="50"/>
        <v>0.1271647686</v>
      </c>
      <c r="R602" s="48">
        <f t="shared" si="3"/>
        <v>0.02729836913</v>
      </c>
      <c r="S602" s="49">
        <f t="shared" si="4"/>
        <v>0</v>
      </c>
      <c r="T602" s="49">
        <f t="shared" si="21"/>
        <v>0.1271647686</v>
      </c>
      <c r="U602" s="50" t="str">
        <f t="shared" si="6"/>
        <v>AOP</v>
      </c>
      <c r="V602" s="51">
        <f t="shared" si="28"/>
        <v>6939.81696</v>
      </c>
      <c r="W602" s="52" t="str">
        <f t="shared" si="8"/>
        <v>#DIV/0!</v>
      </c>
      <c r="X602" s="9" t="str">
        <f t="shared" si="25"/>
        <v>#DIV/0!</v>
      </c>
      <c r="Y602" s="8"/>
      <c r="Z602" s="8"/>
      <c r="AA602" s="8"/>
      <c r="AB602" s="8" t="str">
        <f t="shared" si="10"/>
        <v>PAUH41668N35ZR3</v>
      </c>
      <c r="AC602" s="8" t="str">
        <f>IF(AB602='Input - Bookings'!S835,"OK","Check")</f>
        <v>Check</v>
      </c>
      <c r="AD602" s="53"/>
      <c r="AE602" s="65">
        <v>0.0</v>
      </c>
      <c r="AF602" s="65">
        <v>0.0</v>
      </c>
      <c r="AG602" s="55">
        <v>28026.983351</v>
      </c>
      <c r="AH602" s="62"/>
      <c r="AI602" s="8" t="str">
        <f t="array" ref="AI602">XLOOKUP($J602,'AP Plants'!D:D,'AP Plants'!B:B)</f>
        <v>Class 2</v>
      </c>
      <c r="AJ602" s="56">
        <f>(AG602*(1+VLOOKUP(M602,'Currency &amp; Conversion'!$F$13:$H$19,2,0))*'Currency &amp; Conversion'!$L$6)+((AE602+AF602)*90%)</f>
        <v>41775.34761</v>
      </c>
      <c r="AK602" s="56"/>
      <c r="AL602" s="49">
        <v>0.015</v>
      </c>
      <c r="AM602" s="49">
        <f t="array" ref="AM602">XLOOKUP($AI602,Warranty!B:B,Warranty!E:E)</f>
        <v>0.015</v>
      </c>
      <c r="AN602" s="8">
        <f>IF($L602="AUD",VLOOKUP(RIGHT('Wk - Margins'!$J602,3),'AU Freight'!C:G,5,0),0)</f>
        <v>4605</v>
      </c>
      <c r="AO602" s="49">
        <f t="shared" si="11"/>
        <v>0</v>
      </c>
      <c r="AP602" s="63">
        <f t="shared" si="12"/>
        <v>47633.60804</v>
      </c>
      <c r="AQ602" s="64">
        <f t="shared" si="13"/>
        <v>0.1271647686</v>
      </c>
      <c r="AR602" s="59">
        <f>IF(L602="AUD",O602*'Currency &amp; Conversion'!$L$7,'Wk - Margins'!O602)</f>
        <v>37673.38073</v>
      </c>
      <c r="AS602" s="59">
        <f>IF(L602="AUD",P602*'Currency &amp; Conversion'!$L$7,'Wk - Margins'!P602)</f>
        <v>36644.95888</v>
      </c>
    </row>
    <row r="603" ht="12.75" customHeight="1">
      <c r="A603" s="42" t="str">
        <f>'Input - Bookings'!A603</f>
        <v>29/06/2023</v>
      </c>
      <c r="B603" s="43" t="str">
        <f t="shared" si="1"/>
        <v>Australia</v>
      </c>
      <c r="C603" s="43" t="str">
        <f t="shared" si="2"/>
        <v>PAU</v>
      </c>
      <c r="D603" s="43" t="str">
        <f>'Input - Bookings'!D603</f>
        <v>P</v>
      </c>
      <c r="E603" s="43" t="str">
        <f>'Input - Bookings'!J603</f>
        <v>AU</v>
      </c>
      <c r="F603" s="44" t="str">
        <f>'Input - Bookings'!F603</f>
        <v>065</v>
      </c>
      <c r="G603" s="44" t="str">
        <f>'Input - Bookings'!I603</f>
        <v>ADAPT-A-LIFT GROUP (WA)</v>
      </c>
      <c r="H603" s="44" t="str">
        <f>'Input - Bookings'!K603</f>
        <v>H41666</v>
      </c>
      <c r="I603" s="45" t="str">
        <f>VLOOKUP(H603,'Input - Bookings'!$G$2:$H$611,2,0)</f>
        <v>087605</v>
      </c>
      <c r="J603" s="44" t="str">
        <f>'Input - Bookings'!N603</f>
        <v>U005</v>
      </c>
      <c r="K603" s="44" t="str">
        <f>'Input - Bookings'!O603</f>
        <v>H4.0FT6</v>
      </c>
      <c r="L603" s="44" t="str">
        <f>'Input - Bookings'!C603</f>
        <v>AUD</v>
      </c>
      <c r="M603" s="46" t="str">
        <f t="array" ref="M603">IF(L603="USD",INDEX('AP Plants'!A:A,MATCH(J603,'AP Plants'!D:D,0)),INDEX('Australia Plants'!A:A,MATCH(J603,'Australia Plants'!D:D,0)))</f>
        <v>Craigavon</v>
      </c>
      <c r="N603" s="10">
        <v>1.0</v>
      </c>
      <c r="O603" s="9">
        <v>95025.0</v>
      </c>
      <c r="P603" s="9">
        <v>78796.03</v>
      </c>
      <c r="Q603" s="47">
        <f t="shared" si="50"/>
        <v>0.2190779608</v>
      </c>
      <c r="R603" s="48">
        <f t="shared" si="3"/>
        <v>0.1707863194</v>
      </c>
      <c r="S603" s="49">
        <f t="shared" si="4"/>
        <v>0</v>
      </c>
      <c r="T603" s="49">
        <f t="shared" si="21"/>
        <v>0.2190779608</v>
      </c>
      <c r="U603" s="50" t="str">
        <f t="shared" si="6"/>
        <v>AOP</v>
      </c>
      <c r="V603" s="51">
        <f t="shared" si="28"/>
        <v>17262.47357</v>
      </c>
      <c r="W603" s="52" t="str">
        <f t="shared" si="8"/>
        <v>#DIV/0!</v>
      </c>
      <c r="X603" s="9" t="str">
        <f t="shared" si="25"/>
        <v>#DIV/0!</v>
      </c>
      <c r="Y603" s="8"/>
      <c r="Z603" s="8"/>
      <c r="AA603" s="8"/>
      <c r="AB603" s="8" t="str">
        <f t="shared" si="10"/>
        <v>PAUH41666H4.0FT6</v>
      </c>
      <c r="AC603" s="8" t="str">
        <f>IF(AB603='Input - Bookings'!S836,"OK","Check")</f>
        <v>Check</v>
      </c>
      <c r="AD603" s="53"/>
      <c r="AE603" s="65">
        <v>0.0</v>
      </c>
      <c r="AF603" s="65">
        <v>0.0</v>
      </c>
      <c r="AG603" s="55"/>
      <c r="AH603" s="55">
        <v>35582.22</v>
      </c>
      <c r="AI603" s="8" t="str">
        <f t="array" ref="AI603">XLOOKUP($J603,'AP Plants'!D:D,'AP Plants'!B:B)</f>
        <v>Class 5 NOT BT</v>
      </c>
      <c r="AJ603" s="56">
        <f>(AH603*(1+VLOOKUP(M603,'Currency &amp; Conversion'!$F$13:$H$19,2,0))*'Currency &amp; Conversion'!$L$4)+((AE603+AF603)*90%)</f>
        <v>56542.70238</v>
      </c>
      <c r="AK603" s="56"/>
      <c r="AL603" s="49">
        <v>0.015</v>
      </c>
      <c r="AM603" s="49">
        <f t="array" ref="AM603">XLOOKUP($AI603,Warranty!B:B,Warranty!E:E)</f>
        <v>0.005</v>
      </c>
      <c r="AN603" s="8">
        <f>IF($L603="AUD",VLOOKUP(RIGHT('Wk - Margins'!$J603,3),'AU Freight'!C:G,5,0),0)</f>
        <v>3860</v>
      </c>
      <c r="AO603" s="49">
        <f t="shared" si="11"/>
        <v>0</v>
      </c>
      <c r="AP603" s="63">
        <f t="shared" si="12"/>
        <v>61533.55643</v>
      </c>
      <c r="AQ603" s="64">
        <f t="shared" si="13"/>
        <v>0.2190779608</v>
      </c>
      <c r="AR603" s="59">
        <f>IF(L603="AUD",O603*'Currency &amp; Conversion'!$L$7,'Wk - Margins'!O603)</f>
        <v>63807.37909</v>
      </c>
      <c r="AS603" s="59">
        <f>IF(L603="AUD",P603*'Currency &amp; Conversion'!$L$7,'Wk - Margins'!P603)</f>
        <v>52909.95167</v>
      </c>
    </row>
    <row r="604" ht="12.75" customHeight="1">
      <c r="A604" s="42" t="str">
        <f>'Input - Bookings'!A604</f>
        <v>29/06/2023</v>
      </c>
      <c r="B604" s="43" t="str">
        <f t="shared" si="1"/>
        <v>Australia</v>
      </c>
      <c r="C604" s="43" t="str">
        <f t="shared" si="2"/>
        <v>PAU</v>
      </c>
      <c r="D604" s="43" t="str">
        <f>'Input - Bookings'!D604</f>
        <v>P</v>
      </c>
      <c r="E604" s="43" t="str">
        <f>'Input - Bookings'!J604</f>
        <v>AU</v>
      </c>
      <c r="F604" s="44" t="str">
        <f>'Input - Bookings'!F604</f>
        <v>065</v>
      </c>
      <c r="G604" s="44" t="str">
        <f>'Input - Bookings'!I604</f>
        <v>ADAPT-A-LIFT GROUP (WA)</v>
      </c>
      <c r="H604" s="44" t="str">
        <f>'Input - Bookings'!K604</f>
        <v>H41667</v>
      </c>
      <c r="I604" s="45" t="str">
        <f>VLOOKUP(H604,'Input - Bookings'!$G$2:$H$611,2,0)</f>
        <v>087605</v>
      </c>
      <c r="J604" s="44" t="str">
        <f>'Input - Bookings'!N604</f>
        <v>U005</v>
      </c>
      <c r="K604" s="44" t="str">
        <f>'Input - Bookings'!O604</f>
        <v>H4.0FT6</v>
      </c>
      <c r="L604" s="44" t="str">
        <f>'Input - Bookings'!C604</f>
        <v>AUD</v>
      </c>
      <c r="M604" s="46" t="str">
        <f t="array" ref="M604">IF(L604="USD",INDEX('AP Plants'!A:A,MATCH(J604,'AP Plants'!D:D,0)),INDEX('Australia Plants'!A:A,MATCH(J604,'Australia Plants'!D:D,0)))</f>
        <v>Craigavon</v>
      </c>
      <c r="N604" s="10">
        <v>1.0</v>
      </c>
      <c r="O604" s="9">
        <v>95025.0</v>
      </c>
      <c r="P604" s="9">
        <v>78796.03</v>
      </c>
      <c r="Q604" s="47">
        <f t="shared" si="50"/>
        <v>0.2190779608</v>
      </c>
      <c r="R604" s="48">
        <f t="shared" si="3"/>
        <v>0.1707863194</v>
      </c>
      <c r="S604" s="49">
        <f t="shared" si="4"/>
        <v>0</v>
      </c>
      <c r="T604" s="49">
        <f t="shared" si="21"/>
        <v>0.2190779608</v>
      </c>
      <c r="U604" s="50" t="str">
        <f t="shared" si="6"/>
        <v>AOP</v>
      </c>
      <c r="V604" s="51">
        <f t="shared" si="28"/>
        <v>17262.47357</v>
      </c>
      <c r="W604" s="52" t="str">
        <f t="shared" si="8"/>
        <v>#DIV/0!</v>
      </c>
      <c r="X604" s="9" t="str">
        <f t="shared" si="25"/>
        <v>#DIV/0!</v>
      </c>
      <c r="Y604" s="8"/>
      <c r="Z604" s="8"/>
      <c r="AA604" s="8"/>
      <c r="AB604" s="8" t="str">
        <f t="shared" si="10"/>
        <v>PAUH41667H4.0FT6</v>
      </c>
      <c r="AC604" s="8" t="str">
        <f>IF(AB604='Input - Bookings'!S837,"OK","Check")</f>
        <v>Check</v>
      </c>
      <c r="AD604" s="53"/>
      <c r="AE604" s="65">
        <v>0.0</v>
      </c>
      <c r="AF604" s="65">
        <v>0.0</v>
      </c>
      <c r="AG604" s="55"/>
      <c r="AH604" s="55">
        <v>35582.22</v>
      </c>
      <c r="AI604" s="8" t="str">
        <f t="array" ref="AI604">XLOOKUP($J604,'AP Plants'!D:D,'AP Plants'!B:B)</f>
        <v>Class 5 NOT BT</v>
      </c>
      <c r="AJ604" s="56">
        <f>(AH604*(1+VLOOKUP(M604,'Currency &amp; Conversion'!$F$13:$H$19,2,0))*'Currency &amp; Conversion'!$L$4)+((AE604+AF604)*90%)</f>
        <v>56542.70238</v>
      </c>
      <c r="AK604" s="56"/>
      <c r="AL604" s="49">
        <v>0.015</v>
      </c>
      <c r="AM604" s="49">
        <f t="array" ref="AM604">XLOOKUP($AI604,Warranty!B:B,Warranty!E:E)</f>
        <v>0.005</v>
      </c>
      <c r="AN604" s="8">
        <f>IF($L604="AUD",VLOOKUP(RIGHT('Wk - Margins'!$J604,3),'AU Freight'!C:G,5,0),0)</f>
        <v>3860</v>
      </c>
      <c r="AO604" s="49">
        <f t="shared" si="11"/>
        <v>0</v>
      </c>
      <c r="AP604" s="63">
        <f t="shared" si="12"/>
        <v>61533.55643</v>
      </c>
      <c r="AQ604" s="64">
        <f t="shared" si="13"/>
        <v>0.2190779608</v>
      </c>
      <c r="AR604" s="59">
        <f>IF(L604="AUD",O604*'Currency &amp; Conversion'!$L$7,'Wk - Margins'!O604)</f>
        <v>63807.37909</v>
      </c>
      <c r="AS604" s="59">
        <f>IF(L604="AUD",P604*'Currency &amp; Conversion'!$L$7,'Wk - Margins'!P604)</f>
        <v>52909.95167</v>
      </c>
    </row>
    <row r="605" ht="12.75" hidden="1" customHeight="1">
      <c r="A605" s="42" t="str">
        <f>'Input - Bookings'!A605</f>
        <v>29/06/2023</v>
      </c>
      <c r="B605" s="43" t="str">
        <f t="shared" si="1"/>
        <v>Australia</v>
      </c>
      <c r="C605" s="43" t="str">
        <f t="shared" si="2"/>
        <v>PAU</v>
      </c>
      <c r="D605" s="43" t="str">
        <f>'Input - Bookings'!D605</f>
        <v>P</v>
      </c>
      <c r="E605" s="43" t="str">
        <f>'Input - Bookings'!J605</f>
        <v>AU</v>
      </c>
      <c r="F605" s="44" t="str">
        <f>'Input - Bookings'!F605</f>
        <v>065</v>
      </c>
      <c r="G605" s="44" t="str">
        <f>'Input - Bookings'!I605</f>
        <v>ADAPT-A-LIFT GROUP (WA)</v>
      </c>
      <c r="H605" s="44" t="str">
        <f>'Input - Bookings'!K605</f>
        <v>H41670</v>
      </c>
      <c r="I605" s="45" t="str">
        <f>VLOOKUP(H605,'Input - Bookings'!$G$2:$H$611,2,0)</f>
        <v>087605</v>
      </c>
      <c r="J605" s="44" t="str">
        <f>'Input - Bookings'!N605</f>
        <v>A3C6</v>
      </c>
      <c r="K605" s="44" t="str">
        <f>'Input - Bookings'!O605</f>
        <v>H5.0UT</v>
      </c>
      <c r="L605" s="44" t="str">
        <f>'Input - Bookings'!C605</f>
        <v>AUD</v>
      </c>
      <c r="M605" s="46" t="str">
        <f t="array" ref="M605">IF(L605="USD",INDEX('AP Plants'!A:A,MATCH(J605,'AP Plants'!D:D,0)),INDEX('Australia Plants'!A:A,MATCH(J605,'Australia Plants'!D:D,0)))</f>
        <v>Maximal</v>
      </c>
      <c r="N605" s="10">
        <v>1.0</v>
      </c>
      <c r="O605" s="9">
        <v>57910.0</v>
      </c>
      <c r="P605" s="9">
        <v>45694.4545</v>
      </c>
      <c r="Q605" s="47">
        <v>0.2773100727103188</v>
      </c>
      <c r="R605" s="48">
        <f t="shared" si="3"/>
        <v>0.2109401744</v>
      </c>
      <c r="S605" s="49">
        <f t="shared" si="4"/>
        <v>0</v>
      </c>
      <c r="T605" s="49">
        <f t="shared" si="21"/>
        <v>0.2773100727</v>
      </c>
      <c r="U605" s="50" t="str">
        <f t="shared" si="6"/>
        <v>AOP</v>
      </c>
      <c r="V605" s="51">
        <f t="shared" si="28"/>
        <v>12671.5325</v>
      </c>
      <c r="W605" s="52" t="str">
        <f t="shared" si="8"/>
        <v>#DIV/0!</v>
      </c>
      <c r="X605" s="9" t="str">
        <f t="shared" si="25"/>
        <v>#DIV/0!</v>
      </c>
      <c r="Y605" s="8"/>
      <c r="Z605" s="8"/>
      <c r="AA605" s="8"/>
      <c r="AB605" s="8" t="str">
        <f t="shared" si="10"/>
        <v>PAUH41670H5.0UT</v>
      </c>
      <c r="AC605" s="8" t="str">
        <f>IF(AB605='Input - Bookings'!S838,"OK","Check")</f>
        <v>Check</v>
      </c>
      <c r="AD605" s="53"/>
      <c r="AE605" s="65"/>
      <c r="AF605" s="65"/>
      <c r="AG605" s="55"/>
      <c r="AH605" s="62"/>
      <c r="AI605" s="8" t="str">
        <f t="array" ref="AI605">XLOOKUP($J605,'AP Plants'!D:D,'AP Plants'!B:B)</f>
        <v>Class 5 NOT BT</v>
      </c>
      <c r="AJ605" s="56"/>
      <c r="AK605" s="56"/>
      <c r="AL605" s="49">
        <v>0.015</v>
      </c>
      <c r="AM605" s="49">
        <f t="array" ref="AM605">XLOOKUP($AI605,Warranty!B:B,Warranty!E:E)</f>
        <v>0.005</v>
      </c>
      <c r="AN605" s="8">
        <f>IF($L605="AUD",VLOOKUP(RIGHT('Wk - Margins'!$J605,3),'AU Freight'!C:G,5,0),0)</f>
        <v>2000</v>
      </c>
      <c r="AO605" s="49">
        <f t="shared" si="11"/>
        <v>0</v>
      </c>
      <c r="AP605" s="63">
        <f t="shared" si="12"/>
        <v>2000</v>
      </c>
      <c r="AQ605" s="58">
        <f t="shared" si="13"/>
        <v>0.9562310127</v>
      </c>
      <c r="AR605" s="59">
        <f>IF(L605="AUD",O605*'Currency &amp; Conversion'!$L$7,'Wk - Margins'!O605)</f>
        <v>38885.40198</v>
      </c>
      <c r="AS605" s="59">
        <f>IF(L605="AUD",P605*'Currency &amp; Conversion'!$L$7,'Wk - Margins'!P605)</f>
        <v>30682.9085</v>
      </c>
    </row>
    <row r="606" ht="12.75" hidden="1" customHeight="1">
      <c r="A606" s="42" t="str">
        <f>'Input - Bookings'!A606</f>
        <v>29/06/2023</v>
      </c>
      <c r="B606" s="43" t="str">
        <f t="shared" si="1"/>
        <v>Australia</v>
      </c>
      <c r="C606" s="43" t="str">
        <f t="shared" si="2"/>
        <v>PAU</v>
      </c>
      <c r="D606" s="43" t="str">
        <f>'Input - Bookings'!D606</f>
        <v>P</v>
      </c>
      <c r="E606" s="43" t="str">
        <f>'Input - Bookings'!J606</f>
        <v>AU</v>
      </c>
      <c r="F606" s="44" t="str">
        <f>'Input - Bookings'!F606</f>
        <v>067</v>
      </c>
      <c r="G606" s="44" t="str">
        <f>'Input - Bookings'!I606</f>
        <v>ADAPT-A-LIFT GROUP (VIC)</v>
      </c>
      <c r="H606" s="44" t="str">
        <f>'Input - Bookings'!K606</f>
        <v>H41684</v>
      </c>
      <c r="I606" s="45" t="str">
        <f>VLOOKUP(H606,'Input - Bookings'!$G$2:$H$611,2,0)</f>
        <v>087625</v>
      </c>
      <c r="J606" s="44" t="str">
        <f>'Input - Bookings'!N606</f>
        <v>A7S6</v>
      </c>
      <c r="K606" s="44" t="str">
        <f>'Input - Bookings'!O606</f>
        <v>GP50UXS6</v>
      </c>
      <c r="L606" s="44" t="str">
        <f>'Input - Bookings'!C606</f>
        <v>AUD</v>
      </c>
      <c r="M606" s="46" t="str">
        <f t="array" ref="M606">IF(L606="USD",INDEX('AP Plants'!A:A,MATCH(J606,'AP Plants'!D:D,0)),INDEX('Australia Plants'!A:A,MATCH(J606,'Australia Plants'!D:D,0)))</f>
        <v>Maximal</v>
      </c>
      <c r="N606" s="10">
        <v>1.0</v>
      </c>
      <c r="O606" s="9">
        <v>58651.0</v>
      </c>
      <c r="P606" s="9">
        <v>42804.8</v>
      </c>
      <c r="Q606" s="47">
        <v>0.23205494404269877</v>
      </c>
      <c r="R606" s="48">
        <f t="shared" si="3"/>
        <v>0.2701778316</v>
      </c>
      <c r="S606" s="49">
        <f t="shared" si="4"/>
        <v>0</v>
      </c>
      <c r="T606" s="49">
        <f t="shared" si="21"/>
        <v>0.232054944</v>
      </c>
      <c r="U606" s="50" t="str">
        <f t="shared" si="6"/>
        <v>AOP</v>
      </c>
      <c r="V606" s="51">
        <f t="shared" si="28"/>
        <v>9933.065469</v>
      </c>
      <c r="W606" s="52" t="str">
        <f t="shared" si="8"/>
        <v>#DIV/0!</v>
      </c>
      <c r="X606" s="9" t="str">
        <f t="shared" si="25"/>
        <v>#DIV/0!</v>
      </c>
      <c r="Y606" s="8"/>
      <c r="Z606" s="8"/>
      <c r="AA606" s="8"/>
      <c r="AB606" s="8" t="str">
        <f t="shared" si="10"/>
        <v>PAUH41684GP50UXS6</v>
      </c>
      <c r="AC606" s="8" t="str">
        <f>IF(AB606='Input - Bookings'!S839,"OK","Check")</f>
        <v>Check</v>
      </c>
      <c r="AD606" s="53"/>
      <c r="AE606" s="65"/>
      <c r="AF606" s="65"/>
      <c r="AG606" s="55"/>
      <c r="AH606" s="62"/>
      <c r="AI606" s="8" t="str">
        <f t="array" ref="AI606">XLOOKUP($J606,'AP Plants'!D:D,'AP Plants'!B:B)</f>
        <v>Class 5 NOT BT</v>
      </c>
      <c r="AJ606" s="56"/>
      <c r="AK606" s="56"/>
      <c r="AL606" s="49">
        <v>0.015</v>
      </c>
      <c r="AM606" s="49">
        <f t="array" ref="AM606">XLOOKUP($AI606,Warranty!B:B,Warranty!E:E)</f>
        <v>0.005</v>
      </c>
      <c r="AN606" s="8">
        <f>IF($L606="AUD",VLOOKUP(RIGHT('Wk - Margins'!$J606,3),'AU Freight'!C:G,5,0),0)</f>
        <v>2000</v>
      </c>
      <c r="AO606" s="49">
        <f t="shared" si="11"/>
        <v>0</v>
      </c>
      <c r="AP606" s="63">
        <f t="shared" si="12"/>
        <v>2000</v>
      </c>
      <c r="AQ606" s="58">
        <f t="shared" si="13"/>
        <v>0.9532762681</v>
      </c>
      <c r="AR606" s="59">
        <f>IF(L606="AUD",O606*'Currency &amp; Conversion'!$L$7,'Wk - Margins'!O606)</f>
        <v>39382.9686</v>
      </c>
      <c r="AS606" s="59">
        <f>IF(L606="AUD",P606*'Currency &amp; Conversion'!$L$7,'Wk - Margins'!P606)</f>
        <v>28742.56354</v>
      </c>
    </row>
    <row r="607" ht="12.75" hidden="1" customHeight="1">
      <c r="A607" s="42" t="str">
        <f>'Input - Bookings'!A607</f>
        <v>29/06/2023</v>
      </c>
      <c r="B607" s="43" t="str">
        <f t="shared" si="1"/>
        <v>Australia</v>
      </c>
      <c r="C607" s="43" t="str">
        <f t="shared" si="2"/>
        <v>PAU</v>
      </c>
      <c r="D607" s="43" t="str">
        <f>'Input - Bookings'!D607</f>
        <v>P</v>
      </c>
      <c r="E607" s="43" t="str">
        <f>'Input - Bookings'!J607</f>
        <v>AU</v>
      </c>
      <c r="F607" s="44" t="str">
        <f>'Input - Bookings'!F607</f>
        <v>067</v>
      </c>
      <c r="G607" s="44" t="str">
        <f>'Input - Bookings'!I607</f>
        <v>ADAPT-A-LIFT GROUP (VIC)</v>
      </c>
      <c r="H607" s="44" t="str">
        <f>'Input - Bookings'!K607</f>
        <v>H41685</v>
      </c>
      <c r="I607" s="45" t="str">
        <f>VLOOKUP(H607,'Input - Bookings'!$G$2:$H$611,2,0)</f>
        <v>087625</v>
      </c>
      <c r="J607" s="44" t="str">
        <f>'Input - Bookings'!N607</f>
        <v>A7S6</v>
      </c>
      <c r="K607" s="44" t="str">
        <f>'Input - Bookings'!O607</f>
        <v>GP50UXS6</v>
      </c>
      <c r="L607" s="44" t="str">
        <f>'Input - Bookings'!C607</f>
        <v>AUD</v>
      </c>
      <c r="M607" s="46" t="str">
        <f t="array" ref="M607">IF(L607="USD",INDEX('AP Plants'!A:A,MATCH(J607,'AP Plants'!D:D,0)),INDEX('Australia Plants'!A:A,MATCH(J607,'Australia Plants'!D:D,0)))</f>
        <v>Maximal</v>
      </c>
      <c r="N607" s="10">
        <v>1.0</v>
      </c>
      <c r="O607" s="9">
        <v>58651.0</v>
      </c>
      <c r="P607" s="9">
        <v>42804.8</v>
      </c>
      <c r="Q607" s="47">
        <v>0.23205494404269877</v>
      </c>
      <c r="R607" s="48">
        <f t="shared" si="3"/>
        <v>0.2701778316</v>
      </c>
      <c r="S607" s="49">
        <f t="shared" si="4"/>
        <v>0</v>
      </c>
      <c r="T607" s="49">
        <f t="shared" si="21"/>
        <v>0.232054944</v>
      </c>
      <c r="U607" s="50" t="str">
        <f t="shared" si="6"/>
        <v>AOP</v>
      </c>
      <c r="V607" s="51">
        <f t="shared" si="28"/>
        <v>9933.065469</v>
      </c>
      <c r="W607" s="52" t="str">
        <f t="shared" si="8"/>
        <v>#DIV/0!</v>
      </c>
      <c r="X607" s="9" t="str">
        <f t="shared" si="25"/>
        <v>#DIV/0!</v>
      </c>
      <c r="Y607" s="8"/>
      <c r="Z607" s="8"/>
      <c r="AA607" s="8"/>
      <c r="AB607" s="8" t="str">
        <f t="shared" si="10"/>
        <v>PAUH41685GP50UXS6</v>
      </c>
      <c r="AC607" s="8" t="str">
        <f>IF(AB607='Input - Bookings'!S840,"OK","Check")</f>
        <v>Check</v>
      </c>
      <c r="AD607" s="53"/>
      <c r="AE607" s="65"/>
      <c r="AF607" s="65"/>
      <c r="AG607" s="55"/>
      <c r="AH607" s="62"/>
      <c r="AI607" s="8" t="str">
        <f t="array" ref="AI607">XLOOKUP($J607,'AP Plants'!D:D,'AP Plants'!B:B)</f>
        <v>Class 5 NOT BT</v>
      </c>
      <c r="AJ607" s="56"/>
      <c r="AK607" s="56"/>
      <c r="AL607" s="49">
        <v>0.015</v>
      </c>
      <c r="AM607" s="49">
        <f t="array" ref="AM607">XLOOKUP($AI607,Warranty!B:B,Warranty!E:E)</f>
        <v>0.005</v>
      </c>
      <c r="AN607" s="8">
        <f>IF($L607="AUD",VLOOKUP(RIGHT('Wk - Margins'!$J607,3),'AU Freight'!C:G,5,0),0)</f>
        <v>2000</v>
      </c>
      <c r="AO607" s="49">
        <f t="shared" si="11"/>
        <v>0</v>
      </c>
      <c r="AP607" s="63">
        <f t="shared" si="12"/>
        <v>2000</v>
      </c>
      <c r="AQ607" s="58">
        <f t="shared" si="13"/>
        <v>0.9532762681</v>
      </c>
      <c r="AR607" s="59">
        <f>IF(L607="AUD",O607*'Currency &amp; Conversion'!$L$7,'Wk - Margins'!O607)</f>
        <v>39382.9686</v>
      </c>
      <c r="AS607" s="59">
        <f>IF(L607="AUD",P607*'Currency &amp; Conversion'!$L$7,'Wk - Margins'!P607)</f>
        <v>28742.56354</v>
      </c>
    </row>
    <row r="608" ht="12.75" hidden="1" customHeight="1">
      <c r="A608" s="42" t="str">
        <f>'Input - Bookings'!A608</f>
        <v>29/06/2023</v>
      </c>
      <c r="B608" s="43" t="str">
        <f t="shared" si="1"/>
        <v>Pacific</v>
      </c>
      <c r="C608" s="43" t="str">
        <f t="shared" si="2"/>
        <v>PNZ</v>
      </c>
      <c r="D608" s="43" t="str">
        <f>'Input - Bookings'!D608</f>
        <v>P</v>
      </c>
      <c r="E608" s="43" t="str">
        <f>'Input - Bookings'!J608</f>
        <v>NZ</v>
      </c>
      <c r="F608" s="44" t="str">
        <f>'Input - Bookings'!F608</f>
        <v>067</v>
      </c>
      <c r="G608" s="44" t="str">
        <f>'Input - Bookings'!I608</f>
        <v>S.G EQUIPMENT LTD</v>
      </c>
      <c r="H608" s="44" t="str">
        <f>'Input - Bookings'!K608</f>
        <v>H41656</v>
      </c>
      <c r="I608" s="45" t="str">
        <f>VLOOKUP(H608,'Input - Bookings'!$G$2:$H$611,2,0)</f>
        <v>862065</v>
      </c>
      <c r="J608" s="44" t="str">
        <f>'Input - Bookings'!N608</f>
        <v>A7S5</v>
      </c>
      <c r="K608" s="44" t="str">
        <f>'Input - Bookings'!O608</f>
        <v>ERP20UXT</v>
      </c>
      <c r="L608" s="44" t="str">
        <f>'Input - Bookings'!C608</f>
        <v>USD</v>
      </c>
      <c r="M608" s="46" t="str">
        <f t="array" ref="M608">IF(L608="USD",INDEX('AP Plants'!A:A,MATCH(J608,'AP Plants'!D:D,0)),INDEX('Australia Plants'!A:A,MATCH(J608,'Australia Plants'!D:D,0)))</f>
        <v>Maximal</v>
      </c>
      <c r="N608" s="10">
        <v>1.0</v>
      </c>
      <c r="O608" s="9">
        <v>22045.0</v>
      </c>
      <c r="P608" s="9">
        <v>17636.0</v>
      </c>
      <c r="Q608" s="47">
        <v>0.29171495608022413</v>
      </c>
      <c r="R608" s="48">
        <f t="shared" si="3"/>
        <v>0.2</v>
      </c>
      <c r="S608" s="49">
        <f t="shared" si="4"/>
        <v>0</v>
      </c>
      <c r="T608" s="49">
        <f t="shared" si="21"/>
        <v>0.2917149561</v>
      </c>
      <c r="U608" s="50" t="str">
        <f t="shared" si="6"/>
        <v>AOP</v>
      </c>
      <c r="V608" s="51">
        <f t="shared" si="28"/>
        <v>5144.684965</v>
      </c>
      <c r="W608" s="52">
        <f t="shared" si="8"/>
        <v>5144.684965</v>
      </c>
      <c r="X608" s="9">
        <f t="shared" si="25"/>
        <v>17636</v>
      </c>
      <c r="Y608" s="8"/>
      <c r="Z608" s="8"/>
      <c r="AA608" s="8"/>
      <c r="AB608" s="8" t="str">
        <f t="shared" si="10"/>
        <v>PNZH41656ERP20UXT</v>
      </c>
      <c r="AC608" s="8" t="str">
        <f>IF(AB608='Input - Bookings'!S841,"OK","Check")</f>
        <v>Check</v>
      </c>
      <c r="AD608" s="53"/>
      <c r="AE608" s="65"/>
      <c r="AF608" s="65"/>
      <c r="AG608" s="55"/>
      <c r="AH608" s="62"/>
      <c r="AI608" s="8" t="str">
        <f t="array" ref="AI608">XLOOKUP($J608,'AP Plants'!D:D,'AP Plants'!B:B)</f>
        <v>Class 1</v>
      </c>
      <c r="AJ608" s="56"/>
      <c r="AK608" s="56"/>
      <c r="AL608" s="49">
        <v>0.015</v>
      </c>
      <c r="AM608" s="49">
        <f t="array" ref="AM608">XLOOKUP($AI608,Warranty!B:B,Warranty!E:E)</f>
        <v>0.005</v>
      </c>
      <c r="AN608" s="8">
        <f>IF($L608="AUD",VLOOKUP(RIGHT('Wk - Margins'!$J608,3),'AU Freight'!C:G,5,0),0)</f>
        <v>0</v>
      </c>
      <c r="AO608" s="49">
        <f t="shared" si="11"/>
        <v>0</v>
      </c>
      <c r="AP608" s="57">
        <f t="shared" si="12"/>
        <v>0</v>
      </c>
      <c r="AQ608" s="58">
        <f t="shared" si="13"/>
        <v>1</v>
      </c>
      <c r="AR608" s="59">
        <f>IF(L608="AUD",O608*'Currency &amp; Conversion'!$L$7,'Wk - Margins'!O608)</f>
        <v>22045</v>
      </c>
      <c r="AS608" s="59">
        <f>IF(L608="AUD",P608*'Currency &amp; Conversion'!$L$7,'Wk - Margins'!P608)</f>
        <v>17636</v>
      </c>
    </row>
    <row r="609" ht="12.75" hidden="1" customHeight="1">
      <c r="A609" s="42" t="str">
        <f>'Input - Bookings'!A609</f>
        <v>29/06/2023</v>
      </c>
      <c r="B609" s="43" t="str">
        <f t="shared" si="1"/>
        <v>Pacific</v>
      </c>
      <c r="C609" s="43" t="str">
        <f t="shared" si="2"/>
        <v>PNZ</v>
      </c>
      <c r="D609" s="43" t="str">
        <f>'Input - Bookings'!D609</f>
        <v>P</v>
      </c>
      <c r="E609" s="43" t="str">
        <f>'Input - Bookings'!J609</f>
        <v>NZ</v>
      </c>
      <c r="F609" s="44" t="str">
        <f>'Input - Bookings'!F609</f>
        <v>067</v>
      </c>
      <c r="G609" s="44" t="str">
        <f>'Input - Bookings'!I609</f>
        <v>S.G EQUIPMENT LTD</v>
      </c>
      <c r="H609" s="44" t="str">
        <f>'Input - Bookings'!K609</f>
        <v>H41657</v>
      </c>
      <c r="I609" s="45" t="str">
        <f>VLOOKUP(H609,'Input - Bookings'!$G$2:$H$611,2,0)</f>
        <v>862065</v>
      </c>
      <c r="J609" s="44" t="str">
        <f>'Input - Bookings'!N609</f>
        <v>A7S5</v>
      </c>
      <c r="K609" s="44" t="str">
        <f>'Input - Bookings'!O609</f>
        <v>ERP20UXT</v>
      </c>
      <c r="L609" s="44" t="str">
        <f>'Input - Bookings'!C609</f>
        <v>USD</v>
      </c>
      <c r="M609" s="46" t="str">
        <f t="array" ref="M609">IF(L609="USD",INDEX('AP Plants'!A:A,MATCH(J609,'AP Plants'!D:D,0)),INDEX('Australia Plants'!A:A,MATCH(J609,'Australia Plants'!D:D,0)))</f>
        <v>Maximal</v>
      </c>
      <c r="N609" s="10">
        <v>1.0</v>
      </c>
      <c r="O609" s="9">
        <v>22045.0</v>
      </c>
      <c r="P609" s="9">
        <v>17636.0</v>
      </c>
      <c r="Q609" s="47">
        <v>0.29171495608022413</v>
      </c>
      <c r="R609" s="48">
        <f t="shared" si="3"/>
        <v>0.2</v>
      </c>
      <c r="S609" s="49">
        <f t="shared" si="4"/>
        <v>0</v>
      </c>
      <c r="T609" s="49">
        <f t="shared" si="21"/>
        <v>0.2917149561</v>
      </c>
      <c r="U609" s="50" t="str">
        <f t="shared" si="6"/>
        <v>AOP</v>
      </c>
      <c r="V609" s="51">
        <f t="shared" si="28"/>
        <v>5144.684965</v>
      </c>
      <c r="W609" s="52">
        <f t="shared" si="8"/>
        <v>5144.684965</v>
      </c>
      <c r="X609" s="9">
        <f t="shared" si="25"/>
        <v>17636</v>
      </c>
      <c r="Y609" s="8"/>
      <c r="Z609" s="8"/>
      <c r="AA609" s="8"/>
      <c r="AB609" s="8" t="str">
        <f t="shared" si="10"/>
        <v>PNZH41657ERP20UXT</v>
      </c>
      <c r="AC609" s="8" t="str">
        <f>IF(AB609='Input - Bookings'!S842,"OK","Check")</f>
        <v>Check</v>
      </c>
      <c r="AD609" s="53"/>
      <c r="AE609" s="65"/>
      <c r="AF609" s="65"/>
      <c r="AG609" s="55"/>
      <c r="AH609" s="62"/>
      <c r="AI609" s="8" t="str">
        <f t="array" ref="AI609">XLOOKUP($J609,'AP Plants'!D:D,'AP Plants'!B:B)</f>
        <v>Class 1</v>
      </c>
      <c r="AJ609" s="56"/>
      <c r="AK609" s="56"/>
      <c r="AL609" s="49">
        <v>0.015</v>
      </c>
      <c r="AM609" s="49">
        <f t="array" ref="AM609">XLOOKUP($AI609,Warranty!B:B,Warranty!E:E)</f>
        <v>0.005</v>
      </c>
      <c r="AN609" s="8">
        <f>IF($L609="AUD",VLOOKUP(RIGHT('Wk - Margins'!$J609,3),'AU Freight'!C:G,5,0),0)</f>
        <v>0</v>
      </c>
      <c r="AO609" s="49">
        <f t="shared" si="11"/>
        <v>0</v>
      </c>
      <c r="AP609" s="57">
        <f t="shared" si="12"/>
        <v>0</v>
      </c>
      <c r="AQ609" s="58">
        <f t="shared" si="13"/>
        <v>1</v>
      </c>
      <c r="AR609" s="59">
        <f>IF(L609="AUD",O609*'Currency &amp; Conversion'!$L$7,'Wk - Margins'!O609)</f>
        <v>22045</v>
      </c>
      <c r="AS609" s="59">
        <f>IF(L609="AUD",P609*'Currency &amp; Conversion'!$L$7,'Wk - Margins'!P609)</f>
        <v>17636</v>
      </c>
    </row>
    <row r="610" ht="12.75" customHeight="1">
      <c r="A610" s="42" t="str">
        <f>'Input - Bookings'!A610</f>
        <v>29/06/2023</v>
      </c>
      <c r="B610" s="43" t="str">
        <f t="shared" si="1"/>
        <v>Pacific</v>
      </c>
      <c r="C610" s="43" t="str">
        <f t="shared" si="2"/>
        <v>PNZ</v>
      </c>
      <c r="D610" s="43" t="str">
        <f>'Input - Bookings'!D610</f>
        <v>P</v>
      </c>
      <c r="E610" s="43" t="str">
        <f>'Input - Bookings'!J610</f>
        <v>NZ</v>
      </c>
      <c r="F610" s="44" t="str">
        <f>'Input - Bookings'!F610</f>
        <v>067</v>
      </c>
      <c r="G610" s="44" t="str">
        <f>'Input - Bookings'!I610</f>
        <v>S.G EQUIPMENT LTD</v>
      </c>
      <c r="H610" s="44" t="str">
        <f>'Input - Bookings'!K610</f>
        <v>H41658</v>
      </c>
      <c r="I610" s="45" t="str">
        <f>VLOOKUP(H610,'Input - Bookings'!$G$2:$H$611,2,0)</f>
        <v>862065</v>
      </c>
      <c r="J610" s="44" t="str">
        <f>'Input - Bookings'!N610</f>
        <v>D849</v>
      </c>
      <c r="K610" s="44" t="str">
        <f>'Input - Bookings'!O610</f>
        <v>MR20HD</v>
      </c>
      <c r="L610" s="44" t="str">
        <f>'Input - Bookings'!C610</f>
        <v>USD</v>
      </c>
      <c r="M610" s="46" t="str">
        <f t="array" ref="M610">IF(L610="USD",INDEX('AP Plants'!A:A,MATCH(J610,'AP Plants'!D:D,0)),INDEX('Australia Plants'!A:A,MATCH(J610,'Australia Plants'!D:D,0)))</f>
        <v>Masate</v>
      </c>
      <c r="N610" s="10">
        <v>1.0</v>
      </c>
      <c r="O610" s="9">
        <v>87260.0</v>
      </c>
      <c r="P610" s="9">
        <v>54992.26</v>
      </c>
      <c r="Q610" s="47">
        <f>AQ610</f>
        <v>0.3344155537</v>
      </c>
      <c r="R610" s="48">
        <f t="shared" si="3"/>
        <v>0.3697884483</v>
      </c>
      <c r="S610" s="49">
        <f t="shared" si="4"/>
        <v>0</v>
      </c>
      <c r="T610" s="49">
        <f t="shared" si="21"/>
        <v>0.3344155537</v>
      </c>
      <c r="U610" s="50" t="str">
        <f t="shared" si="6"/>
        <v>AOP</v>
      </c>
      <c r="V610" s="51">
        <f t="shared" si="28"/>
        <v>18390.26708</v>
      </c>
      <c r="W610" s="52">
        <f t="shared" si="8"/>
        <v>18390.26708</v>
      </c>
      <c r="X610" s="9">
        <f t="shared" si="25"/>
        <v>54992.26</v>
      </c>
      <c r="Y610" s="8"/>
      <c r="Z610" s="8"/>
      <c r="AA610" s="8"/>
      <c r="AB610" s="8" t="str">
        <f t="shared" si="10"/>
        <v>PNZH41658MR20HD</v>
      </c>
      <c r="AC610" s="8" t="str">
        <f>IF(AB610='Input - Bookings'!S843,"OK","Check")</f>
        <v>Check</v>
      </c>
      <c r="AD610" s="53"/>
      <c r="AE610" s="65">
        <v>1759.45</v>
      </c>
      <c r="AF610" s="65">
        <v>0.0</v>
      </c>
      <c r="AG610" s="62"/>
      <c r="AH610" s="55">
        <v>31851.34</v>
      </c>
      <c r="AI610" s="8" t="str">
        <f t="array" ref="AI610">XLOOKUP($J610,'AP Plants'!D:D,'AP Plants'!B:B)</f>
        <v>Class 2</v>
      </c>
      <c r="AJ610" s="56"/>
      <c r="AK610" s="56">
        <f>(AH610*(1+VLOOKUP(M610,'Currency &amp; Conversion'!$F$13:$G$19,2,0))*'Currency &amp; Conversion'!$L$3)+((AE610+AF610)*90%)</f>
        <v>35535.91546</v>
      </c>
      <c r="AL610" s="49">
        <v>0.015</v>
      </c>
      <c r="AM610" s="49">
        <f t="array" ref="AM610">XLOOKUP($AI610,Warranty!B:B,Warranty!E:E)</f>
        <v>0.015</v>
      </c>
      <c r="AN610" s="8">
        <f>IF($L610="AUD",VLOOKUP(RIGHT('Wk - Margins'!$J610,3),'AU Freight'!C:G,5,0),0)</f>
        <v>0</v>
      </c>
      <c r="AO610" s="49">
        <f t="shared" si="11"/>
        <v>0</v>
      </c>
      <c r="AP610" s="63">
        <f t="shared" si="12"/>
        <v>36601.99292</v>
      </c>
      <c r="AQ610" s="64">
        <f t="shared" si="13"/>
        <v>0.3344155537</v>
      </c>
      <c r="AR610" s="59">
        <f>IF(L610="AUD",O610*'Currency &amp; Conversion'!$L$7,'Wk - Margins'!O610)</f>
        <v>87260</v>
      </c>
      <c r="AS610" s="59">
        <f>IF(L610="AUD",P610*'Currency &amp; Conversion'!$L$7,'Wk - Margins'!P610)</f>
        <v>54992.26</v>
      </c>
    </row>
    <row r="611" ht="12.75" hidden="1" customHeight="1">
      <c r="A611" s="42" t="str">
        <f>'Input - Bookings'!A611</f>
        <v>30/06/2023</v>
      </c>
      <c r="B611" s="43" t="str">
        <f t="shared" si="1"/>
        <v>Australia</v>
      </c>
      <c r="C611" s="43" t="str">
        <f t="shared" si="2"/>
        <v>PAU</v>
      </c>
      <c r="D611" s="43" t="str">
        <f>'Input - Bookings'!D611</f>
        <v>P</v>
      </c>
      <c r="E611" s="43" t="str">
        <f>'Input - Bookings'!J611</f>
        <v>AU</v>
      </c>
      <c r="F611" s="44" t="str">
        <f>'Input - Bookings'!F611</f>
        <v>065</v>
      </c>
      <c r="G611" s="44" t="str">
        <f>'Input - Bookings'!I611</f>
        <v>ADAPT-A-LIFT GROUP (VIC)</v>
      </c>
      <c r="H611" s="44" t="str">
        <f>'Input - Bookings'!K611</f>
        <v>H41688</v>
      </c>
      <c r="I611" s="45" t="str">
        <f>VLOOKUP(H611,'Input - Bookings'!$G$2:$H$611,2,0)</f>
        <v>087565</v>
      </c>
      <c r="J611" s="44" t="str">
        <f>'Input - Bookings'!N611</f>
        <v>A406</v>
      </c>
      <c r="K611" s="44" t="str">
        <f>'Input - Bookings'!O611</f>
        <v>R1.6 406</v>
      </c>
      <c r="L611" s="44" t="str">
        <f>'Input - Bookings'!C611</f>
        <v>AUD</v>
      </c>
      <c r="M611" s="46" t="str">
        <f t="array" ref="M611">IF(L611="USD",INDEX('AP Plants'!A:A,MATCH(J611,'AP Plants'!D:D,0)),INDEX('Australia Plants'!A:A,MATCH(J611,'Australia Plants'!D:D,0)))</f>
        <v>Maximal</v>
      </c>
      <c r="N611" s="10">
        <v>1.0</v>
      </c>
      <c r="O611" s="9">
        <v>50675.0</v>
      </c>
      <c r="P611" s="9">
        <v>33077.75</v>
      </c>
      <c r="Q611" s="47">
        <v>0.06037812904429285</v>
      </c>
      <c r="R611" s="48">
        <f t="shared" si="3"/>
        <v>0.3472570301</v>
      </c>
      <c r="S611" s="49">
        <f t="shared" si="4"/>
        <v>0</v>
      </c>
      <c r="T611" s="49">
        <f t="shared" si="21"/>
        <v>0.06037812904</v>
      </c>
      <c r="U611" s="50" t="str">
        <f t="shared" si="6"/>
        <v>AOP</v>
      </c>
      <c r="V611" s="51">
        <f t="shared" si="28"/>
        <v>1997.172658</v>
      </c>
      <c r="W611" s="52" t="str">
        <f t="shared" si="8"/>
        <v>#DIV/0!</v>
      </c>
      <c r="X611" s="9" t="str">
        <f t="shared" si="25"/>
        <v>#DIV/0!</v>
      </c>
      <c r="Y611" s="8"/>
      <c r="Z611" s="8"/>
      <c r="AA611" s="8"/>
      <c r="AB611" s="8" t="str">
        <f t="shared" si="10"/>
        <v>PAUH41688R1.6 406</v>
      </c>
      <c r="AC611" s="8" t="str">
        <f>IF(AB611='Input - Bookings'!S844,"OK","Check")</f>
        <v>Check</v>
      </c>
      <c r="AD611" s="53"/>
      <c r="AE611" s="65"/>
      <c r="AF611" s="65"/>
      <c r="AG611" s="55"/>
      <c r="AH611" s="62"/>
      <c r="AI611" s="8" t="str">
        <f t="array" ref="AI611">XLOOKUP($J611,'AP Plants'!D:D,'AP Plants'!B:B)</f>
        <v>Class 2</v>
      </c>
      <c r="AJ611" s="56"/>
      <c r="AK611" s="56"/>
      <c r="AL611" s="49">
        <v>0.015</v>
      </c>
      <c r="AM611" s="49">
        <f t="array" ref="AM611">XLOOKUP($AI611,Warranty!B:B,Warranty!E:E)</f>
        <v>0.015</v>
      </c>
      <c r="AN611" s="8">
        <f>IF($L611="AUD",VLOOKUP(RIGHT('Wk - Margins'!$J611,3),'AU Freight'!C:G,5,0),0)</f>
        <v>2000</v>
      </c>
      <c r="AO611" s="49">
        <f t="shared" si="11"/>
        <v>0</v>
      </c>
      <c r="AP611" s="63">
        <f t="shared" si="12"/>
        <v>2000</v>
      </c>
      <c r="AQ611" s="58">
        <f t="shared" si="13"/>
        <v>0.9395363953</v>
      </c>
      <c r="AR611" s="59">
        <f>IF(L611="AUD",O611*'Currency &amp; Conversion'!$L$7,'Wk - Margins'!O611)</f>
        <v>34027.24478</v>
      </c>
      <c r="AS611" s="59">
        <f>IF(L611="AUD",P611*'Currency &amp; Conversion'!$L$7,'Wk - Margins'!P611)</f>
        <v>22211.04482</v>
      </c>
    </row>
    <row r="612" ht="12.75" hidden="1" customHeight="1">
      <c r="A612" s="43"/>
      <c r="B612" s="43"/>
      <c r="C612" s="43"/>
      <c r="D612" s="44"/>
      <c r="E612" s="44"/>
      <c r="F612" s="44"/>
      <c r="G612" s="44"/>
      <c r="H612" s="44"/>
      <c r="I612" s="44"/>
      <c r="J612" s="44" t="s">
        <v>50</v>
      </c>
      <c r="K612" s="44" t="s">
        <v>51</v>
      </c>
      <c r="L612" s="44" t="s">
        <v>36</v>
      </c>
      <c r="M612" s="46" t="str">
        <f t="array" ref="M612">IF(L612="USD",INDEX('AP Plants'!A:A,MATCH(J612,'AP Plants'!D:D,0)),INDEX('Australia Plants'!A:A,MATCH(J612,'Australia Plants'!D:D,0)))</f>
        <v>SN</v>
      </c>
      <c r="N612" s="10">
        <v>1.0</v>
      </c>
      <c r="O612" s="9"/>
      <c r="P612" s="9"/>
      <c r="Q612" s="47"/>
      <c r="R612" s="67"/>
      <c r="S612" s="8"/>
      <c r="T612" s="8"/>
      <c r="U612" s="8"/>
      <c r="V612" s="8"/>
      <c r="W612" s="8"/>
      <c r="X612" s="9"/>
      <c r="Y612" s="8"/>
      <c r="Z612" s="8"/>
      <c r="AA612" s="8"/>
      <c r="AB612" s="8"/>
      <c r="AC612" s="8"/>
      <c r="AD612" s="8"/>
      <c r="AE612" s="59"/>
      <c r="AF612" s="59"/>
      <c r="AG612" s="8"/>
      <c r="AH612" s="8"/>
      <c r="AI612" s="8"/>
      <c r="AJ612" s="54"/>
      <c r="AK612" s="54"/>
      <c r="AL612" s="8"/>
      <c r="AM612" s="8"/>
      <c r="AN612" s="8"/>
      <c r="AO612" s="49"/>
      <c r="AP612" s="68"/>
      <c r="AQ612" s="69"/>
      <c r="AR612" s="8"/>
      <c r="AS612" s="8"/>
    </row>
    <row r="613" ht="12.75" customHeight="1">
      <c r="A613" s="43"/>
      <c r="B613" s="43"/>
      <c r="C613" s="43"/>
      <c r="D613" s="44"/>
      <c r="E613" s="44"/>
      <c r="F613" s="44"/>
      <c r="G613" s="44"/>
      <c r="H613" s="44"/>
      <c r="I613" s="44"/>
      <c r="J613" s="44"/>
      <c r="K613" s="44"/>
      <c r="L613" s="44"/>
      <c r="M613" s="46"/>
      <c r="N613" s="10"/>
      <c r="O613" s="9"/>
      <c r="P613" s="9"/>
      <c r="Q613" s="47"/>
      <c r="R613" s="67"/>
      <c r="S613" s="8"/>
      <c r="T613" s="8"/>
      <c r="U613" s="8"/>
      <c r="V613" s="8"/>
      <c r="W613" s="8"/>
      <c r="X613" s="9"/>
      <c r="Y613" s="8"/>
      <c r="Z613" s="8"/>
      <c r="AA613" s="8"/>
      <c r="AB613" s="8"/>
      <c r="AC613" s="8"/>
      <c r="AD613" s="8"/>
      <c r="AE613" s="59"/>
      <c r="AF613" s="59"/>
      <c r="AG613" s="8"/>
      <c r="AH613" s="8"/>
      <c r="AI613" s="8"/>
      <c r="AJ613" s="54"/>
      <c r="AK613" s="54"/>
      <c r="AL613" s="8"/>
      <c r="AM613" s="8"/>
      <c r="AN613" s="8"/>
      <c r="AO613" s="49"/>
      <c r="AP613" s="68"/>
      <c r="AQ613" s="69"/>
      <c r="AR613" s="8"/>
      <c r="AS613" s="8"/>
    </row>
    <row r="614" ht="12.75" customHeight="1">
      <c r="A614" s="43"/>
      <c r="B614" s="43"/>
      <c r="C614" s="43"/>
      <c r="D614" s="44"/>
      <c r="E614" s="44"/>
      <c r="F614" s="44"/>
      <c r="G614" s="44"/>
      <c r="H614" s="44"/>
      <c r="I614" s="44"/>
      <c r="J614" s="44"/>
      <c r="K614" s="44"/>
      <c r="L614" s="44"/>
      <c r="M614" s="46"/>
      <c r="N614" s="10"/>
      <c r="O614" s="70"/>
      <c r="P614" s="9"/>
      <c r="Q614" s="47"/>
      <c r="R614" s="67"/>
      <c r="S614" s="8"/>
      <c r="T614" s="8"/>
      <c r="U614" s="8"/>
      <c r="V614" s="8"/>
      <c r="W614" s="8"/>
      <c r="X614" s="9"/>
      <c r="Y614" s="8"/>
      <c r="Z614" s="8"/>
      <c r="AA614" s="8"/>
      <c r="AB614" s="8"/>
      <c r="AC614" s="8"/>
      <c r="AD614" s="8"/>
      <c r="AE614" s="59"/>
      <c r="AF614" s="59"/>
      <c r="AG614" s="8"/>
      <c r="AH614" s="8"/>
      <c r="AI614" s="8"/>
      <c r="AJ614" s="54"/>
      <c r="AK614" s="54"/>
      <c r="AL614" s="8"/>
      <c r="AM614" s="8"/>
      <c r="AN614" s="8"/>
      <c r="AO614" s="49"/>
      <c r="AP614" s="68"/>
      <c r="AQ614" s="69"/>
      <c r="AR614" s="8"/>
      <c r="AS614" s="8"/>
    </row>
    <row r="615" ht="12.75" customHeight="1">
      <c r="A615" s="43"/>
      <c r="B615" s="43"/>
      <c r="C615" s="43"/>
      <c r="D615" s="44"/>
      <c r="E615" s="44"/>
      <c r="F615" s="44"/>
      <c r="G615" s="44"/>
      <c r="H615" s="44"/>
      <c r="I615" s="44"/>
      <c r="J615" s="44"/>
      <c r="K615" s="44"/>
      <c r="L615" s="44"/>
      <c r="M615" s="46"/>
      <c r="N615" s="10"/>
      <c r="O615" s="9"/>
      <c r="P615" s="9"/>
      <c r="Q615" s="47"/>
      <c r="R615" s="67"/>
      <c r="S615" s="8"/>
      <c r="T615" s="8"/>
      <c r="U615" s="8"/>
      <c r="V615" s="8"/>
      <c r="W615" s="8"/>
      <c r="X615" s="9"/>
      <c r="Y615" s="8"/>
      <c r="Z615" s="8"/>
      <c r="AA615" s="8"/>
      <c r="AB615" s="8"/>
      <c r="AC615" s="8"/>
      <c r="AD615" s="8"/>
      <c r="AE615" s="59"/>
      <c r="AF615" s="59"/>
      <c r="AG615" s="8"/>
      <c r="AH615" s="8"/>
      <c r="AI615" s="8"/>
      <c r="AJ615" s="54"/>
      <c r="AK615" s="54"/>
      <c r="AL615" s="8"/>
      <c r="AM615" s="8"/>
      <c r="AN615" s="8"/>
      <c r="AO615" s="49"/>
      <c r="AP615" s="68"/>
      <c r="AQ615" s="69"/>
      <c r="AR615" s="8"/>
      <c r="AS615" s="8"/>
    </row>
    <row r="616" ht="12.75" customHeight="1">
      <c r="A616" s="43"/>
      <c r="B616" s="43"/>
      <c r="C616" s="43"/>
      <c r="D616" s="44"/>
      <c r="E616" s="44"/>
      <c r="F616" s="44"/>
      <c r="G616" s="44"/>
      <c r="H616" s="44"/>
      <c r="I616" s="44"/>
      <c r="J616" s="44"/>
      <c r="K616" s="44"/>
      <c r="L616" s="44"/>
      <c r="M616" s="46"/>
      <c r="N616" s="10"/>
      <c r="O616" s="71"/>
      <c r="P616" s="9"/>
      <c r="Q616" s="47"/>
      <c r="R616" s="67"/>
      <c r="S616" s="8"/>
      <c r="T616" s="8"/>
      <c r="U616" s="8"/>
      <c r="V616" s="8"/>
      <c r="W616" s="8"/>
      <c r="X616" s="9"/>
      <c r="Y616" s="8"/>
      <c r="Z616" s="8"/>
      <c r="AA616" s="8"/>
      <c r="AB616" s="8"/>
      <c r="AC616" s="8"/>
      <c r="AD616" s="8"/>
      <c r="AE616" s="59"/>
      <c r="AF616" s="59"/>
      <c r="AG616" s="8"/>
      <c r="AH616" s="8"/>
      <c r="AI616" s="8"/>
      <c r="AJ616" s="54"/>
      <c r="AK616" s="54"/>
      <c r="AL616" s="8"/>
      <c r="AM616" s="8"/>
      <c r="AN616" s="8"/>
      <c r="AO616" s="49"/>
      <c r="AP616" s="68"/>
      <c r="AQ616" s="69"/>
      <c r="AR616" s="8"/>
      <c r="AS616" s="8"/>
    </row>
    <row r="617" ht="12.75" customHeight="1">
      <c r="A617" s="43"/>
      <c r="B617" s="43"/>
      <c r="C617" s="43"/>
      <c r="D617" s="44"/>
      <c r="E617" s="44"/>
      <c r="F617" s="44"/>
      <c r="G617" s="44"/>
      <c r="H617" s="44"/>
      <c r="I617" s="44"/>
      <c r="J617" s="44"/>
      <c r="K617" s="44"/>
      <c r="L617" s="44"/>
      <c r="M617" s="46"/>
      <c r="N617" s="10"/>
      <c r="O617" s="9"/>
      <c r="P617" s="9"/>
      <c r="Q617" s="47"/>
      <c r="R617" s="67"/>
      <c r="S617" s="8"/>
      <c r="T617" s="8"/>
      <c r="U617" s="8"/>
      <c r="V617" s="8"/>
      <c r="W617" s="8"/>
      <c r="X617" s="9"/>
      <c r="Y617" s="8"/>
      <c r="Z617" s="8"/>
      <c r="AA617" s="8"/>
      <c r="AB617" s="8"/>
      <c r="AC617" s="8"/>
      <c r="AD617" s="8"/>
      <c r="AE617" s="59"/>
      <c r="AF617" s="59"/>
      <c r="AG617" s="8"/>
      <c r="AH617" s="8"/>
      <c r="AI617" s="8"/>
      <c r="AJ617" s="54"/>
      <c r="AK617" s="54"/>
      <c r="AL617" s="8"/>
      <c r="AM617" s="8"/>
      <c r="AN617" s="8"/>
      <c r="AO617" s="49"/>
      <c r="AP617" s="68"/>
      <c r="AQ617" s="69"/>
      <c r="AR617" s="8"/>
      <c r="AS617" s="8"/>
    </row>
    <row r="618" ht="12.75" customHeight="1">
      <c r="A618" s="43"/>
      <c r="B618" s="43"/>
      <c r="C618" s="43"/>
      <c r="D618" s="44"/>
      <c r="E618" s="44"/>
      <c r="F618" s="44"/>
      <c r="G618" s="44"/>
      <c r="H618" s="44"/>
      <c r="I618" s="44"/>
      <c r="J618" s="44"/>
      <c r="K618" s="44"/>
      <c r="L618" s="44"/>
      <c r="M618" s="46"/>
      <c r="N618" s="10"/>
      <c r="O618" s="9"/>
      <c r="P618" s="9" t="s">
        <v>52</v>
      </c>
      <c r="Q618" s="47"/>
      <c r="R618" s="67"/>
      <c r="S618" s="8"/>
      <c r="T618" s="8"/>
      <c r="U618" s="8"/>
      <c r="V618" s="8"/>
      <c r="W618" s="8"/>
      <c r="X618" s="9"/>
      <c r="Y618" s="8"/>
      <c r="Z618" s="8"/>
      <c r="AA618" s="8"/>
      <c r="AB618" s="8"/>
      <c r="AC618" s="8"/>
      <c r="AD618" s="8"/>
      <c r="AE618" s="59"/>
      <c r="AF618" s="59"/>
      <c r="AG618" s="8"/>
      <c r="AH618" s="59"/>
      <c r="AI618" s="8"/>
      <c r="AJ618" s="54"/>
      <c r="AK618" s="54"/>
      <c r="AL618" s="8"/>
      <c r="AM618" s="8"/>
      <c r="AN618" s="8"/>
      <c r="AO618" s="49"/>
      <c r="AP618" s="68"/>
      <c r="AQ618" s="69"/>
      <c r="AR618" s="8"/>
      <c r="AS618" s="8"/>
    </row>
  </sheetData>
  <autoFilter ref="$A$2:$AQ$612">
    <filterColumn colId="41">
      <filters blank="1">
        <filter val="37628.41"/>
        <filter val="14731.22"/>
        <filter val="687.62"/>
        <filter val="42223.89"/>
        <filter val="11692.37"/>
        <filter val="63259.19"/>
        <filter val="24089.85"/>
        <filter val="109411.24"/>
        <filter val="16655.56"/>
        <filter val="36892.70"/>
        <filter val="7549.17"/>
        <filter val="222725.39"/>
        <filter val="40367.11"/>
        <filter val="37338.96"/>
        <filter val="8098.30"/>
        <filter val="47633.61"/>
        <filter val="36601.99"/>
        <filter val="417461.78"/>
        <filter val="225222.87"/>
        <filter val="44952.89"/>
        <filter val="31056.52"/>
        <filter val="2145.00"/>
        <filter val="29885.85"/>
        <filter val="59749.65"/>
        <filter val="23571.00"/>
        <filter val="48764.05"/>
        <filter val="2130.00"/>
        <filter val="55055.99"/>
        <filter val="2000.00"/>
        <filter val="36806.03"/>
        <filter val="27212.40"/>
        <filter val="1083.25"/>
        <filter val="59251.02"/>
        <filter val="27748.53"/>
        <filter val="804.29"/>
        <filter val="37944.66"/>
        <filter val="59360.62"/>
        <filter val="113003.75"/>
        <filter val="37246.25"/>
        <filter val="28698.24"/>
        <filter val="45715.41"/>
        <filter val="61533.56"/>
      </filters>
    </filterColumn>
    <filterColumn colId="12">
      <filters>
        <filter val="Masate"/>
        <filter val="Nijmegen"/>
        <filter val="Ruyi"/>
        <filter val="Craigavon"/>
        <filter val="Greenville"/>
        <filter val="Berea"/>
      </filters>
    </filterColumn>
  </autoFilter>
  <mergeCells count="4">
    <mergeCell ref="A1:M1"/>
    <mergeCell ref="N1:P1"/>
    <mergeCell ref="Q1:R1"/>
    <mergeCell ref="AG1:AH1"/>
  </mergeCells>
  <conditionalFormatting sqref="L3:L612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15.0"/>
    <col customWidth="1" min="3" max="3" width="15.14"/>
    <col customWidth="1" min="4" max="4" width="10.29"/>
    <col customWidth="1" min="5" max="5" width="12.86"/>
    <col customWidth="1" min="6" max="6" width="13.71"/>
    <col customWidth="1" min="7" max="7" width="15.71"/>
    <col customWidth="1" min="8" max="8" width="9.57"/>
    <col customWidth="1" min="9" max="9" width="27.43"/>
    <col customWidth="1" min="10" max="10" width="14.71"/>
    <col customWidth="1" min="11" max="11" width="13.86"/>
    <col customWidth="1" min="12" max="12" width="15.14"/>
    <col customWidth="1" min="13" max="13" width="22.57"/>
    <col customWidth="1" min="14" max="14" width="11.0"/>
    <col customWidth="1" min="15" max="15" width="14.29"/>
    <col customWidth="1" min="16" max="16" width="13.71"/>
    <col customWidth="1" min="17" max="17" width="14.43"/>
    <col customWidth="1" min="18" max="18" width="13.86"/>
    <col customWidth="1" min="19" max="19" width="11.86"/>
    <col customWidth="1" min="20" max="32" width="9.14"/>
  </cols>
  <sheetData>
    <row r="1" ht="14.25" customHeight="1">
      <c r="A1" s="72"/>
      <c r="B1" s="73" t="s">
        <v>53</v>
      </c>
      <c r="C1" s="74"/>
      <c r="D1" s="73" t="s">
        <v>54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4"/>
      <c r="R1" s="76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</row>
    <row r="2" ht="14.25" customHeight="1">
      <c r="A2" s="77"/>
      <c r="B2" s="78" t="s">
        <v>55</v>
      </c>
      <c r="C2" s="78" t="s">
        <v>17</v>
      </c>
      <c r="D2" s="79" t="s">
        <v>56</v>
      </c>
      <c r="E2" s="78" t="s">
        <v>57</v>
      </c>
      <c r="F2" s="78" t="s">
        <v>58</v>
      </c>
      <c r="G2" s="78" t="s">
        <v>59</v>
      </c>
      <c r="H2" s="78" t="s">
        <v>60</v>
      </c>
      <c r="I2" s="78" t="s">
        <v>61</v>
      </c>
      <c r="J2" s="78" t="s">
        <v>62</v>
      </c>
      <c r="K2" s="78" t="s">
        <v>59</v>
      </c>
      <c r="L2" s="78" t="s">
        <v>63</v>
      </c>
      <c r="M2" s="78" t="s">
        <v>64</v>
      </c>
      <c r="N2" s="78" t="s">
        <v>65</v>
      </c>
      <c r="O2" s="78" t="s">
        <v>66</v>
      </c>
      <c r="P2" s="78" t="s">
        <v>67</v>
      </c>
      <c r="Q2" s="80" t="s">
        <v>68</v>
      </c>
      <c r="R2" s="81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</row>
    <row r="3" ht="14.25" customHeight="1">
      <c r="A3" s="72" t="str">
        <f t="shared" ref="A3:A611" si="1">MID(E3,(LEN(E3)-1),2)&amp;"/"&amp;MID(E3,(LEN(E3)-3),2)&amp;"/2023"</f>
        <v>01/06/2023</v>
      </c>
      <c r="B3" s="82" t="str">
        <f t="shared" ref="B3:B611" si="2">MID(E3,(LEN(E3)-3),2)&amp;"-"&amp;MID(E3,(LEN(E3)-1),2)</f>
        <v>06-01</v>
      </c>
      <c r="C3" s="82" t="str">
        <f t="shared" ref="C3:C611" si="3">IF(J3="AU","AUD","USD")</f>
        <v>USD</v>
      </c>
      <c r="D3" s="82" t="s">
        <v>69</v>
      </c>
      <c r="E3" s="82">
        <v>1230601.0</v>
      </c>
      <c r="F3" s="82" t="s">
        <v>70</v>
      </c>
      <c r="G3" s="82" t="s">
        <v>71</v>
      </c>
      <c r="H3" s="82" t="s">
        <v>72</v>
      </c>
      <c r="I3" s="82" t="s">
        <v>73</v>
      </c>
      <c r="J3" s="82" t="s">
        <v>74</v>
      </c>
      <c r="K3" s="82" t="s">
        <v>71</v>
      </c>
      <c r="L3" s="82" t="s">
        <v>75</v>
      </c>
      <c r="M3" s="82" t="s">
        <v>76</v>
      </c>
      <c r="N3" s="82" t="s">
        <v>77</v>
      </c>
      <c r="O3" s="82" t="s">
        <v>78</v>
      </c>
      <c r="P3" s="82" t="s">
        <v>79</v>
      </c>
      <c r="Q3" s="82" t="s">
        <v>80</v>
      </c>
      <c r="R3" s="9"/>
      <c r="T3" s="83"/>
      <c r="U3" s="84"/>
      <c r="V3" s="84"/>
      <c r="W3" s="72"/>
      <c r="X3" s="72"/>
      <c r="Y3" s="72"/>
      <c r="Z3" s="72"/>
      <c r="AA3" s="72"/>
      <c r="AB3" s="72"/>
      <c r="AC3" s="72"/>
      <c r="AD3" s="72"/>
      <c r="AE3" s="72"/>
      <c r="AF3" s="72"/>
    </row>
    <row r="4" ht="14.25" customHeight="1">
      <c r="A4" s="72" t="str">
        <f t="shared" si="1"/>
        <v>05/06/2023</v>
      </c>
      <c r="B4" s="82" t="str">
        <f t="shared" si="2"/>
        <v>06-05</v>
      </c>
      <c r="C4" s="82" t="str">
        <f t="shared" si="3"/>
        <v>USD</v>
      </c>
      <c r="D4" s="82" t="s">
        <v>69</v>
      </c>
      <c r="E4" s="82">
        <v>1230605.0</v>
      </c>
      <c r="F4" s="82" t="s">
        <v>70</v>
      </c>
      <c r="G4" s="82" t="s">
        <v>81</v>
      </c>
      <c r="H4" s="82" t="s">
        <v>82</v>
      </c>
      <c r="I4" s="82" t="s">
        <v>83</v>
      </c>
      <c r="J4" s="82" t="s">
        <v>84</v>
      </c>
      <c r="K4" s="82" t="s">
        <v>81</v>
      </c>
      <c r="L4" s="82" t="s">
        <v>75</v>
      </c>
      <c r="M4" s="82" t="s">
        <v>85</v>
      </c>
      <c r="N4" s="82" t="s">
        <v>77</v>
      </c>
      <c r="O4" s="82" t="s">
        <v>86</v>
      </c>
      <c r="P4" s="82" t="s">
        <v>79</v>
      </c>
      <c r="Q4" s="82" t="s">
        <v>80</v>
      </c>
      <c r="R4" s="9"/>
      <c r="T4" s="83"/>
      <c r="U4" s="84"/>
      <c r="V4" s="84"/>
      <c r="W4" s="72"/>
      <c r="X4" s="72"/>
      <c r="Y4" s="72"/>
      <c r="Z4" s="72"/>
      <c r="AA4" s="72"/>
      <c r="AB4" s="72"/>
      <c r="AC4" s="72"/>
      <c r="AD4" s="72"/>
      <c r="AE4" s="72"/>
      <c r="AF4" s="72"/>
    </row>
    <row r="5" ht="14.25" customHeight="1">
      <c r="A5" s="72" t="str">
        <f t="shared" si="1"/>
        <v>05/06/2023</v>
      </c>
      <c r="B5" s="82" t="str">
        <f t="shared" si="2"/>
        <v>06-05</v>
      </c>
      <c r="C5" s="82" t="str">
        <f t="shared" si="3"/>
        <v>USD</v>
      </c>
      <c r="D5" s="82" t="s">
        <v>69</v>
      </c>
      <c r="E5" s="82">
        <v>1230605.0</v>
      </c>
      <c r="F5" s="82" t="s">
        <v>70</v>
      </c>
      <c r="G5" s="82" t="s">
        <v>87</v>
      </c>
      <c r="H5" s="82" t="s">
        <v>82</v>
      </c>
      <c r="I5" s="82" t="s">
        <v>83</v>
      </c>
      <c r="J5" s="82" t="s">
        <v>84</v>
      </c>
      <c r="K5" s="82" t="s">
        <v>87</v>
      </c>
      <c r="L5" s="82" t="s">
        <v>75</v>
      </c>
      <c r="M5" s="82" t="s">
        <v>88</v>
      </c>
      <c r="N5" s="82" t="s">
        <v>77</v>
      </c>
      <c r="O5" s="82" t="s">
        <v>86</v>
      </c>
      <c r="P5" s="82" t="s">
        <v>79</v>
      </c>
      <c r="Q5" s="82" t="s">
        <v>80</v>
      </c>
      <c r="R5" s="9"/>
      <c r="T5" s="83"/>
      <c r="U5" s="84"/>
      <c r="V5" s="84"/>
      <c r="W5" s="72"/>
      <c r="X5" s="72"/>
      <c r="Y5" s="72"/>
      <c r="Z5" s="72"/>
      <c r="AA5" s="72"/>
      <c r="AB5" s="72"/>
      <c r="AC5" s="72"/>
      <c r="AD5" s="72"/>
      <c r="AE5" s="72"/>
      <c r="AF5" s="72"/>
    </row>
    <row r="6" ht="14.25" customHeight="1">
      <c r="A6" s="72" t="str">
        <f t="shared" si="1"/>
        <v>05/06/2023</v>
      </c>
      <c r="B6" s="82" t="str">
        <f t="shared" si="2"/>
        <v>06-05</v>
      </c>
      <c r="C6" s="82" t="str">
        <f t="shared" si="3"/>
        <v>USD</v>
      </c>
      <c r="D6" s="82" t="s">
        <v>69</v>
      </c>
      <c r="E6" s="82">
        <v>1230605.0</v>
      </c>
      <c r="F6" s="82" t="s">
        <v>70</v>
      </c>
      <c r="G6" s="82" t="s">
        <v>89</v>
      </c>
      <c r="H6" s="82" t="s">
        <v>82</v>
      </c>
      <c r="I6" s="82" t="s">
        <v>83</v>
      </c>
      <c r="J6" s="82" t="s">
        <v>84</v>
      </c>
      <c r="K6" s="82" t="s">
        <v>89</v>
      </c>
      <c r="L6" s="82" t="s">
        <v>75</v>
      </c>
      <c r="M6" s="82" t="s">
        <v>90</v>
      </c>
      <c r="N6" s="82" t="s">
        <v>77</v>
      </c>
      <c r="O6" s="82" t="s">
        <v>86</v>
      </c>
      <c r="P6" s="82" t="s">
        <v>79</v>
      </c>
      <c r="Q6" s="82" t="s">
        <v>80</v>
      </c>
      <c r="R6" s="9"/>
      <c r="T6" s="83"/>
      <c r="U6" s="84"/>
      <c r="V6" s="84"/>
      <c r="W6" s="72"/>
      <c r="X6" s="72"/>
      <c r="Y6" s="72"/>
      <c r="Z6" s="72"/>
      <c r="AA6" s="72"/>
      <c r="AB6" s="72"/>
      <c r="AC6" s="72"/>
      <c r="AD6" s="72"/>
      <c r="AE6" s="72"/>
      <c r="AF6" s="72"/>
    </row>
    <row r="7" ht="14.25" customHeight="1">
      <c r="A7" s="72" t="str">
        <f t="shared" si="1"/>
        <v>05/06/2023</v>
      </c>
      <c r="B7" s="82" t="str">
        <f t="shared" si="2"/>
        <v>06-05</v>
      </c>
      <c r="C7" s="82" t="str">
        <f t="shared" si="3"/>
        <v>USD</v>
      </c>
      <c r="D7" s="82" t="s">
        <v>69</v>
      </c>
      <c r="E7" s="82">
        <v>1230605.0</v>
      </c>
      <c r="F7" s="82" t="s">
        <v>70</v>
      </c>
      <c r="G7" s="82" t="s">
        <v>91</v>
      </c>
      <c r="H7" s="82" t="s">
        <v>82</v>
      </c>
      <c r="I7" s="82" t="s">
        <v>83</v>
      </c>
      <c r="J7" s="82" t="s">
        <v>84</v>
      </c>
      <c r="K7" s="82" t="s">
        <v>91</v>
      </c>
      <c r="L7" s="82" t="s">
        <v>75</v>
      </c>
      <c r="M7" s="82" t="s">
        <v>92</v>
      </c>
      <c r="N7" s="82" t="s">
        <v>77</v>
      </c>
      <c r="O7" s="82" t="s">
        <v>86</v>
      </c>
      <c r="P7" s="82" t="s">
        <v>79</v>
      </c>
      <c r="Q7" s="82" t="s">
        <v>80</v>
      </c>
      <c r="R7" s="9"/>
      <c r="AE7" s="72"/>
      <c r="AF7" s="72"/>
    </row>
    <row r="8" ht="14.25" customHeight="1">
      <c r="A8" s="72" t="str">
        <f t="shared" si="1"/>
        <v>05/06/2023</v>
      </c>
      <c r="B8" s="82" t="str">
        <f t="shared" si="2"/>
        <v>06-05</v>
      </c>
      <c r="C8" s="82" t="str">
        <f t="shared" si="3"/>
        <v>USD</v>
      </c>
      <c r="D8" s="82" t="s">
        <v>69</v>
      </c>
      <c r="E8" s="82">
        <v>1230605.0</v>
      </c>
      <c r="F8" s="82" t="s">
        <v>70</v>
      </c>
      <c r="G8" s="82" t="s">
        <v>93</v>
      </c>
      <c r="H8" s="82" t="s">
        <v>82</v>
      </c>
      <c r="I8" s="82" t="s">
        <v>83</v>
      </c>
      <c r="J8" s="82" t="s">
        <v>84</v>
      </c>
      <c r="K8" s="82" t="s">
        <v>93</v>
      </c>
      <c r="L8" s="82" t="s">
        <v>75</v>
      </c>
      <c r="M8" s="82" t="s">
        <v>94</v>
      </c>
      <c r="N8" s="82" t="s">
        <v>77</v>
      </c>
      <c r="O8" s="82" t="s">
        <v>86</v>
      </c>
      <c r="P8" s="82" t="s">
        <v>79</v>
      </c>
      <c r="Q8" s="82" t="s">
        <v>80</v>
      </c>
      <c r="R8" s="9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</row>
    <row r="9" ht="14.25" customHeight="1">
      <c r="A9" s="72" t="str">
        <f t="shared" si="1"/>
        <v>05/06/2023</v>
      </c>
      <c r="B9" s="82" t="str">
        <f t="shared" si="2"/>
        <v>06-05</v>
      </c>
      <c r="C9" s="82" t="str">
        <f t="shared" si="3"/>
        <v>USD</v>
      </c>
      <c r="D9" s="82" t="s">
        <v>69</v>
      </c>
      <c r="E9" s="82">
        <v>1230605.0</v>
      </c>
      <c r="F9" s="82" t="s">
        <v>70</v>
      </c>
      <c r="G9" s="82" t="s">
        <v>95</v>
      </c>
      <c r="H9" s="82" t="s">
        <v>82</v>
      </c>
      <c r="I9" s="82" t="s">
        <v>83</v>
      </c>
      <c r="J9" s="82" t="s">
        <v>84</v>
      </c>
      <c r="K9" s="82" t="s">
        <v>95</v>
      </c>
      <c r="L9" s="82" t="s">
        <v>75</v>
      </c>
      <c r="M9" s="82" t="s">
        <v>96</v>
      </c>
      <c r="N9" s="82" t="s">
        <v>77</v>
      </c>
      <c r="O9" s="82" t="s">
        <v>86</v>
      </c>
      <c r="P9" s="82" t="s">
        <v>79</v>
      </c>
      <c r="Q9" s="82" t="s">
        <v>80</v>
      </c>
      <c r="R9" s="9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</row>
    <row r="10" ht="14.25" customHeight="1">
      <c r="A10" s="72" t="str">
        <f t="shared" si="1"/>
        <v>05/06/2023</v>
      </c>
      <c r="B10" s="82" t="str">
        <f t="shared" si="2"/>
        <v>06-05</v>
      </c>
      <c r="C10" s="82" t="str">
        <f t="shared" si="3"/>
        <v>USD</v>
      </c>
      <c r="D10" s="82" t="s">
        <v>69</v>
      </c>
      <c r="E10" s="82">
        <v>1230605.0</v>
      </c>
      <c r="F10" s="82" t="s">
        <v>70</v>
      </c>
      <c r="G10" s="82" t="s">
        <v>97</v>
      </c>
      <c r="H10" s="82" t="s">
        <v>82</v>
      </c>
      <c r="I10" s="82" t="s">
        <v>83</v>
      </c>
      <c r="J10" s="82" t="s">
        <v>84</v>
      </c>
      <c r="K10" s="82" t="s">
        <v>97</v>
      </c>
      <c r="L10" s="82" t="s">
        <v>75</v>
      </c>
      <c r="M10" s="82" t="s">
        <v>98</v>
      </c>
      <c r="N10" s="82" t="s">
        <v>77</v>
      </c>
      <c r="O10" s="82" t="s">
        <v>86</v>
      </c>
      <c r="P10" s="82" t="s">
        <v>79</v>
      </c>
      <c r="Q10" s="82" t="s">
        <v>80</v>
      </c>
      <c r="R10" s="9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</row>
    <row r="11" ht="14.25" customHeight="1">
      <c r="A11" s="72" t="str">
        <f t="shared" si="1"/>
        <v>05/06/2023</v>
      </c>
      <c r="B11" s="82" t="str">
        <f t="shared" si="2"/>
        <v>06-05</v>
      </c>
      <c r="C11" s="82" t="str">
        <f t="shared" si="3"/>
        <v>USD</v>
      </c>
      <c r="D11" s="82" t="s">
        <v>69</v>
      </c>
      <c r="E11" s="82">
        <v>1230605.0</v>
      </c>
      <c r="F11" s="82" t="s">
        <v>70</v>
      </c>
      <c r="G11" s="82" t="s">
        <v>99</v>
      </c>
      <c r="H11" s="82" t="s">
        <v>82</v>
      </c>
      <c r="I11" s="82" t="s">
        <v>83</v>
      </c>
      <c r="J11" s="82" t="s">
        <v>84</v>
      </c>
      <c r="K11" s="82" t="s">
        <v>99</v>
      </c>
      <c r="L11" s="82" t="s">
        <v>75</v>
      </c>
      <c r="M11" s="82" t="s">
        <v>100</v>
      </c>
      <c r="N11" s="82" t="s">
        <v>77</v>
      </c>
      <c r="O11" s="82" t="s">
        <v>86</v>
      </c>
      <c r="P11" s="82" t="s">
        <v>79</v>
      </c>
      <c r="Q11" s="82" t="s">
        <v>80</v>
      </c>
      <c r="R11" s="9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ht="14.25" customHeight="1">
      <c r="A12" s="72" t="str">
        <f t="shared" si="1"/>
        <v>05/06/2023</v>
      </c>
      <c r="B12" s="82" t="str">
        <f t="shared" si="2"/>
        <v>06-05</v>
      </c>
      <c r="C12" s="82" t="str">
        <f t="shared" si="3"/>
        <v>USD</v>
      </c>
      <c r="D12" s="82" t="s">
        <v>69</v>
      </c>
      <c r="E12" s="82">
        <v>1230605.0</v>
      </c>
      <c r="F12" s="82" t="s">
        <v>70</v>
      </c>
      <c r="G12" s="82" t="s">
        <v>101</v>
      </c>
      <c r="H12" s="82" t="s">
        <v>82</v>
      </c>
      <c r="I12" s="82" t="s">
        <v>83</v>
      </c>
      <c r="J12" s="82" t="s">
        <v>84</v>
      </c>
      <c r="K12" s="82" t="s">
        <v>101</v>
      </c>
      <c r="L12" s="82" t="s">
        <v>75</v>
      </c>
      <c r="M12" s="82" t="s">
        <v>102</v>
      </c>
      <c r="N12" s="82" t="s">
        <v>77</v>
      </c>
      <c r="O12" s="82" t="s">
        <v>86</v>
      </c>
      <c r="P12" s="82" t="s">
        <v>79</v>
      </c>
      <c r="Q12" s="82" t="s">
        <v>80</v>
      </c>
      <c r="R12" s="9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</row>
    <row r="13" ht="14.25" customHeight="1">
      <c r="A13" s="72" t="str">
        <f t="shared" si="1"/>
        <v>05/06/2023</v>
      </c>
      <c r="B13" s="82" t="str">
        <f t="shared" si="2"/>
        <v>06-05</v>
      </c>
      <c r="C13" s="82" t="str">
        <f t="shared" si="3"/>
        <v>USD</v>
      </c>
      <c r="D13" s="82" t="s">
        <v>69</v>
      </c>
      <c r="E13" s="82">
        <v>1230605.0</v>
      </c>
      <c r="F13" s="82" t="s">
        <v>70</v>
      </c>
      <c r="G13" s="82" t="s">
        <v>103</v>
      </c>
      <c r="H13" s="82" t="s">
        <v>82</v>
      </c>
      <c r="I13" s="82" t="s">
        <v>83</v>
      </c>
      <c r="J13" s="82" t="s">
        <v>84</v>
      </c>
      <c r="K13" s="82" t="s">
        <v>103</v>
      </c>
      <c r="L13" s="82" t="s">
        <v>75</v>
      </c>
      <c r="M13" s="82" t="s">
        <v>104</v>
      </c>
      <c r="N13" s="82" t="s">
        <v>77</v>
      </c>
      <c r="O13" s="82" t="s">
        <v>86</v>
      </c>
      <c r="P13" s="82" t="s">
        <v>79</v>
      </c>
      <c r="Q13" s="82" t="s">
        <v>80</v>
      </c>
      <c r="R13" s="9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</row>
    <row r="14" ht="14.25" customHeight="1">
      <c r="A14" s="72" t="str">
        <f t="shared" si="1"/>
        <v>05/06/2023</v>
      </c>
      <c r="B14" s="82" t="str">
        <f t="shared" si="2"/>
        <v>06-05</v>
      </c>
      <c r="C14" s="82" t="str">
        <f t="shared" si="3"/>
        <v>USD</v>
      </c>
      <c r="D14" s="82" t="s">
        <v>69</v>
      </c>
      <c r="E14" s="82">
        <v>1230605.0</v>
      </c>
      <c r="F14" s="82" t="s">
        <v>70</v>
      </c>
      <c r="G14" s="82" t="s">
        <v>105</v>
      </c>
      <c r="H14" s="82" t="s">
        <v>82</v>
      </c>
      <c r="I14" s="82" t="s">
        <v>83</v>
      </c>
      <c r="J14" s="82" t="s">
        <v>84</v>
      </c>
      <c r="K14" s="82" t="s">
        <v>105</v>
      </c>
      <c r="L14" s="82" t="s">
        <v>75</v>
      </c>
      <c r="M14" s="82" t="s">
        <v>106</v>
      </c>
      <c r="N14" s="82" t="s">
        <v>77</v>
      </c>
      <c r="O14" s="82" t="s">
        <v>86</v>
      </c>
      <c r="P14" s="82" t="s">
        <v>79</v>
      </c>
      <c r="Q14" s="82" t="s">
        <v>80</v>
      </c>
      <c r="R14" s="9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</row>
    <row r="15" ht="14.25" customHeight="1">
      <c r="A15" s="72" t="str">
        <f t="shared" si="1"/>
        <v>05/06/2023</v>
      </c>
      <c r="B15" s="82" t="str">
        <f t="shared" si="2"/>
        <v>06-05</v>
      </c>
      <c r="C15" s="82" t="str">
        <f t="shared" si="3"/>
        <v>USD</v>
      </c>
      <c r="D15" s="82" t="s">
        <v>69</v>
      </c>
      <c r="E15" s="82">
        <v>1230605.0</v>
      </c>
      <c r="F15" s="82" t="s">
        <v>70</v>
      </c>
      <c r="G15" s="82" t="s">
        <v>107</v>
      </c>
      <c r="H15" s="82" t="s">
        <v>82</v>
      </c>
      <c r="I15" s="82" t="s">
        <v>83</v>
      </c>
      <c r="J15" s="82" t="s">
        <v>84</v>
      </c>
      <c r="K15" s="82" t="s">
        <v>107</v>
      </c>
      <c r="L15" s="82" t="s">
        <v>75</v>
      </c>
      <c r="M15" s="82" t="s">
        <v>108</v>
      </c>
      <c r="N15" s="82" t="s">
        <v>77</v>
      </c>
      <c r="O15" s="82" t="s">
        <v>86</v>
      </c>
      <c r="P15" s="82" t="s">
        <v>79</v>
      </c>
      <c r="Q15" s="82" t="s">
        <v>80</v>
      </c>
      <c r="R15" s="9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</row>
    <row r="16" ht="14.25" customHeight="1">
      <c r="A16" s="72" t="str">
        <f t="shared" si="1"/>
        <v>05/06/2023</v>
      </c>
      <c r="B16" s="82" t="str">
        <f t="shared" si="2"/>
        <v>06-05</v>
      </c>
      <c r="C16" s="82" t="str">
        <f t="shared" si="3"/>
        <v>USD</v>
      </c>
      <c r="D16" s="82" t="s">
        <v>69</v>
      </c>
      <c r="E16" s="82">
        <v>1230605.0</v>
      </c>
      <c r="F16" s="82" t="s">
        <v>70</v>
      </c>
      <c r="G16" s="82" t="s">
        <v>109</v>
      </c>
      <c r="H16" s="82" t="s">
        <v>82</v>
      </c>
      <c r="I16" s="82" t="s">
        <v>83</v>
      </c>
      <c r="J16" s="82" t="s">
        <v>84</v>
      </c>
      <c r="K16" s="82" t="s">
        <v>109</v>
      </c>
      <c r="L16" s="82" t="s">
        <v>75</v>
      </c>
      <c r="M16" s="82" t="s">
        <v>110</v>
      </c>
      <c r="N16" s="82" t="s">
        <v>77</v>
      </c>
      <c r="O16" s="82" t="s">
        <v>111</v>
      </c>
      <c r="P16" s="82" t="s">
        <v>79</v>
      </c>
      <c r="Q16" s="82" t="s">
        <v>80</v>
      </c>
      <c r="R16" s="9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</row>
    <row r="17" ht="14.25" customHeight="1">
      <c r="A17" s="72" t="str">
        <f t="shared" si="1"/>
        <v>05/06/2023</v>
      </c>
      <c r="B17" s="82" t="str">
        <f t="shared" si="2"/>
        <v>06-05</v>
      </c>
      <c r="C17" s="82" t="str">
        <f t="shared" si="3"/>
        <v>USD</v>
      </c>
      <c r="D17" s="82" t="s">
        <v>69</v>
      </c>
      <c r="E17" s="82">
        <v>1230605.0</v>
      </c>
      <c r="F17" s="82" t="s">
        <v>70</v>
      </c>
      <c r="G17" s="82" t="s">
        <v>112</v>
      </c>
      <c r="H17" s="82" t="s">
        <v>82</v>
      </c>
      <c r="I17" s="82" t="s">
        <v>83</v>
      </c>
      <c r="J17" s="82" t="s">
        <v>84</v>
      </c>
      <c r="K17" s="82" t="s">
        <v>112</v>
      </c>
      <c r="L17" s="82" t="s">
        <v>75</v>
      </c>
      <c r="M17" s="82" t="s">
        <v>113</v>
      </c>
      <c r="N17" s="82" t="s">
        <v>77</v>
      </c>
      <c r="O17" s="82" t="s">
        <v>111</v>
      </c>
      <c r="P17" s="82" t="s">
        <v>79</v>
      </c>
      <c r="Q17" s="82" t="s">
        <v>80</v>
      </c>
      <c r="R17" s="9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</row>
    <row r="18" ht="14.25" customHeight="1">
      <c r="A18" s="72" t="str">
        <f t="shared" si="1"/>
        <v>05/06/2023</v>
      </c>
      <c r="B18" s="82" t="str">
        <f t="shared" si="2"/>
        <v>06-05</v>
      </c>
      <c r="C18" s="82" t="str">
        <f t="shared" si="3"/>
        <v>USD</v>
      </c>
      <c r="D18" s="82" t="s">
        <v>69</v>
      </c>
      <c r="E18" s="82">
        <v>1230605.0</v>
      </c>
      <c r="F18" s="82" t="s">
        <v>70</v>
      </c>
      <c r="G18" s="82" t="s">
        <v>114</v>
      </c>
      <c r="H18" s="82" t="s">
        <v>82</v>
      </c>
      <c r="I18" s="82" t="s">
        <v>83</v>
      </c>
      <c r="J18" s="82" t="s">
        <v>84</v>
      </c>
      <c r="K18" s="82" t="s">
        <v>114</v>
      </c>
      <c r="L18" s="82" t="s">
        <v>75</v>
      </c>
      <c r="M18" s="82" t="s">
        <v>115</v>
      </c>
      <c r="N18" s="82" t="s">
        <v>77</v>
      </c>
      <c r="O18" s="82" t="s">
        <v>111</v>
      </c>
      <c r="P18" s="82" t="s">
        <v>79</v>
      </c>
      <c r="Q18" s="82" t="s">
        <v>80</v>
      </c>
      <c r="R18" s="9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</row>
    <row r="19" ht="14.25" customHeight="1">
      <c r="A19" s="72" t="str">
        <f t="shared" si="1"/>
        <v>05/06/2023</v>
      </c>
      <c r="B19" s="82" t="str">
        <f t="shared" si="2"/>
        <v>06-05</v>
      </c>
      <c r="C19" s="82" t="str">
        <f t="shared" si="3"/>
        <v>USD</v>
      </c>
      <c r="D19" s="82" t="s">
        <v>69</v>
      </c>
      <c r="E19" s="82">
        <v>1230605.0</v>
      </c>
      <c r="F19" s="82" t="s">
        <v>70</v>
      </c>
      <c r="G19" s="82" t="s">
        <v>116</v>
      </c>
      <c r="H19" s="82" t="s">
        <v>82</v>
      </c>
      <c r="I19" s="82" t="s">
        <v>83</v>
      </c>
      <c r="J19" s="82" t="s">
        <v>84</v>
      </c>
      <c r="K19" s="82" t="s">
        <v>116</v>
      </c>
      <c r="L19" s="82" t="s">
        <v>75</v>
      </c>
      <c r="M19" s="82" t="s">
        <v>117</v>
      </c>
      <c r="N19" s="82" t="s">
        <v>77</v>
      </c>
      <c r="O19" s="82" t="s">
        <v>111</v>
      </c>
      <c r="P19" s="82" t="s">
        <v>79</v>
      </c>
      <c r="Q19" s="82" t="s">
        <v>80</v>
      </c>
      <c r="R19" s="9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</row>
    <row r="20" ht="14.25" customHeight="1">
      <c r="A20" s="72" t="str">
        <f t="shared" si="1"/>
        <v>05/06/2023</v>
      </c>
      <c r="B20" s="82" t="str">
        <f t="shared" si="2"/>
        <v>06-05</v>
      </c>
      <c r="C20" s="82" t="str">
        <f t="shared" si="3"/>
        <v>USD</v>
      </c>
      <c r="D20" s="82" t="s">
        <v>69</v>
      </c>
      <c r="E20" s="82">
        <v>1230605.0</v>
      </c>
      <c r="F20" s="82" t="s">
        <v>70</v>
      </c>
      <c r="G20" s="82" t="s">
        <v>118</v>
      </c>
      <c r="H20" s="82" t="s">
        <v>82</v>
      </c>
      <c r="I20" s="82" t="s">
        <v>83</v>
      </c>
      <c r="J20" s="82" t="s">
        <v>84</v>
      </c>
      <c r="K20" s="82" t="s">
        <v>118</v>
      </c>
      <c r="L20" s="82" t="s">
        <v>75</v>
      </c>
      <c r="M20" s="82" t="s">
        <v>119</v>
      </c>
      <c r="N20" s="82" t="s">
        <v>120</v>
      </c>
      <c r="O20" s="82" t="s">
        <v>121</v>
      </c>
      <c r="P20" s="82" t="s">
        <v>79</v>
      </c>
      <c r="Q20" s="82" t="s">
        <v>122</v>
      </c>
      <c r="R20" s="9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</row>
    <row r="21" ht="14.25" customHeight="1">
      <c r="A21" s="72" t="str">
        <f t="shared" si="1"/>
        <v>05/06/2023</v>
      </c>
      <c r="B21" s="82" t="str">
        <f t="shared" si="2"/>
        <v>06-05</v>
      </c>
      <c r="C21" s="82" t="str">
        <f t="shared" si="3"/>
        <v>USD</v>
      </c>
      <c r="D21" s="82" t="s">
        <v>69</v>
      </c>
      <c r="E21" s="82">
        <v>1230605.0</v>
      </c>
      <c r="F21" s="82" t="s">
        <v>70</v>
      </c>
      <c r="G21" s="82" t="s">
        <v>123</v>
      </c>
      <c r="H21" s="82" t="s">
        <v>82</v>
      </c>
      <c r="I21" s="82" t="s">
        <v>83</v>
      </c>
      <c r="J21" s="82" t="s">
        <v>84</v>
      </c>
      <c r="K21" s="82" t="s">
        <v>123</v>
      </c>
      <c r="L21" s="82" t="s">
        <v>75</v>
      </c>
      <c r="M21" s="82" t="s">
        <v>124</v>
      </c>
      <c r="N21" s="82" t="s">
        <v>120</v>
      </c>
      <c r="O21" s="82" t="s">
        <v>121</v>
      </c>
      <c r="P21" s="82" t="s">
        <v>79</v>
      </c>
      <c r="Q21" s="82" t="s">
        <v>122</v>
      </c>
      <c r="R21" s="9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</row>
    <row r="22" ht="14.25" customHeight="1">
      <c r="A22" s="72" t="str">
        <f t="shared" si="1"/>
        <v>05/06/2023</v>
      </c>
      <c r="B22" s="82" t="str">
        <f t="shared" si="2"/>
        <v>06-05</v>
      </c>
      <c r="C22" s="82" t="str">
        <f t="shared" si="3"/>
        <v>USD</v>
      </c>
      <c r="D22" s="82" t="s">
        <v>69</v>
      </c>
      <c r="E22" s="82">
        <v>1230605.0</v>
      </c>
      <c r="F22" s="82" t="s">
        <v>70</v>
      </c>
      <c r="G22" s="82" t="s">
        <v>125</v>
      </c>
      <c r="H22" s="82" t="s">
        <v>82</v>
      </c>
      <c r="I22" s="82" t="s">
        <v>83</v>
      </c>
      <c r="J22" s="82" t="s">
        <v>84</v>
      </c>
      <c r="K22" s="82" t="s">
        <v>125</v>
      </c>
      <c r="L22" s="82" t="s">
        <v>75</v>
      </c>
      <c r="M22" s="82" t="s">
        <v>126</v>
      </c>
      <c r="N22" s="82" t="s">
        <v>120</v>
      </c>
      <c r="O22" s="82" t="s">
        <v>121</v>
      </c>
      <c r="P22" s="82" t="s">
        <v>79</v>
      </c>
      <c r="Q22" s="82" t="s">
        <v>122</v>
      </c>
      <c r="R22" s="9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</row>
    <row r="23" ht="14.25" customHeight="1">
      <c r="A23" s="72" t="str">
        <f t="shared" si="1"/>
        <v>05/06/2023</v>
      </c>
      <c r="B23" s="82" t="str">
        <f t="shared" si="2"/>
        <v>06-05</v>
      </c>
      <c r="C23" s="82" t="str">
        <f t="shared" si="3"/>
        <v>USD</v>
      </c>
      <c r="D23" s="82" t="s">
        <v>69</v>
      </c>
      <c r="E23" s="82">
        <v>1230605.0</v>
      </c>
      <c r="F23" s="82" t="s">
        <v>70</v>
      </c>
      <c r="G23" s="82" t="s">
        <v>127</v>
      </c>
      <c r="H23" s="82" t="s">
        <v>82</v>
      </c>
      <c r="I23" s="82" t="s">
        <v>83</v>
      </c>
      <c r="J23" s="82" t="s">
        <v>84</v>
      </c>
      <c r="K23" s="82" t="s">
        <v>127</v>
      </c>
      <c r="L23" s="82" t="s">
        <v>75</v>
      </c>
      <c r="M23" s="82" t="s">
        <v>128</v>
      </c>
      <c r="N23" s="82" t="s">
        <v>120</v>
      </c>
      <c r="O23" s="82" t="s">
        <v>121</v>
      </c>
      <c r="P23" s="82" t="s">
        <v>79</v>
      </c>
      <c r="Q23" s="82" t="s">
        <v>122</v>
      </c>
      <c r="R23" s="9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</row>
    <row r="24" ht="14.25" customHeight="1">
      <c r="A24" s="72" t="str">
        <f t="shared" si="1"/>
        <v>05/06/2023</v>
      </c>
      <c r="B24" s="82" t="str">
        <f t="shared" si="2"/>
        <v>06-05</v>
      </c>
      <c r="C24" s="82" t="str">
        <f t="shared" si="3"/>
        <v>USD</v>
      </c>
      <c r="D24" s="82" t="s">
        <v>69</v>
      </c>
      <c r="E24" s="82">
        <v>1230605.0</v>
      </c>
      <c r="F24" s="82" t="s">
        <v>70</v>
      </c>
      <c r="G24" s="82" t="s">
        <v>129</v>
      </c>
      <c r="H24" s="82" t="s">
        <v>82</v>
      </c>
      <c r="I24" s="82" t="s">
        <v>83</v>
      </c>
      <c r="J24" s="82" t="s">
        <v>84</v>
      </c>
      <c r="K24" s="82" t="s">
        <v>129</v>
      </c>
      <c r="L24" s="82" t="s">
        <v>75</v>
      </c>
      <c r="M24" s="82" t="s">
        <v>130</v>
      </c>
      <c r="N24" s="82" t="s">
        <v>131</v>
      </c>
      <c r="O24" s="82" t="s">
        <v>132</v>
      </c>
      <c r="P24" s="82" t="s">
        <v>79</v>
      </c>
      <c r="Q24" s="82" t="s">
        <v>133</v>
      </c>
      <c r="R24" s="9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</row>
    <row r="25" ht="14.25" customHeight="1">
      <c r="A25" s="72" t="str">
        <f t="shared" si="1"/>
        <v>05/06/2023</v>
      </c>
      <c r="B25" s="82" t="str">
        <f t="shared" si="2"/>
        <v>06-05</v>
      </c>
      <c r="C25" s="82" t="str">
        <f t="shared" si="3"/>
        <v>USD</v>
      </c>
      <c r="D25" s="82" t="s">
        <v>69</v>
      </c>
      <c r="E25" s="82">
        <v>1230605.0</v>
      </c>
      <c r="F25" s="82" t="s">
        <v>70</v>
      </c>
      <c r="G25" s="82" t="s">
        <v>134</v>
      </c>
      <c r="H25" s="82" t="s">
        <v>82</v>
      </c>
      <c r="I25" s="82" t="s">
        <v>83</v>
      </c>
      <c r="J25" s="82" t="s">
        <v>84</v>
      </c>
      <c r="K25" s="82" t="s">
        <v>134</v>
      </c>
      <c r="L25" s="82" t="s">
        <v>75</v>
      </c>
      <c r="M25" s="82" t="s">
        <v>135</v>
      </c>
      <c r="N25" s="82" t="s">
        <v>131</v>
      </c>
      <c r="O25" s="82" t="s">
        <v>132</v>
      </c>
      <c r="P25" s="82" t="s">
        <v>79</v>
      </c>
      <c r="Q25" s="82" t="s">
        <v>133</v>
      </c>
      <c r="R25" s="9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</row>
    <row r="26" ht="14.25" customHeight="1">
      <c r="A26" s="72" t="str">
        <f t="shared" si="1"/>
        <v>05/06/2023</v>
      </c>
      <c r="B26" s="82" t="str">
        <f t="shared" si="2"/>
        <v>06-05</v>
      </c>
      <c r="C26" s="82" t="str">
        <f t="shared" si="3"/>
        <v>USD</v>
      </c>
      <c r="D26" s="82" t="s">
        <v>69</v>
      </c>
      <c r="E26" s="82">
        <v>1230605.0</v>
      </c>
      <c r="F26" s="82" t="s">
        <v>70</v>
      </c>
      <c r="G26" s="82" t="s">
        <v>136</v>
      </c>
      <c r="H26" s="82" t="s">
        <v>82</v>
      </c>
      <c r="I26" s="82" t="s">
        <v>83</v>
      </c>
      <c r="J26" s="82" t="s">
        <v>84</v>
      </c>
      <c r="K26" s="82" t="s">
        <v>136</v>
      </c>
      <c r="L26" s="82" t="s">
        <v>75</v>
      </c>
      <c r="M26" s="82" t="s">
        <v>137</v>
      </c>
      <c r="N26" s="82" t="s">
        <v>131</v>
      </c>
      <c r="O26" s="82" t="s">
        <v>132</v>
      </c>
      <c r="P26" s="82" t="s">
        <v>79</v>
      </c>
      <c r="Q26" s="82" t="s">
        <v>133</v>
      </c>
      <c r="R26" s="9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</row>
    <row r="27" ht="14.25" customHeight="1">
      <c r="A27" s="72" t="str">
        <f t="shared" si="1"/>
        <v>13/06/2023</v>
      </c>
      <c r="B27" s="82" t="str">
        <f t="shared" si="2"/>
        <v>06-13</v>
      </c>
      <c r="C27" s="82" t="str">
        <f t="shared" si="3"/>
        <v>USD</v>
      </c>
      <c r="D27" s="82" t="s">
        <v>69</v>
      </c>
      <c r="E27" s="82">
        <v>1230613.0</v>
      </c>
      <c r="F27" s="82" t="s">
        <v>70</v>
      </c>
      <c r="G27" s="82" t="s">
        <v>138</v>
      </c>
      <c r="H27" s="82" t="s">
        <v>139</v>
      </c>
      <c r="I27" s="82" t="s">
        <v>140</v>
      </c>
      <c r="J27" s="82" t="s">
        <v>141</v>
      </c>
      <c r="K27" s="82" t="s">
        <v>138</v>
      </c>
      <c r="L27" s="82" t="s">
        <v>75</v>
      </c>
      <c r="M27" s="82" t="s">
        <v>142</v>
      </c>
      <c r="N27" s="82" t="s">
        <v>143</v>
      </c>
      <c r="O27" s="82" t="s">
        <v>144</v>
      </c>
      <c r="P27" s="82" t="s">
        <v>79</v>
      </c>
      <c r="Q27" s="82" t="s">
        <v>145</v>
      </c>
      <c r="R27" s="9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</row>
    <row r="28" ht="14.25" customHeight="1">
      <c r="A28" s="72" t="str">
        <f t="shared" si="1"/>
        <v>14/06/2023</v>
      </c>
      <c r="B28" s="82" t="str">
        <f t="shared" si="2"/>
        <v>06-14</v>
      </c>
      <c r="C28" s="82" t="str">
        <f t="shared" si="3"/>
        <v>USD</v>
      </c>
      <c r="D28" s="82" t="s">
        <v>69</v>
      </c>
      <c r="E28" s="82">
        <v>1230614.0</v>
      </c>
      <c r="F28" s="82" t="s">
        <v>146</v>
      </c>
      <c r="G28" s="82" t="s">
        <v>147</v>
      </c>
      <c r="H28" s="82" t="s">
        <v>148</v>
      </c>
      <c r="I28" s="82" t="s">
        <v>149</v>
      </c>
      <c r="J28" s="82" t="s">
        <v>74</v>
      </c>
      <c r="K28" s="82" t="s">
        <v>147</v>
      </c>
      <c r="L28" s="82" t="s">
        <v>75</v>
      </c>
      <c r="M28" s="82" t="s">
        <v>150</v>
      </c>
      <c r="N28" s="82" t="s">
        <v>151</v>
      </c>
      <c r="O28" s="82" t="s">
        <v>152</v>
      </c>
      <c r="P28" s="82" t="s">
        <v>79</v>
      </c>
      <c r="Q28" s="82" t="s">
        <v>145</v>
      </c>
      <c r="R28" s="9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</row>
    <row r="29" ht="14.25" customHeight="1">
      <c r="A29" s="72" t="str">
        <f t="shared" si="1"/>
        <v>15/06/2023</v>
      </c>
      <c r="B29" s="82" t="str">
        <f t="shared" si="2"/>
        <v>06-15</v>
      </c>
      <c r="C29" s="82" t="str">
        <f t="shared" si="3"/>
        <v>USD</v>
      </c>
      <c r="D29" s="82" t="s">
        <v>69</v>
      </c>
      <c r="E29" s="82">
        <v>1230615.0</v>
      </c>
      <c r="F29" s="82" t="s">
        <v>146</v>
      </c>
      <c r="G29" s="82" t="s">
        <v>153</v>
      </c>
      <c r="H29" s="82" t="s">
        <v>154</v>
      </c>
      <c r="I29" s="82" t="s">
        <v>155</v>
      </c>
      <c r="J29" s="82" t="s">
        <v>156</v>
      </c>
      <c r="K29" s="82" t="s">
        <v>153</v>
      </c>
      <c r="L29" s="82" t="s">
        <v>75</v>
      </c>
      <c r="M29" s="82" t="s">
        <v>157</v>
      </c>
      <c r="N29" s="82" t="s">
        <v>158</v>
      </c>
      <c r="O29" s="82" t="s">
        <v>159</v>
      </c>
      <c r="P29" s="82" t="s">
        <v>79</v>
      </c>
      <c r="Q29" s="82" t="s">
        <v>80</v>
      </c>
      <c r="R29" s="9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</row>
    <row r="30" ht="14.25" customHeight="1">
      <c r="A30" s="72" t="str">
        <f t="shared" si="1"/>
        <v>15/06/2023</v>
      </c>
      <c r="B30" s="82" t="str">
        <f t="shared" si="2"/>
        <v>06-15</v>
      </c>
      <c r="C30" s="82" t="str">
        <f t="shared" si="3"/>
        <v>USD</v>
      </c>
      <c r="D30" s="82" t="s">
        <v>69</v>
      </c>
      <c r="E30" s="82">
        <v>1230615.0</v>
      </c>
      <c r="F30" s="82" t="s">
        <v>146</v>
      </c>
      <c r="G30" s="82" t="s">
        <v>160</v>
      </c>
      <c r="H30" s="82" t="s">
        <v>154</v>
      </c>
      <c r="I30" s="82" t="s">
        <v>155</v>
      </c>
      <c r="J30" s="82" t="s">
        <v>156</v>
      </c>
      <c r="K30" s="82" t="s">
        <v>160</v>
      </c>
      <c r="L30" s="82" t="s">
        <v>75</v>
      </c>
      <c r="M30" s="82" t="s">
        <v>161</v>
      </c>
      <c r="N30" s="82" t="s">
        <v>158</v>
      </c>
      <c r="O30" s="82" t="s">
        <v>162</v>
      </c>
      <c r="P30" s="82" t="s">
        <v>79</v>
      </c>
      <c r="Q30" s="82" t="s">
        <v>80</v>
      </c>
      <c r="R30" s="9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</row>
    <row r="31" ht="14.25" customHeight="1">
      <c r="A31" s="72" t="str">
        <f t="shared" si="1"/>
        <v>15/06/2023</v>
      </c>
      <c r="B31" s="82" t="str">
        <f t="shared" si="2"/>
        <v>06-15</v>
      </c>
      <c r="C31" s="82" t="str">
        <f t="shared" si="3"/>
        <v>USD</v>
      </c>
      <c r="D31" s="82" t="s">
        <v>69</v>
      </c>
      <c r="E31" s="82">
        <v>1230615.0</v>
      </c>
      <c r="F31" s="82" t="s">
        <v>146</v>
      </c>
      <c r="G31" s="82" t="s">
        <v>163</v>
      </c>
      <c r="H31" s="82" t="s">
        <v>154</v>
      </c>
      <c r="I31" s="82" t="s">
        <v>155</v>
      </c>
      <c r="J31" s="82" t="s">
        <v>156</v>
      </c>
      <c r="K31" s="82" t="s">
        <v>163</v>
      </c>
      <c r="L31" s="82" t="s">
        <v>75</v>
      </c>
      <c r="M31" s="82" t="s">
        <v>164</v>
      </c>
      <c r="N31" s="82" t="s">
        <v>158</v>
      </c>
      <c r="O31" s="82" t="s">
        <v>162</v>
      </c>
      <c r="P31" s="82" t="s">
        <v>79</v>
      </c>
      <c r="Q31" s="82" t="s">
        <v>80</v>
      </c>
      <c r="R31" s="9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</row>
    <row r="32" ht="14.25" customHeight="1">
      <c r="A32" s="72" t="str">
        <f t="shared" si="1"/>
        <v>15/06/2023</v>
      </c>
      <c r="B32" s="82" t="str">
        <f t="shared" si="2"/>
        <v>06-15</v>
      </c>
      <c r="C32" s="82" t="str">
        <f t="shared" si="3"/>
        <v>USD</v>
      </c>
      <c r="D32" s="82" t="s">
        <v>69</v>
      </c>
      <c r="E32" s="82">
        <v>1230615.0</v>
      </c>
      <c r="F32" s="82" t="s">
        <v>146</v>
      </c>
      <c r="G32" s="82" t="s">
        <v>165</v>
      </c>
      <c r="H32" s="82" t="s">
        <v>154</v>
      </c>
      <c r="I32" s="82" t="s">
        <v>155</v>
      </c>
      <c r="J32" s="82" t="s">
        <v>156</v>
      </c>
      <c r="K32" s="82" t="s">
        <v>165</v>
      </c>
      <c r="L32" s="82" t="s">
        <v>75</v>
      </c>
      <c r="M32" s="82" t="s">
        <v>166</v>
      </c>
      <c r="N32" s="82" t="s">
        <v>158</v>
      </c>
      <c r="O32" s="82" t="s">
        <v>162</v>
      </c>
      <c r="P32" s="82" t="s">
        <v>79</v>
      </c>
      <c r="Q32" s="82" t="s">
        <v>80</v>
      </c>
      <c r="R32" s="9"/>
      <c r="T32" s="85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</row>
    <row r="33" ht="14.25" customHeight="1">
      <c r="A33" s="72" t="str">
        <f t="shared" si="1"/>
        <v>15/06/2023</v>
      </c>
      <c r="B33" s="82" t="str">
        <f t="shared" si="2"/>
        <v>06-15</v>
      </c>
      <c r="C33" s="82" t="str">
        <f t="shared" si="3"/>
        <v>USD</v>
      </c>
      <c r="D33" s="82" t="s">
        <v>69</v>
      </c>
      <c r="E33" s="82">
        <v>1230615.0</v>
      </c>
      <c r="F33" s="82" t="s">
        <v>146</v>
      </c>
      <c r="G33" s="82" t="s">
        <v>167</v>
      </c>
      <c r="H33" s="82" t="s">
        <v>154</v>
      </c>
      <c r="I33" s="82" t="s">
        <v>155</v>
      </c>
      <c r="J33" s="82" t="s">
        <v>156</v>
      </c>
      <c r="K33" s="82" t="s">
        <v>167</v>
      </c>
      <c r="L33" s="82" t="s">
        <v>75</v>
      </c>
      <c r="M33" s="82" t="s">
        <v>168</v>
      </c>
      <c r="N33" s="82" t="s">
        <v>158</v>
      </c>
      <c r="O33" s="82" t="s">
        <v>162</v>
      </c>
      <c r="P33" s="82" t="s">
        <v>79</v>
      </c>
      <c r="Q33" s="82" t="s">
        <v>80</v>
      </c>
      <c r="R33" s="9"/>
      <c r="T33" s="85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</row>
    <row r="34" ht="14.25" customHeight="1">
      <c r="A34" s="72" t="str">
        <f t="shared" si="1"/>
        <v>15/06/2023</v>
      </c>
      <c r="B34" s="82" t="str">
        <f t="shared" si="2"/>
        <v>06-15</v>
      </c>
      <c r="C34" s="82" t="str">
        <f t="shared" si="3"/>
        <v>USD</v>
      </c>
      <c r="D34" s="82" t="s">
        <v>69</v>
      </c>
      <c r="E34" s="82">
        <v>1230615.0</v>
      </c>
      <c r="F34" s="82" t="s">
        <v>146</v>
      </c>
      <c r="G34" s="82" t="s">
        <v>169</v>
      </c>
      <c r="H34" s="82" t="s">
        <v>154</v>
      </c>
      <c r="I34" s="82" t="s">
        <v>155</v>
      </c>
      <c r="J34" s="82" t="s">
        <v>156</v>
      </c>
      <c r="K34" s="82" t="s">
        <v>169</v>
      </c>
      <c r="L34" s="82" t="s">
        <v>75</v>
      </c>
      <c r="M34" s="82" t="s">
        <v>170</v>
      </c>
      <c r="N34" s="82" t="s">
        <v>158</v>
      </c>
      <c r="O34" s="82" t="s">
        <v>162</v>
      </c>
      <c r="P34" s="82" t="s">
        <v>79</v>
      </c>
      <c r="Q34" s="82" t="s">
        <v>80</v>
      </c>
      <c r="R34" s="9"/>
      <c r="T34" s="85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</row>
    <row r="35" ht="14.25" customHeight="1">
      <c r="A35" s="72" t="str">
        <f t="shared" si="1"/>
        <v>18/06/2023</v>
      </c>
      <c r="B35" s="82" t="str">
        <f t="shared" si="2"/>
        <v>06-18</v>
      </c>
      <c r="C35" s="82" t="str">
        <f t="shared" si="3"/>
        <v>USD</v>
      </c>
      <c r="D35" s="82" t="s">
        <v>69</v>
      </c>
      <c r="E35" s="82">
        <v>1230618.0</v>
      </c>
      <c r="F35" s="82" t="s">
        <v>70</v>
      </c>
      <c r="G35" s="82" t="s">
        <v>171</v>
      </c>
      <c r="H35" s="82" t="s">
        <v>172</v>
      </c>
      <c r="I35" s="82" t="s">
        <v>173</v>
      </c>
      <c r="J35" s="82" t="s">
        <v>174</v>
      </c>
      <c r="K35" s="82" t="s">
        <v>171</v>
      </c>
      <c r="L35" s="82" t="s">
        <v>75</v>
      </c>
      <c r="M35" s="82" t="s">
        <v>175</v>
      </c>
      <c r="N35" s="82" t="s">
        <v>176</v>
      </c>
      <c r="O35" s="82" t="s">
        <v>177</v>
      </c>
      <c r="P35" s="82" t="s">
        <v>79</v>
      </c>
      <c r="Q35" s="82" t="s">
        <v>145</v>
      </c>
      <c r="R35" s="9"/>
      <c r="T35" s="85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</row>
    <row r="36" ht="14.25" customHeight="1">
      <c r="A36" s="72" t="str">
        <f t="shared" si="1"/>
        <v>18/06/2023</v>
      </c>
      <c r="B36" s="82" t="str">
        <f t="shared" si="2"/>
        <v>06-18</v>
      </c>
      <c r="C36" s="82" t="str">
        <f t="shared" si="3"/>
        <v>USD</v>
      </c>
      <c r="D36" s="82" t="s">
        <v>69</v>
      </c>
      <c r="E36" s="82">
        <v>1230618.0</v>
      </c>
      <c r="F36" s="82" t="s">
        <v>70</v>
      </c>
      <c r="G36" s="82" t="s">
        <v>178</v>
      </c>
      <c r="H36" s="82" t="s">
        <v>172</v>
      </c>
      <c r="I36" s="82" t="s">
        <v>173</v>
      </c>
      <c r="J36" s="82" t="s">
        <v>174</v>
      </c>
      <c r="K36" s="82" t="s">
        <v>178</v>
      </c>
      <c r="L36" s="82" t="s">
        <v>75</v>
      </c>
      <c r="M36" s="82" t="s">
        <v>175</v>
      </c>
      <c r="N36" s="82" t="s">
        <v>176</v>
      </c>
      <c r="O36" s="82" t="s">
        <v>177</v>
      </c>
      <c r="P36" s="82" t="s">
        <v>79</v>
      </c>
      <c r="Q36" s="82" t="s">
        <v>145</v>
      </c>
      <c r="R36" s="9"/>
      <c r="T36" s="85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</row>
    <row r="37" ht="14.25" customHeight="1">
      <c r="A37" s="72" t="str">
        <f t="shared" si="1"/>
        <v>18/06/2023</v>
      </c>
      <c r="B37" s="82" t="str">
        <f t="shared" si="2"/>
        <v>06-18</v>
      </c>
      <c r="C37" s="82" t="str">
        <f t="shared" si="3"/>
        <v>USD</v>
      </c>
      <c r="D37" s="82" t="s">
        <v>69</v>
      </c>
      <c r="E37" s="82">
        <v>1230618.0</v>
      </c>
      <c r="F37" s="82" t="s">
        <v>70</v>
      </c>
      <c r="G37" s="82" t="s">
        <v>179</v>
      </c>
      <c r="H37" s="82" t="s">
        <v>172</v>
      </c>
      <c r="I37" s="82" t="s">
        <v>173</v>
      </c>
      <c r="J37" s="82" t="s">
        <v>174</v>
      </c>
      <c r="K37" s="82" t="s">
        <v>179</v>
      </c>
      <c r="L37" s="82" t="s">
        <v>75</v>
      </c>
      <c r="M37" s="82" t="s">
        <v>175</v>
      </c>
      <c r="N37" s="82" t="s">
        <v>176</v>
      </c>
      <c r="O37" s="82" t="s">
        <v>177</v>
      </c>
      <c r="P37" s="82" t="s">
        <v>79</v>
      </c>
      <c r="Q37" s="82" t="s">
        <v>145</v>
      </c>
      <c r="R37" s="9"/>
      <c r="T37" s="85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</row>
    <row r="38" ht="14.25" customHeight="1">
      <c r="A38" s="72" t="str">
        <f t="shared" si="1"/>
        <v>18/06/2023</v>
      </c>
      <c r="B38" s="82" t="str">
        <f t="shared" si="2"/>
        <v>06-18</v>
      </c>
      <c r="C38" s="82" t="str">
        <f t="shared" si="3"/>
        <v>USD</v>
      </c>
      <c r="D38" s="82" t="s">
        <v>69</v>
      </c>
      <c r="E38" s="82">
        <v>1230618.0</v>
      </c>
      <c r="F38" s="82" t="s">
        <v>70</v>
      </c>
      <c r="G38" s="82" t="s">
        <v>180</v>
      </c>
      <c r="H38" s="82" t="s">
        <v>172</v>
      </c>
      <c r="I38" s="82" t="s">
        <v>173</v>
      </c>
      <c r="J38" s="82" t="s">
        <v>174</v>
      </c>
      <c r="K38" s="82" t="s">
        <v>180</v>
      </c>
      <c r="L38" s="82" t="s">
        <v>75</v>
      </c>
      <c r="M38" s="82" t="s">
        <v>175</v>
      </c>
      <c r="N38" s="82" t="s">
        <v>176</v>
      </c>
      <c r="O38" s="82" t="s">
        <v>177</v>
      </c>
      <c r="P38" s="82" t="s">
        <v>79</v>
      </c>
      <c r="Q38" s="82" t="s">
        <v>145</v>
      </c>
      <c r="R38" s="9"/>
      <c r="T38" s="85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</row>
    <row r="39" ht="14.25" customHeight="1">
      <c r="A39" s="72" t="str">
        <f t="shared" si="1"/>
        <v>18/06/2023</v>
      </c>
      <c r="B39" s="82" t="str">
        <f t="shared" si="2"/>
        <v>06-18</v>
      </c>
      <c r="C39" s="82" t="str">
        <f t="shared" si="3"/>
        <v>USD</v>
      </c>
      <c r="D39" s="82" t="s">
        <v>69</v>
      </c>
      <c r="E39" s="82">
        <v>1230618.0</v>
      </c>
      <c r="F39" s="82" t="s">
        <v>70</v>
      </c>
      <c r="G39" s="72" t="s">
        <v>181</v>
      </c>
      <c r="H39" s="82" t="s">
        <v>172</v>
      </c>
      <c r="I39" s="82" t="s">
        <v>173</v>
      </c>
      <c r="J39" s="82" t="s">
        <v>174</v>
      </c>
      <c r="K39" s="72" t="s">
        <v>181</v>
      </c>
      <c r="L39" s="82" t="s">
        <v>75</v>
      </c>
      <c r="M39" s="82" t="s">
        <v>175</v>
      </c>
      <c r="N39" s="82" t="s">
        <v>176</v>
      </c>
      <c r="O39" s="82" t="s">
        <v>177</v>
      </c>
      <c r="P39" s="82" t="s">
        <v>79</v>
      </c>
      <c r="Q39" s="82" t="s">
        <v>145</v>
      </c>
      <c r="R39" s="9"/>
      <c r="T39" s="85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</row>
    <row r="40" ht="14.25" customHeight="1">
      <c r="A40" s="72" t="str">
        <f t="shared" si="1"/>
        <v>18/06/2023</v>
      </c>
      <c r="B40" s="82" t="str">
        <f t="shared" si="2"/>
        <v>06-18</v>
      </c>
      <c r="C40" s="82" t="str">
        <f t="shared" si="3"/>
        <v>USD</v>
      </c>
      <c r="D40" s="82" t="s">
        <v>69</v>
      </c>
      <c r="E40" s="82">
        <v>1230618.0</v>
      </c>
      <c r="F40" s="82" t="s">
        <v>146</v>
      </c>
      <c r="G40" s="82" t="s">
        <v>182</v>
      </c>
      <c r="H40" s="82" t="s">
        <v>148</v>
      </c>
      <c r="I40" s="82" t="s">
        <v>149</v>
      </c>
      <c r="J40" s="82" t="s">
        <v>74</v>
      </c>
      <c r="K40" s="82" t="s">
        <v>182</v>
      </c>
      <c r="L40" s="82" t="s">
        <v>75</v>
      </c>
      <c r="M40" s="82" t="s">
        <v>183</v>
      </c>
      <c r="N40" s="82" t="s">
        <v>158</v>
      </c>
      <c r="O40" s="82" t="s">
        <v>184</v>
      </c>
      <c r="P40" s="82" t="s">
        <v>79</v>
      </c>
      <c r="Q40" s="82" t="s">
        <v>80</v>
      </c>
      <c r="R40" s="9"/>
      <c r="T40" s="85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</row>
    <row r="41" ht="14.25" customHeight="1">
      <c r="A41" s="72" t="str">
        <f t="shared" si="1"/>
        <v>18/06/2023</v>
      </c>
      <c r="B41" s="82" t="str">
        <f t="shared" si="2"/>
        <v>06-18</v>
      </c>
      <c r="C41" s="82" t="str">
        <f t="shared" si="3"/>
        <v>USD</v>
      </c>
      <c r="D41" s="72" t="s">
        <v>69</v>
      </c>
      <c r="E41" s="72">
        <v>1230618.0</v>
      </c>
      <c r="F41" s="72" t="s">
        <v>70</v>
      </c>
      <c r="G41" s="72" t="s">
        <v>185</v>
      </c>
      <c r="H41" s="72" t="s">
        <v>139</v>
      </c>
      <c r="I41" s="72" t="s">
        <v>140</v>
      </c>
      <c r="J41" s="72" t="s">
        <v>141</v>
      </c>
      <c r="K41" s="72" t="s">
        <v>185</v>
      </c>
      <c r="L41" s="72" t="s">
        <v>75</v>
      </c>
      <c r="M41" s="72" t="s">
        <v>186</v>
      </c>
      <c r="N41" s="72" t="s">
        <v>187</v>
      </c>
      <c r="O41" s="72" t="s">
        <v>188</v>
      </c>
      <c r="P41" s="72" t="s">
        <v>79</v>
      </c>
      <c r="Q41" s="72" t="s">
        <v>80</v>
      </c>
      <c r="R41" s="9"/>
      <c r="T41" s="85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</row>
    <row r="42" ht="14.25" customHeight="1">
      <c r="A42" s="72" t="str">
        <f t="shared" si="1"/>
        <v>19/06/2023</v>
      </c>
      <c r="B42" s="82" t="str">
        <f t="shared" si="2"/>
        <v>06-19</v>
      </c>
      <c r="C42" s="82" t="str">
        <f t="shared" si="3"/>
        <v>USD</v>
      </c>
      <c r="D42" s="72" t="s">
        <v>69</v>
      </c>
      <c r="E42" s="72">
        <v>1230619.0</v>
      </c>
      <c r="F42" s="72" t="s">
        <v>146</v>
      </c>
      <c r="G42" s="72" t="s">
        <v>189</v>
      </c>
      <c r="H42" s="72" t="s">
        <v>190</v>
      </c>
      <c r="I42" s="72" t="s">
        <v>149</v>
      </c>
      <c r="J42" s="72" t="s">
        <v>74</v>
      </c>
      <c r="K42" s="72" t="s">
        <v>189</v>
      </c>
      <c r="L42" s="72" t="s">
        <v>75</v>
      </c>
      <c r="M42" s="72" t="s">
        <v>191</v>
      </c>
      <c r="N42" s="72" t="s">
        <v>192</v>
      </c>
      <c r="O42" s="72" t="s">
        <v>193</v>
      </c>
      <c r="P42" s="72" t="s">
        <v>79</v>
      </c>
      <c r="Q42" s="72" t="s">
        <v>122</v>
      </c>
      <c r="R42" s="9"/>
      <c r="T42" s="85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</row>
    <row r="43" ht="14.25" customHeight="1">
      <c r="A43" s="72" t="str">
        <f t="shared" si="1"/>
        <v>19/06/2023</v>
      </c>
      <c r="B43" s="82" t="str">
        <f t="shared" si="2"/>
        <v>06-19</v>
      </c>
      <c r="C43" s="82" t="str">
        <f t="shared" si="3"/>
        <v>USD</v>
      </c>
      <c r="D43" s="72" t="s">
        <v>69</v>
      </c>
      <c r="E43" s="72">
        <v>1230619.0</v>
      </c>
      <c r="F43" s="72" t="s">
        <v>70</v>
      </c>
      <c r="G43" s="72" t="s">
        <v>194</v>
      </c>
      <c r="H43" s="72" t="s">
        <v>72</v>
      </c>
      <c r="I43" s="72" t="s">
        <v>73</v>
      </c>
      <c r="J43" s="72" t="s">
        <v>74</v>
      </c>
      <c r="K43" s="72" t="s">
        <v>194</v>
      </c>
      <c r="L43" s="72" t="s">
        <v>75</v>
      </c>
      <c r="M43" s="72" t="s">
        <v>195</v>
      </c>
      <c r="N43" s="72" t="s">
        <v>196</v>
      </c>
      <c r="O43" s="72" t="s">
        <v>197</v>
      </c>
      <c r="P43" s="72" t="s">
        <v>79</v>
      </c>
      <c r="Q43" s="72" t="s">
        <v>133</v>
      </c>
      <c r="R43" s="9"/>
      <c r="T43" s="85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</row>
    <row r="44" ht="14.25" customHeight="1">
      <c r="A44" s="72" t="str">
        <f t="shared" si="1"/>
        <v>19/06/2023</v>
      </c>
      <c r="B44" s="82" t="str">
        <f t="shared" si="2"/>
        <v>06-19</v>
      </c>
      <c r="C44" s="82" t="str">
        <f t="shared" si="3"/>
        <v>USD</v>
      </c>
      <c r="D44" s="72" t="s">
        <v>69</v>
      </c>
      <c r="E44" s="72">
        <v>1230619.0</v>
      </c>
      <c r="F44" s="72" t="s">
        <v>70</v>
      </c>
      <c r="G44" s="72" t="s">
        <v>198</v>
      </c>
      <c r="H44" s="72" t="s">
        <v>72</v>
      </c>
      <c r="I44" s="72" t="s">
        <v>73</v>
      </c>
      <c r="J44" s="72" t="s">
        <v>74</v>
      </c>
      <c r="K44" s="72" t="s">
        <v>198</v>
      </c>
      <c r="L44" s="72" t="s">
        <v>75</v>
      </c>
      <c r="M44" s="72" t="s">
        <v>199</v>
      </c>
      <c r="N44" s="72" t="s">
        <v>196</v>
      </c>
      <c r="O44" s="72" t="s">
        <v>197</v>
      </c>
      <c r="P44" s="72" t="s">
        <v>79</v>
      </c>
      <c r="Q44" s="72" t="s">
        <v>133</v>
      </c>
      <c r="R44" s="9"/>
      <c r="T44" s="85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</row>
    <row r="45" ht="14.25" customHeight="1">
      <c r="A45" s="72" t="str">
        <f t="shared" si="1"/>
        <v>19/06/2023</v>
      </c>
      <c r="B45" s="82" t="str">
        <f t="shared" si="2"/>
        <v>06-19</v>
      </c>
      <c r="C45" s="82" t="str">
        <f t="shared" si="3"/>
        <v>USD</v>
      </c>
      <c r="D45" s="72" t="s">
        <v>69</v>
      </c>
      <c r="E45" s="72">
        <v>1230619.0</v>
      </c>
      <c r="F45" s="72" t="s">
        <v>70</v>
      </c>
      <c r="G45" s="72" t="s">
        <v>200</v>
      </c>
      <c r="H45" s="72" t="s">
        <v>72</v>
      </c>
      <c r="I45" s="72" t="s">
        <v>73</v>
      </c>
      <c r="J45" s="72" t="s">
        <v>74</v>
      </c>
      <c r="K45" s="72" t="s">
        <v>200</v>
      </c>
      <c r="L45" s="72" t="s">
        <v>75</v>
      </c>
      <c r="M45" s="72" t="s">
        <v>201</v>
      </c>
      <c r="N45" s="72" t="s">
        <v>196</v>
      </c>
      <c r="O45" s="72" t="s">
        <v>197</v>
      </c>
      <c r="P45" s="72" t="s">
        <v>79</v>
      </c>
      <c r="Q45" s="72" t="s">
        <v>133</v>
      </c>
      <c r="R45" s="9"/>
      <c r="T45" s="85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</row>
    <row r="46" ht="14.25" customHeight="1">
      <c r="A46" s="72" t="str">
        <f t="shared" si="1"/>
        <v>19/06/2023</v>
      </c>
      <c r="B46" s="82" t="str">
        <f t="shared" si="2"/>
        <v>06-19</v>
      </c>
      <c r="C46" s="82" t="str">
        <f t="shared" si="3"/>
        <v>USD</v>
      </c>
      <c r="D46" s="72" t="s">
        <v>69</v>
      </c>
      <c r="E46" s="72">
        <v>1230619.0</v>
      </c>
      <c r="F46" s="72" t="s">
        <v>146</v>
      </c>
      <c r="G46" s="72" t="s">
        <v>202</v>
      </c>
      <c r="H46" s="72" t="s">
        <v>148</v>
      </c>
      <c r="I46" s="72" t="s">
        <v>149</v>
      </c>
      <c r="J46" s="72" t="s">
        <v>74</v>
      </c>
      <c r="K46" s="72" t="s">
        <v>202</v>
      </c>
      <c r="L46" s="72" t="s">
        <v>75</v>
      </c>
      <c r="M46" s="72" t="s">
        <v>203</v>
      </c>
      <c r="N46" s="72" t="s">
        <v>204</v>
      </c>
      <c r="O46" s="72" t="s">
        <v>205</v>
      </c>
      <c r="P46" s="72" t="s">
        <v>79</v>
      </c>
      <c r="Q46" s="72" t="s">
        <v>145</v>
      </c>
      <c r="R46" s="9"/>
      <c r="T46" s="85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</row>
    <row r="47" ht="14.25" customHeight="1">
      <c r="A47" s="72" t="str">
        <f t="shared" si="1"/>
        <v>19/06/2023</v>
      </c>
      <c r="B47" s="82" t="str">
        <f t="shared" si="2"/>
        <v>06-19</v>
      </c>
      <c r="C47" s="82" t="str">
        <f t="shared" si="3"/>
        <v>USD</v>
      </c>
      <c r="D47" s="72" t="s">
        <v>69</v>
      </c>
      <c r="E47" s="72">
        <v>1230619.0</v>
      </c>
      <c r="F47" s="72" t="s">
        <v>146</v>
      </c>
      <c r="G47" s="72" t="s">
        <v>206</v>
      </c>
      <c r="H47" s="72" t="s">
        <v>148</v>
      </c>
      <c r="I47" s="72" t="s">
        <v>149</v>
      </c>
      <c r="J47" s="72" t="s">
        <v>74</v>
      </c>
      <c r="K47" s="72" t="s">
        <v>206</v>
      </c>
      <c r="L47" s="72" t="s">
        <v>75</v>
      </c>
      <c r="M47" s="72" t="s">
        <v>207</v>
      </c>
      <c r="N47" s="72" t="s">
        <v>204</v>
      </c>
      <c r="O47" s="72" t="s">
        <v>205</v>
      </c>
      <c r="P47" s="72" t="s">
        <v>79</v>
      </c>
      <c r="Q47" s="72" t="s">
        <v>145</v>
      </c>
      <c r="R47" s="9"/>
      <c r="T47" s="85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</row>
    <row r="48" ht="14.25" customHeight="1">
      <c r="A48" s="72" t="str">
        <f t="shared" si="1"/>
        <v>19/06/2023</v>
      </c>
      <c r="B48" s="82" t="str">
        <f t="shared" si="2"/>
        <v>06-19</v>
      </c>
      <c r="C48" s="82" t="str">
        <f t="shared" si="3"/>
        <v>USD</v>
      </c>
      <c r="D48" s="72" t="s">
        <v>69</v>
      </c>
      <c r="E48" s="72">
        <v>1230619.0</v>
      </c>
      <c r="F48" s="72" t="s">
        <v>146</v>
      </c>
      <c r="G48" s="72" t="s">
        <v>208</v>
      </c>
      <c r="H48" s="72" t="s">
        <v>148</v>
      </c>
      <c r="I48" s="72" t="s">
        <v>149</v>
      </c>
      <c r="J48" s="72" t="s">
        <v>74</v>
      </c>
      <c r="K48" s="72" t="s">
        <v>208</v>
      </c>
      <c r="L48" s="72" t="s">
        <v>75</v>
      </c>
      <c r="M48" s="72" t="s">
        <v>209</v>
      </c>
      <c r="N48" s="72" t="s">
        <v>204</v>
      </c>
      <c r="O48" s="72" t="s">
        <v>205</v>
      </c>
      <c r="P48" s="72" t="s">
        <v>79</v>
      </c>
      <c r="Q48" s="72" t="s">
        <v>145</v>
      </c>
      <c r="R48" s="9"/>
      <c r="T48" s="85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</row>
    <row r="49" ht="14.25" customHeight="1">
      <c r="A49" s="72" t="str">
        <f t="shared" si="1"/>
        <v>19/06/2023</v>
      </c>
      <c r="B49" s="82" t="str">
        <f t="shared" si="2"/>
        <v>06-19</v>
      </c>
      <c r="C49" s="82" t="str">
        <f t="shared" si="3"/>
        <v>USD</v>
      </c>
      <c r="D49" s="72" t="s">
        <v>69</v>
      </c>
      <c r="E49" s="72">
        <v>1230619.0</v>
      </c>
      <c r="F49" s="72" t="s">
        <v>146</v>
      </c>
      <c r="G49" s="72" t="s">
        <v>210</v>
      </c>
      <c r="H49" s="72" t="s">
        <v>148</v>
      </c>
      <c r="I49" s="72" t="s">
        <v>149</v>
      </c>
      <c r="J49" s="72" t="s">
        <v>74</v>
      </c>
      <c r="K49" s="72" t="s">
        <v>210</v>
      </c>
      <c r="L49" s="72" t="s">
        <v>75</v>
      </c>
      <c r="M49" s="72" t="s">
        <v>211</v>
      </c>
      <c r="N49" s="72" t="s">
        <v>204</v>
      </c>
      <c r="O49" s="72" t="s">
        <v>205</v>
      </c>
      <c r="P49" s="72" t="s">
        <v>79</v>
      </c>
      <c r="Q49" s="72" t="s">
        <v>145</v>
      </c>
      <c r="R49" s="9"/>
      <c r="T49" s="85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</row>
    <row r="50" ht="14.25" customHeight="1">
      <c r="A50" s="72" t="str">
        <f t="shared" si="1"/>
        <v>19/06/2023</v>
      </c>
      <c r="B50" s="82" t="str">
        <f t="shared" si="2"/>
        <v>06-19</v>
      </c>
      <c r="C50" s="82" t="str">
        <f t="shared" si="3"/>
        <v>USD</v>
      </c>
      <c r="D50" s="72" t="s">
        <v>69</v>
      </c>
      <c r="E50" s="72">
        <v>1230619.0</v>
      </c>
      <c r="F50" s="72" t="s">
        <v>146</v>
      </c>
      <c r="G50" s="72" t="s">
        <v>212</v>
      </c>
      <c r="H50" s="72" t="s">
        <v>148</v>
      </c>
      <c r="I50" s="72" t="s">
        <v>149</v>
      </c>
      <c r="J50" s="72" t="s">
        <v>74</v>
      </c>
      <c r="K50" s="72" t="s">
        <v>212</v>
      </c>
      <c r="L50" s="72" t="s">
        <v>75</v>
      </c>
      <c r="M50" s="72" t="s">
        <v>213</v>
      </c>
      <c r="N50" s="72" t="s">
        <v>204</v>
      </c>
      <c r="O50" s="72" t="s">
        <v>205</v>
      </c>
      <c r="P50" s="72" t="s">
        <v>79</v>
      </c>
      <c r="Q50" s="72" t="s">
        <v>145</v>
      </c>
      <c r="R50" s="9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</row>
    <row r="51" ht="14.25" customHeight="1">
      <c r="A51" s="72" t="str">
        <f t="shared" si="1"/>
        <v>19/06/2023</v>
      </c>
      <c r="B51" s="82" t="str">
        <f t="shared" si="2"/>
        <v>06-19</v>
      </c>
      <c r="C51" s="82" t="str">
        <f t="shared" si="3"/>
        <v>USD</v>
      </c>
      <c r="D51" s="72" t="s">
        <v>69</v>
      </c>
      <c r="E51" s="72">
        <v>1230619.0</v>
      </c>
      <c r="F51" s="72" t="s">
        <v>146</v>
      </c>
      <c r="G51" s="72" t="s">
        <v>214</v>
      </c>
      <c r="H51" s="72" t="s">
        <v>148</v>
      </c>
      <c r="I51" s="72" t="s">
        <v>149</v>
      </c>
      <c r="J51" s="72" t="s">
        <v>74</v>
      </c>
      <c r="K51" s="72" t="s">
        <v>214</v>
      </c>
      <c r="L51" s="72" t="s">
        <v>75</v>
      </c>
      <c r="M51" s="72" t="s">
        <v>215</v>
      </c>
      <c r="N51" s="72" t="s">
        <v>204</v>
      </c>
      <c r="O51" s="72" t="s">
        <v>205</v>
      </c>
      <c r="P51" s="72" t="s">
        <v>79</v>
      </c>
      <c r="Q51" s="72" t="s">
        <v>145</v>
      </c>
      <c r="R51" s="9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</row>
    <row r="52" ht="14.25" customHeight="1">
      <c r="A52" s="72" t="str">
        <f t="shared" si="1"/>
        <v>20/06/2023</v>
      </c>
      <c r="B52" s="82" t="str">
        <f t="shared" si="2"/>
        <v>06-20</v>
      </c>
      <c r="C52" s="82" t="str">
        <f t="shared" si="3"/>
        <v>USD</v>
      </c>
      <c r="D52" s="82" t="s">
        <v>69</v>
      </c>
      <c r="E52" s="82">
        <v>1230620.0</v>
      </c>
      <c r="F52" s="82" t="s">
        <v>146</v>
      </c>
      <c r="G52" s="82" t="s">
        <v>216</v>
      </c>
      <c r="H52" s="82" t="s">
        <v>217</v>
      </c>
      <c r="I52" s="82" t="s">
        <v>218</v>
      </c>
      <c r="J52" s="82" t="s">
        <v>219</v>
      </c>
      <c r="K52" s="82" t="s">
        <v>216</v>
      </c>
      <c r="L52" s="82" t="s">
        <v>75</v>
      </c>
      <c r="M52" s="82" t="s">
        <v>220</v>
      </c>
      <c r="N52" s="82" t="s">
        <v>221</v>
      </c>
      <c r="O52" s="82" t="s">
        <v>222</v>
      </c>
      <c r="P52" s="82" t="s">
        <v>79</v>
      </c>
      <c r="Q52" s="82" t="s">
        <v>133</v>
      </c>
      <c r="R52" s="9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</row>
    <row r="53" ht="14.25" customHeight="1">
      <c r="A53" s="72" t="str">
        <f t="shared" si="1"/>
        <v>20/06/2023</v>
      </c>
      <c r="B53" s="82" t="str">
        <f t="shared" si="2"/>
        <v>06-20</v>
      </c>
      <c r="C53" s="82" t="str">
        <f t="shared" si="3"/>
        <v>USD</v>
      </c>
      <c r="D53" s="82" t="s">
        <v>69</v>
      </c>
      <c r="E53" s="82">
        <v>1230620.0</v>
      </c>
      <c r="F53" s="82" t="s">
        <v>146</v>
      </c>
      <c r="G53" s="82" t="s">
        <v>223</v>
      </c>
      <c r="H53" s="82" t="s">
        <v>217</v>
      </c>
      <c r="I53" s="82" t="s">
        <v>218</v>
      </c>
      <c r="J53" s="82" t="s">
        <v>219</v>
      </c>
      <c r="K53" s="82" t="s">
        <v>223</v>
      </c>
      <c r="L53" s="82" t="s">
        <v>75</v>
      </c>
      <c r="M53" s="82" t="s">
        <v>224</v>
      </c>
      <c r="N53" s="82" t="s">
        <v>221</v>
      </c>
      <c r="O53" s="82" t="s">
        <v>222</v>
      </c>
      <c r="P53" s="82" t="s">
        <v>79</v>
      </c>
      <c r="Q53" s="82" t="s">
        <v>133</v>
      </c>
      <c r="R53" s="9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</row>
    <row r="54" ht="14.25" customHeight="1">
      <c r="A54" s="72" t="str">
        <f t="shared" si="1"/>
        <v>20/06/2023</v>
      </c>
      <c r="B54" s="82" t="str">
        <f t="shared" si="2"/>
        <v>06-20</v>
      </c>
      <c r="C54" s="82" t="str">
        <f t="shared" si="3"/>
        <v>USD</v>
      </c>
      <c r="D54" s="82" t="s">
        <v>69</v>
      </c>
      <c r="E54" s="82">
        <v>1230620.0</v>
      </c>
      <c r="F54" s="82" t="s">
        <v>146</v>
      </c>
      <c r="G54" s="82" t="s">
        <v>225</v>
      </c>
      <c r="H54" s="82" t="s">
        <v>217</v>
      </c>
      <c r="I54" s="82" t="s">
        <v>218</v>
      </c>
      <c r="J54" s="82" t="s">
        <v>219</v>
      </c>
      <c r="K54" s="82" t="s">
        <v>225</v>
      </c>
      <c r="L54" s="82" t="s">
        <v>75</v>
      </c>
      <c r="M54" s="82" t="s">
        <v>226</v>
      </c>
      <c r="N54" s="82" t="s">
        <v>221</v>
      </c>
      <c r="O54" s="82" t="s">
        <v>222</v>
      </c>
      <c r="P54" s="82" t="s">
        <v>79</v>
      </c>
      <c r="Q54" s="82" t="s">
        <v>133</v>
      </c>
      <c r="R54" s="9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</row>
    <row r="55" ht="14.25" customHeight="1">
      <c r="A55" s="72" t="str">
        <f t="shared" si="1"/>
        <v>20/06/2023</v>
      </c>
      <c r="B55" s="82" t="str">
        <f t="shared" si="2"/>
        <v>06-20</v>
      </c>
      <c r="C55" s="82" t="str">
        <f t="shared" si="3"/>
        <v>USD</v>
      </c>
      <c r="D55" s="82" t="s">
        <v>69</v>
      </c>
      <c r="E55" s="82">
        <v>1230620.0</v>
      </c>
      <c r="F55" s="82" t="s">
        <v>146</v>
      </c>
      <c r="G55" s="82" t="s">
        <v>227</v>
      </c>
      <c r="H55" s="82" t="s">
        <v>217</v>
      </c>
      <c r="I55" s="82" t="s">
        <v>218</v>
      </c>
      <c r="J55" s="82" t="s">
        <v>219</v>
      </c>
      <c r="K55" s="82" t="s">
        <v>227</v>
      </c>
      <c r="L55" s="82" t="s">
        <v>75</v>
      </c>
      <c r="M55" s="82" t="s">
        <v>228</v>
      </c>
      <c r="N55" s="82" t="s">
        <v>221</v>
      </c>
      <c r="O55" s="82" t="s">
        <v>222</v>
      </c>
      <c r="P55" s="82" t="s">
        <v>79</v>
      </c>
      <c r="Q55" s="82" t="s">
        <v>133</v>
      </c>
      <c r="R55" s="9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</row>
    <row r="56" ht="14.25" customHeight="1">
      <c r="A56" s="72" t="str">
        <f t="shared" si="1"/>
        <v>20/06/2023</v>
      </c>
      <c r="B56" s="82" t="str">
        <f t="shared" si="2"/>
        <v>06-20</v>
      </c>
      <c r="C56" s="82" t="str">
        <f t="shared" si="3"/>
        <v>USD</v>
      </c>
      <c r="D56" s="82" t="s">
        <v>69</v>
      </c>
      <c r="E56" s="82">
        <v>1230620.0</v>
      </c>
      <c r="F56" s="82" t="s">
        <v>146</v>
      </c>
      <c r="G56" s="82" t="s">
        <v>229</v>
      </c>
      <c r="H56" s="82" t="s">
        <v>148</v>
      </c>
      <c r="I56" s="82" t="s">
        <v>149</v>
      </c>
      <c r="J56" s="82" t="s">
        <v>74</v>
      </c>
      <c r="K56" s="82" t="s">
        <v>229</v>
      </c>
      <c r="L56" s="82" t="s">
        <v>75</v>
      </c>
      <c r="M56" s="82" t="s">
        <v>230</v>
      </c>
      <c r="N56" s="82" t="s">
        <v>204</v>
      </c>
      <c r="O56" s="82" t="s">
        <v>205</v>
      </c>
      <c r="P56" s="82" t="s">
        <v>79</v>
      </c>
      <c r="Q56" s="82" t="s">
        <v>145</v>
      </c>
      <c r="R56" s="9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</row>
    <row r="57" ht="14.25" customHeight="1">
      <c r="A57" s="72" t="str">
        <f t="shared" si="1"/>
        <v>20/06/2023</v>
      </c>
      <c r="B57" s="82" t="str">
        <f t="shared" si="2"/>
        <v>06-20</v>
      </c>
      <c r="C57" s="82" t="str">
        <f t="shared" si="3"/>
        <v>USD</v>
      </c>
      <c r="D57" s="82" t="s">
        <v>69</v>
      </c>
      <c r="E57" s="82">
        <v>1230620.0</v>
      </c>
      <c r="F57" s="82" t="s">
        <v>146</v>
      </c>
      <c r="G57" s="82" t="s">
        <v>231</v>
      </c>
      <c r="H57" s="82" t="s">
        <v>148</v>
      </c>
      <c r="I57" s="82" t="s">
        <v>149</v>
      </c>
      <c r="J57" s="82" t="s">
        <v>74</v>
      </c>
      <c r="K57" s="82" t="s">
        <v>231</v>
      </c>
      <c r="L57" s="82" t="s">
        <v>75</v>
      </c>
      <c r="M57" s="82" t="s">
        <v>232</v>
      </c>
      <c r="N57" s="82" t="s">
        <v>204</v>
      </c>
      <c r="O57" s="82" t="s">
        <v>205</v>
      </c>
      <c r="P57" s="82" t="s">
        <v>79</v>
      </c>
      <c r="Q57" s="82" t="s">
        <v>145</v>
      </c>
      <c r="R57" s="9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</row>
    <row r="58" ht="14.25" customHeight="1">
      <c r="A58" s="72" t="str">
        <f t="shared" si="1"/>
        <v>20/06/2023</v>
      </c>
      <c r="B58" s="82" t="str">
        <f t="shared" si="2"/>
        <v>06-20</v>
      </c>
      <c r="C58" s="82" t="str">
        <f t="shared" si="3"/>
        <v>USD</v>
      </c>
      <c r="D58" s="82" t="s">
        <v>69</v>
      </c>
      <c r="E58" s="82">
        <v>1230620.0</v>
      </c>
      <c r="F58" s="82" t="s">
        <v>146</v>
      </c>
      <c r="G58" s="82" t="s">
        <v>233</v>
      </c>
      <c r="H58" s="82" t="s">
        <v>148</v>
      </c>
      <c r="I58" s="82" t="s">
        <v>149</v>
      </c>
      <c r="J58" s="82" t="s">
        <v>74</v>
      </c>
      <c r="K58" s="82" t="s">
        <v>233</v>
      </c>
      <c r="L58" s="82" t="s">
        <v>75</v>
      </c>
      <c r="M58" s="82" t="s">
        <v>234</v>
      </c>
      <c r="N58" s="82" t="s">
        <v>204</v>
      </c>
      <c r="O58" s="82" t="s">
        <v>205</v>
      </c>
      <c r="P58" s="82" t="s">
        <v>79</v>
      </c>
      <c r="Q58" s="82" t="s">
        <v>145</v>
      </c>
      <c r="R58" s="9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</row>
    <row r="59" ht="14.25" customHeight="1">
      <c r="A59" s="72" t="str">
        <f t="shared" si="1"/>
        <v>20/06/2023</v>
      </c>
      <c r="B59" s="82" t="str">
        <f t="shared" si="2"/>
        <v>06-20</v>
      </c>
      <c r="C59" s="82" t="str">
        <f t="shared" si="3"/>
        <v>USD</v>
      </c>
      <c r="D59" s="82" t="s">
        <v>69</v>
      </c>
      <c r="E59" s="82">
        <v>1230620.0</v>
      </c>
      <c r="F59" s="82" t="s">
        <v>146</v>
      </c>
      <c r="G59" s="82" t="s">
        <v>235</v>
      </c>
      <c r="H59" s="82" t="s">
        <v>148</v>
      </c>
      <c r="I59" s="82" t="s">
        <v>149</v>
      </c>
      <c r="J59" s="82" t="s">
        <v>74</v>
      </c>
      <c r="K59" s="82" t="s">
        <v>235</v>
      </c>
      <c r="L59" s="82" t="s">
        <v>75</v>
      </c>
      <c r="M59" s="82" t="s">
        <v>236</v>
      </c>
      <c r="N59" s="82" t="s">
        <v>204</v>
      </c>
      <c r="O59" s="82" t="s">
        <v>205</v>
      </c>
      <c r="P59" s="82" t="s">
        <v>79</v>
      </c>
      <c r="Q59" s="82" t="s">
        <v>145</v>
      </c>
      <c r="R59" s="9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</row>
    <row r="60" ht="14.25" customHeight="1">
      <c r="A60" s="72" t="str">
        <f t="shared" si="1"/>
        <v>20/06/2023</v>
      </c>
      <c r="B60" s="82" t="str">
        <f t="shared" si="2"/>
        <v>06-20</v>
      </c>
      <c r="C60" s="82" t="str">
        <f t="shared" si="3"/>
        <v>USD</v>
      </c>
      <c r="D60" s="82" t="s">
        <v>69</v>
      </c>
      <c r="E60" s="82">
        <v>1230620.0</v>
      </c>
      <c r="F60" s="82" t="s">
        <v>146</v>
      </c>
      <c r="G60" s="82" t="s">
        <v>237</v>
      </c>
      <c r="H60" s="82" t="s">
        <v>148</v>
      </c>
      <c r="I60" s="82" t="s">
        <v>149</v>
      </c>
      <c r="J60" s="82" t="s">
        <v>74</v>
      </c>
      <c r="K60" s="82" t="s">
        <v>237</v>
      </c>
      <c r="L60" s="82" t="s">
        <v>75</v>
      </c>
      <c r="M60" s="82" t="s">
        <v>238</v>
      </c>
      <c r="N60" s="82" t="s">
        <v>158</v>
      </c>
      <c r="O60" s="82" t="s">
        <v>162</v>
      </c>
      <c r="P60" s="82" t="s">
        <v>79</v>
      </c>
      <c r="Q60" s="82" t="s">
        <v>80</v>
      </c>
      <c r="R60" s="9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</row>
    <row r="61" ht="14.25" customHeight="1">
      <c r="A61" s="72" t="str">
        <f t="shared" si="1"/>
        <v>20/06/2023</v>
      </c>
      <c r="B61" s="82" t="str">
        <f t="shared" si="2"/>
        <v>06-20</v>
      </c>
      <c r="C61" s="82" t="str">
        <f t="shared" si="3"/>
        <v>USD</v>
      </c>
      <c r="D61" s="82" t="s">
        <v>69</v>
      </c>
      <c r="E61" s="82">
        <v>1230620.0</v>
      </c>
      <c r="F61" s="82" t="s">
        <v>146</v>
      </c>
      <c r="G61" s="82" t="s">
        <v>239</v>
      </c>
      <c r="H61" s="82" t="s">
        <v>148</v>
      </c>
      <c r="I61" s="82" t="s">
        <v>149</v>
      </c>
      <c r="J61" s="82" t="s">
        <v>74</v>
      </c>
      <c r="K61" s="82" t="s">
        <v>239</v>
      </c>
      <c r="L61" s="82" t="s">
        <v>75</v>
      </c>
      <c r="M61" s="82" t="s">
        <v>240</v>
      </c>
      <c r="N61" s="82" t="s">
        <v>158</v>
      </c>
      <c r="O61" s="82" t="s">
        <v>162</v>
      </c>
      <c r="P61" s="82" t="s">
        <v>79</v>
      </c>
      <c r="Q61" s="82" t="s">
        <v>80</v>
      </c>
      <c r="R61" s="9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</row>
    <row r="62" ht="14.25" customHeight="1">
      <c r="A62" s="72" t="str">
        <f t="shared" si="1"/>
        <v>20/06/2023</v>
      </c>
      <c r="B62" s="82" t="str">
        <f t="shared" si="2"/>
        <v>06-20</v>
      </c>
      <c r="C62" s="82" t="str">
        <f t="shared" si="3"/>
        <v>USD</v>
      </c>
      <c r="D62" s="82" t="s">
        <v>69</v>
      </c>
      <c r="E62" s="82">
        <v>1230620.0</v>
      </c>
      <c r="F62" s="82" t="s">
        <v>146</v>
      </c>
      <c r="G62" s="82" t="s">
        <v>241</v>
      </c>
      <c r="H62" s="82" t="s">
        <v>148</v>
      </c>
      <c r="I62" s="82" t="s">
        <v>149</v>
      </c>
      <c r="J62" s="82" t="s">
        <v>74</v>
      </c>
      <c r="K62" s="82" t="s">
        <v>241</v>
      </c>
      <c r="L62" s="82" t="s">
        <v>75</v>
      </c>
      <c r="M62" s="82" t="s">
        <v>242</v>
      </c>
      <c r="N62" s="82" t="s">
        <v>158</v>
      </c>
      <c r="O62" s="82" t="s">
        <v>162</v>
      </c>
      <c r="P62" s="82" t="s">
        <v>79</v>
      </c>
      <c r="Q62" s="82" t="s">
        <v>80</v>
      </c>
      <c r="R62" s="9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</row>
    <row r="63" ht="14.25" customHeight="1">
      <c r="A63" s="72" t="str">
        <f t="shared" si="1"/>
        <v>20/06/2023</v>
      </c>
      <c r="B63" s="82" t="str">
        <f t="shared" si="2"/>
        <v>06-20</v>
      </c>
      <c r="C63" s="82" t="str">
        <f t="shared" si="3"/>
        <v>USD</v>
      </c>
      <c r="D63" s="82" t="s">
        <v>69</v>
      </c>
      <c r="E63" s="82">
        <v>1230620.0</v>
      </c>
      <c r="F63" s="82" t="s">
        <v>146</v>
      </c>
      <c r="G63" s="82" t="s">
        <v>243</v>
      </c>
      <c r="H63" s="82" t="s">
        <v>148</v>
      </c>
      <c r="I63" s="82" t="s">
        <v>149</v>
      </c>
      <c r="J63" s="82" t="s">
        <v>74</v>
      </c>
      <c r="K63" s="82" t="s">
        <v>243</v>
      </c>
      <c r="L63" s="82" t="s">
        <v>75</v>
      </c>
      <c r="M63" s="82" t="s">
        <v>244</v>
      </c>
      <c r="N63" s="82" t="s">
        <v>158</v>
      </c>
      <c r="O63" s="82" t="s">
        <v>162</v>
      </c>
      <c r="P63" s="82" t="s">
        <v>79</v>
      </c>
      <c r="Q63" s="82" t="s">
        <v>80</v>
      </c>
      <c r="R63" s="9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</row>
    <row r="64" ht="14.25" customHeight="1">
      <c r="A64" s="72" t="str">
        <f t="shared" si="1"/>
        <v>20/06/2023</v>
      </c>
      <c r="B64" s="82" t="str">
        <f t="shared" si="2"/>
        <v>06-20</v>
      </c>
      <c r="C64" s="82" t="str">
        <f t="shared" si="3"/>
        <v>USD</v>
      </c>
      <c r="D64" s="82" t="s">
        <v>69</v>
      </c>
      <c r="E64" s="82">
        <v>1230620.0</v>
      </c>
      <c r="F64" s="82" t="s">
        <v>146</v>
      </c>
      <c r="G64" s="82" t="s">
        <v>245</v>
      </c>
      <c r="H64" s="82" t="s">
        <v>148</v>
      </c>
      <c r="I64" s="82" t="s">
        <v>149</v>
      </c>
      <c r="J64" s="82" t="s">
        <v>74</v>
      </c>
      <c r="K64" s="82" t="s">
        <v>245</v>
      </c>
      <c r="L64" s="82" t="s">
        <v>75</v>
      </c>
      <c r="M64" s="82" t="s">
        <v>246</v>
      </c>
      <c r="N64" s="82" t="s">
        <v>158</v>
      </c>
      <c r="O64" s="82" t="s">
        <v>162</v>
      </c>
      <c r="P64" s="82" t="s">
        <v>79</v>
      </c>
      <c r="Q64" s="82" t="s">
        <v>80</v>
      </c>
      <c r="R64" s="9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</row>
    <row r="65" ht="14.25" customHeight="1">
      <c r="A65" s="72" t="str">
        <f t="shared" si="1"/>
        <v>20/06/2023</v>
      </c>
      <c r="B65" s="82" t="str">
        <f t="shared" si="2"/>
        <v>06-20</v>
      </c>
      <c r="C65" s="82" t="str">
        <f t="shared" si="3"/>
        <v>USD</v>
      </c>
      <c r="D65" s="82" t="s">
        <v>69</v>
      </c>
      <c r="E65" s="82">
        <v>1230620.0</v>
      </c>
      <c r="F65" s="82" t="s">
        <v>146</v>
      </c>
      <c r="G65" s="82" t="s">
        <v>247</v>
      </c>
      <c r="H65" s="82" t="s">
        <v>148</v>
      </c>
      <c r="I65" s="82" t="s">
        <v>149</v>
      </c>
      <c r="J65" s="82" t="s">
        <v>74</v>
      </c>
      <c r="K65" s="82" t="s">
        <v>247</v>
      </c>
      <c r="L65" s="82" t="s">
        <v>75</v>
      </c>
      <c r="M65" s="82" t="s">
        <v>248</v>
      </c>
      <c r="N65" s="82" t="s">
        <v>158</v>
      </c>
      <c r="O65" s="82" t="s">
        <v>162</v>
      </c>
      <c r="P65" s="82" t="s">
        <v>79</v>
      </c>
      <c r="Q65" s="82" t="s">
        <v>80</v>
      </c>
      <c r="R65" s="9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</row>
    <row r="66" ht="14.25" customHeight="1">
      <c r="A66" s="72" t="str">
        <f t="shared" si="1"/>
        <v>20/06/2023</v>
      </c>
      <c r="B66" s="82" t="str">
        <f t="shared" si="2"/>
        <v>06-20</v>
      </c>
      <c r="C66" s="82" t="str">
        <f t="shared" si="3"/>
        <v>USD</v>
      </c>
      <c r="D66" s="82" t="s">
        <v>69</v>
      </c>
      <c r="E66" s="82">
        <v>1230620.0</v>
      </c>
      <c r="F66" s="82" t="s">
        <v>146</v>
      </c>
      <c r="G66" s="82" t="s">
        <v>249</v>
      </c>
      <c r="H66" s="82" t="s">
        <v>148</v>
      </c>
      <c r="I66" s="82" t="s">
        <v>149</v>
      </c>
      <c r="J66" s="82" t="s">
        <v>74</v>
      </c>
      <c r="K66" s="82" t="s">
        <v>249</v>
      </c>
      <c r="L66" s="82" t="s">
        <v>75</v>
      </c>
      <c r="M66" s="82" t="s">
        <v>250</v>
      </c>
      <c r="N66" s="82" t="s">
        <v>158</v>
      </c>
      <c r="O66" s="82" t="s">
        <v>162</v>
      </c>
      <c r="P66" s="82" t="s">
        <v>79</v>
      </c>
      <c r="Q66" s="82" t="s">
        <v>80</v>
      </c>
      <c r="R66" s="9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</row>
    <row r="67" ht="14.25" customHeight="1">
      <c r="A67" s="72" t="str">
        <f t="shared" si="1"/>
        <v>20/06/2023</v>
      </c>
      <c r="B67" s="82" t="str">
        <f t="shared" si="2"/>
        <v>06-20</v>
      </c>
      <c r="C67" s="82" t="str">
        <f t="shared" si="3"/>
        <v>USD</v>
      </c>
      <c r="D67" s="72" t="s">
        <v>69</v>
      </c>
      <c r="E67" s="72">
        <v>1230620.0</v>
      </c>
      <c r="F67" s="72" t="s">
        <v>70</v>
      </c>
      <c r="G67" s="72" t="s">
        <v>251</v>
      </c>
      <c r="H67" s="72" t="s">
        <v>139</v>
      </c>
      <c r="I67" s="72" t="s">
        <v>140</v>
      </c>
      <c r="J67" s="72" t="s">
        <v>141</v>
      </c>
      <c r="K67" s="72" t="s">
        <v>251</v>
      </c>
      <c r="L67" s="72" t="s">
        <v>75</v>
      </c>
      <c r="M67" s="72" t="s">
        <v>252</v>
      </c>
      <c r="N67" s="72" t="s">
        <v>77</v>
      </c>
      <c r="O67" s="72" t="s">
        <v>253</v>
      </c>
      <c r="P67" s="72" t="s">
        <v>79</v>
      </c>
      <c r="Q67" s="72" t="s">
        <v>80</v>
      </c>
      <c r="R67" s="9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</row>
    <row r="68" ht="14.25" customHeight="1">
      <c r="A68" s="72" t="str">
        <f t="shared" si="1"/>
        <v>20/06/2023</v>
      </c>
      <c r="B68" s="82" t="str">
        <f t="shared" si="2"/>
        <v>06-20</v>
      </c>
      <c r="C68" s="82" t="str">
        <f t="shared" si="3"/>
        <v>USD</v>
      </c>
      <c r="D68" s="72" t="s">
        <v>69</v>
      </c>
      <c r="E68" s="72">
        <v>1230620.0</v>
      </c>
      <c r="F68" s="72" t="s">
        <v>70</v>
      </c>
      <c r="G68" s="72" t="s">
        <v>254</v>
      </c>
      <c r="H68" s="72" t="s">
        <v>139</v>
      </c>
      <c r="I68" s="72" t="s">
        <v>140</v>
      </c>
      <c r="J68" s="72" t="s">
        <v>141</v>
      </c>
      <c r="K68" s="72" t="s">
        <v>254</v>
      </c>
      <c r="L68" s="72" t="s">
        <v>75</v>
      </c>
      <c r="M68" s="72" t="s">
        <v>255</v>
      </c>
      <c r="N68" s="72" t="s">
        <v>77</v>
      </c>
      <c r="O68" s="72" t="s">
        <v>253</v>
      </c>
      <c r="P68" s="72" t="s">
        <v>79</v>
      </c>
      <c r="Q68" s="72" t="s">
        <v>80</v>
      </c>
      <c r="R68" s="9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</row>
    <row r="69" ht="14.25" customHeight="1">
      <c r="A69" s="72" t="str">
        <f t="shared" si="1"/>
        <v>21/06/2023</v>
      </c>
      <c r="B69" s="82" t="str">
        <f t="shared" si="2"/>
        <v>06-21</v>
      </c>
      <c r="C69" s="82" t="str">
        <f t="shared" si="3"/>
        <v>USD</v>
      </c>
      <c r="D69" s="82" t="s">
        <v>69</v>
      </c>
      <c r="E69" s="82">
        <v>1230621.0</v>
      </c>
      <c r="F69" s="82" t="s">
        <v>146</v>
      </c>
      <c r="G69" s="82" t="s">
        <v>256</v>
      </c>
      <c r="H69" s="82" t="s">
        <v>257</v>
      </c>
      <c r="I69" s="82" t="s">
        <v>258</v>
      </c>
      <c r="J69" s="82" t="s">
        <v>219</v>
      </c>
      <c r="K69" s="82" t="s">
        <v>256</v>
      </c>
      <c r="L69" s="82" t="s">
        <v>75</v>
      </c>
      <c r="M69" s="82" t="s">
        <v>259</v>
      </c>
      <c r="N69" s="82" t="s">
        <v>260</v>
      </c>
      <c r="O69" s="82" t="s">
        <v>261</v>
      </c>
      <c r="P69" s="82" t="s">
        <v>79</v>
      </c>
      <c r="Q69" s="82" t="s">
        <v>133</v>
      </c>
      <c r="R69" s="9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</row>
    <row r="70" ht="14.25" customHeight="1">
      <c r="A70" s="72" t="str">
        <f t="shared" si="1"/>
        <v>21/06/2023</v>
      </c>
      <c r="B70" s="82" t="str">
        <f t="shared" si="2"/>
        <v>06-21</v>
      </c>
      <c r="C70" s="82" t="str">
        <f t="shared" si="3"/>
        <v>USD</v>
      </c>
      <c r="D70" s="82" t="s">
        <v>69</v>
      </c>
      <c r="E70" s="82">
        <v>1230621.0</v>
      </c>
      <c r="F70" s="82" t="s">
        <v>146</v>
      </c>
      <c r="G70" s="82" t="s">
        <v>262</v>
      </c>
      <c r="H70" s="82" t="s">
        <v>257</v>
      </c>
      <c r="I70" s="82" t="s">
        <v>258</v>
      </c>
      <c r="J70" s="82" t="s">
        <v>219</v>
      </c>
      <c r="K70" s="82" t="s">
        <v>262</v>
      </c>
      <c r="L70" s="82" t="s">
        <v>75</v>
      </c>
      <c r="M70" s="82" t="s">
        <v>263</v>
      </c>
      <c r="N70" s="82" t="s">
        <v>260</v>
      </c>
      <c r="O70" s="82" t="s">
        <v>261</v>
      </c>
      <c r="P70" s="82" t="s">
        <v>79</v>
      </c>
      <c r="Q70" s="82" t="s">
        <v>133</v>
      </c>
      <c r="R70" s="9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</row>
    <row r="71" ht="14.25" customHeight="1">
      <c r="A71" s="72" t="str">
        <f t="shared" si="1"/>
        <v>21/06/2023</v>
      </c>
      <c r="B71" s="82" t="str">
        <f t="shared" si="2"/>
        <v>06-21</v>
      </c>
      <c r="C71" s="82" t="str">
        <f t="shared" si="3"/>
        <v>USD</v>
      </c>
      <c r="D71" s="72" t="s">
        <v>69</v>
      </c>
      <c r="E71" s="72">
        <v>1230621.0</v>
      </c>
      <c r="F71" s="72" t="s">
        <v>146</v>
      </c>
      <c r="G71" s="72" t="s">
        <v>264</v>
      </c>
      <c r="H71" s="72" t="s">
        <v>148</v>
      </c>
      <c r="I71" s="72" t="s">
        <v>149</v>
      </c>
      <c r="J71" s="72" t="s">
        <v>74</v>
      </c>
      <c r="K71" s="72" t="s">
        <v>264</v>
      </c>
      <c r="L71" s="72" t="s">
        <v>75</v>
      </c>
      <c r="M71" s="72" t="s">
        <v>265</v>
      </c>
      <c r="N71" s="72" t="s">
        <v>266</v>
      </c>
      <c r="O71" s="72" t="s">
        <v>267</v>
      </c>
      <c r="P71" s="72" t="s">
        <v>79</v>
      </c>
      <c r="Q71" s="72" t="s">
        <v>145</v>
      </c>
      <c r="R71" s="9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</row>
    <row r="72" ht="14.25" customHeight="1">
      <c r="A72" s="72" t="str">
        <f t="shared" si="1"/>
        <v>21/06/2023</v>
      </c>
      <c r="B72" s="82" t="str">
        <f t="shared" si="2"/>
        <v>06-21</v>
      </c>
      <c r="C72" s="82" t="str">
        <f t="shared" si="3"/>
        <v>USD</v>
      </c>
      <c r="D72" s="72" t="s">
        <v>69</v>
      </c>
      <c r="E72" s="72">
        <v>1230621.0</v>
      </c>
      <c r="F72" s="72" t="s">
        <v>146</v>
      </c>
      <c r="G72" s="72" t="s">
        <v>268</v>
      </c>
      <c r="H72" s="72" t="s">
        <v>148</v>
      </c>
      <c r="I72" s="72" t="s">
        <v>149</v>
      </c>
      <c r="J72" s="72" t="s">
        <v>74</v>
      </c>
      <c r="K72" s="72" t="s">
        <v>268</v>
      </c>
      <c r="L72" s="72" t="s">
        <v>75</v>
      </c>
      <c r="M72" s="72" t="s">
        <v>269</v>
      </c>
      <c r="N72" s="72" t="s">
        <v>266</v>
      </c>
      <c r="O72" s="72" t="s">
        <v>267</v>
      </c>
      <c r="P72" s="72" t="s">
        <v>79</v>
      </c>
      <c r="Q72" s="72" t="s">
        <v>145</v>
      </c>
      <c r="R72" s="9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</row>
    <row r="73" ht="14.25" customHeight="1">
      <c r="A73" s="72" t="str">
        <f t="shared" si="1"/>
        <v>21/06/2023</v>
      </c>
      <c r="B73" s="82" t="str">
        <f t="shared" si="2"/>
        <v>06-21</v>
      </c>
      <c r="C73" s="82" t="str">
        <f t="shared" si="3"/>
        <v>USD</v>
      </c>
      <c r="D73" s="72" t="s">
        <v>69</v>
      </c>
      <c r="E73" s="72">
        <v>1230621.0</v>
      </c>
      <c r="F73" s="72" t="s">
        <v>146</v>
      </c>
      <c r="G73" s="72" t="s">
        <v>270</v>
      </c>
      <c r="H73" s="72" t="s">
        <v>148</v>
      </c>
      <c r="I73" s="72" t="s">
        <v>149</v>
      </c>
      <c r="J73" s="72" t="s">
        <v>74</v>
      </c>
      <c r="K73" s="72" t="s">
        <v>270</v>
      </c>
      <c r="L73" s="72" t="s">
        <v>75</v>
      </c>
      <c r="M73" s="72" t="s">
        <v>271</v>
      </c>
      <c r="N73" s="72" t="s">
        <v>266</v>
      </c>
      <c r="O73" s="72" t="s">
        <v>267</v>
      </c>
      <c r="P73" s="72" t="s">
        <v>79</v>
      </c>
      <c r="Q73" s="72" t="s">
        <v>145</v>
      </c>
      <c r="R73" s="9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</row>
    <row r="74" ht="14.25" customHeight="1">
      <c r="A74" s="72" t="str">
        <f t="shared" si="1"/>
        <v>21/06/2023</v>
      </c>
      <c r="B74" s="82" t="str">
        <f t="shared" si="2"/>
        <v>06-21</v>
      </c>
      <c r="C74" s="82" t="str">
        <f t="shared" si="3"/>
        <v>USD</v>
      </c>
      <c r="D74" s="72" t="s">
        <v>69</v>
      </c>
      <c r="E74" s="72">
        <v>1230621.0</v>
      </c>
      <c r="F74" s="72" t="s">
        <v>146</v>
      </c>
      <c r="G74" s="72" t="s">
        <v>272</v>
      </c>
      <c r="H74" s="72" t="s">
        <v>148</v>
      </c>
      <c r="I74" s="72" t="s">
        <v>149</v>
      </c>
      <c r="J74" s="72" t="s">
        <v>74</v>
      </c>
      <c r="K74" s="72" t="s">
        <v>272</v>
      </c>
      <c r="L74" s="72" t="s">
        <v>75</v>
      </c>
      <c r="M74" s="72" t="s">
        <v>273</v>
      </c>
      <c r="N74" s="72" t="s">
        <v>266</v>
      </c>
      <c r="O74" s="72" t="s">
        <v>267</v>
      </c>
      <c r="P74" s="72" t="s">
        <v>79</v>
      </c>
      <c r="Q74" s="72" t="s">
        <v>145</v>
      </c>
      <c r="R74" s="9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</row>
    <row r="75" ht="14.25" customHeight="1">
      <c r="A75" s="72" t="str">
        <f t="shared" si="1"/>
        <v>21/06/2023</v>
      </c>
      <c r="B75" s="82" t="str">
        <f t="shared" si="2"/>
        <v>06-21</v>
      </c>
      <c r="C75" s="82" t="str">
        <f t="shared" si="3"/>
        <v>USD</v>
      </c>
      <c r="D75" s="72" t="s">
        <v>69</v>
      </c>
      <c r="E75" s="72">
        <v>1230621.0</v>
      </c>
      <c r="F75" s="72" t="s">
        <v>146</v>
      </c>
      <c r="G75" s="72" t="s">
        <v>274</v>
      </c>
      <c r="H75" s="72" t="s">
        <v>148</v>
      </c>
      <c r="I75" s="72" t="s">
        <v>149</v>
      </c>
      <c r="J75" s="72" t="s">
        <v>74</v>
      </c>
      <c r="K75" s="72" t="s">
        <v>274</v>
      </c>
      <c r="L75" s="72" t="s">
        <v>75</v>
      </c>
      <c r="M75" s="72" t="s">
        <v>275</v>
      </c>
      <c r="N75" s="72" t="s">
        <v>192</v>
      </c>
      <c r="O75" s="72" t="s">
        <v>193</v>
      </c>
      <c r="P75" s="72" t="s">
        <v>79</v>
      </c>
      <c r="Q75" s="72" t="s">
        <v>122</v>
      </c>
      <c r="R75" s="9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</row>
    <row r="76" ht="14.25" customHeight="1">
      <c r="A76" s="72" t="str">
        <f t="shared" si="1"/>
        <v>21/06/2023</v>
      </c>
      <c r="B76" s="82" t="str">
        <f t="shared" si="2"/>
        <v>06-21</v>
      </c>
      <c r="C76" s="82" t="str">
        <f t="shared" si="3"/>
        <v>USD</v>
      </c>
      <c r="D76" s="72" t="s">
        <v>69</v>
      </c>
      <c r="E76" s="72">
        <v>1230621.0</v>
      </c>
      <c r="F76" s="72" t="s">
        <v>146</v>
      </c>
      <c r="G76" s="72" t="s">
        <v>276</v>
      </c>
      <c r="H76" s="72" t="s">
        <v>148</v>
      </c>
      <c r="I76" s="72" t="s">
        <v>149</v>
      </c>
      <c r="J76" s="72" t="s">
        <v>74</v>
      </c>
      <c r="K76" s="72" t="s">
        <v>276</v>
      </c>
      <c r="L76" s="72" t="s">
        <v>75</v>
      </c>
      <c r="M76" s="72" t="s">
        <v>277</v>
      </c>
      <c r="N76" s="72" t="s">
        <v>50</v>
      </c>
      <c r="O76" s="72" t="s">
        <v>278</v>
      </c>
      <c r="P76" s="72" t="s">
        <v>79</v>
      </c>
      <c r="Q76" s="72" t="s">
        <v>133</v>
      </c>
      <c r="R76" s="9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</row>
    <row r="77" ht="14.25" customHeight="1">
      <c r="A77" s="72" t="str">
        <f t="shared" si="1"/>
        <v>21/06/2023</v>
      </c>
      <c r="B77" s="82" t="str">
        <f t="shared" si="2"/>
        <v>06-21</v>
      </c>
      <c r="C77" s="82" t="str">
        <f t="shared" si="3"/>
        <v>USD</v>
      </c>
      <c r="D77" s="72" t="s">
        <v>69</v>
      </c>
      <c r="E77" s="72">
        <v>1230621.0</v>
      </c>
      <c r="F77" s="72" t="s">
        <v>70</v>
      </c>
      <c r="G77" s="72" t="s">
        <v>279</v>
      </c>
      <c r="H77" s="72" t="s">
        <v>139</v>
      </c>
      <c r="I77" s="72" t="s">
        <v>140</v>
      </c>
      <c r="J77" s="72" t="s">
        <v>141</v>
      </c>
      <c r="K77" s="72" t="s">
        <v>279</v>
      </c>
      <c r="L77" s="72" t="s">
        <v>75</v>
      </c>
      <c r="M77" s="72" t="s">
        <v>280</v>
      </c>
      <c r="N77" s="72" t="s">
        <v>131</v>
      </c>
      <c r="O77" s="72" t="s">
        <v>281</v>
      </c>
      <c r="P77" s="72" t="s">
        <v>79</v>
      </c>
      <c r="Q77" s="72" t="s">
        <v>133</v>
      </c>
      <c r="R77" s="9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</row>
    <row r="78" ht="14.25" customHeight="1">
      <c r="A78" s="72" t="str">
        <f t="shared" si="1"/>
        <v>23/06/2023</v>
      </c>
      <c r="B78" s="82" t="str">
        <f t="shared" si="2"/>
        <v>06-23</v>
      </c>
      <c r="C78" s="82" t="str">
        <f t="shared" si="3"/>
        <v>USD</v>
      </c>
      <c r="D78" s="82" t="s">
        <v>69</v>
      </c>
      <c r="E78" s="82">
        <v>1230623.0</v>
      </c>
      <c r="F78" s="82" t="s">
        <v>146</v>
      </c>
      <c r="G78" s="82" t="s">
        <v>282</v>
      </c>
      <c r="H78" s="82" t="s">
        <v>283</v>
      </c>
      <c r="I78" s="82" t="s">
        <v>284</v>
      </c>
      <c r="J78" s="82" t="s">
        <v>285</v>
      </c>
      <c r="K78" s="82" t="s">
        <v>282</v>
      </c>
      <c r="L78" s="82" t="s">
        <v>75</v>
      </c>
      <c r="M78" s="82" t="s">
        <v>286</v>
      </c>
      <c r="N78" s="82" t="s">
        <v>287</v>
      </c>
      <c r="O78" s="82" t="s">
        <v>288</v>
      </c>
      <c r="P78" s="82" t="s">
        <v>79</v>
      </c>
      <c r="Q78" s="82" t="s">
        <v>122</v>
      </c>
      <c r="R78" s="9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</row>
    <row r="79" ht="14.25" customHeight="1">
      <c r="A79" s="72" t="str">
        <f t="shared" si="1"/>
        <v>23/06/2023</v>
      </c>
      <c r="B79" s="82" t="str">
        <f t="shared" si="2"/>
        <v>06-23</v>
      </c>
      <c r="C79" s="82" t="str">
        <f t="shared" si="3"/>
        <v>USD</v>
      </c>
      <c r="D79" s="82" t="s">
        <v>69</v>
      </c>
      <c r="E79" s="82">
        <v>1230623.0</v>
      </c>
      <c r="F79" s="82" t="s">
        <v>146</v>
      </c>
      <c r="G79" s="82" t="s">
        <v>289</v>
      </c>
      <c r="H79" s="82" t="s">
        <v>283</v>
      </c>
      <c r="I79" s="82" t="s">
        <v>284</v>
      </c>
      <c r="J79" s="82" t="s">
        <v>285</v>
      </c>
      <c r="K79" s="82" t="s">
        <v>289</v>
      </c>
      <c r="L79" s="82" t="s">
        <v>75</v>
      </c>
      <c r="M79" s="82" t="s">
        <v>290</v>
      </c>
      <c r="N79" s="82" t="s">
        <v>287</v>
      </c>
      <c r="O79" s="82" t="s">
        <v>288</v>
      </c>
      <c r="P79" s="82" t="s">
        <v>79</v>
      </c>
      <c r="Q79" s="82" t="s">
        <v>122</v>
      </c>
      <c r="R79" s="9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</row>
    <row r="80" ht="14.25" customHeight="1">
      <c r="A80" s="72" t="str">
        <f t="shared" si="1"/>
        <v>23/06/2023</v>
      </c>
      <c r="B80" s="82" t="str">
        <f t="shared" si="2"/>
        <v>06-23</v>
      </c>
      <c r="C80" s="82" t="str">
        <f t="shared" si="3"/>
        <v>USD</v>
      </c>
      <c r="D80" s="82" t="s">
        <v>69</v>
      </c>
      <c r="E80" s="82">
        <v>1230623.0</v>
      </c>
      <c r="F80" s="82" t="s">
        <v>146</v>
      </c>
      <c r="G80" s="82" t="s">
        <v>291</v>
      </c>
      <c r="H80" s="82" t="s">
        <v>283</v>
      </c>
      <c r="I80" s="82" t="s">
        <v>284</v>
      </c>
      <c r="J80" s="82" t="s">
        <v>285</v>
      </c>
      <c r="K80" s="82" t="s">
        <v>291</v>
      </c>
      <c r="L80" s="82" t="s">
        <v>75</v>
      </c>
      <c r="M80" s="82" t="s">
        <v>292</v>
      </c>
      <c r="N80" s="82" t="s">
        <v>287</v>
      </c>
      <c r="O80" s="82" t="s">
        <v>288</v>
      </c>
      <c r="P80" s="82" t="s">
        <v>79</v>
      </c>
      <c r="Q80" s="82" t="s">
        <v>122</v>
      </c>
      <c r="R80" s="9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</row>
    <row r="81" ht="14.25" customHeight="1">
      <c r="A81" s="72" t="str">
        <f t="shared" si="1"/>
        <v>23/06/2023</v>
      </c>
      <c r="B81" s="82" t="str">
        <f t="shared" si="2"/>
        <v>06-23</v>
      </c>
      <c r="C81" s="82" t="str">
        <f t="shared" si="3"/>
        <v>USD</v>
      </c>
      <c r="D81" s="82" t="s">
        <v>69</v>
      </c>
      <c r="E81" s="82">
        <v>1230623.0</v>
      </c>
      <c r="F81" s="82" t="s">
        <v>146</v>
      </c>
      <c r="G81" s="82" t="s">
        <v>293</v>
      </c>
      <c r="H81" s="82" t="s">
        <v>283</v>
      </c>
      <c r="I81" s="82" t="s">
        <v>284</v>
      </c>
      <c r="J81" s="82" t="s">
        <v>285</v>
      </c>
      <c r="K81" s="82" t="s">
        <v>293</v>
      </c>
      <c r="L81" s="82" t="s">
        <v>75</v>
      </c>
      <c r="M81" s="82" t="s">
        <v>294</v>
      </c>
      <c r="N81" s="82" t="s">
        <v>287</v>
      </c>
      <c r="O81" s="82" t="s">
        <v>288</v>
      </c>
      <c r="P81" s="82" t="s">
        <v>79</v>
      </c>
      <c r="Q81" s="82" t="s">
        <v>122</v>
      </c>
      <c r="R81" s="9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</row>
    <row r="82" ht="14.25" customHeight="1">
      <c r="A82" s="72" t="str">
        <f t="shared" si="1"/>
        <v>23/06/2023</v>
      </c>
      <c r="B82" s="82" t="str">
        <f t="shared" si="2"/>
        <v>06-23</v>
      </c>
      <c r="C82" s="82" t="str">
        <f t="shared" si="3"/>
        <v>USD</v>
      </c>
      <c r="D82" s="82" t="s">
        <v>69</v>
      </c>
      <c r="E82" s="82">
        <v>1230623.0</v>
      </c>
      <c r="F82" s="82" t="s">
        <v>146</v>
      </c>
      <c r="G82" s="82" t="s">
        <v>295</v>
      </c>
      <c r="H82" s="82" t="s">
        <v>283</v>
      </c>
      <c r="I82" s="82" t="s">
        <v>284</v>
      </c>
      <c r="J82" s="82" t="s">
        <v>285</v>
      </c>
      <c r="K82" s="82" t="s">
        <v>295</v>
      </c>
      <c r="L82" s="82" t="s">
        <v>75</v>
      </c>
      <c r="M82" s="82" t="s">
        <v>296</v>
      </c>
      <c r="N82" s="82" t="s">
        <v>287</v>
      </c>
      <c r="O82" s="82" t="s">
        <v>288</v>
      </c>
      <c r="P82" s="82" t="s">
        <v>79</v>
      </c>
      <c r="Q82" s="82" t="s">
        <v>122</v>
      </c>
      <c r="R82" s="9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</row>
    <row r="83" ht="14.25" customHeight="1">
      <c r="A83" s="72" t="str">
        <f t="shared" si="1"/>
        <v>23/06/2023</v>
      </c>
      <c r="B83" s="82" t="str">
        <f t="shared" si="2"/>
        <v>06-23</v>
      </c>
      <c r="C83" s="82" t="str">
        <f t="shared" si="3"/>
        <v>USD</v>
      </c>
      <c r="D83" s="82" t="s">
        <v>69</v>
      </c>
      <c r="E83" s="82">
        <v>1230623.0</v>
      </c>
      <c r="F83" s="82" t="s">
        <v>146</v>
      </c>
      <c r="G83" s="82" t="s">
        <v>297</v>
      </c>
      <c r="H83" s="82" t="s">
        <v>283</v>
      </c>
      <c r="I83" s="82" t="s">
        <v>284</v>
      </c>
      <c r="J83" s="82" t="s">
        <v>285</v>
      </c>
      <c r="K83" s="82" t="s">
        <v>297</v>
      </c>
      <c r="L83" s="82" t="s">
        <v>75</v>
      </c>
      <c r="M83" s="82" t="s">
        <v>298</v>
      </c>
      <c r="N83" s="82" t="s">
        <v>287</v>
      </c>
      <c r="O83" s="82" t="s">
        <v>288</v>
      </c>
      <c r="P83" s="82" t="s">
        <v>79</v>
      </c>
      <c r="Q83" s="82" t="s">
        <v>122</v>
      </c>
      <c r="R83" s="9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</row>
    <row r="84" ht="14.25" customHeight="1">
      <c r="A84" s="72" t="str">
        <f t="shared" si="1"/>
        <v>23/06/2023</v>
      </c>
      <c r="B84" s="82" t="str">
        <f t="shared" si="2"/>
        <v>06-23</v>
      </c>
      <c r="C84" s="82" t="str">
        <f t="shared" si="3"/>
        <v>USD</v>
      </c>
      <c r="D84" s="82" t="s">
        <v>69</v>
      </c>
      <c r="E84" s="82">
        <v>1230623.0</v>
      </c>
      <c r="F84" s="82" t="s">
        <v>146</v>
      </c>
      <c r="G84" s="82" t="s">
        <v>299</v>
      </c>
      <c r="H84" s="82" t="s">
        <v>283</v>
      </c>
      <c r="I84" s="82" t="s">
        <v>284</v>
      </c>
      <c r="J84" s="82" t="s">
        <v>285</v>
      </c>
      <c r="K84" s="82" t="s">
        <v>299</v>
      </c>
      <c r="L84" s="82" t="s">
        <v>75</v>
      </c>
      <c r="M84" s="82" t="s">
        <v>300</v>
      </c>
      <c r="N84" s="82" t="s">
        <v>287</v>
      </c>
      <c r="O84" s="82" t="s">
        <v>288</v>
      </c>
      <c r="P84" s="82" t="s">
        <v>79</v>
      </c>
      <c r="Q84" s="82" t="s">
        <v>122</v>
      </c>
      <c r="R84" s="9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</row>
    <row r="85" ht="14.25" customHeight="1">
      <c r="A85" s="72" t="str">
        <f t="shared" si="1"/>
        <v>25/06/2023</v>
      </c>
      <c r="B85" s="82" t="str">
        <f t="shared" si="2"/>
        <v>06-25</v>
      </c>
      <c r="C85" s="82" t="str">
        <f t="shared" si="3"/>
        <v>USD</v>
      </c>
      <c r="D85" s="82" t="s">
        <v>69</v>
      </c>
      <c r="E85" s="82">
        <v>1230625.0</v>
      </c>
      <c r="F85" s="82" t="s">
        <v>70</v>
      </c>
      <c r="G85" s="82" t="s">
        <v>301</v>
      </c>
      <c r="H85" s="82" t="s">
        <v>302</v>
      </c>
      <c r="I85" s="82" t="s">
        <v>303</v>
      </c>
      <c r="J85" s="82" t="s">
        <v>156</v>
      </c>
      <c r="K85" s="82" t="s">
        <v>301</v>
      </c>
      <c r="L85" s="82" t="s">
        <v>75</v>
      </c>
      <c r="M85" s="82" t="s">
        <v>304</v>
      </c>
      <c r="N85" s="82" t="s">
        <v>305</v>
      </c>
      <c r="O85" s="82" t="s">
        <v>306</v>
      </c>
      <c r="P85" s="82" t="s">
        <v>79</v>
      </c>
      <c r="Q85" s="82" t="s">
        <v>133</v>
      </c>
      <c r="R85" s="9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</row>
    <row r="86" ht="14.25" customHeight="1">
      <c r="A86" s="72" t="str">
        <f t="shared" si="1"/>
        <v>25/06/2023</v>
      </c>
      <c r="B86" s="82" t="str">
        <f t="shared" si="2"/>
        <v>06-25</v>
      </c>
      <c r="C86" s="82" t="str">
        <f t="shared" si="3"/>
        <v>USD</v>
      </c>
      <c r="D86" s="82" t="s">
        <v>69</v>
      </c>
      <c r="E86" s="82">
        <v>1230625.0</v>
      </c>
      <c r="F86" s="82" t="s">
        <v>70</v>
      </c>
      <c r="G86" s="82" t="s">
        <v>307</v>
      </c>
      <c r="H86" s="82" t="s">
        <v>308</v>
      </c>
      <c r="I86" s="82" t="s">
        <v>309</v>
      </c>
      <c r="J86" s="82" t="s">
        <v>310</v>
      </c>
      <c r="K86" s="82" t="s">
        <v>307</v>
      </c>
      <c r="L86" s="82" t="s">
        <v>75</v>
      </c>
      <c r="M86" s="82" t="s">
        <v>311</v>
      </c>
      <c r="N86" s="82" t="s">
        <v>312</v>
      </c>
      <c r="O86" s="82" t="s">
        <v>313</v>
      </c>
      <c r="P86" s="82" t="s">
        <v>79</v>
      </c>
      <c r="Q86" s="82" t="s">
        <v>133</v>
      </c>
      <c r="R86" s="9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</row>
    <row r="87" ht="14.25" customHeight="1">
      <c r="A87" s="72" t="str">
        <f t="shared" si="1"/>
        <v>26/06/2023</v>
      </c>
      <c r="B87" s="82" t="str">
        <f t="shared" si="2"/>
        <v>06-26</v>
      </c>
      <c r="C87" s="82" t="str">
        <f t="shared" si="3"/>
        <v>USD</v>
      </c>
      <c r="D87" s="82" t="s">
        <v>69</v>
      </c>
      <c r="E87" s="82">
        <v>1230626.0</v>
      </c>
      <c r="F87" s="82" t="s">
        <v>146</v>
      </c>
      <c r="G87" s="82" t="s">
        <v>314</v>
      </c>
      <c r="H87" s="82" t="s">
        <v>154</v>
      </c>
      <c r="I87" s="82" t="s">
        <v>155</v>
      </c>
      <c r="J87" s="82" t="s">
        <v>156</v>
      </c>
      <c r="K87" s="82" t="s">
        <v>314</v>
      </c>
      <c r="L87" s="82" t="s">
        <v>75</v>
      </c>
      <c r="M87" s="82" t="s">
        <v>315</v>
      </c>
      <c r="N87" s="82" t="s">
        <v>316</v>
      </c>
      <c r="O87" s="82" t="s">
        <v>317</v>
      </c>
      <c r="P87" s="82" t="s">
        <v>79</v>
      </c>
      <c r="Q87" s="82" t="s">
        <v>122</v>
      </c>
      <c r="R87" s="9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</row>
    <row r="88" ht="14.25" customHeight="1">
      <c r="A88" s="72" t="str">
        <f t="shared" si="1"/>
        <v>26/06/2023</v>
      </c>
      <c r="B88" s="82" t="str">
        <f t="shared" si="2"/>
        <v>06-26</v>
      </c>
      <c r="C88" s="82" t="str">
        <f t="shared" si="3"/>
        <v>USD</v>
      </c>
      <c r="D88" s="82" t="s">
        <v>69</v>
      </c>
      <c r="E88" s="82">
        <v>1230626.0</v>
      </c>
      <c r="F88" s="82" t="s">
        <v>146</v>
      </c>
      <c r="G88" s="82" t="s">
        <v>318</v>
      </c>
      <c r="H88" s="82" t="s">
        <v>154</v>
      </c>
      <c r="I88" s="82" t="s">
        <v>155</v>
      </c>
      <c r="J88" s="82" t="s">
        <v>156</v>
      </c>
      <c r="K88" s="82" t="s">
        <v>318</v>
      </c>
      <c r="L88" s="82" t="s">
        <v>75</v>
      </c>
      <c r="M88" s="82" t="s">
        <v>319</v>
      </c>
      <c r="N88" s="82" t="s">
        <v>316</v>
      </c>
      <c r="O88" s="82" t="s">
        <v>317</v>
      </c>
      <c r="P88" s="82" t="s">
        <v>79</v>
      </c>
      <c r="Q88" s="82" t="s">
        <v>122</v>
      </c>
      <c r="R88" s="9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</row>
    <row r="89" ht="14.25" customHeight="1">
      <c r="A89" s="72" t="str">
        <f t="shared" si="1"/>
        <v>26/06/2023</v>
      </c>
      <c r="B89" s="82" t="str">
        <f t="shared" si="2"/>
        <v>06-26</v>
      </c>
      <c r="C89" s="82" t="str">
        <f t="shared" si="3"/>
        <v>USD</v>
      </c>
      <c r="D89" s="82" t="s">
        <v>69</v>
      </c>
      <c r="E89" s="82">
        <v>1230626.0</v>
      </c>
      <c r="F89" s="82" t="s">
        <v>146</v>
      </c>
      <c r="G89" s="82" t="s">
        <v>320</v>
      </c>
      <c r="H89" s="82" t="s">
        <v>154</v>
      </c>
      <c r="I89" s="82" t="s">
        <v>155</v>
      </c>
      <c r="J89" s="82" t="s">
        <v>156</v>
      </c>
      <c r="K89" s="82" t="s">
        <v>320</v>
      </c>
      <c r="L89" s="82" t="s">
        <v>75</v>
      </c>
      <c r="M89" s="82" t="s">
        <v>321</v>
      </c>
      <c r="N89" s="82" t="s">
        <v>316</v>
      </c>
      <c r="O89" s="82" t="s">
        <v>317</v>
      </c>
      <c r="P89" s="82" t="s">
        <v>79</v>
      </c>
      <c r="Q89" s="82" t="s">
        <v>122</v>
      </c>
      <c r="R89" s="9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</row>
    <row r="90" ht="14.25" customHeight="1">
      <c r="A90" s="72" t="str">
        <f t="shared" si="1"/>
        <v>26/06/2023</v>
      </c>
      <c r="B90" s="82" t="str">
        <f t="shared" si="2"/>
        <v>06-26</v>
      </c>
      <c r="C90" s="82" t="str">
        <f t="shared" si="3"/>
        <v>USD</v>
      </c>
      <c r="D90" s="82" t="s">
        <v>69</v>
      </c>
      <c r="E90" s="82">
        <v>1230626.0</v>
      </c>
      <c r="F90" s="82" t="s">
        <v>146</v>
      </c>
      <c r="G90" s="82" t="s">
        <v>322</v>
      </c>
      <c r="H90" s="82" t="s">
        <v>154</v>
      </c>
      <c r="I90" s="82" t="s">
        <v>155</v>
      </c>
      <c r="J90" s="82" t="s">
        <v>156</v>
      </c>
      <c r="K90" s="82" t="s">
        <v>322</v>
      </c>
      <c r="L90" s="82" t="s">
        <v>75</v>
      </c>
      <c r="M90" s="82" t="s">
        <v>323</v>
      </c>
      <c r="N90" s="82" t="s">
        <v>316</v>
      </c>
      <c r="O90" s="82" t="s">
        <v>317</v>
      </c>
      <c r="P90" s="82" t="s">
        <v>79</v>
      </c>
      <c r="Q90" s="82" t="s">
        <v>122</v>
      </c>
      <c r="R90" s="9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</row>
    <row r="91" ht="14.25" customHeight="1">
      <c r="A91" s="72" t="str">
        <f t="shared" si="1"/>
        <v>26/06/2023</v>
      </c>
      <c r="B91" s="82" t="str">
        <f t="shared" si="2"/>
        <v>06-26</v>
      </c>
      <c r="C91" s="82" t="str">
        <f t="shared" si="3"/>
        <v>USD</v>
      </c>
      <c r="D91" s="82" t="s">
        <v>69</v>
      </c>
      <c r="E91" s="82">
        <v>1230626.0</v>
      </c>
      <c r="F91" s="82" t="s">
        <v>146</v>
      </c>
      <c r="G91" s="82" t="s">
        <v>324</v>
      </c>
      <c r="H91" s="82" t="s">
        <v>154</v>
      </c>
      <c r="I91" s="82" t="s">
        <v>155</v>
      </c>
      <c r="J91" s="82" t="s">
        <v>156</v>
      </c>
      <c r="K91" s="82" t="s">
        <v>324</v>
      </c>
      <c r="L91" s="82" t="s">
        <v>75</v>
      </c>
      <c r="M91" s="82" t="s">
        <v>325</v>
      </c>
      <c r="N91" s="82" t="s">
        <v>316</v>
      </c>
      <c r="O91" s="82" t="s">
        <v>317</v>
      </c>
      <c r="P91" s="82" t="s">
        <v>79</v>
      </c>
      <c r="Q91" s="82" t="s">
        <v>122</v>
      </c>
      <c r="R91" s="9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</row>
    <row r="92" ht="14.25" customHeight="1">
      <c r="A92" s="72" t="str">
        <f t="shared" si="1"/>
        <v>26/06/2023</v>
      </c>
      <c r="B92" s="82" t="str">
        <f t="shared" si="2"/>
        <v>06-26</v>
      </c>
      <c r="C92" s="82" t="str">
        <f t="shared" si="3"/>
        <v>USD</v>
      </c>
      <c r="D92" s="82" t="s">
        <v>69</v>
      </c>
      <c r="E92" s="82">
        <v>1230626.0</v>
      </c>
      <c r="F92" s="82" t="s">
        <v>146</v>
      </c>
      <c r="G92" s="82" t="s">
        <v>326</v>
      </c>
      <c r="H92" s="82" t="s">
        <v>154</v>
      </c>
      <c r="I92" s="82" t="s">
        <v>155</v>
      </c>
      <c r="J92" s="82" t="s">
        <v>156</v>
      </c>
      <c r="K92" s="82" t="s">
        <v>326</v>
      </c>
      <c r="L92" s="82" t="s">
        <v>75</v>
      </c>
      <c r="M92" s="82" t="s">
        <v>327</v>
      </c>
      <c r="N92" s="82" t="s">
        <v>316</v>
      </c>
      <c r="O92" s="82" t="s">
        <v>317</v>
      </c>
      <c r="P92" s="82" t="s">
        <v>79</v>
      </c>
      <c r="Q92" s="82" t="s">
        <v>122</v>
      </c>
      <c r="R92" s="9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</row>
    <row r="93" ht="14.25" customHeight="1">
      <c r="A93" s="72" t="str">
        <f t="shared" si="1"/>
        <v>26/06/2023</v>
      </c>
      <c r="B93" s="82" t="str">
        <f t="shared" si="2"/>
        <v>06-26</v>
      </c>
      <c r="C93" s="82" t="str">
        <f t="shared" si="3"/>
        <v>USD</v>
      </c>
      <c r="D93" s="82" t="s">
        <v>69</v>
      </c>
      <c r="E93" s="82">
        <v>1230626.0</v>
      </c>
      <c r="F93" s="82" t="s">
        <v>146</v>
      </c>
      <c r="G93" s="82" t="s">
        <v>328</v>
      </c>
      <c r="H93" s="82" t="s">
        <v>154</v>
      </c>
      <c r="I93" s="82" t="s">
        <v>155</v>
      </c>
      <c r="J93" s="82" t="s">
        <v>156</v>
      </c>
      <c r="K93" s="82" t="s">
        <v>328</v>
      </c>
      <c r="L93" s="82" t="s">
        <v>75</v>
      </c>
      <c r="M93" s="82" t="s">
        <v>329</v>
      </c>
      <c r="N93" s="82" t="s">
        <v>316</v>
      </c>
      <c r="O93" s="82" t="s">
        <v>317</v>
      </c>
      <c r="P93" s="82" t="s">
        <v>79</v>
      </c>
      <c r="Q93" s="82" t="s">
        <v>122</v>
      </c>
      <c r="R93" s="9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</row>
    <row r="94" ht="14.25" customHeight="1">
      <c r="A94" s="72" t="str">
        <f t="shared" si="1"/>
        <v>26/06/2023</v>
      </c>
      <c r="B94" s="82" t="str">
        <f t="shared" si="2"/>
        <v>06-26</v>
      </c>
      <c r="C94" s="82" t="str">
        <f t="shared" si="3"/>
        <v>USD</v>
      </c>
      <c r="D94" s="82" t="s">
        <v>69</v>
      </c>
      <c r="E94" s="82">
        <v>1230626.0</v>
      </c>
      <c r="F94" s="82" t="s">
        <v>146</v>
      </c>
      <c r="G94" s="82" t="s">
        <v>330</v>
      </c>
      <c r="H94" s="82" t="s">
        <v>154</v>
      </c>
      <c r="I94" s="82" t="s">
        <v>155</v>
      </c>
      <c r="J94" s="82" t="s">
        <v>156</v>
      </c>
      <c r="K94" s="82" t="s">
        <v>330</v>
      </c>
      <c r="L94" s="82" t="s">
        <v>75</v>
      </c>
      <c r="M94" s="82" t="s">
        <v>331</v>
      </c>
      <c r="N94" s="82" t="s">
        <v>316</v>
      </c>
      <c r="O94" s="82" t="s">
        <v>317</v>
      </c>
      <c r="P94" s="82" t="s">
        <v>79</v>
      </c>
      <c r="Q94" s="82" t="s">
        <v>122</v>
      </c>
      <c r="R94" s="9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</row>
    <row r="95" ht="14.25" customHeight="1">
      <c r="A95" s="72" t="str">
        <f t="shared" si="1"/>
        <v>26/06/2023</v>
      </c>
      <c r="B95" s="82" t="str">
        <f t="shared" si="2"/>
        <v>06-26</v>
      </c>
      <c r="C95" s="82" t="str">
        <f t="shared" si="3"/>
        <v>USD</v>
      </c>
      <c r="D95" s="82" t="s">
        <v>69</v>
      </c>
      <c r="E95" s="82">
        <v>1230626.0</v>
      </c>
      <c r="F95" s="82" t="s">
        <v>146</v>
      </c>
      <c r="G95" s="82" t="s">
        <v>332</v>
      </c>
      <c r="H95" s="82" t="s">
        <v>154</v>
      </c>
      <c r="I95" s="82" t="s">
        <v>155</v>
      </c>
      <c r="J95" s="82" t="s">
        <v>156</v>
      </c>
      <c r="K95" s="82" t="s">
        <v>332</v>
      </c>
      <c r="L95" s="82" t="s">
        <v>75</v>
      </c>
      <c r="M95" s="82" t="s">
        <v>333</v>
      </c>
      <c r="N95" s="82" t="s">
        <v>316</v>
      </c>
      <c r="O95" s="82" t="s">
        <v>317</v>
      </c>
      <c r="P95" s="82" t="s">
        <v>79</v>
      </c>
      <c r="Q95" s="82" t="s">
        <v>122</v>
      </c>
      <c r="R95" s="9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</row>
    <row r="96" ht="14.25" customHeight="1">
      <c r="A96" s="72" t="str">
        <f t="shared" si="1"/>
        <v>26/06/2023</v>
      </c>
      <c r="B96" s="82" t="str">
        <f t="shared" si="2"/>
        <v>06-26</v>
      </c>
      <c r="C96" s="82" t="str">
        <f t="shared" si="3"/>
        <v>USD</v>
      </c>
      <c r="D96" s="82" t="s">
        <v>69</v>
      </c>
      <c r="E96" s="82">
        <v>1230626.0</v>
      </c>
      <c r="F96" s="82" t="s">
        <v>146</v>
      </c>
      <c r="G96" s="82" t="s">
        <v>334</v>
      </c>
      <c r="H96" s="82" t="s">
        <v>154</v>
      </c>
      <c r="I96" s="82" t="s">
        <v>155</v>
      </c>
      <c r="J96" s="82" t="s">
        <v>156</v>
      </c>
      <c r="K96" s="82" t="s">
        <v>334</v>
      </c>
      <c r="L96" s="82" t="s">
        <v>75</v>
      </c>
      <c r="M96" s="82" t="s">
        <v>335</v>
      </c>
      <c r="N96" s="82" t="s">
        <v>316</v>
      </c>
      <c r="O96" s="82" t="s">
        <v>317</v>
      </c>
      <c r="P96" s="82" t="s">
        <v>79</v>
      </c>
      <c r="Q96" s="82" t="s">
        <v>122</v>
      </c>
      <c r="R96" s="9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</row>
    <row r="97" ht="14.25" customHeight="1">
      <c r="A97" s="72" t="str">
        <f t="shared" si="1"/>
        <v>26/06/2023</v>
      </c>
      <c r="B97" s="82" t="str">
        <f t="shared" si="2"/>
        <v>06-26</v>
      </c>
      <c r="C97" s="82" t="str">
        <f t="shared" si="3"/>
        <v>USD</v>
      </c>
      <c r="D97" s="82" t="s">
        <v>69</v>
      </c>
      <c r="E97" s="82">
        <v>1230626.0</v>
      </c>
      <c r="F97" s="82" t="s">
        <v>146</v>
      </c>
      <c r="G97" s="82" t="s">
        <v>336</v>
      </c>
      <c r="H97" s="82" t="s">
        <v>154</v>
      </c>
      <c r="I97" s="82" t="s">
        <v>155</v>
      </c>
      <c r="J97" s="82" t="s">
        <v>156</v>
      </c>
      <c r="K97" s="82" t="s">
        <v>336</v>
      </c>
      <c r="L97" s="82" t="s">
        <v>75</v>
      </c>
      <c r="M97" s="82" t="s">
        <v>337</v>
      </c>
      <c r="N97" s="82" t="s">
        <v>316</v>
      </c>
      <c r="O97" s="82" t="s">
        <v>317</v>
      </c>
      <c r="P97" s="82" t="s">
        <v>79</v>
      </c>
      <c r="Q97" s="82" t="s">
        <v>122</v>
      </c>
      <c r="R97" s="9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</row>
    <row r="98" ht="14.25" customHeight="1">
      <c r="A98" s="72" t="str">
        <f t="shared" si="1"/>
        <v>26/06/2023</v>
      </c>
      <c r="B98" s="82" t="str">
        <f t="shared" si="2"/>
        <v>06-26</v>
      </c>
      <c r="C98" s="82" t="str">
        <f t="shared" si="3"/>
        <v>USD</v>
      </c>
      <c r="D98" s="82" t="s">
        <v>69</v>
      </c>
      <c r="E98" s="82">
        <v>1230626.0</v>
      </c>
      <c r="F98" s="82" t="s">
        <v>146</v>
      </c>
      <c r="G98" s="82" t="s">
        <v>338</v>
      </c>
      <c r="H98" s="82" t="s">
        <v>154</v>
      </c>
      <c r="I98" s="82" t="s">
        <v>155</v>
      </c>
      <c r="J98" s="82" t="s">
        <v>156</v>
      </c>
      <c r="K98" s="82" t="s">
        <v>338</v>
      </c>
      <c r="L98" s="82" t="s">
        <v>75</v>
      </c>
      <c r="M98" s="82" t="s">
        <v>339</v>
      </c>
      <c r="N98" s="82" t="s">
        <v>316</v>
      </c>
      <c r="O98" s="82" t="s">
        <v>317</v>
      </c>
      <c r="P98" s="82" t="s">
        <v>79</v>
      </c>
      <c r="Q98" s="82" t="s">
        <v>122</v>
      </c>
      <c r="R98" s="9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</row>
    <row r="99" ht="14.25" customHeight="1">
      <c r="A99" s="72" t="str">
        <f t="shared" si="1"/>
        <v>26/06/2023</v>
      </c>
      <c r="B99" s="82" t="str">
        <f t="shared" si="2"/>
        <v>06-26</v>
      </c>
      <c r="C99" s="82" t="str">
        <f t="shared" si="3"/>
        <v>USD</v>
      </c>
      <c r="D99" s="82" t="s">
        <v>69</v>
      </c>
      <c r="E99" s="82">
        <v>1230626.0</v>
      </c>
      <c r="F99" s="82" t="s">
        <v>146</v>
      </c>
      <c r="G99" s="82" t="s">
        <v>340</v>
      </c>
      <c r="H99" s="82" t="s">
        <v>154</v>
      </c>
      <c r="I99" s="82" t="s">
        <v>155</v>
      </c>
      <c r="J99" s="82" t="s">
        <v>156</v>
      </c>
      <c r="K99" s="82" t="s">
        <v>340</v>
      </c>
      <c r="L99" s="82" t="s">
        <v>75</v>
      </c>
      <c r="M99" s="82" t="s">
        <v>341</v>
      </c>
      <c r="N99" s="82" t="s">
        <v>316</v>
      </c>
      <c r="O99" s="82" t="s">
        <v>317</v>
      </c>
      <c r="P99" s="82" t="s">
        <v>79</v>
      </c>
      <c r="Q99" s="82" t="s">
        <v>122</v>
      </c>
      <c r="R99" s="9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</row>
    <row r="100" ht="14.25" customHeight="1">
      <c r="A100" s="72" t="str">
        <f t="shared" si="1"/>
        <v>26/06/2023</v>
      </c>
      <c r="B100" s="82" t="str">
        <f t="shared" si="2"/>
        <v>06-26</v>
      </c>
      <c r="C100" s="82" t="str">
        <f t="shared" si="3"/>
        <v>USD</v>
      </c>
      <c r="D100" s="82" t="s">
        <v>69</v>
      </c>
      <c r="E100" s="82">
        <v>1230626.0</v>
      </c>
      <c r="F100" s="82" t="s">
        <v>146</v>
      </c>
      <c r="G100" s="82" t="s">
        <v>342</v>
      </c>
      <c r="H100" s="82" t="s">
        <v>154</v>
      </c>
      <c r="I100" s="82" t="s">
        <v>155</v>
      </c>
      <c r="J100" s="82" t="s">
        <v>156</v>
      </c>
      <c r="K100" s="82" t="s">
        <v>342</v>
      </c>
      <c r="L100" s="82" t="s">
        <v>75</v>
      </c>
      <c r="M100" s="82" t="s">
        <v>343</v>
      </c>
      <c r="N100" s="82" t="s">
        <v>316</v>
      </c>
      <c r="O100" s="82" t="s">
        <v>317</v>
      </c>
      <c r="P100" s="82" t="s">
        <v>79</v>
      </c>
      <c r="Q100" s="82" t="s">
        <v>122</v>
      </c>
      <c r="R100" s="9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</row>
    <row r="101" ht="14.25" customHeight="1">
      <c r="A101" s="72" t="str">
        <f t="shared" si="1"/>
        <v>26/06/2023</v>
      </c>
      <c r="B101" s="82" t="str">
        <f t="shared" si="2"/>
        <v>06-26</v>
      </c>
      <c r="C101" s="82" t="str">
        <f t="shared" si="3"/>
        <v>USD</v>
      </c>
      <c r="D101" s="82" t="s">
        <v>69</v>
      </c>
      <c r="E101" s="82">
        <v>1230626.0</v>
      </c>
      <c r="F101" s="82" t="s">
        <v>146</v>
      </c>
      <c r="G101" s="82" t="s">
        <v>344</v>
      </c>
      <c r="H101" s="82" t="s">
        <v>154</v>
      </c>
      <c r="I101" s="82" t="s">
        <v>155</v>
      </c>
      <c r="J101" s="82" t="s">
        <v>156</v>
      </c>
      <c r="K101" s="82" t="s">
        <v>344</v>
      </c>
      <c r="L101" s="82" t="s">
        <v>75</v>
      </c>
      <c r="M101" s="82" t="s">
        <v>345</v>
      </c>
      <c r="N101" s="82" t="s">
        <v>316</v>
      </c>
      <c r="O101" s="82" t="s">
        <v>317</v>
      </c>
      <c r="P101" s="82" t="s">
        <v>79</v>
      </c>
      <c r="Q101" s="82" t="s">
        <v>122</v>
      </c>
      <c r="R101" s="9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</row>
    <row r="102" ht="14.25" customHeight="1">
      <c r="A102" s="72" t="str">
        <f t="shared" si="1"/>
        <v>26/06/2023</v>
      </c>
      <c r="B102" s="82" t="str">
        <f t="shared" si="2"/>
        <v>06-26</v>
      </c>
      <c r="C102" s="82" t="str">
        <f t="shared" si="3"/>
        <v>USD</v>
      </c>
      <c r="D102" s="82" t="s">
        <v>69</v>
      </c>
      <c r="E102" s="82">
        <v>1230626.0</v>
      </c>
      <c r="F102" s="82" t="s">
        <v>146</v>
      </c>
      <c r="G102" s="82" t="s">
        <v>346</v>
      </c>
      <c r="H102" s="82" t="s">
        <v>154</v>
      </c>
      <c r="I102" s="82" t="s">
        <v>155</v>
      </c>
      <c r="J102" s="82" t="s">
        <v>156</v>
      </c>
      <c r="K102" s="82" t="s">
        <v>346</v>
      </c>
      <c r="L102" s="82" t="s">
        <v>75</v>
      </c>
      <c r="M102" s="82" t="s">
        <v>347</v>
      </c>
      <c r="N102" s="82" t="s">
        <v>316</v>
      </c>
      <c r="O102" s="82" t="s">
        <v>317</v>
      </c>
      <c r="P102" s="82" t="s">
        <v>79</v>
      </c>
      <c r="Q102" s="82" t="s">
        <v>122</v>
      </c>
      <c r="R102" s="9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</row>
    <row r="103" ht="14.25" customHeight="1">
      <c r="A103" s="72" t="str">
        <f t="shared" si="1"/>
        <v>26/06/2023</v>
      </c>
      <c r="B103" s="82" t="str">
        <f t="shared" si="2"/>
        <v>06-26</v>
      </c>
      <c r="C103" s="82" t="str">
        <f t="shared" si="3"/>
        <v>USD</v>
      </c>
      <c r="D103" s="82" t="s">
        <v>69</v>
      </c>
      <c r="E103" s="82">
        <v>1230626.0</v>
      </c>
      <c r="F103" s="82" t="s">
        <v>146</v>
      </c>
      <c r="G103" s="82" t="s">
        <v>348</v>
      </c>
      <c r="H103" s="82" t="s">
        <v>154</v>
      </c>
      <c r="I103" s="82" t="s">
        <v>155</v>
      </c>
      <c r="J103" s="82" t="s">
        <v>156</v>
      </c>
      <c r="K103" s="82" t="s">
        <v>348</v>
      </c>
      <c r="L103" s="82" t="s">
        <v>75</v>
      </c>
      <c r="M103" s="82" t="s">
        <v>349</v>
      </c>
      <c r="N103" s="82" t="s">
        <v>316</v>
      </c>
      <c r="O103" s="82" t="s">
        <v>317</v>
      </c>
      <c r="P103" s="82" t="s">
        <v>79</v>
      </c>
      <c r="Q103" s="82" t="s">
        <v>122</v>
      </c>
      <c r="R103" s="9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</row>
    <row r="104" ht="14.25" customHeight="1">
      <c r="A104" s="72" t="str">
        <f t="shared" si="1"/>
        <v>26/06/2023</v>
      </c>
      <c r="B104" s="82" t="str">
        <f t="shared" si="2"/>
        <v>06-26</v>
      </c>
      <c r="C104" s="82" t="str">
        <f t="shared" si="3"/>
        <v>USD</v>
      </c>
      <c r="D104" s="82" t="s">
        <v>69</v>
      </c>
      <c r="E104" s="82">
        <v>1230626.0</v>
      </c>
      <c r="F104" s="82" t="s">
        <v>146</v>
      </c>
      <c r="G104" s="82" t="s">
        <v>350</v>
      </c>
      <c r="H104" s="82" t="s">
        <v>154</v>
      </c>
      <c r="I104" s="82" t="s">
        <v>155</v>
      </c>
      <c r="J104" s="82" t="s">
        <v>156</v>
      </c>
      <c r="K104" s="82" t="s">
        <v>350</v>
      </c>
      <c r="L104" s="82" t="s">
        <v>75</v>
      </c>
      <c r="M104" s="82" t="s">
        <v>351</v>
      </c>
      <c r="N104" s="82" t="s">
        <v>316</v>
      </c>
      <c r="O104" s="82" t="s">
        <v>317</v>
      </c>
      <c r="P104" s="82" t="s">
        <v>79</v>
      </c>
      <c r="Q104" s="82" t="s">
        <v>122</v>
      </c>
      <c r="R104" s="9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</row>
    <row r="105" ht="14.25" customHeight="1">
      <c r="A105" s="72" t="str">
        <f t="shared" si="1"/>
        <v>26/06/2023</v>
      </c>
      <c r="B105" s="82" t="str">
        <f t="shared" si="2"/>
        <v>06-26</v>
      </c>
      <c r="C105" s="82" t="str">
        <f t="shared" si="3"/>
        <v>USD</v>
      </c>
      <c r="D105" s="82" t="s">
        <v>69</v>
      </c>
      <c r="E105" s="82">
        <v>1230626.0</v>
      </c>
      <c r="F105" s="82" t="s">
        <v>146</v>
      </c>
      <c r="G105" s="82" t="s">
        <v>352</v>
      </c>
      <c r="H105" s="82" t="s">
        <v>154</v>
      </c>
      <c r="I105" s="82" t="s">
        <v>155</v>
      </c>
      <c r="J105" s="82" t="s">
        <v>156</v>
      </c>
      <c r="K105" s="82" t="s">
        <v>352</v>
      </c>
      <c r="L105" s="82" t="s">
        <v>75</v>
      </c>
      <c r="M105" s="82" t="s">
        <v>353</v>
      </c>
      <c r="N105" s="82" t="s">
        <v>316</v>
      </c>
      <c r="O105" s="82" t="s">
        <v>317</v>
      </c>
      <c r="P105" s="82" t="s">
        <v>79</v>
      </c>
      <c r="Q105" s="82" t="s">
        <v>122</v>
      </c>
      <c r="R105" s="9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</row>
    <row r="106" ht="14.25" customHeight="1">
      <c r="A106" s="72" t="str">
        <f t="shared" si="1"/>
        <v>26/06/2023</v>
      </c>
      <c r="B106" s="82" t="str">
        <f t="shared" si="2"/>
        <v>06-26</v>
      </c>
      <c r="C106" s="82" t="str">
        <f t="shared" si="3"/>
        <v>USD</v>
      </c>
      <c r="D106" s="82" t="s">
        <v>69</v>
      </c>
      <c r="E106" s="82">
        <v>1230626.0</v>
      </c>
      <c r="F106" s="82" t="s">
        <v>146</v>
      </c>
      <c r="G106" s="82" t="s">
        <v>354</v>
      </c>
      <c r="H106" s="82" t="s">
        <v>154</v>
      </c>
      <c r="I106" s="82" t="s">
        <v>155</v>
      </c>
      <c r="J106" s="82" t="s">
        <v>156</v>
      </c>
      <c r="K106" s="82" t="s">
        <v>354</v>
      </c>
      <c r="L106" s="82" t="s">
        <v>75</v>
      </c>
      <c r="M106" s="82" t="s">
        <v>355</v>
      </c>
      <c r="N106" s="82" t="s">
        <v>316</v>
      </c>
      <c r="O106" s="82" t="s">
        <v>317</v>
      </c>
      <c r="P106" s="82" t="s">
        <v>79</v>
      </c>
      <c r="Q106" s="82" t="s">
        <v>122</v>
      </c>
      <c r="R106" s="9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</row>
    <row r="107" ht="14.25" customHeight="1">
      <c r="A107" s="72" t="str">
        <f t="shared" si="1"/>
        <v>26/06/2023</v>
      </c>
      <c r="B107" s="82" t="str">
        <f t="shared" si="2"/>
        <v>06-26</v>
      </c>
      <c r="C107" s="82" t="str">
        <f t="shared" si="3"/>
        <v>USD</v>
      </c>
      <c r="D107" s="82" t="s">
        <v>69</v>
      </c>
      <c r="E107" s="82">
        <v>1230626.0</v>
      </c>
      <c r="F107" s="82" t="s">
        <v>146</v>
      </c>
      <c r="G107" s="82" t="s">
        <v>356</v>
      </c>
      <c r="H107" s="82" t="s">
        <v>154</v>
      </c>
      <c r="I107" s="82" t="s">
        <v>155</v>
      </c>
      <c r="J107" s="82" t="s">
        <v>156</v>
      </c>
      <c r="K107" s="82" t="s">
        <v>356</v>
      </c>
      <c r="L107" s="82" t="s">
        <v>75</v>
      </c>
      <c r="M107" s="82" t="s">
        <v>357</v>
      </c>
      <c r="N107" s="82" t="s">
        <v>316</v>
      </c>
      <c r="O107" s="82" t="s">
        <v>317</v>
      </c>
      <c r="P107" s="82" t="s">
        <v>79</v>
      </c>
      <c r="Q107" s="82" t="s">
        <v>122</v>
      </c>
      <c r="R107" s="9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</row>
    <row r="108" ht="14.25" customHeight="1">
      <c r="A108" s="72" t="str">
        <f t="shared" si="1"/>
        <v>26/06/2023</v>
      </c>
      <c r="B108" s="82" t="str">
        <f t="shared" si="2"/>
        <v>06-26</v>
      </c>
      <c r="C108" s="82" t="str">
        <f t="shared" si="3"/>
        <v>USD</v>
      </c>
      <c r="D108" s="82" t="s">
        <v>69</v>
      </c>
      <c r="E108" s="82">
        <v>1230626.0</v>
      </c>
      <c r="F108" s="82" t="s">
        <v>146</v>
      </c>
      <c r="G108" s="82" t="s">
        <v>358</v>
      </c>
      <c r="H108" s="82" t="s">
        <v>154</v>
      </c>
      <c r="I108" s="82" t="s">
        <v>155</v>
      </c>
      <c r="J108" s="82" t="s">
        <v>156</v>
      </c>
      <c r="K108" s="82" t="s">
        <v>358</v>
      </c>
      <c r="L108" s="82" t="s">
        <v>75</v>
      </c>
      <c r="M108" s="82" t="s">
        <v>359</v>
      </c>
      <c r="N108" s="82" t="s">
        <v>316</v>
      </c>
      <c r="O108" s="82" t="s">
        <v>317</v>
      </c>
      <c r="P108" s="82" t="s">
        <v>79</v>
      </c>
      <c r="Q108" s="82" t="s">
        <v>122</v>
      </c>
      <c r="R108" s="9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</row>
    <row r="109" ht="14.25" customHeight="1">
      <c r="A109" s="72" t="str">
        <f t="shared" si="1"/>
        <v>26/06/2023</v>
      </c>
      <c r="B109" s="82" t="str">
        <f t="shared" si="2"/>
        <v>06-26</v>
      </c>
      <c r="C109" s="82" t="str">
        <f t="shared" si="3"/>
        <v>USD</v>
      </c>
      <c r="D109" s="82" t="s">
        <v>69</v>
      </c>
      <c r="E109" s="82">
        <v>1230626.0</v>
      </c>
      <c r="F109" s="82" t="s">
        <v>146</v>
      </c>
      <c r="G109" s="82" t="s">
        <v>360</v>
      </c>
      <c r="H109" s="82" t="s">
        <v>154</v>
      </c>
      <c r="I109" s="82" t="s">
        <v>155</v>
      </c>
      <c r="J109" s="82" t="s">
        <v>156</v>
      </c>
      <c r="K109" s="82" t="s">
        <v>360</v>
      </c>
      <c r="L109" s="82" t="s">
        <v>75</v>
      </c>
      <c r="M109" s="82" t="s">
        <v>361</v>
      </c>
      <c r="N109" s="82" t="s">
        <v>316</v>
      </c>
      <c r="O109" s="82" t="s">
        <v>317</v>
      </c>
      <c r="P109" s="82" t="s">
        <v>79</v>
      </c>
      <c r="Q109" s="82" t="s">
        <v>122</v>
      </c>
      <c r="R109" s="9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</row>
    <row r="110" ht="14.25" customHeight="1">
      <c r="A110" s="72" t="str">
        <f t="shared" si="1"/>
        <v>26/06/2023</v>
      </c>
      <c r="B110" s="82" t="str">
        <f t="shared" si="2"/>
        <v>06-26</v>
      </c>
      <c r="C110" s="82" t="str">
        <f t="shared" si="3"/>
        <v>USD</v>
      </c>
      <c r="D110" s="82" t="s">
        <v>69</v>
      </c>
      <c r="E110" s="82">
        <v>1230626.0</v>
      </c>
      <c r="F110" s="82" t="s">
        <v>146</v>
      </c>
      <c r="G110" s="82" t="s">
        <v>362</v>
      </c>
      <c r="H110" s="82" t="s">
        <v>154</v>
      </c>
      <c r="I110" s="82" t="s">
        <v>155</v>
      </c>
      <c r="J110" s="82" t="s">
        <v>156</v>
      </c>
      <c r="K110" s="82" t="s">
        <v>362</v>
      </c>
      <c r="L110" s="82" t="s">
        <v>75</v>
      </c>
      <c r="M110" s="82" t="s">
        <v>363</v>
      </c>
      <c r="N110" s="82" t="s">
        <v>316</v>
      </c>
      <c r="O110" s="82" t="s">
        <v>317</v>
      </c>
      <c r="P110" s="82" t="s">
        <v>79</v>
      </c>
      <c r="Q110" s="82" t="s">
        <v>122</v>
      </c>
      <c r="R110" s="9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</row>
    <row r="111" ht="14.25" customHeight="1">
      <c r="A111" s="72" t="str">
        <f t="shared" si="1"/>
        <v>26/06/2023</v>
      </c>
      <c r="B111" s="82" t="str">
        <f t="shared" si="2"/>
        <v>06-26</v>
      </c>
      <c r="C111" s="82" t="str">
        <f t="shared" si="3"/>
        <v>USD</v>
      </c>
      <c r="D111" s="82" t="s">
        <v>69</v>
      </c>
      <c r="E111" s="82">
        <v>1230626.0</v>
      </c>
      <c r="F111" s="82" t="s">
        <v>146</v>
      </c>
      <c r="G111" s="82" t="s">
        <v>364</v>
      </c>
      <c r="H111" s="82" t="s">
        <v>154</v>
      </c>
      <c r="I111" s="82" t="s">
        <v>155</v>
      </c>
      <c r="J111" s="82" t="s">
        <v>156</v>
      </c>
      <c r="K111" s="82" t="s">
        <v>364</v>
      </c>
      <c r="L111" s="82" t="s">
        <v>75</v>
      </c>
      <c r="M111" s="82" t="s">
        <v>365</v>
      </c>
      <c r="N111" s="82" t="s">
        <v>316</v>
      </c>
      <c r="O111" s="82" t="s">
        <v>317</v>
      </c>
      <c r="P111" s="82" t="s">
        <v>79</v>
      </c>
      <c r="Q111" s="82" t="s">
        <v>122</v>
      </c>
      <c r="R111" s="9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</row>
    <row r="112" ht="14.25" customHeight="1">
      <c r="A112" s="72" t="str">
        <f t="shared" si="1"/>
        <v>26/06/2023</v>
      </c>
      <c r="B112" s="82" t="str">
        <f t="shared" si="2"/>
        <v>06-26</v>
      </c>
      <c r="C112" s="82" t="str">
        <f t="shared" si="3"/>
        <v>USD</v>
      </c>
      <c r="D112" s="82" t="s">
        <v>69</v>
      </c>
      <c r="E112" s="82">
        <v>1230626.0</v>
      </c>
      <c r="F112" s="82" t="s">
        <v>146</v>
      </c>
      <c r="G112" s="82" t="s">
        <v>366</v>
      </c>
      <c r="H112" s="82" t="s">
        <v>154</v>
      </c>
      <c r="I112" s="82" t="s">
        <v>155</v>
      </c>
      <c r="J112" s="82" t="s">
        <v>156</v>
      </c>
      <c r="K112" s="82" t="s">
        <v>366</v>
      </c>
      <c r="L112" s="82" t="s">
        <v>75</v>
      </c>
      <c r="M112" s="82" t="s">
        <v>367</v>
      </c>
      <c r="N112" s="82" t="s">
        <v>316</v>
      </c>
      <c r="O112" s="82" t="s">
        <v>317</v>
      </c>
      <c r="P112" s="82" t="s">
        <v>79</v>
      </c>
      <c r="Q112" s="82" t="s">
        <v>122</v>
      </c>
      <c r="R112" s="9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</row>
    <row r="113" ht="14.25" customHeight="1">
      <c r="A113" s="72" t="str">
        <f t="shared" si="1"/>
        <v>26/06/2023</v>
      </c>
      <c r="B113" s="82" t="str">
        <f t="shared" si="2"/>
        <v>06-26</v>
      </c>
      <c r="C113" s="82" t="str">
        <f t="shared" si="3"/>
        <v>USD</v>
      </c>
      <c r="D113" s="82" t="s">
        <v>69</v>
      </c>
      <c r="E113" s="82">
        <v>1230626.0</v>
      </c>
      <c r="F113" s="82" t="s">
        <v>146</v>
      </c>
      <c r="G113" s="82" t="s">
        <v>368</v>
      </c>
      <c r="H113" s="82" t="s">
        <v>154</v>
      </c>
      <c r="I113" s="82" t="s">
        <v>155</v>
      </c>
      <c r="J113" s="82" t="s">
        <v>156</v>
      </c>
      <c r="K113" s="82" t="s">
        <v>368</v>
      </c>
      <c r="L113" s="82" t="s">
        <v>75</v>
      </c>
      <c r="M113" s="82" t="s">
        <v>369</v>
      </c>
      <c r="N113" s="82" t="s">
        <v>316</v>
      </c>
      <c r="O113" s="82" t="s">
        <v>317</v>
      </c>
      <c r="P113" s="82" t="s">
        <v>79</v>
      </c>
      <c r="Q113" s="82" t="s">
        <v>122</v>
      </c>
      <c r="R113" s="9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</row>
    <row r="114" ht="14.25" customHeight="1">
      <c r="A114" s="72" t="str">
        <f t="shared" si="1"/>
        <v>26/06/2023</v>
      </c>
      <c r="B114" s="82" t="str">
        <f t="shared" si="2"/>
        <v>06-26</v>
      </c>
      <c r="C114" s="82" t="str">
        <f t="shared" si="3"/>
        <v>USD</v>
      </c>
      <c r="D114" s="82" t="s">
        <v>69</v>
      </c>
      <c r="E114" s="82">
        <v>1230626.0</v>
      </c>
      <c r="F114" s="82" t="s">
        <v>146</v>
      </c>
      <c r="G114" s="82" t="s">
        <v>370</v>
      </c>
      <c r="H114" s="82" t="s">
        <v>154</v>
      </c>
      <c r="I114" s="82" t="s">
        <v>155</v>
      </c>
      <c r="J114" s="82" t="s">
        <v>156</v>
      </c>
      <c r="K114" s="82" t="s">
        <v>370</v>
      </c>
      <c r="L114" s="82" t="s">
        <v>75</v>
      </c>
      <c r="M114" s="82" t="s">
        <v>371</v>
      </c>
      <c r="N114" s="82" t="s">
        <v>316</v>
      </c>
      <c r="O114" s="82" t="s">
        <v>317</v>
      </c>
      <c r="P114" s="82" t="s">
        <v>79</v>
      </c>
      <c r="Q114" s="82" t="s">
        <v>122</v>
      </c>
      <c r="R114" s="9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</row>
    <row r="115" ht="14.25" customHeight="1">
      <c r="A115" s="72" t="str">
        <f t="shared" si="1"/>
        <v>26/06/2023</v>
      </c>
      <c r="B115" s="82" t="str">
        <f t="shared" si="2"/>
        <v>06-26</v>
      </c>
      <c r="C115" s="82" t="str">
        <f t="shared" si="3"/>
        <v>USD</v>
      </c>
      <c r="D115" s="82" t="s">
        <v>69</v>
      </c>
      <c r="E115" s="82">
        <v>1230626.0</v>
      </c>
      <c r="F115" s="82" t="s">
        <v>146</v>
      </c>
      <c r="G115" s="82" t="s">
        <v>372</v>
      </c>
      <c r="H115" s="82" t="s">
        <v>154</v>
      </c>
      <c r="I115" s="82" t="s">
        <v>155</v>
      </c>
      <c r="J115" s="82" t="s">
        <v>156</v>
      </c>
      <c r="K115" s="82" t="s">
        <v>372</v>
      </c>
      <c r="L115" s="82" t="s">
        <v>75</v>
      </c>
      <c r="M115" s="82" t="s">
        <v>373</v>
      </c>
      <c r="N115" s="82" t="s">
        <v>316</v>
      </c>
      <c r="O115" s="82" t="s">
        <v>317</v>
      </c>
      <c r="P115" s="82" t="s">
        <v>79</v>
      </c>
      <c r="Q115" s="82" t="s">
        <v>122</v>
      </c>
      <c r="R115" s="9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</row>
    <row r="116" ht="14.25" customHeight="1">
      <c r="A116" s="72" t="str">
        <f t="shared" si="1"/>
        <v>26/06/2023</v>
      </c>
      <c r="B116" s="82" t="str">
        <f t="shared" si="2"/>
        <v>06-26</v>
      </c>
      <c r="C116" s="82" t="str">
        <f t="shared" si="3"/>
        <v>USD</v>
      </c>
      <c r="D116" s="82" t="s">
        <v>69</v>
      </c>
      <c r="E116" s="82">
        <v>1230626.0</v>
      </c>
      <c r="F116" s="82" t="s">
        <v>146</v>
      </c>
      <c r="G116" s="82" t="s">
        <v>374</v>
      </c>
      <c r="H116" s="82" t="s">
        <v>154</v>
      </c>
      <c r="I116" s="82" t="s">
        <v>155</v>
      </c>
      <c r="J116" s="82" t="s">
        <v>156</v>
      </c>
      <c r="K116" s="82" t="s">
        <v>374</v>
      </c>
      <c r="L116" s="82" t="s">
        <v>75</v>
      </c>
      <c r="M116" s="82" t="s">
        <v>375</v>
      </c>
      <c r="N116" s="82" t="s">
        <v>316</v>
      </c>
      <c r="O116" s="82" t="s">
        <v>317</v>
      </c>
      <c r="P116" s="82" t="s">
        <v>79</v>
      </c>
      <c r="Q116" s="82" t="s">
        <v>122</v>
      </c>
      <c r="R116" s="9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</row>
    <row r="117" ht="14.25" customHeight="1">
      <c r="A117" s="72" t="str">
        <f t="shared" si="1"/>
        <v>26/06/2023</v>
      </c>
      <c r="B117" s="82" t="str">
        <f t="shared" si="2"/>
        <v>06-26</v>
      </c>
      <c r="C117" s="82" t="str">
        <f t="shared" si="3"/>
        <v>USD</v>
      </c>
      <c r="D117" s="82" t="s">
        <v>69</v>
      </c>
      <c r="E117" s="82">
        <v>1230626.0</v>
      </c>
      <c r="F117" s="82" t="s">
        <v>146</v>
      </c>
      <c r="G117" s="82" t="s">
        <v>376</v>
      </c>
      <c r="H117" s="82" t="s">
        <v>154</v>
      </c>
      <c r="I117" s="82" t="s">
        <v>155</v>
      </c>
      <c r="J117" s="82" t="s">
        <v>156</v>
      </c>
      <c r="K117" s="82" t="s">
        <v>376</v>
      </c>
      <c r="L117" s="82" t="s">
        <v>75</v>
      </c>
      <c r="M117" s="82" t="s">
        <v>377</v>
      </c>
      <c r="N117" s="82" t="s">
        <v>316</v>
      </c>
      <c r="O117" s="82" t="s">
        <v>317</v>
      </c>
      <c r="P117" s="82" t="s">
        <v>79</v>
      </c>
      <c r="Q117" s="82" t="s">
        <v>122</v>
      </c>
      <c r="R117" s="9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</row>
    <row r="118" ht="14.25" customHeight="1">
      <c r="A118" s="72" t="str">
        <f t="shared" si="1"/>
        <v>26/06/2023</v>
      </c>
      <c r="B118" s="82" t="str">
        <f t="shared" si="2"/>
        <v>06-26</v>
      </c>
      <c r="C118" s="82" t="str">
        <f t="shared" si="3"/>
        <v>USD</v>
      </c>
      <c r="D118" s="82" t="s">
        <v>69</v>
      </c>
      <c r="E118" s="82">
        <v>1230626.0</v>
      </c>
      <c r="F118" s="82" t="s">
        <v>146</v>
      </c>
      <c r="G118" s="82" t="s">
        <v>378</v>
      </c>
      <c r="H118" s="82" t="s">
        <v>154</v>
      </c>
      <c r="I118" s="82" t="s">
        <v>155</v>
      </c>
      <c r="J118" s="82" t="s">
        <v>156</v>
      </c>
      <c r="K118" s="82" t="s">
        <v>378</v>
      </c>
      <c r="L118" s="82" t="s">
        <v>75</v>
      </c>
      <c r="M118" s="82" t="s">
        <v>379</v>
      </c>
      <c r="N118" s="82" t="s">
        <v>316</v>
      </c>
      <c r="O118" s="82" t="s">
        <v>317</v>
      </c>
      <c r="P118" s="82" t="s">
        <v>79</v>
      </c>
      <c r="Q118" s="82" t="s">
        <v>122</v>
      </c>
      <c r="R118" s="9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</row>
    <row r="119" ht="14.25" customHeight="1">
      <c r="A119" s="72" t="str">
        <f t="shared" si="1"/>
        <v>26/06/2023</v>
      </c>
      <c r="B119" s="82" t="str">
        <f t="shared" si="2"/>
        <v>06-26</v>
      </c>
      <c r="C119" s="82" t="str">
        <f t="shared" si="3"/>
        <v>USD</v>
      </c>
      <c r="D119" s="82" t="s">
        <v>69</v>
      </c>
      <c r="E119" s="82">
        <v>1230626.0</v>
      </c>
      <c r="F119" s="82" t="s">
        <v>146</v>
      </c>
      <c r="G119" s="82" t="s">
        <v>380</v>
      </c>
      <c r="H119" s="82" t="s">
        <v>154</v>
      </c>
      <c r="I119" s="82" t="s">
        <v>155</v>
      </c>
      <c r="J119" s="82" t="s">
        <v>156</v>
      </c>
      <c r="K119" s="82" t="s">
        <v>380</v>
      </c>
      <c r="L119" s="82" t="s">
        <v>75</v>
      </c>
      <c r="M119" s="82" t="s">
        <v>381</v>
      </c>
      <c r="N119" s="82" t="s">
        <v>316</v>
      </c>
      <c r="O119" s="82" t="s">
        <v>317</v>
      </c>
      <c r="P119" s="82" t="s">
        <v>79</v>
      </c>
      <c r="Q119" s="82" t="s">
        <v>122</v>
      </c>
      <c r="R119" s="9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</row>
    <row r="120" ht="14.25" customHeight="1">
      <c r="A120" s="72" t="str">
        <f t="shared" si="1"/>
        <v>26/06/2023</v>
      </c>
      <c r="B120" s="82" t="str">
        <f t="shared" si="2"/>
        <v>06-26</v>
      </c>
      <c r="C120" s="82" t="str">
        <f t="shared" si="3"/>
        <v>USD</v>
      </c>
      <c r="D120" s="82" t="s">
        <v>69</v>
      </c>
      <c r="E120" s="82">
        <v>1230626.0</v>
      </c>
      <c r="F120" s="82" t="s">
        <v>146</v>
      </c>
      <c r="G120" s="82" t="s">
        <v>382</v>
      </c>
      <c r="H120" s="82" t="s">
        <v>154</v>
      </c>
      <c r="I120" s="82" t="s">
        <v>155</v>
      </c>
      <c r="J120" s="82" t="s">
        <v>156</v>
      </c>
      <c r="K120" s="82" t="s">
        <v>382</v>
      </c>
      <c r="L120" s="82" t="s">
        <v>75</v>
      </c>
      <c r="M120" s="82" t="s">
        <v>383</v>
      </c>
      <c r="N120" s="82" t="s">
        <v>316</v>
      </c>
      <c r="O120" s="82" t="s">
        <v>317</v>
      </c>
      <c r="P120" s="82" t="s">
        <v>79</v>
      </c>
      <c r="Q120" s="82" t="s">
        <v>122</v>
      </c>
      <c r="R120" s="9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</row>
    <row r="121" ht="14.25" customHeight="1">
      <c r="A121" s="72" t="str">
        <f t="shared" si="1"/>
        <v>26/06/2023</v>
      </c>
      <c r="B121" s="82" t="str">
        <f t="shared" si="2"/>
        <v>06-26</v>
      </c>
      <c r="C121" s="82" t="str">
        <f t="shared" si="3"/>
        <v>USD</v>
      </c>
      <c r="D121" s="82" t="s">
        <v>69</v>
      </c>
      <c r="E121" s="82">
        <v>1230626.0</v>
      </c>
      <c r="F121" s="82" t="s">
        <v>146</v>
      </c>
      <c r="G121" s="82" t="s">
        <v>384</v>
      </c>
      <c r="H121" s="82" t="s">
        <v>154</v>
      </c>
      <c r="I121" s="82" t="s">
        <v>155</v>
      </c>
      <c r="J121" s="82" t="s">
        <v>156</v>
      </c>
      <c r="K121" s="82" t="s">
        <v>384</v>
      </c>
      <c r="L121" s="82" t="s">
        <v>75</v>
      </c>
      <c r="M121" s="82" t="s">
        <v>385</v>
      </c>
      <c r="N121" s="82" t="s">
        <v>316</v>
      </c>
      <c r="O121" s="82" t="s">
        <v>317</v>
      </c>
      <c r="P121" s="82" t="s">
        <v>79</v>
      </c>
      <c r="Q121" s="82" t="s">
        <v>122</v>
      </c>
      <c r="R121" s="9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</row>
    <row r="122" ht="14.25" customHeight="1">
      <c r="A122" s="72" t="str">
        <f t="shared" si="1"/>
        <v>26/06/2023</v>
      </c>
      <c r="B122" s="82" t="str">
        <f t="shared" si="2"/>
        <v>06-26</v>
      </c>
      <c r="C122" s="82" t="str">
        <f t="shared" si="3"/>
        <v>USD</v>
      </c>
      <c r="D122" s="82" t="s">
        <v>69</v>
      </c>
      <c r="E122" s="82">
        <v>1230626.0</v>
      </c>
      <c r="F122" s="82" t="s">
        <v>146</v>
      </c>
      <c r="G122" s="82" t="s">
        <v>386</v>
      </c>
      <c r="H122" s="82" t="s">
        <v>154</v>
      </c>
      <c r="I122" s="82" t="s">
        <v>155</v>
      </c>
      <c r="J122" s="82" t="s">
        <v>156</v>
      </c>
      <c r="K122" s="82" t="s">
        <v>386</v>
      </c>
      <c r="L122" s="82" t="s">
        <v>75</v>
      </c>
      <c r="M122" s="82" t="s">
        <v>387</v>
      </c>
      <c r="N122" s="82" t="s">
        <v>316</v>
      </c>
      <c r="O122" s="82" t="s">
        <v>317</v>
      </c>
      <c r="P122" s="82" t="s">
        <v>79</v>
      </c>
      <c r="Q122" s="82" t="s">
        <v>122</v>
      </c>
      <c r="R122" s="9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</row>
    <row r="123" ht="14.25" customHeight="1">
      <c r="A123" s="72" t="str">
        <f t="shared" si="1"/>
        <v>26/06/2023</v>
      </c>
      <c r="B123" s="82" t="str">
        <f t="shared" si="2"/>
        <v>06-26</v>
      </c>
      <c r="C123" s="82" t="str">
        <f t="shared" si="3"/>
        <v>USD</v>
      </c>
      <c r="D123" s="82" t="s">
        <v>69</v>
      </c>
      <c r="E123" s="82">
        <v>1230626.0</v>
      </c>
      <c r="F123" s="82" t="s">
        <v>146</v>
      </c>
      <c r="G123" s="82" t="s">
        <v>388</v>
      </c>
      <c r="H123" s="82" t="s">
        <v>154</v>
      </c>
      <c r="I123" s="82" t="s">
        <v>155</v>
      </c>
      <c r="J123" s="82" t="s">
        <v>156</v>
      </c>
      <c r="K123" s="82" t="s">
        <v>388</v>
      </c>
      <c r="L123" s="82" t="s">
        <v>75</v>
      </c>
      <c r="M123" s="82" t="s">
        <v>389</v>
      </c>
      <c r="N123" s="82" t="s">
        <v>316</v>
      </c>
      <c r="O123" s="82" t="s">
        <v>317</v>
      </c>
      <c r="P123" s="82" t="s">
        <v>79</v>
      </c>
      <c r="Q123" s="82" t="s">
        <v>122</v>
      </c>
      <c r="R123" s="9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</row>
    <row r="124" ht="14.25" customHeight="1">
      <c r="A124" s="72" t="str">
        <f t="shared" si="1"/>
        <v>26/06/2023</v>
      </c>
      <c r="B124" s="82" t="str">
        <f t="shared" si="2"/>
        <v>06-26</v>
      </c>
      <c r="C124" s="82" t="str">
        <f t="shared" si="3"/>
        <v>USD</v>
      </c>
      <c r="D124" s="82" t="s">
        <v>69</v>
      </c>
      <c r="E124" s="82">
        <v>1230626.0</v>
      </c>
      <c r="F124" s="82" t="s">
        <v>146</v>
      </c>
      <c r="G124" s="82" t="s">
        <v>390</v>
      </c>
      <c r="H124" s="82" t="s">
        <v>154</v>
      </c>
      <c r="I124" s="82" t="s">
        <v>155</v>
      </c>
      <c r="J124" s="82" t="s">
        <v>156</v>
      </c>
      <c r="K124" s="82" t="s">
        <v>390</v>
      </c>
      <c r="L124" s="82" t="s">
        <v>75</v>
      </c>
      <c r="M124" s="82" t="s">
        <v>391</v>
      </c>
      <c r="N124" s="82" t="s">
        <v>316</v>
      </c>
      <c r="O124" s="82" t="s">
        <v>317</v>
      </c>
      <c r="P124" s="82" t="s">
        <v>79</v>
      </c>
      <c r="Q124" s="82" t="s">
        <v>122</v>
      </c>
      <c r="R124" s="9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</row>
    <row r="125" ht="14.25" customHeight="1">
      <c r="A125" s="72" t="str">
        <f t="shared" si="1"/>
        <v>26/06/2023</v>
      </c>
      <c r="B125" s="82" t="str">
        <f t="shared" si="2"/>
        <v>06-26</v>
      </c>
      <c r="C125" s="82" t="str">
        <f t="shared" si="3"/>
        <v>USD</v>
      </c>
      <c r="D125" s="82" t="s">
        <v>69</v>
      </c>
      <c r="E125" s="82">
        <v>1230626.0</v>
      </c>
      <c r="F125" s="82" t="s">
        <v>146</v>
      </c>
      <c r="G125" s="82" t="s">
        <v>392</v>
      </c>
      <c r="H125" s="82" t="s">
        <v>154</v>
      </c>
      <c r="I125" s="82" t="s">
        <v>155</v>
      </c>
      <c r="J125" s="82" t="s">
        <v>156</v>
      </c>
      <c r="K125" s="82" t="s">
        <v>392</v>
      </c>
      <c r="L125" s="82" t="s">
        <v>75</v>
      </c>
      <c r="M125" s="82" t="s">
        <v>393</v>
      </c>
      <c r="N125" s="82" t="s">
        <v>316</v>
      </c>
      <c r="O125" s="82" t="s">
        <v>317</v>
      </c>
      <c r="P125" s="82" t="s">
        <v>79</v>
      </c>
      <c r="Q125" s="82" t="s">
        <v>122</v>
      </c>
      <c r="R125" s="9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</row>
    <row r="126" ht="14.25" customHeight="1">
      <c r="A126" s="72" t="str">
        <f t="shared" si="1"/>
        <v>26/06/2023</v>
      </c>
      <c r="B126" s="82" t="str">
        <f t="shared" si="2"/>
        <v>06-26</v>
      </c>
      <c r="C126" s="82" t="str">
        <f t="shared" si="3"/>
        <v>USD</v>
      </c>
      <c r="D126" s="82" t="s">
        <v>69</v>
      </c>
      <c r="E126" s="82">
        <v>1230626.0</v>
      </c>
      <c r="F126" s="82" t="s">
        <v>146</v>
      </c>
      <c r="G126" s="82" t="s">
        <v>394</v>
      </c>
      <c r="H126" s="82" t="s">
        <v>154</v>
      </c>
      <c r="I126" s="82" t="s">
        <v>155</v>
      </c>
      <c r="J126" s="82" t="s">
        <v>156</v>
      </c>
      <c r="K126" s="82" t="s">
        <v>394</v>
      </c>
      <c r="L126" s="82" t="s">
        <v>75</v>
      </c>
      <c r="M126" s="82" t="s">
        <v>395</v>
      </c>
      <c r="N126" s="82" t="s">
        <v>316</v>
      </c>
      <c r="O126" s="82" t="s">
        <v>317</v>
      </c>
      <c r="P126" s="82" t="s">
        <v>79</v>
      </c>
      <c r="Q126" s="82" t="s">
        <v>122</v>
      </c>
      <c r="R126" s="9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</row>
    <row r="127" ht="14.25" customHeight="1">
      <c r="A127" s="72" t="str">
        <f t="shared" si="1"/>
        <v>26/06/2023</v>
      </c>
      <c r="B127" s="82" t="str">
        <f t="shared" si="2"/>
        <v>06-26</v>
      </c>
      <c r="C127" s="82" t="str">
        <f t="shared" si="3"/>
        <v>USD</v>
      </c>
      <c r="D127" s="82" t="s">
        <v>69</v>
      </c>
      <c r="E127" s="82">
        <v>1230626.0</v>
      </c>
      <c r="F127" s="82" t="s">
        <v>146</v>
      </c>
      <c r="G127" s="82" t="s">
        <v>396</v>
      </c>
      <c r="H127" s="82" t="s">
        <v>154</v>
      </c>
      <c r="I127" s="82" t="s">
        <v>155</v>
      </c>
      <c r="J127" s="82" t="s">
        <v>156</v>
      </c>
      <c r="K127" s="82" t="s">
        <v>396</v>
      </c>
      <c r="L127" s="82" t="s">
        <v>75</v>
      </c>
      <c r="M127" s="82" t="s">
        <v>397</v>
      </c>
      <c r="N127" s="82" t="s">
        <v>316</v>
      </c>
      <c r="O127" s="82" t="s">
        <v>317</v>
      </c>
      <c r="P127" s="82" t="s">
        <v>79</v>
      </c>
      <c r="Q127" s="82" t="s">
        <v>122</v>
      </c>
      <c r="R127" s="9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</row>
    <row r="128" ht="14.25" customHeight="1">
      <c r="A128" s="72" t="str">
        <f t="shared" si="1"/>
        <v>26/06/2023</v>
      </c>
      <c r="B128" s="82" t="str">
        <f t="shared" si="2"/>
        <v>06-26</v>
      </c>
      <c r="C128" s="82" t="str">
        <f t="shared" si="3"/>
        <v>USD</v>
      </c>
      <c r="D128" s="82" t="s">
        <v>69</v>
      </c>
      <c r="E128" s="82">
        <v>1230626.0</v>
      </c>
      <c r="F128" s="82" t="s">
        <v>146</v>
      </c>
      <c r="G128" s="82" t="s">
        <v>398</v>
      </c>
      <c r="H128" s="82" t="s">
        <v>154</v>
      </c>
      <c r="I128" s="82" t="s">
        <v>155</v>
      </c>
      <c r="J128" s="82" t="s">
        <v>156</v>
      </c>
      <c r="K128" s="82" t="s">
        <v>398</v>
      </c>
      <c r="L128" s="82" t="s">
        <v>75</v>
      </c>
      <c r="M128" s="82" t="s">
        <v>399</v>
      </c>
      <c r="N128" s="82" t="s">
        <v>316</v>
      </c>
      <c r="O128" s="82" t="s">
        <v>317</v>
      </c>
      <c r="P128" s="82" t="s">
        <v>79</v>
      </c>
      <c r="Q128" s="82" t="s">
        <v>122</v>
      </c>
      <c r="R128" s="9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</row>
    <row r="129" ht="14.25" customHeight="1">
      <c r="A129" s="72" t="str">
        <f t="shared" si="1"/>
        <v>26/06/2023</v>
      </c>
      <c r="B129" s="82" t="str">
        <f t="shared" si="2"/>
        <v>06-26</v>
      </c>
      <c r="C129" s="82" t="str">
        <f t="shared" si="3"/>
        <v>USD</v>
      </c>
      <c r="D129" s="82" t="s">
        <v>69</v>
      </c>
      <c r="E129" s="82">
        <v>1230626.0</v>
      </c>
      <c r="F129" s="82" t="s">
        <v>146</v>
      </c>
      <c r="G129" s="82" t="s">
        <v>400</v>
      </c>
      <c r="H129" s="82" t="s">
        <v>154</v>
      </c>
      <c r="I129" s="82" t="s">
        <v>155</v>
      </c>
      <c r="J129" s="82" t="s">
        <v>156</v>
      </c>
      <c r="K129" s="82" t="s">
        <v>400</v>
      </c>
      <c r="L129" s="82" t="s">
        <v>75</v>
      </c>
      <c r="M129" s="82" t="s">
        <v>401</v>
      </c>
      <c r="N129" s="82" t="s">
        <v>316</v>
      </c>
      <c r="O129" s="82" t="s">
        <v>317</v>
      </c>
      <c r="P129" s="82" t="s">
        <v>79</v>
      </c>
      <c r="Q129" s="82" t="s">
        <v>122</v>
      </c>
      <c r="R129" s="9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</row>
    <row r="130" ht="14.25" customHeight="1">
      <c r="A130" s="72" t="str">
        <f t="shared" si="1"/>
        <v>26/06/2023</v>
      </c>
      <c r="B130" s="82" t="str">
        <f t="shared" si="2"/>
        <v>06-26</v>
      </c>
      <c r="C130" s="82" t="str">
        <f t="shared" si="3"/>
        <v>USD</v>
      </c>
      <c r="D130" s="82" t="s">
        <v>69</v>
      </c>
      <c r="E130" s="82">
        <v>1230626.0</v>
      </c>
      <c r="F130" s="82" t="s">
        <v>146</v>
      </c>
      <c r="G130" s="82" t="s">
        <v>402</v>
      </c>
      <c r="H130" s="82" t="s">
        <v>154</v>
      </c>
      <c r="I130" s="82" t="s">
        <v>155</v>
      </c>
      <c r="J130" s="82" t="s">
        <v>156</v>
      </c>
      <c r="K130" s="82" t="s">
        <v>402</v>
      </c>
      <c r="L130" s="82" t="s">
        <v>75</v>
      </c>
      <c r="M130" s="82" t="s">
        <v>403</v>
      </c>
      <c r="N130" s="82" t="s">
        <v>316</v>
      </c>
      <c r="O130" s="82" t="s">
        <v>317</v>
      </c>
      <c r="P130" s="82" t="s">
        <v>79</v>
      </c>
      <c r="Q130" s="82" t="s">
        <v>122</v>
      </c>
      <c r="R130" s="9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</row>
    <row r="131" ht="14.25" customHeight="1">
      <c r="A131" s="72" t="str">
        <f t="shared" si="1"/>
        <v>26/06/2023</v>
      </c>
      <c r="B131" s="82" t="str">
        <f t="shared" si="2"/>
        <v>06-26</v>
      </c>
      <c r="C131" s="82" t="str">
        <f t="shared" si="3"/>
        <v>USD</v>
      </c>
      <c r="D131" s="82" t="s">
        <v>69</v>
      </c>
      <c r="E131" s="82">
        <v>1230626.0</v>
      </c>
      <c r="F131" s="82" t="s">
        <v>146</v>
      </c>
      <c r="G131" s="82" t="s">
        <v>404</v>
      </c>
      <c r="H131" s="82" t="s">
        <v>154</v>
      </c>
      <c r="I131" s="82" t="s">
        <v>155</v>
      </c>
      <c r="J131" s="82" t="s">
        <v>156</v>
      </c>
      <c r="K131" s="82" t="s">
        <v>404</v>
      </c>
      <c r="L131" s="82" t="s">
        <v>75</v>
      </c>
      <c r="M131" s="82" t="s">
        <v>405</v>
      </c>
      <c r="N131" s="82" t="s">
        <v>316</v>
      </c>
      <c r="O131" s="82" t="s">
        <v>317</v>
      </c>
      <c r="P131" s="82" t="s">
        <v>79</v>
      </c>
      <c r="Q131" s="82" t="s">
        <v>122</v>
      </c>
      <c r="R131" s="9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</row>
    <row r="132" ht="14.25" customHeight="1">
      <c r="A132" s="72" t="str">
        <f t="shared" si="1"/>
        <v>26/06/2023</v>
      </c>
      <c r="B132" s="82" t="str">
        <f t="shared" si="2"/>
        <v>06-26</v>
      </c>
      <c r="C132" s="82" t="str">
        <f t="shared" si="3"/>
        <v>USD</v>
      </c>
      <c r="D132" s="82" t="s">
        <v>69</v>
      </c>
      <c r="E132" s="82">
        <v>1230626.0</v>
      </c>
      <c r="F132" s="82" t="s">
        <v>146</v>
      </c>
      <c r="G132" s="82" t="s">
        <v>406</v>
      </c>
      <c r="H132" s="82" t="s">
        <v>154</v>
      </c>
      <c r="I132" s="82" t="s">
        <v>155</v>
      </c>
      <c r="J132" s="82" t="s">
        <v>156</v>
      </c>
      <c r="K132" s="82" t="s">
        <v>406</v>
      </c>
      <c r="L132" s="82" t="s">
        <v>75</v>
      </c>
      <c r="M132" s="82" t="s">
        <v>407</v>
      </c>
      <c r="N132" s="82" t="s">
        <v>316</v>
      </c>
      <c r="O132" s="82" t="s">
        <v>317</v>
      </c>
      <c r="P132" s="82" t="s">
        <v>79</v>
      </c>
      <c r="Q132" s="82" t="s">
        <v>122</v>
      </c>
      <c r="R132" s="9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</row>
    <row r="133" ht="14.25" customHeight="1">
      <c r="A133" s="72" t="str">
        <f t="shared" si="1"/>
        <v>26/06/2023</v>
      </c>
      <c r="B133" s="82" t="str">
        <f t="shared" si="2"/>
        <v>06-26</v>
      </c>
      <c r="C133" s="82" t="str">
        <f t="shared" si="3"/>
        <v>USD</v>
      </c>
      <c r="D133" s="72" t="s">
        <v>69</v>
      </c>
      <c r="E133" s="72">
        <v>1230626.0</v>
      </c>
      <c r="F133" s="72" t="s">
        <v>146</v>
      </c>
      <c r="G133" s="72" t="s">
        <v>408</v>
      </c>
      <c r="H133" s="72" t="s">
        <v>154</v>
      </c>
      <c r="I133" s="72" t="s">
        <v>155</v>
      </c>
      <c r="J133" s="72" t="s">
        <v>156</v>
      </c>
      <c r="K133" s="72" t="s">
        <v>408</v>
      </c>
      <c r="L133" s="72" t="s">
        <v>75</v>
      </c>
      <c r="M133" s="72" t="s">
        <v>409</v>
      </c>
      <c r="N133" s="72" t="s">
        <v>316</v>
      </c>
      <c r="O133" s="72" t="s">
        <v>317</v>
      </c>
      <c r="P133" s="72" t="s">
        <v>79</v>
      </c>
      <c r="Q133" s="72" t="s">
        <v>122</v>
      </c>
      <c r="R133" s="9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</row>
    <row r="134" ht="14.25" customHeight="1">
      <c r="A134" s="72" t="str">
        <f t="shared" si="1"/>
        <v>26/06/2023</v>
      </c>
      <c r="B134" s="82" t="str">
        <f t="shared" si="2"/>
        <v>06-26</v>
      </c>
      <c r="C134" s="82" t="str">
        <f t="shared" si="3"/>
        <v>USD</v>
      </c>
      <c r="D134" s="72" t="s">
        <v>69</v>
      </c>
      <c r="E134" s="72">
        <v>1230626.0</v>
      </c>
      <c r="F134" s="72" t="s">
        <v>146</v>
      </c>
      <c r="G134" s="72" t="s">
        <v>410</v>
      </c>
      <c r="H134" s="72" t="s">
        <v>154</v>
      </c>
      <c r="I134" s="72" t="s">
        <v>155</v>
      </c>
      <c r="J134" s="72" t="s">
        <v>156</v>
      </c>
      <c r="K134" s="72" t="s">
        <v>410</v>
      </c>
      <c r="L134" s="72" t="s">
        <v>75</v>
      </c>
      <c r="M134" s="72" t="s">
        <v>411</v>
      </c>
      <c r="N134" s="72" t="s">
        <v>316</v>
      </c>
      <c r="O134" s="72" t="s">
        <v>317</v>
      </c>
      <c r="P134" s="72" t="s">
        <v>79</v>
      </c>
      <c r="Q134" s="72" t="s">
        <v>122</v>
      </c>
      <c r="R134" s="9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</row>
    <row r="135" ht="14.25" customHeight="1">
      <c r="A135" s="72" t="str">
        <f t="shared" si="1"/>
        <v>26/06/2023</v>
      </c>
      <c r="B135" s="82" t="str">
        <f t="shared" si="2"/>
        <v>06-26</v>
      </c>
      <c r="C135" s="82" t="str">
        <f t="shared" si="3"/>
        <v>USD</v>
      </c>
      <c r="D135" s="72" t="s">
        <v>69</v>
      </c>
      <c r="E135" s="72">
        <v>1230626.0</v>
      </c>
      <c r="F135" s="72" t="s">
        <v>146</v>
      </c>
      <c r="G135" s="72" t="s">
        <v>412</v>
      </c>
      <c r="H135" s="72" t="s">
        <v>154</v>
      </c>
      <c r="I135" s="72" t="s">
        <v>155</v>
      </c>
      <c r="J135" s="72" t="s">
        <v>156</v>
      </c>
      <c r="K135" s="72" t="s">
        <v>412</v>
      </c>
      <c r="L135" s="72" t="s">
        <v>75</v>
      </c>
      <c r="M135" s="72" t="s">
        <v>413</v>
      </c>
      <c r="N135" s="72" t="s">
        <v>316</v>
      </c>
      <c r="O135" s="72" t="s">
        <v>317</v>
      </c>
      <c r="P135" s="72" t="s">
        <v>79</v>
      </c>
      <c r="Q135" s="72" t="s">
        <v>122</v>
      </c>
      <c r="R135" s="9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</row>
    <row r="136" ht="14.25" customHeight="1">
      <c r="A136" s="72" t="str">
        <f t="shared" si="1"/>
        <v>26/06/2023</v>
      </c>
      <c r="B136" s="82" t="str">
        <f t="shared" si="2"/>
        <v>06-26</v>
      </c>
      <c r="C136" s="82" t="str">
        <f t="shared" si="3"/>
        <v>USD</v>
      </c>
      <c r="D136" s="72" t="s">
        <v>69</v>
      </c>
      <c r="E136" s="72">
        <v>1230626.0</v>
      </c>
      <c r="F136" s="72" t="s">
        <v>146</v>
      </c>
      <c r="G136" s="72" t="s">
        <v>414</v>
      </c>
      <c r="H136" s="72" t="s">
        <v>154</v>
      </c>
      <c r="I136" s="72" t="s">
        <v>155</v>
      </c>
      <c r="J136" s="72" t="s">
        <v>156</v>
      </c>
      <c r="K136" s="72" t="s">
        <v>414</v>
      </c>
      <c r="L136" s="72" t="s">
        <v>75</v>
      </c>
      <c r="M136" s="72" t="s">
        <v>415</v>
      </c>
      <c r="N136" s="72" t="s">
        <v>316</v>
      </c>
      <c r="O136" s="72" t="s">
        <v>317</v>
      </c>
      <c r="P136" s="72" t="s">
        <v>79</v>
      </c>
      <c r="Q136" s="72" t="s">
        <v>122</v>
      </c>
      <c r="R136" s="9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</row>
    <row r="137" ht="14.25" customHeight="1">
      <c r="A137" s="72" t="str">
        <f t="shared" si="1"/>
        <v>26/06/2023</v>
      </c>
      <c r="B137" s="82" t="str">
        <f t="shared" si="2"/>
        <v>06-26</v>
      </c>
      <c r="C137" s="82" t="str">
        <f t="shared" si="3"/>
        <v>USD</v>
      </c>
      <c r="D137" s="72" t="s">
        <v>69</v>
      </c>
      <c r="E137" s="72">
        <v>1230626.0</v>
      </c>
      <c r="F137" s="72" t="s">
        <v>146</v>
      </c>
      <c r="G137" s="72" t="s">
        <v>416</v>
      </c>
      <c r="H137" s="72" t="s">
        <v>154</v>
      </c>
      <c r="I137" s="72" t="s">
        <v>155</v>
      </c>
      <c r="J137" s="72" t="s">
        <v>156</v>
      </c>
      <c r="K137" s="72" t="s">
        <v>416</v>
      </c>
      <c r="L137" s="72" t="s">
        <v>75</v>
      </c>
      <c r="M137" s="72" t="s">
        <v>417</v>
      </c>
      <c r="N137" s="72" t="s">
        <v>316</v>
      </c>
      <c r="O137" s="72" t="s">
        <v>317</v>
      </c>
      <c r="P137" s="72" t="s">
        <v>79</v>
      </c>
      <c r="Q137" s="72" t="s">
        <v>122</v>
      </c>
      <c r="R137" s="9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</row>
    <row r="138" ht="14.25" customHeight="1">
      <c r="A138" s="72" t="str">
        <f t="shared" si="1"/>
        <v>26/06/2023</v>
      </c>
      <c r="B138" s="82" t="str">
        <f t="shared" si="2"/>
        <v>06-26</v>
      </c>
      <c r="C138" s="82" t="str">
        <f t="shared" si="3"/>
        <v>USD</v>
      </c>
      <c r="D138" s="72" t="s">
        <v>69</v>
      </c>
      <c r="E138" s="72">
        <v>1230626.0</v>
      </c>
      <c r="F138" s="72" t="s">
        <v>146</v>
      </c>
      <c r="G138" s="72" t="s">
        <v>418</v>
      </c>
      <c r="H138" s="72" t="s">
        <v>154</v>
      </c>
      <c r="I138" s="72" t="s">
        <v>155</v>
      </c>
      <c r="J138" s="72" t="s">
        <v>156</v>
      </c>
      <c r="K138" s="72" t="s">
        <v>418</v>
      </c>
      <c r="L138" s="72" t="s">
        <v>75</v>
      </c>
      <c r="M138" s="72" t="s">
        <v>419</v>
      </c>
      <c r="N138" s="72" t="s">
        <v>316</v>
      </c>
      <c r="O138" s="72" t="s">
        <v>317</v>
      </c>
      <c r="P138" s="72" t="s">
        <v>79</v>
      </c>
      <c r="Q138" s="72" t="s">
        <v>122</v>
      </c>
      <c r="R138" s="9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</row>
    <row r="139" ht="14.25" customHeight="1">
      <c r="A139" s="72" t="str">
        <f t="shared" si="1"/>
        <v>26/06/2023</v>
      </c>
      <c r="B139" s="82" t="str">
        <f t="shared" si="2"/>
        <v>06-26</v>
      </c>
      <c r="C139" s="82" t="str">
        <f t="shared" si="3"/>
        <v>USD</v>
      </c>
      <c r="D139" s="72" t="s">
        <v>69</v>
      </c>
      <c r="E139" s="72">
        <v>1230626.0</v>
      </c>
      <c r="F139" s="72" t="s">
        <v>146</v>
      </c>
      <c r="G139" s="72" t="s">
        <v>420</v>
      </c>
      <c r="H139" s="72" t="s">
        <v>154</v>
      </c>
      <c r="I139" s="72" t="s">
        <v>155</v>
      </c>
      <c r="J139" s="72" t="s">
        <v>156</v>
      </c>
      <c r="K139" s="72" t="s">
        <v>420</v>
      </c>
      <c r="L139" s="72" t="s">
        <v>75</v>
      </c>
      <c r="M139" s="72" t="s">
        <v>421</v>
      </c>
      <c r="N139" s="72" t="s">
        <v>316</v>
      </c>
      <c r="O139" s="72" t="s">
        <v>317</v>
      </c>
      <c r="P139" s="72" t="s">
        <v>79</v>
      </c>
      <c r="Q139" s="72" t="s">
        <v>122</v>
      </c>
      <c r="R139" s="9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</row>
    <row r="140" ht="14.25" customHeight="1">
      <c r="A140" s="72" t="str">
        <f t="shared" si="1"/>
        <v>26/06/2023</v>
      </c>
      <c r="B140" s="82" t="str">
        <f t="shared" si="2"/>
        <v>06-26</v>
      </c>
      <c r="C140" s="82" t="str">
        <f t="shared" si="3"/>
        <v>USD</v>
      </c>
      <c r="D140" s="72" t="s">
        <v>69</v>
      </c>
      <c r="E140" s="72">
        <v>1230626.0</v>
      </c>
      <c r="F140" s="72" t="s">
        <v>146</v>
      </c>
      <c r="G140" s="72" t="s">
        <v>422</v>
      </c>
      <c r="H140" s="72" t="s">
        <v>154</v>
      </c>
      <c r="I140" s="72" t="s">
        <v>155</v>
      </c>
      <c r="J140" s="72" t="s">
        <v>156</v>
      </c>
      <c r="K140" s="72" t="s">
        <v>422</v>
      </c>
      <c r="L140" s="72" t="s">
        <v>75</v>
      </c>
      <c r="M140" s="72" t="s">
        <v>423</v>
      </c>
      <c r="N140" s="72" t="s">
        <v>316</v>
      </c>
      <c r="O140" s="72" t="s">
        <v>317</v>
      </c>
      <c r="P140" s="72" t="s">
        <v>79</v>
      </c>
      <c r="Q140" s="72" t="s">
        <v>122</v>
      </c>
      <c r="R140" s="9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</row>
    <row r="141" ht="14.25" customHeight="1">
      <c r="A141" s="72" t="str">
        <f t="shared" si="1"/>
        <v>26/06/2023</v>
      </c>
      <c r="B141" s="82" t="str">
        <f t="shared" si="2"/>
        <v>06-26</v>
      </c>
      <c r="C141" s="82" t="str">
        <f t="shared" si="3"/>
        <v>USD</v>
      </c>
      <c r="D141" s="72" t="s">
        <v>69</v>
      </c>
      <c r="E141" s="72">
        <v>1230626.0</v>
      </c>
      <c r="F141" s="72" t="s">
        <v>146</v>
      </c>
      <c r="G141" s="72" t="s">
        <v>424</v>
      </c>
      <c r="H141" s="72" t="s">
        <v>154</v>
      </c>
      <c r="I141" s="72" t="s">
        <v>155</v>
      </c>
      <c r="J141" s="72" t="s">
        <v>156</v>
      </c>
      <c r="K141" s="72" t="s">
        <v>424</v>
      </c>
      <c r="L141" s="72" t="s">
        <v>75</v>
      </c>
      <c r="M141" s="72" t="s">
        <v>425</v>
      </c>
      <c r="N141" s="72" t="s">
        <v>316</v>
      </c>
      <c r="O141" s="72" t="s">
        <v>317</v>
      </c>
      <c r="P141" s="72" t="s">
        <v>79</v>
      </c>
      <c r="Q141" s="72" t="s">
        <v>122</v>
      </c>
      <c r="R141" s="9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</row>
    <row r="142" ht="14.25" customHeight="1">
      <c r="A142" s="72" t="str">
        <f t="shared" si="1"/>
        <v>26/06/2023</v>
      </c>
      <c r="B142" s="82" t="str">
        <f t="shared" si="2"/>
        <v>06-26</v>
      </c>
      <c r="C142" s="82" t="str">
        <f t="shared" si="3"/>
        <v>USD</v>
      </c>
      <c r="D142" s="72" t="s">
        <v>69</v>
      </c>
      <c r="E142" s="72">
        <v>1230626.0</v>
      </c>
      <c r="F142" s="72" t="s">
        <v>146</v>
      </c>
      <c r="G142" s="72" t="s">
        <v>426</v>
      </c>
      <c r="H142" s="72" t="s">
        <v>154</v>
      </c>
      <c r="I142" s="72" t="s">
        <v>155</v>
      </c>
      <c r="J142" s="72" t="s">
        <v>156</v>
      </c>
      <c r="K142" s="72" t="s">
        <v>426</v>
      </c>
      <c r="L142" s="72" t="s">
        <v>75</v>
      </c>
      <c r="M142" s="72" t="s">
        <v>427</v>
      </c>
      <c r="N142" s="72" t="s">
        <v>316</v>
      </c>
      <c r="O142" s="72" t="s">
        <v>317</v>
      </c>
      <c r="P142" s="72" t="s">
        <v>79</v>
      </c>
      <c r="Q142" s="72" t="s">
        <v>122</v>
      </c>
      <c r="R142" s="9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</row>
    <row r="143" ht="14.25" customHeight="1">
      <c r="A143" s="72" t="str">
        <f t="shared" si="1"/>
        <v>27/06/2023</v>
      </c>
      <c r="B143" s="82" t="str">
        <f t="shared" si="2"/>
        <v>06-27</v>
      </c>
      <c r="C143" s="82" t="str">
        <f t="shared" si="3"/>
        <v>USD</v>
      </c>
      <c r="D143" s="82" t="s">
        <v>69</v>
      </c>
      <c r="E143" s="82">
        <v>1230627.0</v>
      </c>
      <c r="F143" s="82" t="s">
        <v>70</v>
      </c>
      <c r="G143" s="82" t="s">
        <v>428</v>
      </c>
      <c r="H143" s="82" t="s">
        <v>82</v>
      </c>
      <c r="I143" s="82" t="s">
        <v>83</v>
      </c>
      <c r="J143" s="82" t="s">
        <v>84</v>
      </c>
      <c r="K143" s="82" t="s">
        <v>428</v>
      </c>
      <c r="L143" s="82" t="s">
        <v>75</v>
      </c>
      <c r="M143" s="82" t="s">
        <v>429</v>
      </c>
      <c r="N143" s="82" t="s">
        <v>430</v>
      </c>
      <c r="O143" s="82" t="s">
        <v>431</v>
      </c>
      <c r="P143" s="82" t="s">
        <v>79</v>
      </c>
      <c r="Q143" s="82" t="s">
        <v>122</v>
      </c>
      <c r="R143" s="9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</row>
    <row r="144" ht="14.25" customHeight="1">
      <c r="A144" s="72" t="str">
        <f t="shared" si="1"/>
        <v>27/06/2023</v>
      </c>
      <c r="B144" s="82" t="str">
        <f t="shared" si="2"/>
        <v>06-27</v>
      </c>
      <c r="C144" s="82" t="str">
        <f t="shared" si="3"/>
        <v>USD</v>
      </c>
      <c r="D144" s="82" t="s">
        <v>69</v>
      </c>
      <c r="E144" s="82">
        <v>1230627.0</v>
      </c>
      <c r="F144" s="82" t="s">
        <v>70</v>
      </c>
      <c r="G144" s="82" t="s">
        <v>432</v>
      </c>
      <c r="H144" s="82" t="s">
        <v>82</v>
      </c>
      <c r="I144" s="82" t="s">
        <v>83</v>
      </c>
      <c r="J144" s="82" t="s">
        <v>84</v>
      </c>
      <c r="K144" s="82" t="s">
        <v>432</v>
      </c>
      <c r="L144" s="82" t="s">
        <v>75</v>
      </c>
      <c r="M144" s="82" t="s">
        <v>433</v>
      </c>
      <c r="N144" s="82" t="s">
        <v>430</v>
      </c>
      <c r="O144" s="82" t="s">
        <v>431</v>
      </c>
      <c r="P144" s="82" t="s">
        <v>79</v>
      </c>
      <c r="Q144" s="82" t="s">
        <v>122</v>
      </c>
      <c r="R144" s="9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</row>
    <row r="145" ht="14.25" customHeight="1">
      <c r="A145" s="72" t="str">
        <f t="shared" si="1"/>
        <v>27/06/2023</v>
      </c>
      <c r="B145" s="82" t="str">
        <f t="shared" si="2"/>
        <v>06-27</v>
      </c>
      <c r="C145" s="82" t="str">
        <f t="shared" si="3"/>
        <v>USD</v>
      </c>
      <c r="D145" s="82" t="s">
        <v>69</v>
      </c>
      <c r="E145" s="82">
        <v>1230627.0</v>
      </c>
      <c r="F145" s="82" t="s">
        <v>70</v>
      </c>
      <c r="G145" s="82" t="s">
        <v>434</v>
      </c>
      <c r="H145" s="82" t="s">
        <v>82</v>
      </c>
      <c r="I145" s="82" t="s">
        <v>83</v>
      </c>
      <c r="J145" s="82" t="s">
        <v>84</v>
      </c>
      <c r="K145" s="82" t="s">
        <v>434</v>
      </c>
      <c r="L145" s="82" t="s">
        <v>75</v>
      </c>
      <c r="M145" s="82" t="s">
        <v>435</v>
      </c>
      <c r="N145" s="82" t="s">
        <v>430</v>
      </c>
      <c r="O145" s="82" t="s">
        <v>431</v>
      </c>
      <c r="P145" s="82" t="s">
        <v>79</v>
      </c>
      <c r="Q145" s="82" t="s">
        <v>122</v>
      </c>
      <c r="R145" s="9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</row>
    <row r="146" ht="14.25" customHeight="1">
      <c r="A146" s="72" t="str">
        <f t="shared" si="1"/>
        <v>27/06/2023</v>
      </c>
      <c r="B146" s="82" t="str">
        <f t="shared" si="2"/>
        <v>06-27</v>
      </c>
      <c r="C146" s="82" t="str">
        <f t="shared" si="3"/>
        <v>USD</v>
      </c>
      <c r="D146" s="82" t="s">
        <v>69</v>
      </c>
      <c r="E146" s="82">
        <v>1230627.0</v>
      </c>
      <c r="F146" s="82" t="s">
        <v>70</v>
      </c>
      <c r="G146" s="82" t="s">
        <v>436</v>
      </c>
      <c r="H146" s="82" t="s">
        <v>82</v>
      </c>
      <c r="I146" s="82" t="s">
        <v>83</v>
      </c>
      <c r="J146" s="82" t="s">
        <v>84</v>
      </c>
      <c r="K146" s="82" t="s">
        <v>436</v>
      </c>
      <c r="L146" s="82" t="s">
        <v>75</v>
      </c>
      <c r="M146" s="82" t="s">
        <v>437</v>
      </c>
      <c r="N146" s="82" t="s">
        <v>430</v>
      </c>
      <c r="O146" s="82" t="s">
        <v>431</v>
      </c>
      <c r="P146" s="82" t="s">
        <v>79</v>
      </c>
      <c r="Q146" s="82" t="s">
        <v>122</v>
      </c>
      <c r="R146" s="9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</row>
    <row r="147" ht="14.25" customHeight="1">
      <c r="A147" s="72" t="str">
        <f t="shared" si="1"/>
        <v>27/06/2023</v>
      </c>
      <c r="B147" s="82" t="str">
        <f t="shared" si="2"/>
        <v>06-27</v>
      </c>
      <c r="C147" s="82" t="str">
        <f t="shared" si="3"/>
        <v>USD</v>
      </c>
      <c r="D147" s="82" t="s">
        <v>69</v>
      </c>
      <c r="E147" s="82">
        <v>1230627.0</v>
      </c>
      <c r="F147" s="82" t="s">
        <v>70</v>
      </c>
      <c r="G147" s="82" t="s">
        <v>438</v>
      </c>
      <c r="H147" s="82" t="s">
        <v>82</v>
      </c>
      <c r="I147" s="82" t="s">
        <v>83</v>
      </c>
      <c r="J147" s="82" t="s">
        <v>84</v>
      </c>
      <c r="K147" s="82" t="s">
        <v>438</v>
      </c>
      <c r="L147" s="82" t="s">
        <v>75</v>
      </c>
      <c r="M147" s="82" t="s">
        <v>439</v>
      </c>
      <c r="N147" s="82" t="s">
        <v>430</v>
      </c>
      <c r="O147" s="82" t="s">
        <v>431</v>
      </c>
      <c r="P147" s="82" t="s">
        <v>79</v>
      </c>
      <c r="Q147" s="82" t="s">
        <v>122</v>
      </c>
      <c r="R147" s="9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</row>
    <row r="148" ht="14.25" customHeight="1">
      <c r="A148" s="72" t="str">
        <f t="shared" si="1"/>
        <v>27/06/2023</v>
      </c>
      <c r="B148" s="82" t="str">
        <f t="shared" si="2"/>
        <v>06-27</v>
      </c>
      <c r="C148" s="82" t="str">
        <f t="shared" si="3"/>
        <v>USD</v>
      </c>
      <c r="D148" s="82" t="s">
        <v>69</v>
      </c>
      <c r="E148" s="82">
        <v>1230627.0</v>
      </c>
      <c r="F148" s="82" t="s">
        <v>70</v>
      </c>
      <c r="G148" s="82" t="s">
        <v>440</v>
      </c>
      <c r="H148" s="82" t="s">
        <v>82</v>
      </c>
      <c r="I148" s="82" t="s">
        <v>83</v>
      </c>
      <c r="J148" s="82" t="s">
        <v>84</v>
      </c>
      <c r="K148" s="82" t="s">
        <v>440</v>
      </c>
      <c r="L148" s="82" t="s">
        <v>75</v>
      </c>
      <c r="M148" s="82" t="s">
        <v>441</v>
      </c>
      <c r="N148" s="82" t="s">
        <v>442</v>
      </c>
      <c r="O148" s="82" t="s">
        <v>443</v>
      </c>
      <c r="P148" s="82" t="s">
        <v>79</v>
      </c>
      <c r="Q148" s="82" t="s">
        <v>122</v>
      </c>
      <c r="R148" s="9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</row>
    <row r="149" ht="14.25" customHeight="1">
      <c r="A149" s="72" t="str">
        <f t="shared" si="1"/>
        <v>27/06/2023</v>
      </c>
      <c r="B149" s="82" t="str">
        <f t="shared" si="2"/>
        <v>06-27</v>
      </c>
      <c r="C149" s="82" t="str">
        <f t="shared" si="3"/>
        <v>USD</v>
      </c>
      <c r="D149" s="82" t="s">
        <v>69</v>
      </c>
      <c r="E149" s="82">
        <v>1230627.0</v>
      </c>
      <c r="F149" s="82" t="s">
        <v>70</v>
      </c>
      <c r="G149" s="82" t="s">
        <v>444</v>
      </c>
      <c r="H149" s="82" t="s">
        <v>82</v>
      </c>
      <c r="I149" s="82" t="s">
        <v>83</v>
      </c>
      <c r="J149" s="82" t="s">
        <v>84</v>
      </c>
      <c r="K149" s="82" t="s">
        <v>444</v>
      </c>
      <c r="L149" s="82" t="s">
        <v>75</v>
      </c>
      <c r="M149" s="82" t="s">
        <v>445</v>
      </c>
      <c r="N149" s="82" t="s">
        <v>442</v>
      </c>
      <c r="O149" s="82" t="s">
        <v>443</v>
      </c>
      <c r="P149" s="82" t="s">
        <v>79</v>
      </c>
      <c r="Q149" s="82" t="s">
        <v>122</v>
      </c>
      <c r="R149" s="9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</row>
    <row r="150" ht="14.25" customHeight="1">
      <c r="A150" s="72" t="str">
        <f t="shared" si="1"/>
        <v>27/06/2023</v>
      </c>
      <c r="B150" s="82" t="str">
        <f t="shared" si="2"/>
        <v>06-27</v>
      </c>
      <c r="C150" s="82" t="str">
        <f t="shared" si="3"/>
        <v>USD</v>
      </c>
      <c r="D150" s="82" t="s">
        <v>69</v>
      </c>
      <c r="E150" s="82">
        <v>1230627.0</v>
      </c>
      <c r="F150" s="82" t="s">
        <v>70</v>
      </c>
      <c r="G150" s="82" t="s">
        <v>446</v>
      </c>
      <c r="H150" s="82" t="s">
        <v>82</v>
      </c>
      <c r="I150" s="82" t="s">
        <v>83</v>
      </c>
      <c r="J150" s="82" t="s">
        <v>84</v>
      </c>
      <c r="K150" s="82" t="s">
        <v>446</v>
      </c>
      <c r="L150" s="82" t="s">
        <v>75</v>
      </c>
      <c r="M150" s="82" t="s">
        <v>447</v>
      </c>
      <c r="N150" s="82" t="s">
        <v>442</v>
      </c>
      <c r="O150" s="82" t="s">
        <v>443</v>
      </c>
      <c r="P150" s="82" t="s">
        <v>79</v>
      </c>
      <c r="Q150" s="82" t="s">
        <v>122</v>
      </c>
      <c r="R150" s="9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</row>
    <row r="151" ht="14.25" customHeight="1">
      <c r="A151" s="72" t="str">
        <f t="shared" si="1"/>
        <v>27/06/2023</v>
      </c>
      <c r="B151" s="82" t="str">
        <f t="shared" si="2"/>
        <v>06-27</v>
      </c>
      <c r="C151" s="82" t="str">
        <f t="shared" si="3"/>
        <v>USD</v>
      </c>
      <c r="D151" s="82" t="s">
        <v>69</v>
      </c>
      <c r="E151" s="82">
        <v>1230627.0</v>
      </c>
      <c r="F151" s="82" t="s">
        <v>70</v>
      </c>
      <c r="G151" s="82" t="s">
        <v>448</v>
      </c>
      <c r="H151" s="82" t="s">
        <v>82</v>
      </c>
      <c r="I151" s="82" t="s">
        <v>83</v>
      </c>
      <c r="J151" s="82" t="s">
        <v>84</v>
      </c>
      <c r="K151" s="82" t="s">
        <v>448</v>
      </c>
      <c r="L151" s="82" t="s">
        <v>75</v>
      </c>
      <c r="M151" s="82" t="s">
        <v>449</v>
      </c>
      <c r="N151" s="82" t="s">
        <v>442</v>
      </c>
      <c r="O151" s="82" t="s">
        <v>443</v>
      </c>
      <c r="P151" s="82" t="s">
        <v>79</v>
      </c>
      <c r="Q151" s="82" t="s">
        <v>122</v>
      </c>
      <c r="R151" s="9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</row>
    <row r="152" ht="14.25" customHeight="1">
      <c r="A152" s="72" t="str">
        <f t="shared" si="1"/>
        <v>27/06/2023</v>
      </c>
      <c r="B152" s="82" t="str">
        <f t="shared" si="2"/>
        <v>06-27</v>
      </c>
      <c r="C152" s="82" t="str">
        <f t="shared" si="3"/>
        <v>USD</v>
      </c>
      <c r="D152" s="82" t="s">
        <v>69</v>
      </c>
      <c r="E152" s="82">
        <v>1230627.0</v>
      </c>
      <c r="F152" s="82" t="s">
        <v>70</v>
      </c>
      <c r="G152" s="82" t="s">
        <v>450</v>
      </c>
      <c r="H152" s="82" t="s">
        <v>82</v>
      </c>
      <c r="I152" s="82" t="s">
        <v>83</v>
      </c>
      <c r="J152" s="82" t="s">
        <v>84</v>
      </c>
      <c r="K152" s="82" t="s">
        <v>450</v>
      </c>
      <c r="L152" s="82" t="s">
        <v>75</v>
      </c>
      <c r="M152" s="82" t="s">
        <v>451</v>
      </c>
      <c r="N152" s="82" t="s">
        <v>442</v>
      </c>
      <c r="O152" s="82" t="s">
        <v>443</v>
      </c>
      <c r="P152" s="82" t="s">
        <v>79</v>
      </c>
      <c r="Q152" s="82" t="s">
        <v>122</v>
      </c>
      <c r="R152" s="9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</row>
    <row r="153" ht="14.25" customHeight="1">
      <c r="A153" s="72" t="str">
        <f t="shared" si="1"/>
        <v>27/06/2023</v>
      </c>
      <c r="B153" s="82" t="str">
        <f t="shared" si="2"/>
        <v>06-27</v>
      </c>
      <c r="C153" s="82" t="str">
        <f t="shared" si="3"/>
        <v>USD</v>
      </c>
      <c r="D153" s="82" t="s">
        <v>69</v>
      </c>
      <c r="E153" s="82">
        <v>1230627.0</v>
      </c>
      <c r="F153" s="82" t="s">
        <v>70</v>
      </c>
      <c r="G153" s="82" t="s">
        <v>452</v>
      </c>
      <c r="H153" s="82" t="s">
        <v>82</v>
      </c>
      <c r="I153" s="82" t="s">
        <v>83</v>
      </c>
      <c r="J153" s="82" t="s">
        <v>84</v>
      </c>
      <c r="K153" s="82" t="s">
        <v>452</v>
      </c>
      <c r="L153" s="82" t="s">
        <v>75</v>
      </c>
      <c r="M153" s="82" t="s">
        <v>453</v>
      </c>
      <c r="N153" s="82" t="s">
        <v>196</v>
      </c>
      <c r="O153" s="82" t="s">
        <v>197</v>
      </c>
      <c r="P153" s="82" t="s">
        <v>79</v>
      </c>
      <c r="Q153" s="82" t="s">
        <v>133</v>
      </c>
      <c r="R153" s="9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</row>
    <row r="154" ht="14.25" customHeight="1">
      <c r="A154" s="72" t="str">
        <f t="shared" si="1"/>
        <v>27/06/2023</v>
      </c>
      <c r="B154" s="82" t="str">
        <f t="shared" si="2"/>
        <v>06-27</v>
      </c>
      <c r="C154" s="82" t="str">
        <f t="shared" si="3"/>
        <v>USD</v>
      </c>
      <c r="D154" s="82" t="s">
        <v>69</v>
      </c>
      <c r="E154" s="82">
        <v>1230627.0</v>
      </c>
      <c r="F154" s="82" t="s">
        <v>70</v>
      </c>
      <c r="G154" s="82" t="s">
        <v>454</v>
      </c>
      <c r="H154" s="82" t="s">
        <v>82</v>
      </c>
      <c r="I154" s="82" t="s">
        <v>83</v>
      </c>
      <c r="J154" s="82" t="s">
        <v>84</v>
      </c>
      <c r="K154" s="82" t="s">
        <v>454</v>
      </c>
      <c r="L154" s="82" t="s">
        <v>75</v>
      </c>
      <c r="M154" s="82" t="s">
        <v>455</v>
      </c>
      <c r="N154" s="82" t="s">
        <v>196</v>
      </c>
      <c r="O154" s="82" t="s">
        <v>197</v>
      </c>
      <c r="P154" s="82" t="s">
        <v>79</v>
      </c>
      <c r="Q154" s="82" t="s">
        <v>133</v>
      </c>
      <c r="R154" s="9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</row>
    <row r="155" ht="14.25" customHeight="1">
      <c r="A155" s="72" t="str">
        <f t="shared" si="1"/>
        <v>27/06/2023</v>
      </c>
      <c r="B155" s="82" t="str">
        <f t="shared" si="2"/>
        <v>06-27</v>
      </c>
      <c r="C155" s="82" t="str">
        <f t="shared" si="3"/>
        <v>USD</v>
      </c>
      <c r="D155" s="82" t="s">
        <v>69</v>
      </c>
      <c r="E155" s="82">
        <v>1230627.0</v>
      </c>
      <c r="F155" s="82" t="s">
        <v>146</v>
      </c>
      <c r="G155" s="82" t="s">
        <v>456</v>
      </c>
      <c r="H155" s="82" t="s">
        <v>190</v>
      </c>
      <c r="I155" s="82" t="s">
        <v>149</v>
      </c>
      <c r="J155" s="82" t="s">
        <v>74</v>
      </c>
      <c r="K155" s="82" t="s">
        <v>456</v>
      </c>
      <c r="L155" s="82" t="s">
        <v>75</v>
      </c>
      <c r="M155" s="82" t="s">
        <v>457</v>
      </c>
      <c r="N155" s="82" t="s">
        <v>158</v>
      </c>
      <c r="O155" s="82" t="s">
        <v>162</v>
      </c>
      <c r="P155" s="82" t="s">
        <v>79</v>
      </c>
      <c r="Q155" s="82" t="s">
        <v>80</v>
      </c>
      <c r="R155" s="9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</row>
    <row r="156" ht="14.25" customHeight="1">
      <c r="A156" s="72" t="str">
        <f t="shared" si="1"/>
        <v>27/06/2023</v>
      </c>
      <c r="B156" s="82" t="str">
        <f t="shared" si="2"/>
        <v>06-27</v>
      </c>
      <c r="C156" s="82" t="str">
        <f t="shared" si="3"/>
        <v>USD</v>
      </c>
      <c r="D156" s="82" t="s">
        <v>69</v>
      </c>
      <c r="E156" s="82">
        <v>1230627.0</v>
      </c>
      <c r="F156" s="82" t="s">
        <v>146</v>
      </c>
      <c r="G156" s="82" t="s">
        <v>458</v>
      </c>
      <c r="H156" s="82" t="s">
        <v>190</v>
      </c>
      <c r="I156" s="82" t="s">
        <v>149</v>
      </c>
      <c r="J156" s="82" t="s">
        <v>74</v>
      </c>
      <c r="K156" s="82" t="s">
        <v>458</v>
      </c>
      <c r="L156" s="82" t="s">
        <v>75</v>
      </c>
      <c r="M156" s="82" t="s">
        <v>459</v>
      </c>
      <c r="N156" s="82" t="s">
        <v>158</v>
      </c>
      <c r="O156" s="82" t="s">
        <v>162</v>
      </c>
      <c r="P156" s="82" t="s">
        <v>79</v>
      </c>
      <c r="Q156" s="82" t="s">
        <v>80</v>
      </c>
      <c r="R156" s="9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</row>
    <row r="157" ht="14.25" customHeight="1">
      <c r="A157" s="72" t="str">
        <f t="shared" si="1"/>
        <v>27/06/2023</v>
      </c>
      <c r="B157" s="82" t="str">
        <f t="shared" si="2"/>
        <v>06-27</v>
      </c>
      <c r="C157" s="82" t="str">
        <f t="shared" si="3"/>
        <v>USD</v>
      </c>
      <c r="D157" s="82" t="s">
        <v>69</v>
      </c>
      <c r="E157" s="82">
        <v>1230627.0</v>
      </c>
      <c r="F157" s="82" t="s">
        <v>146</v>
      </c>
      <c r="G157" s="82" t="s">
        <v>460</v>
      </c>
      <c r="H157" s="82" t="s">
        <v>190</v>
      </c>
      <c r="I157" s="82" t="s">
        <v>149</v>
      </c>
      <c r="J157" s="82" t="s">
        <v>74</v>
      </c>
      <c r="K157" s="82" t="s">
        <v>460</v>
      </c>
      <c r="L157" s="82" t="s">
        <v>75</v>
      </c>
      <c r="M157" s="82" t="s">
        <v>461</v>
      </c>
      <c r="N157" s="82" t="s">
        <v>158</v>
      </c>
      <c r="O157" s="82" t="s">
        <v>162</v>
      </c>
      <c r="P157" s="82" t="s">
        <v>79</v>
      </c>
      <c r="Q157" s="82" t="s">
        <v>80</v>
      </c>
      <c r="R157" s="9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</row>
    <row r="158" ht="14.25" customHeight="1">
      <c r="A158" s="72" t="str">
        <f t="shared" si="1"/>
        <v>27/06/2023</v>
      </c>
      <c r="B158" s="82" t="str">
        <f t="shared" si="2"/>
        <v>06-27</v>
      </c>
      <c r="C158" s="82" t="str">
        <f t="shared" si="3"/>
        <v>USD</v>
      </c>
      <c r="D158" s="82" t="s">
        <v>69</v>
      </c>
      <c r="E158" s="82">
        <v>1230627.0</v>
      </c>
      <c r="F158" s="82" t="s">
        <v>70</v>
      </c>
      <c r="G158" s="82" t="s">
        <v>462</v>
      </c>
      <c r="H158" s="82" t="s">
        <v>139</v>
      </c>
      <c r="I158" s="82" t="s">
        <v>140</v>
      </c>
      <c r="J158" s="82" t="s">
        <v>141</v>
      </c>
      <c r="K158" s="82" t="s">
        <v>462</v>
      </c>
      <c r="L158" s="82" t="s">
        <v>75</v>
      </c>
      <c r="M158" s="82" t="s">
        <v>463</v>
      </c>
      <c r="N158" s="82" t="s">
        <v>464</v>
      </c>
      <c r="O158" s="82" t="s">
        <v>465</v>
      </c>
      <c r="P158" s="82" t="s">
        <v>79</v>
      </c>
      <c r="Q158" s="82" t="s">
        <v>133</v>
      </c>
      <c r="R158" s="9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</row>
    <row r="159" ht="14.25" customHeight="1">
      <c r="A159" s="72" t="str">
        <f t="shared" si="1"/>
        <v>28/06/2023</v>
      </c>
      <c r="B159" s="82" t="str">
        <f t="shared" si="2"/>
        <v>06-28</v>
      </c>
      <c r="C159" s="82" t="str">
        <f t="shared" si="3"/>
        <v>USD</v>
      </c>
      <c r="D159" s="72" t="s">
        <v>69</v>
      </c>
      <c r="E159" s="72">
        <v>1230628.0</v>
      </c>
      <c r="F159" s="72" t="s">
        <v>146</v>
      </c>
      <c r="G159" s="72" t="s">
        <v>466</v>
      </c>
      <c r="H159" s="72" t="s">
        <v>190</v>
      </c>
      <c r="I159" s="72" t="s">
        <v>149</v>
      </c>
      <c r="J159" s="72" t="s">
        <v>74</v>
      </c>
      <c r="K159" s="72" t="s">
        <v>466</v>
      </c>
      <c r="L159" s="72" t="s">
        <v>75</v>
      </c>
      <c r="M159" s="72" t="s">
        <v>467</v>
      </c>
      <c r="N159" s="72" t="s">
        <v>468</v>
      </c>
      <c r="O159" s="72" t="s">
        <v>469</v>
      </c>
      <c r="P159" s="72" t="s">
        <v>79</v>
      </c>
      <c r="Q159" s="72" t="s">
        <v>122</v>
      </c>
      <c r="R159" s="9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</row>
    <row r="160" ht="14.25" customHeight="1">
      <c r="A160" s="72" t="str">
        <f t="shared" si="1"/>
        <v>28/06/2023</v>
      </c>
      <c r="B160" s="82" t="str">
        <f t="shared" si="2"/>
        <v>06-28</v>
      </c>
      <c r="C160" s="82" t="str">
        <f t="shared" si="3"/>
        <v>USD</v>
      </c>
      <c r="D160" s="72" t="s">
        <v>69</v>
      </c>
      <c r="E160" s="72">
        <v>1230628.0</v>
      </c>
      <c r="F160" s="72" t="s">
        <v>146</v>
      </c>
      <c r="G160" s="72" t="s">
        <v>470</v>
      </c>
      <c r="H160" s="72" t="s">
        <v>190</v>
      </c>
      <c r="I160" s="72" t="s">
        <v>149</v>
      </c>
      <c r="J160" s="72" t="s">
        <v>74</v>
      </c>
      <c r="K160" s="72" t="s">
        <v>470</v>
      </c>
      <c r="L160" s="72" t="s">
        <v>75</v>
      </c>
      <c r="M160" s="72" t="s">
        <v>471</v>
      </c>
      <c r="N160" s="72" t="s">
        <v>468</v>
      </c>
      <c r="O160" s="72" t="s">
        <v>469</v>
      </c>
      <c r="P160" s="72" t="s">
        <v>79</v>
      </c>
      <c r="Q160" s="72" t="s">
        <v>122</v>
      </c>
      <c r="R160" s="9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</row>
    <row r="161" ht="14.25" customHeight="1">
      <c r="A161" s="72" t="str">
        <f t="shared" si="1"/>
        <v>28/06/2023</v>
      </c>
      <c r="B161" s="82" t="str">
        <f t="shared" si="2"/>
        <v>06-28</v>
      </c>
      <c r="C161" s="82" t="str">
        <f t="shared" si="3"/>
        <v>USD</v>
      </c>
      <c r="D161" s="72" t="s">
        <v>69</v>
      </c>
      <c r="E161" s="72">
        <v>1230628.0</v>
      </c>
      <c r="F161" s="72" t="s">
        <v>70</v>
      </c>
      <c r="G161" s="72" t="s">
        <v>472</v>
      </c>
      <c r="H161" s="72" t="s">
        <v>139</v>
      </c>
      <c r="I161" s="72" t="s">
        <v>140</v>
      </c>
      <c r="J161" s="72" t="s">
        <v>141</v>
      </c>
      <c r="K161" s="72" t="s">
        <v>472</v>
      </c>
      <c r="L161" s="72" t="s">
        <v>75</v>
      </c>
      <c r="M161" s="72" t="s">
        <v>473</v>
      </c>
      <c r="N161" s="72" t="s">
        <v>442</v>
      </c>
      <c r="O161" s="72" t="s">
        <v>443</v>
      </c>
      <c r="P161" s="72" t="s">
        <v>79</v>
      </c>
      <c r="Q161" s="72" t="s">
        <v>122</v>
      </c>
      <c r="R161" s="9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</row>
    <row r="162" ht="14.25" customHeight="1">
      <c r="A162" s="72" t="str">
        <f t="shared" si="1"/>
        <v>28/06/2023</v>
      </c>
      <c r="B162" s="82" t="str">
        <f t="shared" si="2"/>
        <v>06-28</v>
      </c>
      <c r="C162" s="82" t="str">
        <f t="shared" si="3"/>
        <v>USD</v>
      </c>
      <c r="D162" s="72" t="s">
        <v>69</v>
      </c>
      <c r="E162" s="72">
        <v>1230628.0</v>
      </c>
      <c r="F162" s="72" t="s">
        <v>70</v>
      </c>
      <c r="G162" s="72" t="s">
        <v>474</v>
      </c>
      <c r="H162" s="72" t="s">
        <v>139</v>
      </c>
      <c r="I162" s="72" t="s">
        <v>140</v>
      </c>
      <c r="J162" s="72" t="s">
        <v>141</v>
      </c>
      <c r="K162" s="72" t="s">
        <v>474</v>
      </c>
      <c r="L162" s="72" t="s">
        <v>75</v>
      </c>
      <c r="M162" s="72" t="s">
        <v>475</v>
      </c>
      <c r="N162" s="72" t="s">
        <v>442</v>
      </c>
      <c r="O162" s="72" t="s">
        <v>443</v>
      </c>
      <c r="P162" s="72" t="s">
        <v>79</v>
      </c>
      <c r="Q162" s="72" t="s">
        <v>122</v>
      </c>
      <c r="R162" s="9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</row>
    <row r="163" ht="14.25" customHeight="1">
      <c r="A163" s="72" t="str">
        <f t="shared" si="1"/>
        <v>28/06/2023</v>
      </c>
      <c r="B163" s="82" t="str">
        <f t="shared" si="2"/>
        <v>06-28</v>
      </c>
      <c r="C163" s="82" t="str">
        <f t="shared" si="3"/>
        <v>USD</v>
      </c>
      <c r="D163" s="72" t="s">
        <v>69</v>
      </c>
      <c r="E163" s="72">
        <v>1230628.0</v>
      </c>
      <c r="F163" s="72" t="s">
        <v>70</v>
      </c>
      <c r="G163" s="72" t="s">
        <v>476</v>
      </c>
      <c r="H163" s="72" t="s">
        <v>139</v>
      </c>
      <c r="I163" s="72" t="s">
        <v>140</v>
      </c>
      <c r="J163" s="72" t="s">
        <v>141</v>
      </c>
      <c r="K163" s="72" t="s">
        <v>476</v>
      </c>
      <c r="L163" s="72" t="s">
        <v>75</v>
      </c>
      <c r="M163" s="72" t="s">
        <v>477</v>
      </c>
      <c r="N163" s="72" t="s">
        <v>77</v>
      </c>
      <c r="O163" s="72" t="s">
        <v>253</v>
      </c>
      <c r="P163" s="72" t="s">
        <v>79</v>
      </c>
      <c r="Q163" s="72" t="s">
        <v>80</v>
      </c>
      <c r="R163" s="9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</row>
    <row r="164" ht="14.25" customHeight="1">
      <c r="A164" s="72" t="str">
        <f t="shared" si="1"/>
        <v>28/06/2023</v>
      </c>
      <c r="B164" s="82" t="str">
        <f t="shared" si="2"/>
        <v>06-28</v>
      </c>
      <c r="C164" s="82" t="str">
        <f t="shared" si="3"/>
        <v>USD</v>
      </c>
      <c r="D164" s="72" t="s">
        <v>69</v>
      </c>
      <c r="E164" s="72">
        <v>1230628.0</v>
      </c>
      <c r="F164" s="72" t="s">
        <v>70</v>
      </c>
      <c r="G164" s="72" t="s">
        <v>478</v>
      </c>
      <c r="H164" s="72" t="s">
        <v>139</v>
      </c>
      <c r="I164" s="72" t="s">
        <v>140</v>
      </c>
      <c r="J164" s="72" t="s">
        <v>141</v>
      </c>
      <c r="K164" s="72" t="s">
        <v>478</v>
      </c>
      <c r="L164" s="72" t="s">
        <v>75</v>
      </c>
      <c r="M164" s="72" t="s">
        <v>479</v>
      </c>
      <c r="N164" s="72" t="s">
        <v>77</v>
      </c>
      <c r="O164" s="72" t="s">
        <v>111</v>
      </c>
      <c r="P164" s="72" t="s">
        <v>79</v>
      </c>
      <c r="Q164" s="72" t="s">
        <v>80</v>
      </c>
      <c r="R164" s="9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</row>
    <row r="165" ht="14.25" customHeight="1">
      <c r="A165" s="72" t="str">
        <f t="shared" si="1"/>
        <v>29/06/2023</v>
      </c>
      <c r="B165" s="82" t="str">
        <f t="shared" si="2"/>
        <v>06-29</v>
      </c>
      <c r="C165" s="82" t="str">
        <f t="shared" si="3"/>
        <v>USD</v>
      </c>
      <c r="D165" s="72" t="s">
        <v>69</v>
      </c>
      <c r="E165" s="72">
        <v>1230629.0</v>
      </c>
      <c r="F165" s="72" t="s">
        <v>70</v>
      </c>
      <c r="G165" s="72" t="s">
        <v>480</v>
      </c>
      <c r="H165" s="72" t="s">
        <v>172</v>
      </c>
      <c r="I165" s="72" t="s">
        <v>173</v>
      </c>
      <c r="J165" s="72" t="s">
        <v>174</v>
      </c>
      <c r="K165" s="72" t="s">
        <v>480</v>
      </c>
      <c r="L165" s="72" t="s">
        <v>75</v>
      </c>
      <c r="M165" s="72" t="s">
        <v>481</v>
      </c>
      <c r="N165" s="72" t="s">
        <v>482</v>
      </c>
      <c r="O165" s="72" t="s">
        <v>483</v>
      </c>
      <c r="P165" s="72" t="s">
        <v>79</v>
      </c>
      <c r="Q165" s="72" t="s">
        <v>145</v>
      </c>
      <c r="R165" s="9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</row>
    <row r="166" ht="14.25" customHeight="1">
      <c r="A166" s="72" t="str">
        <f t="shared" si="1"/>
        <v>29/06/2023</v>
      </c>
      <c r="B166" s="82" t="str">
        <f t="shared" si="2"/>
        <v>06-29</v>
      </c>
      <c r="C166" s="82" t="str">
        <f t="shared" si="3"/>
        <v>USD</v>
      </c>
      <c r="D166" s="72" t="s">
        <v>69</v>
      </c>
      <c r="E166" s="72">
        <v>1230629.0</v>
      </c>
      <c r="F166" s="72" t="s">
        <v>70</v>
      </c>
      <c r="G166" s="72" t="s">
        <v>484</v>
      </c>
      <c r="H166" s="72" t="s">
        <v>172</v>
      </c>
      <c r="I166" s="72" t="s">
        <v>173</v>
      </c>
      <c r="J166" s="72" t="s">
        <v>174</v>
      </c>
      <c r="K166" s="72" t="s">
        <v>484</v>
      </c>
      <c r="L166" s="72" t="s">
        <v>75</v>
      </c>
      <c r="M166" s="72" t="s">
        <v>485</v>
      </c>
      <c r="N166" s="72" t="s">
        <v>482</v>
      </c>
      <c r="O166" s="72" t="s">
        <v>483</v>
      </c>
      <c r="P166" s="72" t="s">
        <v>79</v>
      </c>
      <c r="Q166" s="72" t="s">
        <v>145</v>
      </c>
      <c r="R166" s="9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</row>
    <row r="167" ht="14.25" customHeight="1">
      <c r="A167" s="72" t="str">
        <f t="shared" si="1"/>
        <v>29/06/2023</v>
      </c>
      <c r="B167" s="82" t="str">
        <f t="shared" si="2"/>
        <v>06-29</v>
      </c>
      <c r="C167" s="82" t="str">
        <f t="shared" si="3"/>
        <v>USD</v>
      </c>
      <c r="D167" s="72" t="s">
        <v>69</v>
      </c>
      <c r="E167" s="72">
        <v>1230629.0</v>
      </c>
      <c r="F167" s="72" t="s">
        <v>70</v>
      </c>
      <c r="G167" s="72" t="s">
        <v>486</v>
      </c>
      <c r="H167" s="72" t="s">
        <v>172</v>
      </c>
      <c r="I167" s="72" t="s">
        <v>173</v>
      </c>
      <c r="J167" s="72" t="s">
        <v>174</v>
      </c>
      <c r="K167" s="72" t="s">
        <v>486</v>
      </c>
      <c r="L167" s="72" t="s">
        <v>75</v>
      </c>
      <c r="M167" s="72" t="s">
        <v>487</v>
      </c>
      <c r="N167" s="72" t="s">
        <v>482</v>
      </c>
      <c r="O167" s="72" t="s">
        <v>483</v>
      </c>
      <c r="P167" s="72" t="s">
        <v>79</v>
      </c>
      <c r="Q167" s="72" t="s">
        <v>145</v>
      </c>
      <c r="R167" s="9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</row>
    <row r="168" ht="14.25" customHeight="1">
      <c r="A168" s="72" t="str">
        <f t="shared" si="1"/>
        <v>29/06/2023</v>
      </c>
      <c r="B168" s="82" t="str">
        <f t="shared" si="2"/>
        <v>06-29</v>
      </c>
      <c r="C168" s="82" t="str">
        <f t="shared" si="3"/>
        <v>USD</v>
      </c>
      <c r="D168" s="72" t="s">
        <v>69</v>
      </c>
      <c r="E168" s="72">
        <v>1230629.0</v>
      </c>
      <c r="F168" s="72" t="s">
        <v>70</v>
      </c>
      <c r="G168" s="72" t="s">
        <v>488</v>
      </c>
      <c r="H168" s="72" t="s">
        <v>172</v>
      </c>
      <c r="I168" s="72" t="s">
        <v>173</v>
      </c>
      <c r="J168" s="72" t="s">
        <v>174</v>
      </c>
      <c r="K168" s="72" t="s">
        <v>488</v>
      </c>
      <c r="L168" s="72" t="s">
        <v>75</v>
      </c>
      <c r="M168" s="72" t="s">
        <v>489</v>
      </c>
      <c r="N168" s="72" t="s">
        <v>482</v>
      </c>
      <c r="O168" s="72" t="s">
        <v>483</v>
      </c>
      <c r="P168" s="72" t="s">
        <v>79</v>
      </c>
      <c r="Q168" s="72" t="s">
        <v>145</v>
      </c>
      <c r="R168" s="9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</row>
    <row r="169" ht="14.25" customHeight="1">
      <c r="A169" s="72" t="str">
        <f t="shared" si="1"/>
        <v>29/06/2023</v>
      </c>
      <c r="B169" s="82" t="str">
        <f t="shared" si="2"/>
        <v>06-29</v>
      </c>
      <c r="C169" s="82" t="str">
        <f t="shared" si="3"/>
        <v>USD</v>
      </c>
      <c r="D169" s="72" t="s">
        <v>69</v>
      </c>
      <c r="E169" s="72">
        <v>1230629.0</v>
      </c>
      <c r="F169" s="72" t="s">
        <v>70</v>
      </c>
      <c r="G169" s="72" t="s">
        <v>490</v>
      </c>
      <c r="H169" s="72" t="s">
        <v>172</v>
      </c>
      <c r="I169" s="72" t="s">
        <v>173</v>
      </c>
      <c r="J169" s="72" t="s">
        <v>174</v>
      </c>
      <c r="K169" s="72" t="s">
        <v>490</v>
      </c>
      <c r="L169" s="72" t="s">
        <v>75</v>
      </c>
      <c r="M169" s="72" t="s">
        <v>491</v>
      </c>
      <c r="N169" s="72" t="s">
        <v>77</v>
      </c>
      <c r="O169" s="72" t="s">
        <v>253</v>
      </c>
      <c r="P169" s="72" t="s">
        <v>79</v>
      </c>
      <c r="Q169" s="72" t="s">
        <v>80</v>
      </c>
      <c r="R169" s="9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</row>
    <row r="170" ht="14.25" customHeight="1">
      <c r="A170" s="72" t="str">
        <f t="shared" si="1"/>
        <v>29/06/2023</v>
      </c>
      <c r="B170" s="82" t="str">
        <f t="shared" si="2"/>
        <v>06-29</v>
      </c>
      <c r="C170" s="82" t="str">
        <f t="shared" si="3"/>
        <v>USD</v>
      </c>
      <c r="D170" s="72" t="s">
        <v>69</v>
      </c>
      <c r="E170" s="72">
        <v>1230629.0</v>
      </c>
      <c r="F170" s="72" t="s">
        <v>70</v>
      </c>
      <c r="G170" s="72" t="s">
        <v>492</v>
      </c>
      <c r="H170" s="72" t="s">
        <v>172</v>
      </c>
      <c r="I170" s="72" t="s">
        <v>173</v>
      </c>
      <c r="J170" s="72" t="s">
        <v>174</v>
      </c>
      <c r="K170" s="72" t="s">
        <v>492</v>
      </c>
      <c r="L170" s="72" t="s">
        <v>75</v>
      </c>
      <c r="M170" s="72" t="s">
        <v>493</v>
      </c>
      <c r="N170" s="72" t="s">
        <v>494</v>
      </c>
      <c r="O170" s="72" t="s">
        <v>495</v>
      </c>
      <c r="P170" s="72" t="s">
        <v>79</v>
      </c>
      <c r="Q170" s="72" t="s">
        <v>133</v>
      </c>
      <c r="R170" s="9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</row>
    <row r="171" ht="14.25" customHeight="1">
      <c r="A171" s="72" t="str">
        <f t="shared" si="1"/>
        <v>29/06/2023</v>
      </c>
      <c r="B171" s="82" t="str">
        <f t="shared" si="2"/>
        <v>06-29</v>
      </c>
      <c r="C171" s="82" t="str">
        <f t="shared" si="3"/>
        <v>USD</v>
      </c>
      <c r="D171" s="72" t="s">
        <v>69</v>
      </c>
      <c r="E171" s="72">
        <v>1230629.0</v>
      </c>
      <c r="F171" s="72" t="s">
        <v>70</v>
      </c>
      <c r="G171" s="72" t="s">
        <v>496</v>
      </c>
      <c r="H171" s="72" t="s">
        <v>172</v>
      </c>
      <c r="I171" s="72" t="s">
        <v>173</v>
      </c>
      <c r="J171" s="72" t="s">
        <v>174</v>
      </c>
      <c r="K171" s="72" t="s">
        <v>496</v>
      </c>
      <c r="L171" s="72" t="s">
        <v>75</v>
      </c>
      <c r="M171" s="72" t="s">
        <v>497</v>
      </c>
      <c r="N171" s="72" t="s">
        <v>77</v>
      </c>
      <c r="O171" s="72" t="s">
        <v>253</v>
      </c>
      <c r="P171" s="72" t="s">
        <v>79</v>
      </c>
      <c r="Q171" s="72" t="s">
        <v>80</v>
      </c>
      <c r="R171" s="9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</row>
    <row r="172" ht="14.25" customHeight="1">
      <c r="A172" s="72" t="str">
        <f t="shared" si="1"/>
        <v>29/06/2023</v>
      </c>
      <c r="B172" s="82" t="str">
        <f t="shared" si="2"/>
        <v>06-29</v>
      </c>
      <c r="C172" s="82" t="str">
        <f t="shared" si="3"/>
        <v>USD</v>
      </c>
      <c r="D172" s="72" t="s">
        <v>69</v>
      </c>
      <c r="E172" s="72">
        <v>1230629.0</v>
      </c>
      <c r="F172" s="72" t="s">
        <v>70</v>
      </c>
      <c r="G172" s="72" t="s">
        <v>498</v>
      </c>
      <c r="H172" s="72" t="s">
        <v>172</v>
      </c>
      <c r="I172" s="72" t="s">
        <v>173</v>
      </c>
      <c r="J172" s="72" t="s">
        <v>174</v>
      </c>
      <c r="K172" s="72" t="s">
        <v>498</v>
      </c>
      <c r="L172" s="72" t="s">
        <v>75</v>
      </c>
      <c r="M172" s="72" t="s">
        <v>499</v>
      </c>
      <c r="N172" s="72" t="s">
        <v>77</v>
      </c>
      <c r="O172" s="72" t="s">
        <v>78</v>
      </c>
      <c r="P172" s="72" t="s">
        <v>79</v>
      </c>
      <c r="Q172" s="72" t="s">
        <v>80</v>
      </c>
      <c r="R172" s="9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</row>
    <row r="173" ht="14.25" customHeight="1">
      <c r="A173" s="72" t="str">
        <f t="shared" si="1"/>
        <v>29/06/2023</v>
      </c>
      <c r="B173" s="82" t="str">
        <f t="shared" si="2"/>
        <v>06-29</v>
      </c>
      <c r="C173" s="82" t="str">
        <f t="shared" si="3"/>
        <v>USD</v>
      </c>
      <c r="D173" s="72" t="s">
        <v>69</v>
      </c>
      <c r="E173" s="72">
        <v>1230629.0</v>
      </c>
      <c r="F173" s="72" t="s">
        <v>146</v>
      </c>
      <c r="G173" s="72" t="s">
        <v>500</v>
      </c>
      <c r="H173" s="72" t="s">
        <v>148</v>
      </c>
      <c r="I173" s="72" t="s">
        <v>149</v>
      </c>
      <c r="J173" s="72" t="s">
        <v>74</v>
      </c>
      <c r="K173" s="72" t="s">
        <v>500</v>
      </c>
      <c r="L173" s="72" t="s">
        <v>75</v>
      </c>
      <c r="M173" s="72" t="s">
        <v>501</v>
      </c>
      <c r="N173" s="72" t="s">
        <v>158</v>
      </c>
      <c r="O173" s="72" t="s">
        <v>162</v>
      </c>
      <c r="P173" s="72" t="s">
        <v>79</v>
      </c>
      <c r="Q173" s="72" t="s">
        <v>80</v>
      </c>
      <c r="R173" s="9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</row>
    <row r="174" ht="14.25" customHeight="1">
      <c r="A174" s="72" t="str">
        <f t="shared" si="1"/>
        <v>29/06/2023</v>
      </c>
      <c r="B174" s="82" t="str">
        <f t="shared" si="2"/>
        <v>06-29</v>
      </c>
      <c r="C174" s="82" t="str">
        <f t="shared" si="3"/>
        <v>USD</v>
      </c>
      <c r="D174" s="72" t="s">
        <v>69</v>
      </c>
      <c r="E174" s="72">
        <v>1230629.0</v>
      </c>
      <c r="F174" s="72" t="s">
        <v>146</v>
      </c>
      <c r="G174" s="72" t="s">
        <v>502</v>
      </c>
      <c r="H174" s="72" t="s">
        <v>148</v>
      </c>
      <c r="I174" s="72" t="s">
        <v>149</v>
      </c>
      <c r="J174" s="72" t="s">
        <v>74</v>
      </c>
      <c r="K174" s="72" t="s">
        <v>502</v>
      </c>
      <c r="L174" s="72" t="s">
        <v>75</v>
      </c>
      <c r="M174" s="72" t="s">
        <v>503</v>
      </c>
      <c r="N174" s="72" t="s">
        <v>158</v>
      </c>
      <c r="O174" s="72" t="s">
        <v>162</v>
      </c>
      <c r="P174" s="72" t="s">
        <v>79</v>
      </c>
      <c r="Q174" s="72" t="s">
        <v>80</v>
      </c>
      <c r="R174" s="9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</row>
    <row r="175" ht="14.25" customHeight="1">
      <c r="A175" s="72" t="str">
        <f t="shared" si="1"/>
        <v>29/06/2023</v>
      </c>
      <c r="B175" s="82" t="str">
        <f t="shared" si="2"/>
        <v>06-29</v>
      </c>
      <c r="C175" s="82" t="str">
        <f t="shared" si="3"/>
        <v>USD</v>
      </c>
      <c r="D175" s="72" t="s">
        <v>69</v>
      </c>
      <c r="E175" s="72">
        <v>1230629.0</v>
      </c>
      <c r="F175" s="72" t="s">
        <v>146</v>
      </c>
      <c r="G175" s="72" t="s">
        <v>504</v>
      </c>
      <c r="H175" s="72" t="s">
        <v>148</v>
      </c>
      <c r="I175" s="72" t="s">
        <v>149</v>
      </c>
      <c r="J175" s="72" t="s">
        <v>74</v>
      </c>
      <c r="K175" s="72" t="s">
        <v>504</v>
      </c>
      <c r="L175" s="72" t="s">
        <v>75</v>
      </c>
      <c r="M175" s="72" t="s">
        <v>505</v>
      </c>
      <c r="N175" s="72" t="s">
        <v>158</v>
      </c>
      <c r="O175" s="72" t="s">
        <v>162</v>
      </c>
      <c r="P175" s="72" t="s">
        <v>79</v>
      </c>
      <c r="Q175" s="72" t="s">
        <v>80</v>
      </c>
      <c r="R175" s="9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</row>
    <row r="176" ht="14.25" customHeight="1">
      <c r="A176" s="72" t="str">
        <f t="shared" si="1"/>
        <v>29/06/2023</v>
      </c>
      <c r="B176" s="82" t="str">
        <f t="shared" si="2"/>
        <v>06-29</v>
      </c>
      <c r="C176" s="82" t="str">
        <f t="shared" si="3"/>
        <v>USD</v>
      </c>
      <c r="D176" s="72" t="s">
        <v>69</v>
      </c>
      <c r="E176" s="72">
        <v>1230629.0</v>
      </c>
      <c r="F176" s="72" t="s">
        <v>146</v>
      </c>
      <c r="G176" s="72" t="s">
        <v>506</v>
      </c>
      <c r="H176" s="72" t="s">
        <v>148</v>
      </c>
      <c r="I176" s="72" t="s">
        <v>149</v>
      </c>
      <c r="J176" s="72" t="s">
        <v>74</v>
      </c>
      <c r="K176" s="72" t="s">
        <v>506</v>
      </c>
      <c r="L176" s="72" t="s">
        <v>75</v>
      </c>
      <c r="M176" s="72" t="s">
        <v>507</v>
      </c>
      <c r="N176" s="72" t="s">
        <v>158</v>
      </c>
      <c r="O176" s="72" t="s">
        <v>162</v>
      </c>
      <c r="P176" s="72" t="s">
        <v>79</v>
      </c>
      <c r="Q176" s="72" t="s">
        <v>80</v>
      </c>
      <c r="R176" s="9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</row>
    <row r="177" ht="14.25" customHeight="1">
      <c r="A177" s="72" t="str">
        <f t="shared" si="1"/>
        <v>29/06/2023</v>
      </c>
      <c r="B177" s="82" t="str">
        <f t="shared" si="2"/>
        <v>06-29</v>
      </c>
      <c r="C177" s="82" t="str">
        <f t="shared" si="3"/>
        <v>USD</v>
      </c>
      <c r="D177" s="72" t="s">
        <v>69</v>
      </c>
      <c r="E177" s="72">
        <v>1230629.0</v>
      </c>
      <c r="F177" s="72" t="s">
        <v>146</v>
      </c>
      <c r="G177" s="72" t="s">
        <v>508</v>
      </c>
      <c r="H177" s="72" t="s">
        <v>148</v>
      </c>
      <c r="I177" s="72" t="s">
        <v>149</v>
      </c>
      <c r="J177" s="72" t="s">
        <v>74</v>
      </c>
      <c r="K177" s="72" t="s">
        <v>508</v>
      </c>
      <c r="L177" s="72" t="s">
        <v>75</v>
      </c>
      <c r="M177" s="72" t="s">
        <v>509</v>
      </c>
      <c r="N177" s="72" t="s">
        <v>158</v>
      </c>
      <c r="O177" s="72" t="s">
        <v>162</v>
      </c>
      <c r="P177" s="72" t="s">
        <v>79</v>
      </c>
      <c r="Q177" s="72" t="s">
        <v>80</v>
      </c>
      <c r="R177" s="9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</row>
    <row r="178" ht="14.25" customHeight="1">
      <c r="A178" s="72" t="str">
        <f t="shared" si="1"/>
        <v>29/06/2023</v>
      </c>
      <c r="B178" s="82" t="str">
        <f t="shared" si="2"/>
        <v>06-29</v>
      </c>
      <c r="C178" s="82" t="str">
        <f t="shared" si="3"/>
        <v>USD</v>
      </c>
      <c r="D178" s="72" t="s">
        <v>69</v>
      </c>
      <c r="E178" s="72">
        <v>1230629.0</v>
      </c>
      <c r="F178" s="72" t="s">
        <v>146</v>
      </c>
      <c r="G178" s="72" t="s">
        <v>510</v>
      </c>
      <c r="H178" s="72" t="s">
        <v>148</v>
      </c>
      <c r="I178" s="72" t="s">
        <v>149</v>
      </c>
      <c r="J178" s="72" t="s">
        <v>74</v>
      </c>
      <c r="K178" s="72" t="s">
        <v>510</v>
      </c>
      <c r="L178" s="72" t="s">
        <v>75</v>
      </c>
      <c r="M178" s="72" t="s">
        <v>511</v>
      </c>
      <c r="N178" s="72" t="s">
        <v>158</v>
      </c>
      <c r="O178" s="72" t="s">
        <v>162</v>
      </c>
      <c r="P178" s="72" t="s">
        <v>79</v>
      </c>
      <c r="Q178" s="72" t="s">
        <v>80</v>
      </c>
      <c r="R178" s="9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</row>
    <row r="179" ht="14.25" customHeight="1">
      <c r="A179" s="72" t="str">
        <f t="shared" si="1"/>
        <v>29/06/2023</v>
      </c>
      <c r="B179" s="82" t="str">
        <f t="shared" si="2"/>
        <v>06-29</v>
      </c>
      <c r="C179" s="82" t="str">
        <f t="shared" si="3"/>
        <v>USD</v>
      </c>
      <c r="D179" s="72" t="s">
        <v>69</v>
      </c>
      <c r="E179" s="72">
        <v>1230629.0</v>
      </c>
      <c r="F179" s="72" t="s">
        <v>70</v>
      </c>
      <c r="G179" s="72" t="s">
        <v>512</v>
      </c>
      <c r="H179" s="72" t="s">
        <v>302</v>
      </c>
      <c r="I179" s="72" t="s">
        <v>303</v>
      </c>
      <c r="J179" s="72" t="s">
        <v>156</v>
      </c>
      <c r="K179" s="72" t="s">
        <v>512</v>
      </c>
      <c r="L179" s="72" t="s">
        <v>75</v>
      </c>
      <c r="M179" s="72" t="s">
        <v>513</v>
      </c>
      <c r="N179" s="72" t="s">
        <v>131</v>
      </c>
      <c r="O179" s="72" t="s">
        <v>132</v>
      </c>
      <c r="P179" s="72" t="s">
        <v>79</v>
      </c>
      <c r="Q179" s="72" t="s">
        <v>133</v>
      </c>
      <c r="R179" s="9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</row>
    <row r="180" ht="14.25" customHeight="1">
      <c r="A180" s="72" t="str">
        <f t="shared" si="1"/>
        <v>29/06/2023</v>
      </c>
      <c r="B180" s="82" t="str">
        <f t="shared" si="2"/>
        <v>06-29</v>
      </c>
      <c r="C180" s="82" t="str">
        <f t="shared" si="3"/>
        <v>USD</v>
      </c>
      <c r="D180" s="72" t="s">
        <v>69</v>
      </c>
      <c r="E180" s="72">
        <v>1230629.0</v>
      </c>
      <c r="F180" s="72" t="s">
        <v>70</v>
      </c>
      <c r="G180" s="72" t="s">
        <v>514</v>
      </c>
      <c r="H180" s="72" t="s">
        <v>302</v>
      </c>
      <c r="I180" s="72" t="s">
        <v>303</v>
      </c>
      <c r="J180" s="72" t="s">
        <v>156</v>
      </c>
      <c r="K180" s="72" t="s">
        <v>514</v>
      </c>
      <c r="L180" s="72" t="s">
        <v>75</v>
      </c>
      <c r="M180" s="72" t="s">
        <v>515</v>
      </c>
      <c r="N180" s="72" t="s">
        <v>131</v>
      </c>
      <c r="O180" s="72" t="s">
        <v>132</v>
      </c>
      <c r="P180" s="72" t="s">
        <v>79</v>
      </c>
      <c r="Q180" s="72" t="s">
        <v>133</v>
      </c>
      <c r="R180" s="9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</row>
    <row r="181" ht="14.25" customHeight="1">
      <c r="A181" s="72" t="str">
        <f t="shared" si="1"/>
        <v>29/06/2023</v>
      </c>
      <c r="B181" s="82" t="str">
        <f t="shared" si="2"/>
        <v>06-29</v>
      </c>
      <c r="C181" s="82" t="str">
        <f t="shared" si="3"/>
        <v>USD</v>
      </c>
      <c r="D181" s="72" t="s">
        <v>69</v>
      </c>
      <c r="E181" s="72">
        <v>1230629.0</v>
      </c>
      <c r="F181" s="72" t="s">
        <v>70</v>
      </c>
      <c r="G181" s="72" t="s">
        <v>516</v>
      </c>
      <c r="H181" s="72" t="s">
        <v>302</v>
      </c>
      <c r="I181" s="72" t="s">
        <v>303</v>
      </c>
      <c r="J181" s="72" t="s">
        <v>156</v>
      </c>
      <c r="K181" s="72" t="s">
        <v>516</v>
      </c>
      <c r="L181" s="72" t="s">
        <v>75</v>
      </c>
      <c r="M181" s="72" t="s">
        <v>517</v>
      </c>
      <c r="N181" s="72" t="s">
        <v>131</v>
      </c>
      <c r="O181" s="72" t="s">
        <v>132</v>
      </c>
      <c r="P181" s="72" t="s">
        <v>79</v>
      </c>
      <c r="Q181" s="72" t="s">
        <v>133</v>
      </c>
      <c r="R181" s="9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</row>
    <row r="182" ht="14.25" customHeight="1">
      <c r="A182" s="72" t="str">
        <f t="shared" si="1"/>
        <v>29/06/2023</v>
      </c>
      <c r="B182" s="82" t="str">
        <f t="shared" si="2"/>
        <v>06-29</v>
      </c>
      <c r="C182" s="82" t="str">
        <f t="shared" si="3"/>
        <v>USD</v>
      </c>
      <c r="D182" s="72" t="s">
        <v>69</v>
      </c>
      <c r="E182" s="72">
        <v>1230629.0</v>
      </c>
      <c r="F182" s="72" t="s">
        <v>70</v>
      </c>
      <c r="G182" s="72" t="s">
        <v>518</v>
      </c>
      <c r="H182" s="72" t="s">
        <v>302</v>
      </c>
      <c r="I182" s="72" t="s">
        <v>303</v>
      </c>
      <c r="J182" s="72" t="s">
        <v>156</v>
      </c>
      <c r="K182" s="72" t="s">
        <v>518</v>
      </c>
      <c r="L182" s="72" t="s">
        <v>75</v>
      </c>
      <c r="M182" s="72" t="s">
        <v>519</v>
      </c>
      <c r="N182" s="72" t="s">
        <v>131</v>
      </c>
      <c r="O182" s="72" t="s">
        <v>132</v>
      </c>
      <c r="P182" s="72" t="s">
        <v>79</v>
      </c>
      <c r="Q182" s="72" t="s">
        <v>133</v>
      </c>
      <c r="R182" s="9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</row>
    <row r="183" ht="14.25" customHeight="1">
      <c r="A183" s="72" t="str">
        <f t="shared" si="1"/>
        <v>29/06/2023</v>
      </c>
      <c r="B183" s="82" t="str">
        <f t="shared" si="2"/>
        <v>06-29</v>
      </c>
      <c r="C183" s="82" t="str">
        <f t="shared" si="3"/>
        <v>USD</v>
      </c>
      <c r="D183" s="72" t="s">
        <v>69</v>
      </c>
      <c r="E183" s="72">
        <v>1230629.0</v>
      </c>
      <c r="F183" s="72" t="s">
        <v>70</v>
      </c>
      <c r="G183" s="72" t="s">
        <v>520</v>
      </c>
      <c r="H183" s="72" t="s">
        <v>302</v>
      </c>
      <c r="I183" s="72" t="s">
        <v>303</v>
      </c>
      <c r="J183" s="72" t="s">
        <v>156</v>
      </c>
      <c r="K183" s="72" t="s">
        <v>520</v>
      </c>
      <c r="L183" s="72" t="s">
        <v>75</v>
      </c>
      <c r="M183" s="72" t="s">
        <v>521</v>
      </c>
      <c r="N183" s="72" t="s">
        <v>131</v>
      </c>
      <c r="O183" s="72" t="s">
        <v>132</v>
      </c>
      <c r="P183" s="72" t="s">
        <v>79</v>
      </c>
      <c r="Q183" s="72" t="s">
        <v>133</v>
      </c>
      <c r="R183" s="9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</row>
    <row r="184" ht="14.25" customHeight="1">
      <c r="A184" s="72" t="str">
        <f t="shared" si="1"/>
        <v>29/06/2023</v>
      </c>
      <c r="B184" s="82" t="str">
        <f t="shared" si="2"/>
        <v>06-29</v>
      </c>
      <c r="C184" s="82" t="str">
        <f t="shared" si="3"/>
        <v>USD</v>
      </c>
      <c r="D184" s="72" t="s">
        <v>69</v>
      </c>
      <c r="E184" s="72">
        <v>1230629.0</v>
      </c>
      <c r="F184" s="72" t="s">
        <v>70</v>
      </c>
      <c r="G184" s="72" t="s">
        <v>522</v>
      </c>
      <c r="H184" s="72" t="s">
        <v>302</v>
      </c>
      <c r="I184" s="72" t="s">
        <v>303</v>
      </c>
      <c r="J184" s="72" t="s">
        <v>156</v>
      </c>
      <c r="K184" s="72" t="s">
        <v>522</v>
      </c>
      <c r="L184" s="72" t="s">
        <v>75</v>
      </c>
      <c r="M184" s="72" t="s">
        <v>523</v>
      </c>
      <c r="N184" s="72" t="s">
        <v>187</v>
      </c>
      <c r="O184" s="72" t="s">
        <v>188</v>
      </c>
      <c r="P184" s="72" t="s">
        <v>79</v>
      </c>
      <c r="Q184" s="72" t="s">
        <v>80</v>
      </c>
      <c r="R184" s="9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</row>
    <row r="185" ht="14.25" customHeight="1">
      <c r="A185" s="72" t="str">
        <f t="shared" si="1"/>
        <v>29/06/2023</v>
      </c>
      <c r="B185" s="82" t="str">
        <f t="shared" si="2"/>
        <v>06-29</v>
      </c>
      <c r="C185" s="82" t="str">
        <f t="shared" si="3"/>
        <v>USD</v>
      </c>
      <c r="D185" s="72" t="s">
        <v>69</v>
      </c>
      <c r="E185" s="72">
        <v>1230629.0</v>
      </c>
      <c r="F185" s="72" t="s">
        <v>70</v>
      </c>
      <c r="G185" s="72" t="s">
        <v>524</v>
      </c>
      <c r="H185" s="72" t="s">
        <v>302</v>
      </c>
      <c r="I185" s="72" t="s">
        <v>303</v>
      </c>
      <c r="J185" s="72" t="s">
        <v>156</v>
      </c>
      <c r="K185" s="72" t="s">
        <v>524</v>
      </c>
      <c r="L185" s="72" t="s">
        <v>75</v>
      </c>
      <c r="M185" s="72" t="s">
        <v>525</v>
      </c>
      <c r="N185" s="72" t="s">
        <v>187</v>
      </c>
      <c r="O185" s="72" t="s">
        <v>188</v>
      </c>
      <c r="P185" s="72" t="s">
        <v>79</v>
      </c>
      <c r="Q185" s="72" t="s">
        <v>80</v>
      </c>
      <c r="R185" s="9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</row>
    <row r="186" ht="14.25" customHeight="1">
      <c r="A186" s="72" t="str">
        <f t="shared" si="1"/>
        <v>29/06/2023</v>
      </c>
      <c r="B186" s="82" t="str">
        <f t="shared" si="2"/>
        <v>06-29</v>
      </c>
      <c r="C186" s="82" t="str">
        <f t="shared" si="3"/>
        <v>USD</v>
      </c>
      <c r="D186" s="72" t="s">
        <v>69</v>
      </c>
      <c r="E186" s="72">
        <v>1230629.0</v>
      </c>
      <c r="F186" s="72" t="s">
        <v>70</v>
      </c>
      <c r="G186" s="72" t="s">
        <v>526</v>
      </c>
      <c r="H186" s="72" t="s">
        <v>302</v>
      </c>
      <c r="I186" s="72" t="s">
        <v>303</v>
      </c>
      <c r="J186" s="72" t="s">
        <v>156</v>
      </c>
      <c r="K186" s="72" t="s">
        <v>526</v>
      </c>
      <c r="L186" s="72" t="s">
        <v>75</v>
      </c>
      <c r="M186" s="72" t="s">
        <v>527</v>
      </c>
      <c r="N186" s="72" t="s">
        <v>187</v>
      </c>
      <c r="O186" s="72" t="s">
        <v>188</v>
      </c>
      <c r="P186" s="72" t="s">
        <v>79</v>
      </c>
      <c r="Q186" s="72" t="s">
        <v>80</v>
      </c>
      <c r="R186" s="9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</row>
    <row r="187" ht="14.25" customHeight="1">
      <c r="A187" s="72" t="str">
        <f t="shared" si="1"/>
        <v>29/06/2023</v>
      </c>
      <c r="B187" s="82" t="str">
        <f t="shared" si="2"/>
        <v>06-29</v>
      </c>
      <c r="C187" s="82" t="str">
        <f t="shared" si="3"/>
        <v>USD</v>
      </c>
      <c r="D187" s="72" t="s">
        <v>69</v>
      </c>
      <c r="E187" s="72">
        <v>1230629.0</v>
      </c>
      <c r="F187" s="72" t="s">
        <v>70</v>
      </c>
      <c r="G187" s="72" t="s">
        <v>528</v>
      </c>
      <c r="H187" s="72" t="s">
        <v>302</v>
      </c>
      <c r="I187" s="72" t="s">
        <v>303</v>
      </c>
      <c r="J187" s="72" t="s">
        <v>156</v>
      </c>
      <c r="K187" s="72" t="s">
        <v>528</v>
      </c>
      <c r="L187" s="72" t="s">
        <v>75</v>
      </c>
      <c r="M187" s="72" t="s">
        <v>529</v>
      </c>
      <c r="N187" s="72" t="s">
        <v>187</v>
      </c>
      <c r="O187" s="72" t="s">
        <v>188</v>
      </c>
      <c r="P187" s="72" t="s">
        <v>79</v>
      </c>
      <c r="Q187" s="72" t="s">
        <v>80</v>
      </c>
      <c r="R187" s="9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</row>
    <row r="188" ht="14.25" customHeight="1">
      <c r="A188" s="72" t="str">
        <f t="shared" si="1"/>
        <v>29/06/2023</v>
      </c>
      <c r="B188" s="82" t="str">
        <f t="shared" si="2"/>
        <v>06-29</v>
      </c>
      <c r="C188" s="82" t="str">
        <f t="shared" si="3"/>
        <v>USD</v>
      </c>
      <c r="D188" s="72" t="s">
        <v>69</v>
      </c>
      <c r="E188" s="72">
        <v>1230629.0</v>
      </c>
      <c r="F188" s="72" t="s">
        <v>70</v>
      </c>
      <c r="G188" s="72" t="s">
        <v>530</v>
      </c>
      <c r="H188" s="72" t="s">
        <v>302</v>
      </c>
      <c r="I188" s="72" t="s">
        <v>303</v>
      </c>
      <c r="J188" s="72" t="s">
        <v>156</v>
      </c>
      <c r="K188" s="72" t="s">
        <v>530</v>
      </c>
      <c r="L188" s="72" t="s">
        <v>75</v>
      </c>
      <c r="M188" s="72" t="s">
        <v>531</v>
      </c>
      <c r="N188" s="72" t="s">
        <v>532</v>
      </c>
      <c r="O188" s="72" t="s">
        <v>533</v>
      </c>
      <c r="P188" s="72" t="s">
        <v>79</v>
      </c>
      <c r="Q188" s="72" t="s">
        <v>122</v>
      </c>
      <c r="R188" s="9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</row>
    <row r="189" ht="14.25" customHeight="1">
      <c r="A189" s="72" t="str">
        <f t="shared" si="1"/>
        <v>29/06/2023</v>
      </c>
      <c r="B189" s="82" t="str">
        <f t="shared" si="2"/>
        <v>06-29</v>
      </c>
      <c r="C189" s="82" t="str">
        <f t="shared" si="3"/>
        <v>USD</v>
      </c>
      <c r="D189" s="72" t="s">
        <v>69</v>
      </c>
      <c r="E189" s="72">
        <v>1230629.0</v>
      </c>
      <c r="F189" s="72" t="s">
        <v>70</v>
      </c>
      <c r="G189" s="72" t="s">
        <v>534</v>
      </c>
      <c r="H189" s="72" t="s">
        <v>302</v>
      </c>
      <c r="I189" s="72" t="s">
        <v>303</v>
      </c>
      <c r="J189" s="72" t="s">
        <v>156</v>
      </c>
      <c r="K189" s="72" t="s">
        <v>534</v>
      </c>
      <c r="L189" s="72" t="s">
        <v>75</v>
      </c>
      <c r="M189" s="72" t="s">
        <v>535</v>
      </c>
      <c r="N189" s="72" t="s">
        <v>532</v>
      </c>
      <c r="O189" s="72" t="s">
        <v>533</v>
      </c>
      <c r="P189" s="72" t="s">
        <v>79</v>
      </c>
      <c r="Q189" s="72" t="s">
        <v>122</v>
      </c>
      <c r="R189" s="9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</row>
    <row r="190" ht="14.25" customHeight="1">
      <c r="A190" s="72" t="str">
        <f t="shared" si="1"/>
        <v>29/06/2023</v>
      </c>
      <c r="B190" s="82" t="str">
        <f t="shared" si="2"/>
        <v>06-29</v>
      </c>
      <c r="C190" s="82" t="str">
        <f t="shared" si="3"/>
        <v>USD</v>
      </c>
      <c r="D190" s="72" t="s">
        <v>69</v>
      </c>
      <c r="E190" s="72">
        <v>1230629.0</v>
      </c>
      <c r="F190" s="72" t="s">
        <v>70</v>
      </c>
      <c r="G190" s="72" t="s">
        <v>536</v>
      </c>
      <c r="H190" s="72" t="s">
        <v>302</v>
      </c>
      <c r="I190" s="72" t="s">
        <v>303</v>
      </c>
      <c r="J190" s="72" t="s">
        <v>156</v>
      </c>
      <c r="K190" s="72" t="s">
        <v>536</v>
      </c>
      <c r="L190" s="72" t="s">
        <v>75</v>
      </c>
      <c r="M190" s="72" t="s">
        <v>537</v>
      </c>
      <c r="N190" s="72" t="s">
        <v>532</v>
      </c>
      <c r="O190" s="72" t="s">
        <v>533</v>
      </c>
      <c r="P190" s="72" t="s">
        <v>79</v>
      </c>
      <c r="Q190" s="72" t="s">
        <v>122</v>
      </c>
      <c r="R190" s="9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</row>
    <row r="191" ht="14.25" customHeight="1">
      <c r="A191" s="72" t="str">
        <f t="shared" si="1"/>
        <v>29/06/2023</v>
      </c>
      <c r="B191" s="82" t="str">
        <f t="shared" si="2"/>
        <v>06-29</v>
      </c>
      <c r="C191" s="82" t="str">
        <f t="shared" si="3"/>
        <v>USD</v>
      </c>
      <c r="D191" s="72" t="s">
        <v>69</v>
      </c>
      <c r="E191" s="72">
        <v>1230629.0</v>
      </c>
      <c r="F191" s="72" t="s">
        <v>70</v>
      </c>
      <c r="G191" s="72" t="s">
        <v>538</v>
      </c>
      <c r="H191" s="72" t="s">
        <v>302</v>
      </c>
      <c r="I191" s="72" t="s">
        <v>303</v>
      </c>
      <c r="J191" s="72" t="s">
        <v>156</v>
      </c>
      <c r="K191" s="72" t="s">
        <v>538</v>
      </c>
      <c r="L191" s="72" t="s">
        <v>75</v>
      </c>
      <c r="M191" s="72" t="s">
        <v>539</v>
      </c>
      <c r="N191" s="72" t="s">
        <v>532</v>
      </c>
      <c r="O191" s="72" t="s">
        <v>540</v>
      </c>
      <c r="P191" s="72" t="s">
        <v>79</v>
      </c>
      <c r="Q191" s="72" t="s">
        <v>122</v>
      </c>
      <c r="R191" s="9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</row>
    <row r="192" ht="14.25" customHeight="1">
      <c r="A192" s="72" t="str">
        <f t="shared" si="1"/>
        <v>29/06/2023</v>
      </c>
      <c r="B192" s="82" t="str">
        <f t="shared" si="2"/>
        <v>06-29</v>
      </c>
      <c r="C192" s="82" t="str">
        <f t="shared" si="3"/>
        <v>USD</v>
      </c>
      <c r="D192" s="72" t="s">
        <v>69</v>
      </c>
      <c r="E192" s="72">
        <v>1230629.0</v>
      </c>
      <c r="F192" s="72" t="s">
        <v>70</v>
      </c>
      <c r="G192" s="72" t="s">
        <v>541</v>
      </c>
      <c r="H192" s="72" t="s">
        <v>302</v>
      </c>
      <c r="I192" s="72" t="s">
        <v>303</v>
      </c>
      <c r="J192" s="72" t="s">
        <v>156</v>
      </c>
      <c r="K192" s="72" t="s">
        <v>541</v>
      </c>
      <c r="L192" s="72" t="s">
        <v>75</v>
      </c>
      <c r="M192" s="72" t="s">
        <v>542</v>
      </c>
      <c r="N192" s="72" t="s">
        <v>532</v>
      </c>
      <c r="O192" s="72" t="s">
        <v>540</v>
      </c>
      <c r="P192" s="72" t="s">
        <v>79</v>
      </c>
      <c r="Q192" s="72" t="s">
        <v>122</v>
      </c>
      <c r="R192" s="9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</row>
    <row r="193" ht="14.25" customHeight="1">
      <c r="A193" s="72" t="str">
        <f t="shared" si="1"/>
        <v>29/06/2023</v>
      </c>
      <c r="B193" s="82" t="str">
        <f t="shared" si="2"/>
        <v>06-29</v>
      </c>
      <c r="C193" s="82" t="str">
        <f t="shared" si="3"/>
        <v>USD</v>
      </c>
      <c r="D193" s="72" t="s">
        <v>69</v>
      </c>
      <c r="E193" s="72">
        <v>1230629.0</v>
      </c>
      <c r="F193" s="72" t="s">
        <v>70</v>
      </c>
      <c r="G193" s="72" t="s">
        <v>543</v>
      </c>
      <c r="H193" s="72" t="s">
        <v>302</v>
      </c>
      <c r="I193" s="72" t="s">
        <v>303</v>
      </c>
      <c r="J193" s="72" t="s">
        <v>156</v>
      </c>
      <c r="K193" s="72" t="s">
        <v>543</v>
      </c>
      <c r="L193" s="72" t="s">
        <v>75</v>
      </c>
      <c r="M193" s="72" t="s">
        <v>544</v>
      </c>
      <c r="N193" s="72" t="s">
        <v>532</v>
      </c>
      <c r="O193" s="72" t="s">
        <v>540</v>
      </c>
      <c r="P193" s="72" t="s">
        <v>79</v>
      </c>
      <c r="Q193" s="72" t="s">
        <v>122</v>
      </c>
      <c r="R193" s="9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</row>
    <row r="194" ht="14.25" customHeight="1">
      <c r="A194" s="72" t="str">
        <f t="shared" si="1"/>
        <v>29/06/2023</v>
      </c>
      <c r="B194" s="82" t="str">
        <f t="shared" si="2"/>
        <v>06-29</v>
      </c>
      <c r="C194" s="82" t="str">
        <f t="shared" si="3"/>
        <v>USD</v>
      </c>
      <c r="D194" s="72" t="s">
        <v>69</v>
      </c>
      <c r="E194" s="72">
        <v>1230629.0</v>
      </c>
      <c r="F194" s="72" t="s">
        <v>70</v>
      </c>
      <c r="G194" s="72" t="s">
        <v>545</v>
      </c>
      <c r="H194" s="72" t="s">
        <v>302</v>
      </c>
      <c r="I194" s="72" t="s">
        <v>303</v>
      </c>
      <c r="J194" s="72" t="s">
        <v>156</v>
      </c>
      <c r="K194" s="72" t="s">
        <v>545</v>
      </c>
      <c r="L194" s="72" t="s">
        <v>75</v>
      </c>
      <c r="M194" s="72" t="s">
        <v>546</v>
      </c>
      <c r="N194" s="72" t="s">
        <v>532</v>
      </c>
      <c r="O194" s="72" t="s">
        <v>540</v>
      </c>
      <c r="P194" s="72" t="s">
        <v>79</v>
      </c>
      <c r="Q194" s="72" t="s">
        <v>122</v>
      </c>
      <c r="R194" s="9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</row>
    <row r="195" ht="14.25" customHeight="1">
      <c r="A195" s="72" t="str">
        <f t="shared" si="1"/>
        <v>29/06/2023</v>
      </c>
      <c r="B195" s="82" t="str">
        <f t="shared" si="2"/>
        <v>06-29</v>
      </c>
      <c r="C195" s="82" t="str">
        <f t="shared" si="3"/>
        <v>USD</v>
      </c>
      <c r="D195" s="72" t="s">
        <v>69</v>
      </c>
      <c r="E195" s="72">
        <v>1230629.0</v>
      </c>
      <c r="F195" s="72" t="s">
        <v>70</v>
      </c>
      <c r="G195" s="72" t="s">
        <v>547</v>
      </c>
      <c r="H195" s="72" t="s">
        <v>302</v>
      </c>
      <c r="I195" s="72" t="s">
        <v>303</v>
      </c>
      <c r="J195" s="72" t="s">
        <v>156</v>
      </c>
      <c r="K195" s="72" t="s">
        <v>547</v>
      </c>
      <c r="L195" s="72" t="s">
        <v>75</v>
      </c>
      <c r="M195" s="72" t="s">
        <v>548</v>
      </c>
      <c r="N195" s="72" t="s">
        <v>532</v>
      </c>
      <c r="O195" s="72" t="s">
        <v>540</v>
      </c>
      <c r="P195" s="72" t="s">
        <v>79</v>
      </c>
      <c r="Q195" s="72" t="s">
        <v>122</v>
      </c>
      <c r="R195" s="9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</row>
    <row r="196" ht="14.25" customHeight="1">
      <c r="A196" s="72" t="str">
        <f t="shared" si="1"/>
        <v>29/06/2023</v>
      </c>
      <c r="B196" s="82" t="str">
        <f t="shared" si="2"/>
        <v>06-29</v>
      </c>
      <c r="C196" s="82" t="str">
        <f t="shared" si="3"/>
        <v>USD</v>
      </c>
      <c r="D196" s="72" t="s">
        <v>69</v>
      </c>
      <c r="E196" s="72">
        <v>1230629.0</v>
      </c>
      <c r="F196" s="72" t="s">
        <v>70</v>
      </c>
      <c r="G196" s="72" t="s">
        <v>549</v>
      </c>
      <c r="H196" s="72" t="s">
        <v>302</v>
      </c>
      <c r="I196" s="72" t="s">
        <v>303</v>
      </c>
      <c r="J196" s="72" t="s">
        <v>156</v>
      </c>
      <c r="K196" s="72" t="s">
        <v>549</v>
      </c>
      <c r="L196" s="72" t="s">
        <v>75</v>
      </c>
      <c r="M196" s="72" t="s">
        <v>550</v>
      </c>
      <c r="N196" s="72" t="s">
        <v>532</v>
      </c>
      <c r="O196" s="72" t="s">
        <v>540</v>
      </c>
      <c r="P196" s="72" t="s">
        <v>79</v>
      </c>
      <c r="Q196" s="72" t="s">
        <v>122</v>
      </c>
      <c r="R196" s="9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</row>
    <row r="197" ht="14.25" customHeight="1">
      <c r="A197" s="72" t="str">
        <f t="shared" si="1"/>
        <v>29/06/2023</v>
      </c>
      <c r="B197" s="82" t="str">
        <f t="shared" si="2"/>
        <v>06-29</v>
      </c>
      <c r="C197" s="82" t="str">
        <f t="shared" si="3"/>
        <v>USD</v>
      </c>
      <c r="D197" s="72" t="s">
        <v>69</v>
      </c>
      <c r="E197" s="72">
        <v>1230629.0</v>
      </c>
      <c r="F197" s="72" t="s">
        <v>70</v>
      </c>
      <c r="G197" s="72" t="s">
        <v>551</v>
      </c>
      <c r="H197" s="72" t="s">
        <v>302</v>
      </c>
      <c r="I197" s="72" t="s">
        <v>303</v>
      </c>
      <c r="J197" s="72" t="s">
        <v>156</v>
      </c>
      <c r="K197" s="72" t="s">
        <v>551</v>
      </c>
      <c r="L197" s="72" t="s">
        <v>75</v>
      </c>
      <c r="M197" s="72" t="s">
        <v>552</v>
      </c>
      <c r="N197" s="72" t="s">
        <v>532</v>
      </c>
      <c r="O197" s="72" t="s">
        <v>540</v>
      </c>
      <c r="P197" s="72" t="s">
        <v>79</v>
      </c>
      <c r="Q197" s="72" t="s">
        <v>122</v>
      </c>
      <c r="R197" s="9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</row>
    <row r="198" ht="14.25" customHeight="1">
      <c r="A198" s="72" t="str">
        <f t="shared" si="1"/>
        <v>29/06/2023</v>
      </c>
      <c r="B198" s="82" t="str">
        <f t="shared" si="2"/>
        <v>06-29</v>
      </c>
      <c r="C198" s="82" t="str">
        <f t="shared" si="3"/>
        <v>USD</v>
      </c>
      <c r="D198" s="72" t="s">
        <v>69</v>
      </c>
      <c r="E198" s="72">
        <v>1230629.0</v>
      </c>
      <c r="F198" s="72" t="s">
        <v>70</v>
      </c>
      <c r="G198" s="72" t="s">
        <v>553</v>
      </c>
      <c r="H198" s="72" t="s">
        <v>302</v>
      </c>
      <c r="I198" s="72" t="s">
        <v>303</v>
      </c>
      <c r="J198" s="72" t="s">
        <v>156</v>
      </c>
      <c r="K198" s="72" t="s">
        <v>553</v>
      </c>
      <c r="L198" s="72" t="s">
        <v>75</v>
      </c>
      <c r="M198" s="72" t="s">
        <v>554</v>
      </c>
      <c r="N198" s="72" t="s">
        <v>555</v>
      </c>
      <c r="O198" s="72" t="s">
        <v>556</v>
      </c>
      <c r="P198" s="72" t="s">
        <v>79</v>
      </c>
      <c r="Q198" s="72" t="s">
        <v>122</v>
      </c>
      <c r="R198" s="9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</row>
    <row r="199" ht="14.25" customHeight="1">
      <c r="A199" s="72" t="str">
        <f t="shared" si="1"/>
        <v>29/06/2023</v>
      </c>
      <c r="B199" s="82" t="str">
        <f t="shared" si="2"/>
        <v>06-29</v>
      </c>
      <c r="C199" s="82" t="str">
        <f t="shared" si="3"/>
        <v>USD</v>
      </c>
      <c r="D199" s="72" t="s">
        <v>69</v>
      </c>
      <c r="E199" s="72">
        <v>1230629.0</v>
      </c>
      <c r="F199" s="72" t="s">
        <v>70</v>
      </c>
      <c r="G199" s="72" t="s">
        <v>557</v>
      </c>
      <c r="H199" s="72" t="s">
        <v>302</v>
      </c>
      <c r="I199" s="72" t="s">
        <v>303</v>
      </c>
      <c r="J199" s="72" t="s">
        <v>156</v>
      </c>
      <c r="K199" s="72" t="s">
        <v>557</v>
      </c>
      <c r="L199" s="72" t="s">
        <v>75</v>
      </c>
      <c r="M199" s="72" t="s">
        <v>558</v>
      </c>
      <c r="N199" s="72" t="s">
        <v>555</v>
      </c>
      <c r="O199" s="72" t="s">
        <v>556</v>
      </c>
      <c r="P199" s="72" t="s">
        <v>79</v>
      </c>
      <c r="Q199" s="72" t="s">
        <v>122</v>
      </c>
      <c r="R199" s="9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</row>
    <row r="200" ht="14.25" customHeight="1">
      <c r="A200" s="72" t="str">
        <f t="shared" si="1"/>
        <v>29/06/2023</v>
      </c>
      <c r="B200" s="82" t="str">
        <f t="shared" si="2"/>
        <v>06-29</v>
      </c>
      <c r="C200" s="82" t="str">
        <f t="shared" si="3"/>
        <v>USD</v>
      </c>
      <c r="D200" s="72" t="s">
        <v>69</v>
      </c>
      <c r="E200" s="72">
        <v>1230629.0</v>
      </c>
      <c r="F200" s="72" t="s">
        <v>70</v>
      </c>
      <c r="G200" s="72" t="s">
        <v>559</v>
      </c>
      <c r="H200" s="72" t="s">
        <v>82</v>
      </c>
      <c r="I200" s="72" t="s">
        <v>83</v>
      </c>
      <c r="J200" s="72" t="s">
        <v>84</v>
      </c>
      <c r="K200" s="72" t="s">
        <v>559</v>
      </c>
      <c r="L200" s="72" t="s">
        <v>75</v>
      </c>
      <c r="M200" s="72" t="s">
        <v>560</v>
      </c>
      <c r="N200" s="72" t="s">
        <v>561</v>
      </c>
      <c r="O200" s="72" t="s">
        <v>562</v>
      </c>
      <c r="P200" s="72" t="s">
        <v>79</v>
      </c>
      <c r="Q200" s="72" t="s">
        <v>122</v>
      </c>
      <c r="R200" s="9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</row>
    <row r="201" ht="14.25" customHeight="1">
      <c r="A201" s="72" t="str">
        <f t="shared" si="1"/>
        <v>29/06/2023</v>
      </c>
      <c r="B201" s="82" t="str">
        <f t="shared" si="2"/>
        <v>06-29</v>
      </c>
      <c r="C201" s="82" t="str">
        <f t="shared" si="3"/>
        <v>USD</v>
      </c>
      <c r="D201" s="72" t="s">
        <v>69</v>
      </c>
      <c r="E201" s="72">
        <v>1230629.0</v>
      </c>
      <c r="F201" s="72" t="s">
        <v>70</v>
      </c>
      <c r="G201" s="72" t="s">
        <v>563</v>
      </c>
      <c r="H201" s="72" t="s">
        <v>82</v>
      </c>
      <c r="I201" s="72" t="s">
        <v>83</v>
      </c>
      <c r="J201" s="72" t="s">
        <v>84</v>
      </c>
      <c r="K201" s="72" t="s">
        <v>563</v>
      </c>
      <c r="L201" s="72" t="s">
        <v>75</v>
      </c>
      <c r="M201" s="72" t="s">
        <v>564</v>
      </c>
      <c r="N201" s="72" t="s">
        <v>561</v>
      </c>
      <c r="O201" s="72" t="s">
        <v>562</v>
      </c>
      <c r="P201" s="72" t="s">
        <v>79</v>
      </c>
      <c r="Q201" s="72" t="s">
        <v>122</v>
      </c>
      <c r="R201" s="9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</row>
    <row r="202" ht="14.25" customHeight="1">
      <c r="A202" s="72" t="str">
        <f t="shared" si="1"/>
        <v>29/06/2023</v>
      </c>
      <c r="B202" s="82" t="str">
        <f t="shared" si="2"/>
        <v>06-29</v>
      </c>
      <c r="C202" s="82" t="str">
        <f t="shared" si="3"/>
        <v>USD</v>
      </c>
      <c r="D202" s="72" t="s">
        <v>69</v>
      </c>
      <c r="E202" s="72">
        <v>1230629.0</v>
      </c>
      <c r="F202" s="72" t="s">
        <v>70</v>
      </c>
      <c r="G202" s="72" t="s">
        <v>565</v>
      </c>
      <c r="H202" s="72" t="s">
        <v>82</v>
      </c>
      <c r="I202" s="72" t="s">
        <v>83</v>
      </c>
      <c r="J202" s="72" t="s">
        <v>84</v>
      </c>
      <c r="K202" s="72" t="s">
        <v>565</v>
      </c>
      <c r="L202" s="72" t="s">
        <v>75</v>
      </c>
      <c r="M202" s="72" t="s">
        <v>566</v>
      </c>
      <c r="N202" s="72" t="s">
        <v>561</v>
      </c>
      <c r="O202" s="72" t="s">
        <v>562</v>
      </c>
      <c r="P202" s="72" t="s">
        <v>79</v>
      </c>
      <c r="Q202" s="72" t="s">
        <v>122</v>
      </c>
      <c r="R202" s="9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</row>
    <row r="203" ht="14.25" customHeight="1">
      <c r="A203" s="72" t="str">
        <f t="shared" si="1"/>
        <v>29/06/2023</v>
      </c>
      <c r="B203" s="82" t="str">
        <f t="shared" si="2"/>
        <v>06-29</v>
      </c>
      <c r="C203" s="82" t="str">
        <f t="shared" si="3"/>
        <v>USD</v>
      </c>
      <c r="D203" s="72" t="s">
        <v>69</v>
      </c>
      <c r="E203" s="72">
        <v>1230629.0</v>
      </c>
      <c r="F203" s="72" t="s">
        <v>70</v>
      </c>
      <c r="G203" s="72" t="s">
        <v>567</v>
      </c>
      <c r="H203" s="72" t="s">
        <v>82</v>
      </c>
      <c r="I203" s="72" t="s">
        <v>83</v>
      </c>
      <c r="J203" s="72" t="s">
        <v>84</v>
      </c>
      <c r="K203" s="72" t="s">
        <v>567</v>
      </c>
      <c r="L203" s="72" t="s">
        <v>75</v>
      </c>
      <c r="M203" s="72" t="s">
        <v>568</v>
      </c>
      <c r="N203" s="72" t="s">
        <v>561</v>
      </c>
      <c r="O203" s="72" t="s">
        <v>562</v>
      </c>
      <c r="P203" s="72" t="s">
        <v>79</v>
      </c>
      <c r="Q203" s="72" t="s">
        <v>122</v>
      </c>
      <c r="R203" s="9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</row>
    <row r="204" ht="14.25" customHeight="1">
      <c r="A204" s="72" t="str">
        <f t="shared" si="1"/>
        <v>29/06/2023</v>
      </c>
      <c r="B204" s="82" t="str">
        <f t="shared" si="2"/>
        <v>06-29</v>
      </c>
      <c r="C204" s="82" t="str">
        <f t="shared" si="3"/>
        <v>USD</v>
      </c>
      <c r="D204" s="72" t="s">
        <v>69</v>
      </c>
      <c r="E204" s="72">
        <v>1230629.0</v>
      </c>
      <c r="F204" s="72" t="s">
        <v>70</v>
      </c>
      <c r="G204" s="72" t="s">
        <v>569</v>
      </c>
      <c r="H204" s="72" t="s">
        <v>82</v>
      </c>
      <c r="I204" s="72" t="s">
        <v>83</v>
      </c>
      <c r="J204" s="72" t="s">
        <v>84</v>
      </c>
      <c r="K204" s="72" t="s">
        <v>569</v>
      </c>
      <c r="L204" s="72" t="s">
        <v>75</v>
      </c>
      <c r="M204" s="72" t="s">
        <v>570</v>
      </c>
      <c r="N204" s="72" t="s">
        <v>561</v>
      </c>
      <c r="O204" s="72" t="s">
        <v>562</v>
      </c>
      <c r="P204" s="72" t="s">
        <v>79</v>
      </c>
      <c r="Q204" s="72" t="s">
        <v>122</v>
      </c>
      <c r="R204" s="9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</row>
    <row r="205" ht="14.25" customHeight="1">
      <c r="A205" s="72" t="str">
        <f t="shared" si="1"/>
        <v>29/06/2023</v>
      </c>
      <c r="B205" s="82" t="str">
        <f t="shared" si="2"/>
        <v>06-29</v>
      </c>
      <c r="C205" s="82" t="str">
        <f t="shared" si="3"/>
        <v>USD</v>
      </c>
      <c r="D205" s="72" t="s">
        <v>69</v>
      </c>
      <c r="E205" s="72">
        <v>1230629.0</v>
      </c>
      <c r="F205" s="72" t="s">
        <v>70</v>
      </c>
      <c r="G205" s="72" t="s">
        <v>571</v>
      </c>
      <c r="H205" s="72" t="s">
        <v>82</v>
      </c>
      <c r="I205" s="72" t="s">
        <v>83</v>
      </c>
      <c r="J205" s="72" t="s">
        <v>84</v>
      </c>
      <c r="K205" s="72" t="s">
        <v>571</v>
      </c>
      <c r="L205" s="72" t="s">
        <v>75</v>
      </c>
      <c r="M205" s="72" t="s">
        <v>572</v>
      </c>
      <c r="N205" s="72" t="s">
        <v>561</v>
      </c>
      <c r="O205" s="72" t="s">
        <v>562</v>
      </c>
      <c r="P205" s="72" t="s">
        <v>79</v>
      </c>
      <c r="Q205" s="72" t="s">
        <v>122</v>
      </c>
      <c r="R205" s="9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</row>
    <row r="206" ht="14.25" customHeight="1">
      <c r="A206" s="72" t="str">
        <f t="shared" si="1"/>
        <v>29/06/2023</v>
      </c>
      <c r="B206" s="82" t="str">
        <f t="shared" si="2"/>
        <v>06-29</v>
      </c>
      <c r="C206" s="82" t="str">
        <f t="shared" si="3"/>
        <v>USD</v>
      </c>
      <c r="D206" s="72" t="s">
        <v>69</v>
      </c>
      <c r="E206" s="72">
        <v>1230629.0</v>
      </c>
      <c r="F206" s="72" t="s">
        <v>70</v>
      </c>
      <c r="G206" s="72" t="s">
        <v>573</v>
      </c>
      <c r="H206" s="72" t="s">
        <v>82</v>
      </c>
      <c r="I206" s="72" t="s">
        <v>83</v>
      </c>
      <c r="J206" s="72" t="s">
        <v>84</v>
      </c>
      <c r="K206" s="72" t="s">
        <v>573</v>
      </c>
      <c r="L206" s="72" t="s">
        <v>75</v>
      </c>
      <c r="M206" s="72" t="s">
        <v>574</v>
      </c>
      <c r="N206" s="72" t="s">
        <v>561</v>
      </c>
      <c r="O206" s="72" t="s">
        <v>562</v>
      </c>
      <c r="P206" s="72" t="s">
        <v>79</v>
      </c>
      <c r="Q206" s="72" t="s">
        <v>122</v>
      </c>
      <c r="R206" s="9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</row>
    <row r="207" ht="14.25" customHeight="1">
      <c r="A207" s="72" t="str">
        <f t="shared" si="1"/>
        <v>29/06/2023</v>
      </c>
      <c r="B207" s="82" t="str">
        <f t="shared" si="2"/>
        <v>06-29</v>
      </c>
      <c r="C207" s="82" t="str">
        <f t="shared" si="3"/>
        <v>USD</v>
      </c>
      <c r="D207" s="72" t="s">
        <v>69</v>
      </c>
      <c r="E207" s="72">
        <v>1230629.0</v>
      </c>
      <c r="F207" s="72" t="s">
        <v>70</v>
      </c>
      <c r="G207" s="72" t="s">
        <v>575</v>
      </c>
      <c r="H207" s="72" t="s">
        <v>82</v>
      </c>
      <c r="I207" s="72" t="s">
        <v>83</v>
      </c>
      <c r="J207" s="72" t="s">
        <v>84</v>
      </c>
      <c r="K207" s="72" t="s">
        <v>575</v>
      </c>
      <c r="L207" s="72" t="s">
        <v>75</v>
      </c>
      <c r="M207" s="72" t="s">
        <v>576</v>
      </c>
      <c r="N207" s="72" t="s">
        <v>561</v>
      </c>
      <c r="O207" s="72" t="s">
        <v>562</v>
      </c>
      <c r="P207" s="72" t="s">
        <v>79</v>
      </c>
      <c r="Q207" s="72" t="s">
        <v>122</v>
      </c>
      <c r="R207" s="9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</row>
    <row r="208" ht="14.25" customHeight="1">
      <c r="A208" s="72" t="str">
        <f t="shared" si="1"/>
        <v>29/06/2023</v>
      </c>
      <c r="B208" s="82" t="str">
        <f t="shared" si="2"/>
        <v>06-29</v>
      </c>
      <c r="C208" s="82" t="str">
        <f t="shared" si="3"/>
        <v>USD</v>
      </c>
      <c r="D208" s="72" t="s">
        <v>69</v>
      </c>
      <c r="E208" s="72">
        <v>1230629.0</v>
      </c>
      <c r="F208" s="72" t="s">
        <v>70</v>
      </c>
      <c r="G208" s="72" t="s">
        <v>577</v>
      </c>
      <c r="H208" s="72" t="s">
        <v>82</v>
      </c>
      <c r="I208" s="72" t="s">
        <v>83</v>
      </c>
      <c r="J208" s="72" t="s">
        <v>84</v>
      </c>
      <c r="K208" s="72" t="s">
        <v>577</v>
      </c>
      <c r="L208" s="72" t="s">
        <v>75</v>
      </c>
      <c r="M208" s="72" t="s">
        <v>578</v>
      </c>
      <c r="N208" s="72" t="s">
        <v>561</v>
      </c>
      <c r="O208" s="72" t="s">
        <v>562</v>
      </c>
      <c r="P208" s="72" t="s">
        <v>79</v>
      </c>
      <c r="Q208" s="72" t="s">
        <v>122</v>
      </c>
      <c r="R208" s="9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</row>
    <row r="209" ht="14.25" customHeight="1">
      <c r="A209" s="72" t="str">
        <f t="shared" si="1"/>
        <v>29/06/2023</v>
      </c>
      <c r="B209" s="82" t="str">
        <f t="shared" si="2"/>
        <v>06-29</v>
      </c>
      <c r="C209" s="82" t="str">
        <f t="shared" si="3"/>
        <v>USD</v>
      </c>
      <c r="D209" s="72" t="s">
        <v>69</v>
      </c>
      <c r="E209" s="72">
        <v>1230629.0</v>
      </c>
      <c r="F209" s="72" t="s">
        <v>70</v>
      </c>
      <c r="G209" s="72" t="s">
        <v>579</v>
      </c>
      <c r="H209" s="72" t="s">
        <v>82</v>
      </c>
      <c r="I209" s="72" t="s">
        <v>83</v>
      </c>
      <c r="J209" s="72" t="s">
        <v>84</v>
      </c>
      <c r="K209" s="72" t="s">
        <v>579</v>
      </c>
      <c r="L209" s="72" t="s">
        <v>75</v>
      </c>
      <c r="M209" s="72" t="s">
        <v>580</v>
      </c>
      <c r="N209" s="72" t="s">
        <v>561</v>
      </c>
      <c r="O209" s="72" t="s">
        <v>562</v>
      </c>
      <c r="P209" s="72" t="s">
        <v>79</v>
      </c>
      <c r="Q209" s="72" t="s">
        <v>122</v>
      </c>
      <c r="R209" s="9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</row>
    <row r="210" ht="14.25" customHeight="1">
      <c r="A210" s="72" t="str">
        <f t="shared" si="1"/>
        <v>29/06/2023</v>
      </c>
      <c r="B210" s="82" t="str">
        <f t="shared" si="2"/>
        <v>06-29</v>
      </c>
      <c r="C210" s="82" t="str">
        <f t="shared" si="3"/>
        <v>USD</v>
      </c>
      <c r="D210" s="72" t="s">
        <v>69</v>
      </c>
      <c r="E210" s="72">
        <v>1230629.0</v>
      </c>
      <c r="F210" s="72" t="s">
        <v>70</v>
      </c>
      <c r="G210" s="72" t="s">
        <v>581</v>
      </c>
      <c r="H210" s="72" t="s">
        <v>82</v>
      </c>
      <c r="I210" s="72" t="s">
        <v>83</v>
      </c>
      <c r="J210" s="72" t="s">
        <v>84</v>
      </c>
      <c r="K210" s="72" t="s">
        <v>581</v>
      </c>
      <c r="L210" s="72" t="s">
        <v>75</v>
      </c>
      <c r="M210" s="72" t="s">
        <v>582</v>
      </c>
      <c r="N210" s="72" t="s">
        <v>561</v>
      </c>
      <c r="O210" s="72" t="s">
        <v>562</v>
      </c>
      <c r="P210" s="72" t="s">
        <v>79</v>
      </c>
      <c r="Q210" s="72" t="s">
        <v>122</v>
      </c>
      <c r="R210" s="9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</row>
    <row r="211" ht="14.25" customHeight="1">
      <c r="A211" s="72" t="str">
        <f t="shared" si="1"/>
        <v>29/06/2023</v>
      </c>
      <c r="B211" s="82" t="str">
        <f t="shared" si="2"/>
        <v>06-29</v>
      </c>
      <c r="C211" s="82" t="str">
        <f t="shared" si="3"/>
        <v>USD</v>
      </c>
      <c r="D211" s="72" t="s">
        <v>69</v>
      </c>
      <c r="E211" s="72">
        <v>1230629.0</v>
      </c>
      <c r="F211" s="72" t="s">
        <v>70</v>
      </c>
      <c r="G211" s="72" t="s">
        <v>583</v>
      </c>
      <c r="H211" s="72" t="s">
        <v>82</v>
      </c>
      <c r="I211" s="72" t="s">
        <v>83</v>
      </c>
      <c r="J211" s="72" t="s">
        <v>84</v>
      </c>
      <c r="K211" s="72" t="s">
        <v>583</v>
      </c>
      <c r="L211" s="72" t="s">
        <v>75</v>
      </c>
      <c r="M211" s="72" t="s">
        <v>584</v>
      </c>
      <c r="N211" s="72" t="s">
        <v>561</v>
      </c>
      <c r="O211" s="72" t="s">
        <v>562</v>
      </c>
      <c r="P211" s="72" t="s">
        <v>79</v>
      </c>
      <c r="Q211" s="72" t="s">
        <v>122</v>
      </c>
      <c r="R211" s="9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</row>
    <row r="212" ht="14.25" customHeight="1">
      <c r="A212" s="72" t="str">
        <f t="shared" si="1"/>
        <v>29/06/2023</v>
      </c>
      <c r="B212" s="82" t="str">
        <f t="shared" si="2"/>
        <v>06-29</v>
      </c>
      <c r="C212" s="82" t="str">
        <f t="shared" si="3"/>
        <v>USD</v>
      </c>
      <c r="D212" s="72" t="s">
        <v>69</v>
      </c>
      <c r="E212" s="72">
        <v>1230629.0</v>
      </c>
      <c r="F212" s="72" t="s">
        <v>70</v>
      </c>
      <c r="G212" s="72" t="s">
        <v>585</v>
      </c>
      <c r="H212" s="72" t="s">
        <v>82</v>
      </c>
      <c r="I212" s="72" t="s">
        <v>83</v>
      </c>
      <c r="J212" s="72" t="s">
        <v>84</v>
      </c>
      <c r="K212" s="72" t="s">
        <v>585</v>
      </c>
      <c r="L212" s="72" t="s">
        <v>75</v>
      </c>
      <c r="M212" s="72" t="s">
        <v>586</v>
      </c>
      <c r="N212" s="72" t="s">
        <v>561</v>
      </c>
      <c r="O212" s="72" t="s">
        <v>562</v>
      </c>
      <c r="P212" s="72" t="s">
        <v>79</v>
      </c>
      <c r="Q212" s="72" t="s">
        <v>122</v>
      </c>
      <c r="R212" s="9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</row>
    <row r="213" ht="14.25" customHeight="1">
      <c r="A213" s="72" t="str">
        <f t="shared" si="1"/>
        <v>29/06/2023</v>
      </c>
      <c r="B213" s="82" t="str">
        <f t="shared" si="2"/>
        <v>06-29</v>
      </c>
      <c r="C213" s="82" t="str">
        <f t="shared" si="3"/>
        <v>USD</v>
      </c>
      <c r="D213" s="72" t="s">
        <v>69</v>
      </c>
      <c r="E213" s="72">
        <v>1230629.0</v>
      </c>
      <c r="F213" s="72" t="s">
        <v>70</v>
      </c>
      <c r="G213" s="72" t="s">
        <v>587</v>
      </c>
      <c r="H213" s="72" t="s">
        <v>82</v>
      </c>
      <c r="I213" s="72" t="s">
        <v>83</v>
      </c>
      <c r="J213" s="72" t="s">
        <v>84</v>
      </c>
      <c r="K213" s="72" t="s">
        <v>587</v>
      </c>
      <c r="L213" s="72" t="s">
        <v>75</v>
      </c>
      <c r="M213" s="72" t="s">
        <v>588</v>
      </c>
      <c r="N213" s="72" t="s">
        <v>561</v>
      </c>
      <c r="O213" s="72" t="s">
        <v>562</v>
      </c>
      <c r="P213" s="72" t="s">
        <v>79</v>
      </c>
      <c r="Q213" s="72" t="s">
        <v>122</v>
      </c>
      <c r="R213" s="9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</row>
    <row r="214" ht="14.25" customHeight="1">
      <c r="A214" s="72" t="str">
        <f t="shared" si="1"/>
        <v>29/06/2023</v>
      </c>
      <c r="B214" s="82" t="str">
        <f t="shared" si="2"/>
        <v>06-29</v>
      </c>
      <c r="C214" s="82" t="str">
        <f t="shared" si="3"/>
        <v>USD</v>
      </c>
      <c r="D214" s="72" t="s">
        <v>69</v>
      </c>
      <c r="E214" s="72">
        <v>1230629.0</v>
      </c>
      <c r="F214" s="72" t="s">
        <v>70</v>
      </c>
      <c r="G214" s="72" t="s">
        <v>589</v>
      </c>
      <c r="H214" s="72" t="s">
        <v>82</v>
      </c>
      <c r="I214" s="72" t="s">
        <v>83</v>
      </c>
      <c r="J214" s="72" t="s">
        <v>84</v>
      </c>
      <c r="K214" s="72" t="s">
        <v>589</v>
      </c>
      <c r="L214" s="72" t="s">
        <v>75</v>
      </c>
      <c r="M214" s="72" t="s">
        <v>590</v>
      </c>
      <c r="N214" s="72" t="s">
        <v>561</v>
      </c>
      <c r="O214" s="72" t="s">
        <v>562</v>
      </c>
      <c r="P214" s="72" t="s">
        <v>79</v>
      </c>
      <c r="Q214" s="72" t="s">
        <v>122</v>
      </c>
      <c r="R214" s="9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</row>
    <row r="215" ht="14.25" customHeight="1">
      <c r="A215" s="72" t="str">
        <f t="shared" si="1"/>
        <v>29/06/2023</v>
      </c>
      <c r="B215" s="82" t="str">
        <f t="shared" si="2"/>
        <v>06-29</v>
      </c>
      <c r="C215" s="82" t="str">
        <f t="shared" si="3"/>
        <v>USD</v>
      </c>
      <c r="D215" s="72" t="s">
        <v>69</v>
      </c>
      <c r="E215" s="72">
        <v>1230629.0</v>
      </c>
      <c r="F215" s="72" t="s">
        <v>70</v>
      </c>
      <c r="G215" s="72" t="s">
        <v>591</v>
      </c>
      <c r="H215" s="72" t="s">
        <v>82</v>
      </c>
      <c r="I215" s="72" t="s">
        <v>83</v>
      </c>
      <c r="J215" s="72" t="s">
        <v>84</v>
      </c>
      <c r="K215" s="72" t="s">
        <v>591</v>
      </c>
      <c r="L215" s="72" t="s">
        <v>75</v>
      </c>
      <c r="M215" s="72" t="s">
        <v>592</v>
      </c>
      <c r="N215" s="72" t="s">
        <v>561</v>
      </c>
      <c r="O215" s="72" t="s">
        <v>562</v>
      </c>
      <c r="P215" s="72" t="s">
        <v>79</v>
      </c>
      <c r="Q215" s="72" t="s">
        <v>122</v>
      </c>
      <c r="R215" s="9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</row>
    <row r="216" ht="14.25" customHeight="1">
      <c r="A216" s="72" t="str">
        <f t="shared" si="1"/>
        <v>29/06/2023</v>
      </c>
      <c r="B216" s="82" t="str">
        <f t="shared" si="2"/>
        <v>06-29</v>
      </c>
      <c r="C216" s="82" t="str">
        <f t="shared" si="3"/>
        <v>USD</v>
      </c>
      <c r="D216" s="72" t="s">
        <v>69</v>
      </c>
      <c r="E216" s="72">
        <v>1230629.0</v>
      </c>
      <c r="F216" s="72" t="s">
        <v>70</v>
      </c>
      <c r="G216" s="72" t="s">
        <v>593</v>
      </c>
      <c r="H216" s="72" t="s">
        <v>82</v>
      </c>
      <c r="I216" s="72" t="s">
        <v>83</v>
      </c>
      <c r="J216" s="72" t="s">
        <v>84</v>
      </c>
      <c r="K216" s="72" t="s">
        <v>593</v>
      </c>
      <c r="L216" s="72" t="s">
        <v>75</v>
      </c>
      <c r="M216" s="72" t="s">
        <v>594</v>
      </c>
      <c r="N216" s="72" t="s">
        <v>561</v>
      </c>
      <c r="O216" s="72" t="s">
        <v>562</v>
      </c>
      <c r="P216" s="72" t="s">
        <v>79</v>
      </c>
      <c r="Q216" s="72" t="s">
        <v>122</v>
      </c>
      <c r="R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F216" s="72"/>
    </row>
    <row r="217" ht="14.25" customHeight="1">
      <c r="A217" s="72" t="str">
        <f t="shared" si="1"/>
        <v>29/06/2023</v>
      </c>
      <c r="B217" s="82" t="str">
        <f t="shared" si="2"/>
        <v>06-29</v>
      </c>
      <c r="C217" s="82" t="str">
        <f t="shared" si="3"/>
        <v>USD</v>
      </c>
      <c r="D217" s="72" t="s">
        <v>69</v>
      </c>
      <c r="E217" s="72">
        <v>1230629.0</v>
      </c>
      <c r="F217" s="72" t="s">
        <v>70</v>
      </c>
      <c r="G217" s="72" t="s">
        <v>595</v>
      </c>
      <c r="H217" s="72" t="s">
        <v>82</v>
      </c>
      <c r="I217" s="72" t="s">
        <v>83</v>
      </c>
      <c r="J217" s="72" t="s">
        <v>84</v>
      </c>
      <c r="K217" s="72" t="s">
        <v>595</v>
      </c>
      <c r="L217" s="72" t="s">
        <v>75</v>
      </c>
      <c r="M217" s="72" t="s">
        <v>596</v>
      </c>
      <c r="N217" s="72" t="s">
        <v>561</v>
      </c>
      <c r="O217" s="72" t="s">
        <v>562</v>
      </c>
      <c r="P217" s="72" t="s">
        <v>79</v>
      </c>
      <c r="Q217" s="72" t="s">
        <v>122</v>
      </c>
      <c r="R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F217" s="72"/>
    </row>
    <row r="218" ht="14.25" customHeight="1">
      <c r="A218" s="72" t="str">
        <f t="shared" si="1"/>
        <v>29/06/2023</v>
      </c>
      <c r="B218" s="82" t="str">
        <f t="shared" si="2"/>
        <v>06-29</v>
      </c>
      <c r="C218" s="82" t="str">
        <f t="shared" si="3"/>
        <v>USD</v>
      </c>
      <c r="D218" s="72" t="s">
        <v>69</v>
      </c>
      <c r="E218" s="72">
        <v>1230629.0</v>
      </c>
      <c r="F218" s="72" t="s">
        <v>70</v>
      </c>
      <c r="G218" s="72" t="s">
        <v>597</v>
      </c>
      <c r="H218" s="72" t="s">
        <v>82</v>
      </c>
      <c r="I218" s="72" t="s">
        <v>83</v>
      </c>
      <c r="J218" s="72" t="s">
        <v>84</v>
      </c>
      <c r="K218" s="72" t="s">
        <v>597</v>
      </c>
      <c r="L218" s="72" t="s">
        <v>75</v>
      </c>
      <c r="M218" s="72" t="s">
        <v>598</v>
      </c>
      <c r="N218" s="72" t="s">
        <v>561</v>
      </c>
      <c r="O218" s="72" t="s">
        <v>562</v>
      </c>
      <c r="P218" s="72" t="s">
        <v>79</v>
      </c>
      <c r="Q218" s="72" t="s">
        <v>122</v>
      </c>
      <c r="R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F218" s="72"/>
    </row>
    <row r="219" ht="14.25" customHeight="1">
      <c r="A219" s="72" t="str">
        <f t="shared" si="1"/>
        <v>29/06/2023</v>
      </c>
      <c r="B219" s="82" t="str">
        <f t="shared" si="2"/>
        <v>06-29</v>
      </c>
      <c r="C219" s="82" t="str">
        <f t="shared" si="3"/>
        <v>USD</v>
      </c>
      <c r="D219" s="72" t="s">
        <v>69</v>
      </c>
      <c r="E219" s="72">
        <v>1230629.0</v>
      </c>
      <c r="F219" s="72" t="s">
        <v>70</v>
      </c>
      <c r="G219" s="72" t="s">
        <v>599</v>
      </c>
      <c r="H219" s="72" t="s">
        <v>82</v>
      </c>
      <c r="I219" s="72" t="s">
        <v>83</v>
      </c>
      <c r="J219" s="72" t="s">
        <v>84</v>
      </c>
      <c r="K219" s="72" t="s">
        <v>599</v>
      </c>
      <c r="L219" s="72" t="s">
        <v>75</v>
      </c>
      <c r="M219" s="72" t="s">
        <v>600</v>
      </c>
      <c r="N219" s="72" t="s">
        <v>561</v>
      </c>
      <c r="O219" s="72" t="s">
        <v>562</v>
      </c>
      <c r="P219" s="72" t="s">
        <v>79</v>
      </c>
      <c r="Q219" s="72" t="s">
        <v>122</v>
      </c>
      <c r="R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F219" s="72"/>
    </row>
    <row r="220" ht="14.25" customHeight="1">
      <c r="A220" s="72" t="str">
        <f t="shared" si="1"/>
        <v>29/06/2023</v>
      </c>
      <c r="B220" s="82" t="str">
        <f t="shared" si="2"/>
        <v>06-29</v>
      </c>
      <c r="C220" s="82" t="str">
        <f t="shared" si="3"/>
        <v>USD</v>
      </c>
      <c r="D220" s="72" t="s">
        <v>69</v>
      </c>
      <c r="E220" s="72">
        <v>1230629.0</v>
      </c>
      <c r="F220" s="72" t="s">
        <v>146</v>
      </c>
      <c r="G220" s="72" t="s">
        <v>601</v>
      </c>
      <c r="H220" s="72" t="s">
        <v>190</v>
      </c>
      <c r="I220" s="72" t="s">
        <v>149</v>
      </c>
      <c r="J220" s="72" t="s">
        <v>74</v>
      </c>
      <c r="K220" s="72" t="s">
        <v>601</v>
      </c>
      <c r="L220" s="72" t="s">
        <v>75</v>
      </c>
      <c r="M220" s="72" t="s">
        <v>602</v>
      </c>
      <c r="N220" s="72" t="s">
        <v>260</v>
      </c>
      <c r="O220" s="72" t="s">
        <v>603</v>
      </c>
      <c r="P220" s="72" t="s">
        <v>79</v>
      </c>
      <c r="Q220" s="72" t="s">
        <v>133</v>
      </c>
      <c r="R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F220" s="72"/>
    </row>
    <row r="221" ht="14.25" customHeight="1">
      <c r="A221" s="72" t="str">
        <f t="shared" si="1"/>
        <v>29/06/2023</v>
      </c>
      <c r="B221" s="82" t="str">
        <f t="shared" si="2"/>
        <v>06-29</v>
      </c>
      <c r="C221" s="82" t="str">
        <f t="shared" si="3"/>
        <v>USD</v>
      </c>
      <c r="D221" s="72" t="s">
        <v>69</v>
      </c>
      <c r="E221" s="72">
        <v>1230629.0</v>
      </c>
      <c r="F221" s="72" t="s">
        <v>146</v>
      </c>
      <c r="G221" s="72" t="s">
        <v>604</v>
      </c>
      <c r="H221" s="72" t="s">
        <v>190</v>
      </c>
      <c r="I221" s="72" t="s">
        <v>149</v>
      </c>
      <c r="J221" s="72" t="s">
        <v>74</v>
      </c>
      <c r="K221" s="72" t="s">
        <v>604</v>
      </c>
      <c r="L221" s="72" t="s">
        <v>75</v>
      </c>
      <c r="M221" s="72" t="s">
        <v>605</v>
      </c>
      <c r="N221" s="72" t="s">
        <v>266</v>
      </c>
      <c r="O221" s="72" t="s">
        <v>606</v>
      </c>
      <c r="P221" s="72" t="s">
        <v>79</v>
      </c>
      <c r="Q221" s="72" t="s">
        <v>145</v>
      </c>
      <c r="R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F221" s="72"/>
    </row>
    <row r="222" ht="14.25" customHeight="1">
      <c r="A222" s="72" t="str">
        <f t="shared" si="1"/>
        <v>29/06/2023</v>
      </c>
      <c r="B222" s="82" t="str">
        <f t="shared" si="2"/>
        <v>06-29</v>
      </c>
      <c r="C222" s="82" t="str">
        <f t="shared" si="3"/>
        <v>USD</v>
      </c>
      <c r="D222" s="72" t="s">
        <v>69</v>
      </c>
      <c r="E222" s="72">
        <v>1230629.0</v>
      </c>
      <c r="F222" s="72" t="s">
        <v>146</v>
      </c>
      <c r="G222" s="72" t="s">
        <v>607</v>
      </c>
      <c r="H222" s="72" t="s">
        <v>190</v>
      </c>
      <c r="I222" s="72" t="s">
        <v>149</v>
      </c>
      <c r="J222" s="72" t="s">
        <v>74</v>
      </c>
      <c r="K222" s="72" t="s">
        <v>607</v>
      </c>
      <c r="L222" s="72" t="s">
        <v>75</v>
      </c>
      <c r="M222" s="72" t="s">
        <v>608</v>
      </c>
      <c r="N222" s="72" t="s">
        <v>266</v>
      </c>
      <c r="O222" s="72" t="s">
        <v>606</v>
      </c>
      <c r="P222" s="72" t="s">
        <v>79</v>
      </c>
      <c r="Q222" s="72" t="s">
        <v>145</v>
      </c>
      <c r="R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F222" s="72"/>
    </row>
    <row r="223" ht="14.25" customHeight="1">
      <c r="A223" s="72" t="str">
        <f t="shared" si="1"/>
        <v>29/06/2023</v>
      </c>
      <c r="B223" s="82" t="str">
        <f t="shared" si="2"/>
        <v>06-29</v>
      </c>
      <c r="C223" s="82" t="str">
        <f t="shared" si="3"/>
        <v>USD</v>
      </c>
      <c r="D223" s="72" t="s">
        <v>69</v>
      </c>
      <c r="E223" s="72">
        <v>1230629.0</v>
      </c>
      <c r="F223" s="72" t="s">
        <v>146</v>
      </c>
      <c r="G223" s="72" t="s">
        <v>609</v>
      </c>
      <c r="H223" s="72" t="s">
        <v>190</v>
      </c>
      <c r="I223" s="72" t="s">
        <v>149</v>
      </c>
      <c r="J223" s="72" t="s">
        <v>74</v>
      </c>
      <c r="K223" s="72" t="s">
        <v>609</v>
      </c>
      <c r="L223" s="72" t="s">
        <v>75</v>
      </c>
      <c r="M223" s="72" t="s">
        <v>610</v>
      </c>
      <c r="N223" s="72" t="s">
        <v>266</v>
      </c>
      <c r="O223" s="72" t="s">
        <v>606</v>
      </c>
      <c r="P223" s="72" t="s">
        <v>79</v>
      </c>
      <c r="Q223" s="72" t="s">
        <v>145</v>
      </c>
      <c r="R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F223" s="72"/>
    </row>
    <row r="224" ht="14.25" customHeight="1">
      <c r="A224" s="72" t="str">
        <f t="shared" si="1"/>
        <v>29/06/2023</v>
      </c>
      <c r="B224" s="82" t="str">
        <f t="shared" si="2"/>
        <v>06-29</v>
      </c>
      <c r="C224" s="82" t="str">
        <f t="shared" si="3"/>
        <v>USD</v>
      </c>
      <c r="D224" s="72" t="s">
        <v>69</v>
      </c>
      <c r="E224" s="72">
        <v>1230629.0</v>
      </c>
      <c r="F224" s="72" t="s">
        <v>146</v>
      </c>
      <c r="G224" s="72" t="s">
        <v>611</v>
      </c>
      <c r="H224" s="72" t="s">
        <v>190</v>
      </c>
      <c r="I224" s="72" t="s">
        <v>149</v>
      </c>
      <c r="J224" s="72" t="s">
        <v>74</v>
      </c>
      <c r="K224" s="72" t="s">
        <v>611</v>
      </c>
      <c r="L224" s="72" t="s">
        <v>75</v>
      </c>
      <c r="M224" s="72" t="s">
        <v>612</v>
      </c>
      <c r="N224" s="72" t="s">
        <v>266</v>
      </c>
      <c r="O224" s="72" t="s">
        <v>606</v>
      </c>
      <c r="P224" s="72" t="s">
        <v>79</v>
      </c>
      <c r="Q224" s="72" t="s">
        <v>145</v>
      </c>
      <c r="R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F224" s="72"/>
    </row>
    <row r="225" ht="14.25" customHeight="1">
      <c r="A225" s="72" t="str">
        <f t="shared" si="1"/>
        <v>29/06/2023</v>
      </c>
      <c r="B225" s="82" t="str">
        <f t="shared" si="2"/>
        <v>06-29</v>
      </c>
      <c r="C225" s="82" t="str">
        <f t="shared" si="3"/>
        <v>USD</v>
      </c>
      <c r="D225" s="72" t="s">
        <v>69</v>
      </c>
      <c r="E225" s="72">
        <v>1230629.0</v>
      </c>
      <c r="F225" s="72" t="s">
        <v>146</v>
      </c>
      <c r="G225" s="72" t="s">
        <v>613</v>
      </c>
      <c r="H225" s="72" t="s">
        <v>190</v>
      </c>
      <c r="I225" s="72" t="s">
        <v>149</v>
      </c>
      <c r="J225" s="72" t="s">
        <v>74</v>
      </c>
      <c r="K225" s="72" t="s">
        <v>613</v>
      </c>
      <c r="L225" s="72" t="s">
        <v>75</v>
      </c>
      <c r="M225" s="72" t="s">
        <v>614</v>
      </c>
      <c r="N225" s="72" t="s">
        <v>266</v>
      </c>
      <c r="O225" s="72" t="s">
        <v>606</v>
      </c>
      <c r="P225" s="72" t="s">
        <v>79</v>
      </c>
      <c r="Q225" s="72" t="s">
        <v>145</v>
      </c>
      <c r="R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F225" s="72"/>
    </row>
    <row r="226" ht="14.25" customHeight="1">
      <c r="A226" s="72" t="str">
        <f t="shared" si="1"/>
        <v>29/06/2023</v>
      </c>
      <c r="B226" s="82" t="str">
        <f t="shared" si="2"/>
        <v>06-29</v>
      </c>
      <c r="C226" s="82" t="str">
        <f t="shared" si="3"/>
        <v>USD</v>
      </c>
      <c r="D226" s="72" t="s">
        <v>69</v>
      </c>
      <c r="E226" s="72">
        <v>1230629.0</v>
      </c>
      <c r="F226" s="72" t="s">
        <v>146</v>
      </c>
      <c r="G226" s="72" t="s">
        <v>615</v>
      </c>
      <c r="H226" s="72" t="s">
        <v>190</v>
      </c>
      <c r="I226" s="72" t="s">
        <v>149</v>
      </c>
      <c r="J226" s="72" t="s">
        <v>74</v>
      </c>
      <c r="K226" s="72" t="s">
        <v>615</v>
      </c>
      <c r="L226" s="72" t="s">
        <v>75</v>
      </c>
      <c r="M226" s="72" t="s">
        <v>616</v>
      </c>
      <c r="N226" s="72" t="s">
        <v>266</v>
      </c>
      <c r="O226" s="72" t="s">
        <v>606</v>
      </c>
      <c r="P226" s="72" t="s">
        <v>79</v>
      </c>
      <c r="Q226" s="72" t="s">
        <v>145</v>
      </c>
      <c r="R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ht="14.25" customHeight="1">
      <c r="A227" s="72" t="str">
        <f t="shared" si="1"/>
        <v>29/06/2023</v>
      </c>
      <c r="B227" s="82" t="str">
        <f t="shared" si="2"/>
        <v>06-29</v>
      </c>
      <c r="C227" s="82" t="str">
        <f t="shared" si="3"/>
        <v>USD</v>
      </c>
      <c r="D227" s="72" t="s">
        <v>69</v>
      </c>
      <c r="E227" s="72">
        <v>1230629.0</v>
      </c>
      <c r="F227" s="72" t="s">
        <v>146</v>
      </c>
      <c r="G227" s="72" t="s">
        <v>617</v>
      </c>
      <c r="H227" s="72" t="s">
        <v>190</v>
      </c>
      <c r="I227" s="72" t="s">
        <v>149</v>
      </c>
      <c r="J227" s="72" t="s">
        <v>74</v>
      </c>
      <c r="K227" s="72" t="s">
        <v>617</v>
      </c>
      <c r="L227" s="72" t="s">
        <v>75</v>
      </c>
      <c r="M227" s="72" t="s">
        <v>618</v>
      </c>
      <c r="N227" s="72" t="s">
        <v>619</v>
      </c>
      <c r="O227" s="72" t="s">
        <v>620</v>
      </c>
      <c r="P227" s="72" t="s">
        <v>79</v>
      </c>
      <c r="Q227" s="72" t="s">
        <v>122</v>
      </c>
      <c r="R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ht="14.25" customHeight="1">
      <c r="A228" s="72" t="str">
        <f t="shared" si="1"/>
        <v>29/06/2023</v>
      </c>
      <c r="B228" s="82" t="str">
        <f t="shared" si="2"/>
        <v>06-29</v>
      </c>
      <c r="C228" s="82" t="str">
        <f t="shared" si="3"/>
        <v>USD</v>
      </c>
      <c r="D228" s="72" t="s">
        <v>69</v>
      </c>
      <c r="E228" s="72">
        <v>1230629.0</v>
      </c>
      <c r="F228" s="72" t="s">
        <v>146</v>
      </c>
      <c r="G228" s="72" t="s">
        <v>621</v>
      </c>
      <c r="H228" s="72" t="s">
        <v>190</v>
      </c>
      <c r="I228" s="72" t="s">
        <v>149</v>
      </c>
      <c r="J228" s="72" t="s">
        <v>74</v>
      </c>
      <c r="K228" s="72" t="s">
        <v>621</v>
      </c>
      <c r="L228" s="72" t="s">
        <v>75</v>
      </c>
      <c r="M228" s="72" t="s">
        <v>622</v>
      </c>
      <c r="N228" s="72" t="s">
        <v>619</v>
      </c>
      <c r="O228" s="72" t="s">
        <v>620</v>
      </c>
      <c r="P228" s="72" t="s">
        <v>79</v>
      </c>
      <c r="Q228" s="72" t="s">
        <v>122</v>
      </c>
      <c r="R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ht="14.25" customHeight="1">
      <c r="A229" s="72" t="str">
        <f t="shared" si="1"/>
        <v>29/06/2023</v>
      </c>
      <c r="B229" s="82" t="str">
        <f t="shared" si="2"/>
        <v>06-29</v>
      </c>
      <c r="C229" s="82" t="str">
        <f t="shared" si="3"/>
        <v>USD</v>
      </c>
      <c r="D229" s="72" t="s">
        <v>69</v>
      </c>
      <c r="E229" s="72">
        <v>1230629.0</v>
      </c>
      <c r="F229" s="72" t="s">
        <v>146</v>
      </c>
      <c r="G229" s="72" t="s">
        <v>623</v>
      </c>
      <c r="H229" s="72" t="s">
        <v>190</v>
      </c>
      <c r="I229" s="72" t="s">
        <v>149</v>
      </c>
      <c r="J229" s="72" t="s">
        <v>74</v>
      </c>
      <c r="K229" s="72" t="s">
        <v>623</v>
      </c>
      <c r="L229" s="72" t="s">
        <v>75</v>
      </c>
      <c r="M229" s="72" t="s">
        <v>624</v>
      </c>
      <c r="N229" s="72" t="s">
        <v>158</v>
      </c>
      <c r="O229" s="72" t="s">
        <v>159</v>
      </c>
      <c r="P229" s="72" t="s">
        <v>79</v>
      </c>
      <c r="Q229" s="72" t="s">
        <v>80</v>
      </c>
      <c r="R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ht="14.25" customHeight="1">
      <c r="A230" s="72" t="str">
        <f t="shared" si="1"/>
        <v>29/06/2023</v>
      </c>
      <c r="B230" s="82" t="str">
        <f t="shared" si="2"/>
        <v>06-29</v>
      </c>
      <c r="C230" s="82" t="str">
        <f t="shared" si="3"/>
        <v>USD</v>
      </c>
      <c r="D230" s="72" t="s">
        <v>69</v>
      </c>
      <c r="E230" s="72">
        <v>1230629.0</v>
      </c>
      <c r="F230" s="72" t="s">
        <v>146</v>
      </c>
      <c r="G230" s="72" t="s">
        <v>625</v>
      </c>
      <c r="H230" s="72" t="s">
        <v>190</v>
      </c>
      <c r="I230" s="72" t="s">
        <v>149</v>
      </c>
      <c r="J230" s="72" t="s">
        <v>74</v>
      </c>
      <c r="K230" s="72" t="s">
        <v>625</v>
      </c>
      <c r="L230" s="72" t="s">
        <v>75</v>
      </c>
      <c r="M230" s="72" t="s">
        <v>626</v>
      </c>
      <c r="N230" s="72" t="s">
        <v>192</v>
      </c>
      <c r="O230" s="72" t="s">
        <v>193</v>
      </c>
      <c r="P230" s="72" t="s">
        <v>79</v>
      </c>
      <c r="Q230" s="72" t="s">
        <v>122</v>
      </c>
      <c r="R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ht="14.25" customHeight="1">
      <c r="A231" s="72" t="str">
        <f t="shared" si="1"/>
        <v>29/06/2023</v>
      </c>
      <c r="B231" s="82" t="str">
        <f t="shared" si="2"/>
        <v>06-29</v>
      </c>
      <c r="C231" s="82" t="str">
        <f t="shared" si="3"/>
        <v>USD</v>
      </c>
      <c r="D231" s="72" t="s">
        <v>69</v>
      </c>
      <c r="E231" s="72">
        <v>1230629.0</v>
      </c>
      <c r="F231" s="72" t="s">
        <v>146</v>
      </c>
      <c r="G231" s="72" t="s">
        <v>627</v>
      </c>
      <c r="H231" s="72" t="s">
        <v>190</v>
      </c>
      <c r="I231" s="72" t="s">
        <v>149</v>
      </c>
      <c r="J231" s="72" t="s">
        <v>74</v>
      </c>
      <c r="K231" s="72" t="s">
        <v>627</v>
      </c>
      <c r="L231" s="72" t="s">
        <v>75</v>
      </c>
      <c r="M231" s="72" t="s">
        <v>628</v>
      </c>
      <c r="N231" s="72" t="s">
        <v>629</v>
      </c>
      <c r="O231" s="72" t="s">
        <v>630</v>
      </c>
      <c r="P231" s="72" t="s">
        <v>79</v>
      </c>
      <c r="Q231" s="72" t="s">
        <v>122</v>
      </c>
      <c r="R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ht="14.25" customHeight="1">
      <c r="A232" s="72" t="str">
        <f t="shared" si="1"/>
        <v>29/06/2023</v>
      </c>
      <c r="B232" s="82" t="str">
        <f t="shared" si="2"/>
        <v>06-29</v>
      </c>
      <c r="C232" s="82" t="str">
        <f t="shared" si="3"/>
        <v>USD</v>
      </c>
      <c r="D232" s="72" t="s">
        <v>69</v>
      </c>
      <c r="E232" s="72">
        <v>1230629.0</v>
      </c>
      <c r="F232" s="72" t="s">
        <v>146</v>
      </c>
      <c r="G232" s="72" t="s">
        <v>631</v>
      </c>
      <c r="H232" s="72" t="s">
        <v>190</v>
      </c>
      <c r="I232" s="72" t="s">
        <v>149</v>
      </c>
      <c r="J232" s="72" t="s">
        <v>74</v>
      </c>
      <c r="K232" s="72" t="s">
        <v>631</v>
      </c>
      <c r="L232" s="72" t="s">
        <v>75</v>
      </c>
      <c r="M232" s="72" t="s">
        <v>632</v>
      </c>
      <c r="N232" s="72" t="s">
        <v>629</v>
      </c>
      <c r="O232" s="72" t="s">
        <v>630</v>
      </c>
      <c r="P232" s="72" t="s">
        <v>79</v>
      </c>
      <c r="Q232" s="72" t="s">
        <v>122</v>
      </c>
      <c r="R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ht="14.25" customHeight="1">
      <c r="A233" s="72" t="str">
        <f t="shared" si="1"/>
        <v>29/06/2023</v>
      </c>
      <c r="B233" s="82" t="str">
        <f t="shared" si="2"/>
        <v>06-29</v>
      </c>
      <c r="C233" s="82" t="str">
        <f t="shared" si="3"/>
        <v>USD</v>
      </c>
      <c r="D233" s="72" t="s">
        <v>69</v>
      </c>
      <c r="E233" s="72">
        <v>1230629.0</v>
      </c>
      <c r="F233" s="72" t="s">
        <v>146</v>
      </c>
      <c r="G233" s="72" t="s">
        <v>633</v>
      </c>
      <c r="H233" s="72" t="s">
        <v>190</v>
      </c>
      <c r="I233" s="72" t="s">
        <v>149</v>
      </c>
      <c r="J233" s="72" t="s">
        <v>74</v>
      </c>
      <c r="K233" s="72" t="s">
        <v>633</v>
      </c>
      <c r="L233" s="72" t="s">
        <v>75</v>
      </c>
      <c r="M233" s="72" t="s">
        <v>634</v>
      </c>
      <c r="N233" s="72" t="s">
        <v>260</v>
      </c>
      <c r="O233" s="72" t="s">
        <v>603</v>
      </c>
      <c r="P233" s="72" t="s">
        <v>79</v>
      </c>
      <c r="Q233" s="72" t="s">
        <v>133</v>
      </c>
      <c r="R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ht="14.25" customHeight="1">
      <c r="A234" s="72" t="str">
        <f t="shared" si="1"/>
        <v>29/06/2023</v>
      </c>
      <c r="B234" s="82" t="str">
        <f t="shared" si="2"/>
        <v>06-29</v>
      </c>
      <c r="C234" s="82" t="str">
        <f t="shared" si="3"/>
        <v>USD</v>
      </c>
      <c r="D234" s="72" t="s">
        <v>69</v>
      </c>
      <c r="E234" s="72">
        <v>1230629.0</v>
      </c>
      <c r="F234" s="72" t="s">
        <v>146</v>
      </c>
      <c r="G234" s="72" t="s">
        <v>635</v>
      </c>
      <c r="H234" s="72" t="s">
        <v>190</v>
      </c>
      <c r="I234" s="72" t="s">
        <v>149</v>
      </c>
      <c r="J234" s="72" t="s">
        <v>74</v>
      </c>
      <c r="K234" s="72" t="s">
        <v>635</v>
      </c>
      <c r="L234" s="72" t="s">
        <v>75</v>
      </c>
      <c r="M234" s="72" t="s">
        <v>636</v>
      </c>
      <c r="N234" s="72" t="s">
        <v>260</v>
      </c>
      <c r="O234" s="72" t="s">
        <v>603</v>
      </c>
      <c r="P234" s="72" t="s">
        <v>79</v>
      </c>
      <c r="Q234" s="72" t="s">
        <v>133</v>
      </c>
      <c r="R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ht="14.25" customHeight="1">
      <c r="A235" s="72" t="str">
        <f t="shared" si="1"/>
        <v>29/06/2023</v>
      </c>
      <c r="B235" s="82" t="str">
        <f t="shared" si="2"/>
        <v>06-29</v>
      </c>
      <c r="C235" s="82" t="str">
        <f t="shared" si="3"/>
        <v>USD</v>
      </c>
      <c r="D235" s="72" t="s">
        <v>69</v>
      </c>
      <c r="E235" s="72">
        <v>1230629.0</v>
      </c>
      <c r="F235" s="72" t="s">
        <v>146</v>
      </c>
      <c r="G235" s="72" t="s">
        <v>637</v>
      </c>
      <c r="H235" s="72" t="s">
        <v>190</v>
      </c>
      <c r="I235" s="72" t="s">
        <v>149</v>
      </c>
      <c r="J235" s="72" t="s">
        <v>74</v>
      </c>
      <c r="K235" s="72" t="s">
        <v>637</v>
      </c>
      <c r="L235" s="72" t="s">
        <v>75</v>
      </c>
      <c r="M235" s="72" t="s">
        <v>638</v>
      </c>
      <c r="N235" s="72" t="s">
        <v>639</v>
      </c>
      <c r="O235" s="72" t="s">
        <v>640</v>
      </c>
      <c r="P235" s="72" t="s">
        <v>79</v>
      </c>
      <c r="Q235" s="72" t="s">
        <v>133</v>
      </c>
      <c r="R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ht="14.25" customHeight="1">
      <c r="A236" s="72" t="str">
        <f t="shared" si="1"/>
        <v>29/06/2023</v>
      </c>
      <c r="B236" s="82" t="str">
        <f t="shared" si="2"/>
        <v>06-29</v>
      </c>
      <c r="C236" s="82" t="str">
        <f t="shared" si="3"/>
        <v>USD</v>
      </c>
      <c r="D236" s="72" t="s">
        <v>69</v>
      </c>
      <c r="E236" s="72">
        <v>1230629.0</v>
      </c>
      <c r="F236" s="72" t="s">
        <v>146</v>
      </c>
      <c r="G236" s="72" t="s">
        <v>641</v>
      </c>
      <c r="H236" s="72" t="s">
        <v>190</v>
      </c>
      <c r="I236" s="72" t="s">
        <v>149</v>
      </c>
      <c r="J236" s="72" t="s">
        <v>74</v>
      </c>
      <c r="K236" s="72" t="s">
        <v>641</v>
      </c>
      <c r="L236" s="72" t="s">
        <v>75</v>
      </c>
      <c r="M236" s="72" t="s">
        <v>642</v>
      </c>
      <c r="N236" s="72" t="s">
        <v>639</v>
      </c>
      <c r="O236" s="72" t="s">
        <v>643</v>
      </c>
      <c r="P236" s="72" t="s">
        <v>79</v>
      </c>
      <c r="Q236" s="72" t="s">
        <v>133</v>
      </c>
      <c r="R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ht="14.25" customHeight="1">
      <c r="A237" s="72" t="str">
        <f t="shared" si="1"/>
        <v>29/06/2023</v>
      </c>
      <c r="B237" s="82" t="str">
        <f t="shared" si="2"/>
        <v>06-29</v>
      </c>
      <c r="C237" s="82" t="str">
        <f t="shared" si="3"/>
        <v>USD</v>
      </c>
      <c r="D237" s="72" t="s">
        <v>69</v>
      </c>
      <c r="E237" s="72">
        <v>1230629.0</v>
      </c>
      <c r="F237" s="72" t="s">
        <v>146</v>
      </c>
      <c r="G237" s="72" t="s">
        <v>644</v>
      </c>
      <c r="H237" s="72" t="s">
        <v>190</v>
      </c>
      <c r="I237" s="72" t="s">
        <v>149</v>
      </c>
      <c r="J237" s="72" t="s">
        <v>74</v>
      </c>
      <c r="K237" s="72" t="s">
        <v>644</v>
      </c>
      <c r="L237" s="72" t="s">
        <v>75</v>
      </c>
      <c r="M237" s="72" t="s">
        <v>645</v>
      </c>
      <c r="N237" s="72" t="s">
        <v>639</v>
      </c>
      <c r="O237" s="72" t="s">
        <v>643</v>
      </c>
      <c r="P237" s="72" t="s">
        <v>79</v>
      </c>
      <c r="Q237" s="72" t="s">
        <v>133</v>
      </c>
      <c r="R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ht="14.25" customHeight="1">
      <c r="A238" s="72" t="str">
        <f t="shared" si="1"/>
        <v>29/06/2023</v>
      </c>
      <c r="B238" s="82" t="str">
        <f t="shared" si="2"/>
        <v>06-29</v>
      </c>
      <c r="C238" s="82" t="str">
        <f t="shared" si="3"/>
        <v>USD</v>
      </c>
      <c r="D238" s="72" t="s">
        <v>69</v>
      </c>
      <c r="E238" s="72">
        <v>1230629.0</v>
      </c>
      <c r="F238" s="72" t="s">
        <v>146</v>
      </c>
      <c r="G238" s="72" t="s">
        <v>646</v>
      </c>
      <c r="H238" s="72" t="s">
        <v>190</v>
      </c>
      <c r="I238" s="72" t="s">
        <v>149</v>
      </c>
      <c r="J238" s="72" t="s">
        <v>74</v>
      </c>
      <c r="K238" s="72" t="s">
        <v>646</v>
      </c>
      <c r="L238" s="72" t="s">
        <v>75</v>
      </c>
      <c r="M238" s="72" t="s">
        <v>647</v>
      </c>
      <c r="N238" s="72" t="s">
        <v>639</v>
      </c>
      <c r="O238" s="72" t="s">
        <v>648</v>
      </c>
      <c r="P238" s="72" t="s">
        <v>79</v>
      </c>
      <c r="Q238" s="72" t="s">
        <v>133</v>
      </c>
      <c r="R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ht="14.25" customHeight="1">
      <c r="A239" s="72" t="str">
        <f t="shared" si="1"/>
        <v>29/06/2023</v>
      </c>
      <c r="B239" s="82" t="str">
        <f t="shared" si="2"/>
        <v>06-29</v>
      </c>
      <c r="C239" s="82" t="str">
        <f t="shared" si="3"/>
        <v>USD</v>
      </c>
      <c r="D239" s="72" t="s">
        <v>69</v>
      </c>
      <c r="E239" s="72">
        <v>1230629.0</v>
      </c>
      <c r="F239" s="72" t="s">
        <v>146</v>
      </c>
      <c r="G239" s="72" t="s">
        <v>649</v>
      </c>
      <c r="H239" s="72" t="s">
        <v>190</v>
      </c>
      <c r="I239" s="72" t="s">
        <v>149</v>
      </c>
      <c r="J239" s="72" t="s">
        <v>74</v>
      </c>
      <c r="K239" s="72" t="s">
        <v>649</v>
      </c>
      <c r="L239" s="72" t="s">
        <v>75</v>
      </c>
      <c r="M239" s="72" t="s">
        <v>650</v>
      </c>
      <c r="N239" s="72" t="s">
        <v>158</v>
      </c>
      <c r="O239" s="72" t="s">
        <v>159</v>
      </c>
      <c r="P239" s="72" t="s">
        <v>79</v>
      </c>
      <c r="Q239" s="72" t="s">
        <v>80</v>
      </c>
      <c r="R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ht="14.25" customHeight="1">
      <c r="A240" s="72" t="str">
        <f t="shared" si="1"/>
        <v>29/06/2023</v>
      </c>
      <c r="B240" s="82" t="str">
        <f t="shared" si="2"/>
        <v>06-29</v>
      </c>
      <c r="C240" s="82" t="str">
        <f t="shared" si="3"/>
        <v>USD</v>
      </c>
      <c r="D240" s="72" t="s">
        <v>69</v>
      </c>
      <c r="E240" s="72">
        <v>1230629.0</v>
      </c>
      <c r="F240" s="72" t="s">
        <v>146</v>
      </c>
      <c r="G240" s="72" t="s">
        <v>651</v>
      </c>
      <c r="H240" s="72" t="s">
        <v>190</v>
      </c>
      <c r="I240" s="72" t="s">
        <v>149</v>
      </c>
      <c r="J240" s="72" t="s">
        <v>74</v>
      </c>
      <c r="K240" s="72" t="s">
        <v>651</v>
      </c>
      <c r="L240" s="72" t="s">
        <v>75</v>
      </c>
      <c r="M240" s="72" t="s">
        <v>650</v>
      </c>
      <c r="N240" s="72" t="s">
        <v>158</v>
      </c>
      <c r="O240" s="72" t="s">
        <v>159</v>
      </c>
      <c r="P240" s="72" t="s">
        <v>79</v>
      </c>
      <c r="Q240" s="72" t="s">
        <v>80</v>
      </c>
      <c r="R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ht="14.25" customHeight="1">
      <c r="A241" s="72" t="str">
        <f t="shared" si="1"/>
        <v>29/06/2023</v>
      </c>
      <c r="B241" s="82" t="str">
        <f t="shared" si="2"/>
        <v>06-29</v>
      </c>
      <c r="C241" s="82" t="str">
        <f t="shared" si="3"/>
        <v>USD</v>
      </c>
      <c r="D241" s="72" t="s">
        <v>69</v>
      </c>
      <c r="E241" s="72">
        <v>1230629.0</v>
      </c>
      <c r="F241" s="72" t="s">
        <v>146</v>
      </c>
      <c r="G241" s="72" t="s">
        <v>652</v>
      </c>
      <c r="H241" s="72" t="s">
        <v>190</v>
      </c>
      <c r="I241" s="72" t="s">
        <v>149</v>
      </c>
      <c r="J241" s="72" t="s">
        <v>74</v>
      </c>
      <c r="K241" s="72" t="s">
        <v>652</v>
      </c>
      <c r="L241" s="72" t="s">
        <v>75</v>
      </c>
      <c r="M241" s="72" t="s">
        <v>653</v>
      </c>
      <c r="N241" s="72" t="s">
        <v>158</v>
      </c>
      <c r="O241" s="72" t="s">
        <v>159</v>
      </c>
      <c r="P241" s="72" t="s">
        <v>79</v>
      </c>
      <c r="Q241" s="72" t="s">
        <v>80</v>
      </c>
      <c r="R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ht="14.25" customHeight="1">
      <c r="A242" s="72" t="str">
        <f t="shared" si="1"/>
        <v>29/06/2023</v>
      </c>
      <c r="B242" s="82" t="str">
        <f t="shared" si="2"/>
        <v>06-29</v>
      </c>
      <c r="C242" s="82" t="str">
        <f t="shared" si="3"/>
        <v>USD</v>
      </c>
      <c r="D242" s="72" t="s">
        <v>69</v>
      </c>
      <c r="E242" s="72">
        <v>1230629.0</v>
      </c>
      <c r="F242" s="72" t="s">
        <v>146</v>
      </c>
      <c r="G242" s="72" t="s">
        <v>654</v>
      </c>
      <c r="H242" s="72" t="s">
        <v>190</v>
      </c>
      <c r="I242" s="72" t="s">
        <v>149</v>
      </c>
      <c r="J242" s="72" t="s">
        <v>74</v>
      </c>
      <c r="K242" s="72" t="s">
        <v>654</v>
      </c>
      <c r="L242" s="72" t="s">
        <v>75</v>
      </c>
      <c r="M242" s="72" t="s">
        <v>655</v>
      </c>
      <c r="N242" s="72" t="s">
        <v>158</v>
      </c>
      <c r="O242" s="72" t="s">
        <v>159</v>
      </c>
      <c r="P242" s="72" t="s">
        <v>79</v>
      </c>
      <c r="Q242" s="72" t="s">
        <v>80</v>
      </c>
      <c r="R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ht="14.25" customHeight="1">
      <c r="A243" s="72" t="str">
        <f t="shared" si="1"/>
        <v>29/06/2023</v>
      </c>
      <c r="B243" s="82" t="str">
        <f t="shared" si="2"/>
        <v>06-29</v>
      </c>
      <c r="C243" s="82" t="str">
        <f t="shared" si="3"/>
        <v>USD</v>
      </c>
      <c r="D243" s="72" t="s">
        <v>69</v>
      </c>
      <c r="E243" s="72">
        <v>1230629.0</v>
      </c>
      <c r="F243" s="72" t="s">
        <v>146</v>
      </c>
      <c r="G243" s="72" t="s">
        <v>656</v>
      </c>
      <c r="H243" s="72" t="s">
        <v>190</v>
      </c>
      <c r="I243" s="72" t="s">
        <v>149</v>
      </c>
      <c r="J243" s="72" t="s">
        <v>74</v>
      </c>
      <c r="K243" s="72" t="s">
        <v>656</v>
      </c>
      <c r="L243" s="72" t="s">
        <v>75</v>
      </c>
      <c r="M243" s="72" t="s">
        <v>657</v>
      </c>
      <c r="N243" s="72" t="s">
        <v>158</v>
      </c>
      <c r="O243" s="72" t="s">
        <v>184</v>
      </c>
      <c r="P243" s="72" t="s">
        <v>79</v>
      </c>
      <c r="Q243" s="72" t="s">
        <v>80</v>
      </c>
      <c r="R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ht="14.25" customHeight="1">
      <c r="A244" s="72" t="str">
        <f t="shared" si="1"/>
        <v>29/06/2023</v>
      </c>
      <c r="B244" s="82" t="str">
        <f t="shared" si="2"/>
        <v>06-29</v>
      </c>
      <c r="C244" s="82" t="str">
        <f t="shared" si="3"/>
        <v>USD</v>
      </c>
      <c r="D244" s="72" t="s">
        <v>69</v>
      </c>
      <c r="E244" s="72">
        <v>1230629.0</v>
      </c>
      <c r="F244" s="72" t="s">
        <v>146</v>
      </c>
      <c r="G244" s="72" t="s">
        <v>658</v>
      </c>
      <c r="H244" s="72" t="s">
        <v>190</v>
      </c>
      <c r="I244" s="72" t="s">
        <v>149</v>
      </c>
      <c r="J244" s="72" t="s">
        <v>74</v>
      </c>
      <c r="K244" s="72" t="s">
        <v>658</v>
      </c>
      <c r="L244" s="72" t="s">
        <v>75</v>
      </c>
      <c r="M244" s="72" t="s">
        <v>659</v>
      </c>
      <c r="N244" s="72" t="s">
        <v>158</v>
      </c>
      <c r="O244" s="72" t="s">
        <v>184</v>
      </c>
      <c r="P244" s="72" t="s">
        <v>79</v>
      </c>
      <c r="Q244" s="72" t="s">
        <v>80</v>
      </c>
      <c r="R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ht="14.25" customHeight="1">
      <c r="A245" s="72" t="str">
        <f t="shared" si="1"/>
        <v>29/06/2023</v>
      </c>
      <c r="B245" s="82" t="str">
        <f t="shared" si="2"/>
        <v>06-29</v>
      </c>
      <c r="C245" s="82" t="str">
        <f t="shared" si="3"/>
        <v>USD</v>
      </c>
      <c r="D245" s="72" t="s">
        <v>69</v>
      </c>
      <c r="E245" s="72">
        <v>1230629.0</v>
      </c>
      <c r="F245" s="72" t="s">
        <v>146</v>
      </c>
      <c r="G245" s="72" t="s">
        <v>660</v>
      </c>
      <c r="H245" s="72" t="s">
        <v>190</v>
      </c>
      <c r="I245" s="72" t="s">
        <v>149</v>
      </c>
      <c r="J245" s="72" t="s">
        <v>74</v>
      </c>
      <c r="K245" s="72" t="s">
        <v>660</v>
      </c>
      <c r="L245" s="72" t="s">
        <v>75</v>
      </c>
      <c r="M245" s="72" t="s">
        <v>661</v>
      </c>
      <c r="N245" s="72" t="s">
        <v>158</v>
      </c>
      <c r="O245" s="72" t="s">
        <v>662</v>
      </c>
      <c r="P245" s="72" t="s">
        <v>79</v>
      </c>
      <c r="Q245" s="72" t="s">
        <v>80</v>
      </c>
      <c r="R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ht="14.25" customHeight="1">
      <c r="A246" s="72" t="str">
        <f t="shared" si="1"/>
        <v>29/06/2023</v>
      </c>
      <c r="B246" s="82" t="str">
        <f t="shared" si="2"/>
        <v>06-29</v>
      </c>
      <c r="C246" s="82" t="str">
        <f t="shared" si="3"/>
        <v>USD</v>
      </c>
      <c r="D246" s="72" t="s">
        <v>69</v>
      </c>
      <c r="E246" s="72">
        <v>1230629.0</v>
      </c>
      <c r="F246" s="72" t="s">
        <v>146</v>
      </c>
      <c r="G246" s="72" t="s">
        <v>663</v>
      </c>
      <c r="H246" s="72" t="s">
        <v>190</v>
      </c>
      <c r="I246" s="72" t="s">
        <v>149</v>
      </c>
      <c r="J246" s="72" t="s">
        <v>74</v>
      </c>
      <c r="K246" s="72" t="s">
        <v>663</v>
      </c>
      <c r="L246" s="72" t="s">
        <v>75</v>
      </c>
      <c r="M246" s="72" t="s">
        <v>664</v>
      </c>
      <c r="N246" s="72" t="s">
        <v>158</v>
      </c>
      <c r="O246" s="72" t="s">
        <v>184</v>
      </c>
      <c r="P246" s="72" t="s">
        <v>79</v>
      </c>
      <c r="Q246" s="72" t="s">
        <v>80</v>
      </c>
      <c r="R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ht="14.25" customHeight="1">
      <c r="A247" s="72" t="str">
        <f t="shared" si="1"/>
        <v>29/06/2023</v>
      </c>
      <c r="B247" s="82" t="str">
        <f t="shared" si="2"/>
        <v>06-29</v>
      </c>
      <c r="C247" s="82" t="str">
        <f t="shared" si="3"/>
        <v>USD</v>
      </c>
      <c r="D247" s="72" t="s">
        <v>69</v>
      </c>
      <c r="E247" s="72">
        <v>1230629.0</v>
      </c>
      <c r="F247" s="72" t="s">
        <v>146</v>
      </c>
      <c r="G247" s="72" t="s">
        <v>665</v>
      </c>
      <c r="H247" s="72" t="s">
        <v>190</v>
      </c>
      <c r="I247" s="72" t="s">
        <v>149</v>
      </c>
      <c r="J247" s="72" t="s">
        <v>74</v>
      </c>
      <c r="K247" s="72" t="s">
        <v>665</v>
      </c>
      <c r="L247" s="72" t="s">
        <v>75</v>
      </c>
      <c r="M247" s="72" t="s">
        <v>666</v>
      </c>
      <c r="N247" s="72" t="s">
        <v>158</v>
      </c>
      <c r="O247" s="72" t="s">
        <v>184</v>
      </c>
      <c r="P247" s="72" t="s">
        <v>79</v>
      </c>
      <c r="Q247" s="72" t="s">
        <v>80</v>
      </c>
      <c r="R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ht="14.25" customHeight="1">
      <c r="A248" s="72" t="str">
        <f t="shared" si="1"/>
        <v>29/06/2023</v>
      </c>
      <c r="B248" s="82" t="str">
        <f t="shared" si="2"/>
        <v>06-29</v>
      </c>
      <c r="C248" s="82" t="str">
        <f t="shared" si="3"/>
        <v>USD</v>
      </c>
      <c r="D248" s="72" t="s">
        <v>69</v>
      </c>
      <c r="E248" s="72">
        <v>1230629.0</v>
      </c>
      <c r="F248" s="72" t="s">
        <v>146</v>
      </c>
      <c r="G248" s="72" t="s">
        <v>667</v>
      </c>
      <c r="H248" s="72" t="s">
        <v>190</v>
      </c>
      <c r="I248" s="72" t="s">
        <v>149</v>
      </c>
      <c r="J248" s="72" t="s">
        <v>74</v>
      </c>
      <c r="K248" s="72" t="s">
        <v>667</v>
      </c>
      <c r="L248" s="72" t="s">
        <v>75</v>
      </c>
      <c r="M248" s="72" t="s">
        <v>668</v>
      </c>
      <c r="N248" s="72" t="s">
        <v>158</v>
      </c>
      <c r="O248" s="72" t="s">
        <v>184</v>
      </c>
      <c r="P248" s="72" t="s">
        <v>79</v>
      </c>
      <c r="Q248" s="72" t="s">
        <v>80</v>
      </c>
      <c r="R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ht="14.25" customHeight="1">
      <c r="A249" s="72" t="str">
        <f t="shared" si="1"/>
        <v>29/06/2023</v>
      </c>
      <c r="B249" s="82" t="str">
        <f t="shared" si="2"/>
        <v>06-29</v>
      </c>
      <c r="C249" s="82" t="str">
        <f t="shared" si="3"/>
        <v>USD</v>
      </c>
      <c r="D249" s="72" t="s">
        <v>69</v>
      </c>
      <c r="E249" s="72">
        <v>1230629.0</v>
      </c>
      <c r="F249" s="72" t="s">
        <v>146</v>
      </c>
      <c r="G249" s="72" t="s">
        <v>669</v>
      </c>
      <c r="H249" s="72" t="s">
        <v>190</v>
      </c>
      <c r="I249" s="72" t="s">
        <v>149</v>
      </c>
      <c r="J249" s="72" t="s">
        <v>74</v>
      </c>
      <c r="K249" s="72" t="s">
        <v>669</v>
      </c>
      <c r="L249" s="72" t="s">
        <v>75</v>
      </c>
      <c r="M249" s="72" t="s">
        <v>670</v>
      </c>
      <c r="N249" s="72" t="s">
        <v>158</v>
      </c>
      <c r="O249" s="72" t="s">
        <v>184</v>
      </c>
      <c r="P249" s="72" t="s">
        <v>79</v>
      </c>
      <c r="Q249" s="72" t="s">
        <v>80</v>
      </c>
      <c r="R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ht="14.25" customHeight="1">
      <c r="A250" s="72" t="str">
        <f t="shared" si="1"/>
        <v>29/06/2023</v>
      </c>
      <c r="B250" s="82" t="str">
        <f t="shared" si="2"/>
        <v>06-29</v>
      </c>
      <c r="C250" s="82" t="str">
        <f t="shared" si="3"/>
        <v>USD</v>
      </c>
      <c r="D250" s="72" t="s">
        <v>69</v>
      </c>
      <c r="E250" s="72">
        <v>1230629.0</v>
      </c>
      <c r="F250" s="72" t="s">
        <v>146</v>
      </c>
      <c r="G250" s="72" t="s">
        <v>671</v>
      </c>
      <c r="H250" s="72" t="s">
        <v>190</v>
      </c>
      <c r="I250" s="72" t="s">
        <v>149</v>
      </c>
      <c r="J250" s="72" t="s">
        <v>74</v>
      </c>
      <c r="K250" s="72" t="s">
        <v>671</v>
      </c>
      <c r="L250" s="72" t="s">
        <v>75</v>
      </c>
      <c r="M250" s="72" t="s">
        <v>672</v>
      </c>
      <c r="N250" s="72" t="s">
        <v>158</v>
      </c>
      <c r="O250" s="72" t="s">
        <v>184</v>
      </c>
      <c r="P250" s="72" t="s">
        <v>79</v>
      </c>
      <c r="Q250" s="72" t="s">
        <v>80</v>
      </c>
      <c r="R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ht="14.25" customHeight="1">
      <c r="A251" s="72" t="str">
        <f t="shared" si="1"/>
        <v>29/06/2023</v>
      </c>
      <c r="B251" s="82" t="str">
        <f t="shared" si="2"/>
        <v>06-29</v>
      </c>
      <c r="C251" s="82" t="str">
        <f t="shared" si="3"/>
        <v>USD</v>
      </c>
      <c r="D251" s="72" t="s">
        <v>69</v>
      </c>
      <c r="E251" s="72">
        <v>1230629.0</v>
      </c>
      <c r="F251" s="72" t="s">
        <v>146</v>
      </c>
      <c r="G251" s="72" t="s">
        <v>673</v>
      </c>
      <c r="H251" s="72" t="s">
        <v>190</v>
      </c>
      <c r="I251" s="72" t="s">
        <v>149</v>
      </c>
      <c r="J251" s="72" t="s">
        <v>74</v>
      </c>
      <c r="K251" s="72" t="s">
        <v>673</v>
      </c>
      <c r="L251" s="72" t="s">
        <v>75</v>
      </c>
      <c r="M251" s="72" t="s">
        <v>674</v>
      </c>
      <c r="N251" s="72" t="s">
        <v>158</v>
      </c>
      <c r="O251" s="72" t="s">
        <v>184</v>
      </c>
      <c r="P251" s="72" t="s">
        <v>79</v>
      </c>
      <c r="Q251" s="72" t="s">
        <v>80</v>
      </c>
      <c r="R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ht="14.25" customHeight="1">
      <c r="A252" s="72" t="str">
        <f t="shared" si="1"/>
        <v>29/06/2023</v>
      </c>
      <c r="B252" s="82" t="str">
        <f t="shared" si="2"/>
        <v>06-29</v>
      </c>
      <c r="C252" s="82" t="str">
        <f t="shared" si="3"/>
        <v>USD</v>
      </c>
      <c r="D252" s="72" t="s">
        <v>69</v>
      </c>
      <c r="E252" s="72">
        <v>1230629.0</v>
      </c>
      <c r="F252" s="72" t="s">
        <v>146</v>
      </c>
      <c r="G252" s="72" t="s">
        <v>675</v>
      </c>
      <c r="H252" s="72" t="s">
        <v>190</v>
      </c>
      <c r="I252" s="72" t="s">
        <v>149</v>
      </c>
      <c r="J252" s="72" t="s">
        <v>74</v>
      </c>
      <c r="K252" s="72" t="s">
        <v>675</v>
      </c>
      <c r="L252" s="72" t="s">
        <v>75</v>
      </c>
      <c r="M252" s="72" t="s">
        <v>676</v>
      </c>
      <c r="N252" s="72" t="s">
        <v>158</v>
      </c>
      <c r="O252" s="72" t="s">
        <v>184</v>
      </c>
      <c r="P252" s="72" t="s">
        <v>79</v>
      </c>
      <c r="Q252" s="72" t="s">
        <v>80</v>
      </c>
      <c r="R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ht="14.25" customHeight="1">
      <c r="A253" s="72" t="str">
        <f t="shared" si="1"/>
        <v>29/06/2023</v>
      </c>
      <c r="B253" s="82" t="str">
        <f t="shared" si="2"/>
        <v>06-29</v>
      </c>
      <c r="C253" s="82" t="str">
        <f t="shared" si="3"/>
        <v>USD</v>
      </c>
      <c r="D253" s="72" t="s">
        <v>69</v>
      </c>
      <c r="E253" s="72">
        <v>1230629.0</v>
      </c>
      <c r="F253" s="72" t="s">
        <v>70</v>
      </c>
      <c r="G253" s="72" t="s">
        <v>677</v>
      </c>
      <c r="H253" s="72" t="s">
        <v>308</v>
      </c>
      <c r="I253" s="72" t="s">
        <v>309</v>
      </c>
      <c r="J253" s="72" t="s">
        <v>310</v>
      </c>
      <c r="K253" s="72" t="s">
        <v>677</v>
      </c>
      <c r="L253" s="72" t="s">
        <v>75</v>
      </c>
      <c r="M253" s="72" t="s">
        <v>678</v>
      </c>
      <c r="N253" s="72" t="s">
        <v>679</v>
      </c>
      <c r="O253" s="72" t="s">
        <v>680</v>
      </c>
      <c r="P253" s="72" t="s">
        <v>79</v>
      </c>
      <c r="Q253" s="72" t="s">
        <v>145</v>
      </c>
      <c r="R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ht="14.25" customHeight="1">
      <c r="A254" s="72" t="str">
        <f t="shared" si="1"/>
        <v>29/06/2023</v>
      </c>
      <c r="B254" s="82" t="str">
        <f t="shared" si="2"/>
        <v>06-29</v>
      </c>
      <c r="C254" s="82" t="str">
        <f t="shared" si="3"/>
        <v>USD</v>
      </c>
      <c r="D254" s="82" t="s">
        <v>69</v>
      </c>
      <c r="E254" s="82">
        <v>1230629.0</v>
      </c>
      <c r="F254" s="82" t="s">
        <v>70</v>
      </c>
      <c r="G254" s="82" t="s">
        <v>681</v>
      </c>
      <c r="H254" s="82" t="s">
        <v>72</v>
      </c>
      <c r="I254" s="82" t="s">
        <v>73</v>
      </c>
      <c r="J254" s="82" t="s">
        <v>74</v>
      </c>
      <c r="K254" s="82" t="s">
        <v>681</v>
      </c>
      <c r="L254" s="82" t="s">
        <v>75</v>
      </c>
      <c r="M254" s="82" t="s">
        <v>682</v>
      </c>
      <c r="N254" s="82" t="s">
        <v>494</v>
      </c>
      <c r="O254" s="82" t="s">
        <v>683</v>
      </c>
      <c r="P254" s="82" t="s">
        <v>79</v>
      </c>
      <c r="Q254" s="82" t="s">
        <v>133</v>
      </c>
      <c r="R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ht="14.25" customHeight="1">
      <c r="A255" s="72" t="str">
        <f t="shared" si="1"/>
        <v>29/06/2023</v>
      </c>
      <c r="B255" s="82" t="str">
        <f t="shared" si="2"/>
        <v>06-29</v>
      </c>
      <c r="C255" s="82" t="str">
        <f t="shared" si="3"/>
        <v>USD</v>
      </c>
      <c r="D255" s="82" t="s">
        <v>69</v>
      </c>
      <c r="E255" s="82">
        <v>1230629.0</v>
      </c>
      <c r="F255" s="82" t="s">
        <v>70</v>
      </c>
      <c r="G255" s="82" t="s">
        <v>684</v>
      </c>
      <c r="H255" s="82" t="s">
        <v>72</v>
      </c>
      <c r="I255" s="82" t="s">
        <v>73</v>
      </c>
      <c r="J255" s="82" t="s">
        <v>74</v>
      </c>
      <c r="K255" s="82" t="s">
        <v>684</v>
      </c>
      <c r="L255" s="82" t="s">
        <v>75</v>
      </c>
      <c r="M255" s="82" t="s">
        <v>685</v>
      </c>
      <c r="N255" s="82" t="s">
        <v>494</v>
      </c>
      <c r="O255" s="82" t="s">
        <v>683</v>
      </c>
      <c r="P255" s="82" t="s">
        <v>79</v>
      </c>
      <c r="Q255" s="82" t="s">
        <v>133</v>
      </c>
      <c r="R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ht="14.25" customHeight="1">
      <c r="A256" s="72" t="str">
        <f t="shared" si="1"/>
        <v>29/06/2023</v>
      </c>
      <c r="B256" s="82" t="str">
        <f t="shared" si="2"/>
        <v>06-29</v>
      </c>
      <c r="C256" s="82" t="str">
        <f t="shared" si="3"/>
        <v>USD</v>
      </c>
      <c r="D256" s="82" t="s">
        <v>69</v>
      </c>
      <c r="E256" s="82">
        <v>1230629.0</v>
      </c>
      <c r="F256" s="82" t="s">
        <v>70</v>
      </c>
      <c r="G256" s="82" t="s">
        <v>686</v>
      </c>
      <c r="H256" s="82" t="s">
        <v>72</v>
      </c>
      <c r="I256" s="82" t="s">
        <v>73</v>
      </c>
      <c r="J256" s="82" t="s">
        <v>74</v>
      </c>
      <c r="K256" s="82" t="s">
        <v>686</v>
      </c>
      <c r="L256" s="82" t="s">
        <v>75</v>
      </c>
      <c r="M256" s="82" t="s">
        <v>687</v>
      </c>
      <c r="N256" s="82" t="s">
        <v>494</v>
      </c>
      <c r="O256" s="82" t="s">
        <v>683</v>
      </c>
      <c r="P256" s="82" t="s">
        <v>79</v>
      </c>
      <c r="Q256" s="82" t="s">
        <v>133</v>
      </c>
      <c r="R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ht="14.25" customHeight="1">
      <c r="A257" s="72" t="str">
        <f t="shared" si="1"/>
        <v>29/06/2023</v>
      </c>
      <c r="B257" s="82" t="str">
        <f t="shared" si="2"/>
        <v>06-29</v>
      </c>
      <c r="C257" s="82" t="str">
        <f t="shared" si="3"/>
        <v>USD</v>
      </c>
      <c r="D257" s="82" t="s">
        <v>69</v>
      </c>
      <c r="E257" s="82">
        <v>1230629.0</v>
      </c>
      <c r="F257" s="82" t="s">
        <v>146</v>
      </c>
      <c r="G257" s="82" t="s">
        <v>688</v>
      </c>
      <c r="H257" s="82" t="s">
        <v>148</v>
      </c>
      <c r="I257" s="82" t="s">
        <v>149</v>
      </c>
      <c r="J257" s="82" t="s">
        <v>74</v>
      </c>
      <c r="K257" s="82" t="s">
        <v>688</v>
      </c>
      <c r="L257" s="82" t="s">
        <v>75</v>
      </c>
      <c r="M257" s="82" t="s">
        <v>689</v>
      </c>
      <c r="N257" s="82" t="s">
        <v>204</v>
      </c>
      <c r="O257" s="82" t="s">
        <v>690</v>
      </c>
      <c r="P257" s="82" t="s">
        <v>79</v>
      </c>
      <c r="Q257" s="82" t="s">
        <v>145</v>
      </c>
      <c r="R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ht="14.25" customHeight="1">
      <c r="A258" s="72" t="str">
        <f t="shared" si="1"/>
        <v>30/06/2023</v>
      </c>
      <c r="B258" s="82" t="str">
        <f t="shared" si="2"/>
        <v>06-30</v>
      </c>
      <c r="C258" s="82" t="str">
        <f t="shared" si="3"/>
        <v>USD</v>
      </c>
      <c r="D258" s="82" t="s">
        <v>69</v>
      </c>
      <c r="E258" s="82">
        <v>1230630.0</v>
      </c>
      <c r="F258" s="82" t="s">
        <v>70</v>
      </c>
      <c r="G258" s="82" t="s">
        <v>691</v>
      </c>
      <c r="H258" s="82" t="s">
        <v>82</v>
      </c>
      <c r="I258" s="82" t="s">
        <v>83</v>
      </c>
      <c r="J258" s="82" t="s">
        <v>84</v>
      </c>
      <c r="K258" s="82" t="s">
        <v>691</v>
      </c>
      <c r="L258" s="82" t="s">
        <v>75</v>
      </c>
      <c r="M258" s="82" t="s">
        <v>692</v>
      </c>
      <c r="N258" s="82" t="s">
        <v>693</v>
      </c>
      <c r="O258" s="82" t="s">
        <v>694</v>
      </c>
      <c r="P258" s="82" t="s">
        <v>79</v>
      </c>
      <c r="Q258" s="82" t="s">
        <v>80</v>
      </c>
      <c r="R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ht="14.25" customHeight="1">
      <c r="A259" s="72" t="str">
        <f t="shared" si="1"/>
        <v>30/06/2023</v>
      </c>
      <c r="B259" s="82" t="str">
        <f t="shared" si="2"/>
        <v>06-30</v>
      </c>
      <c r="C259" s="82" t="str">
        <f t="shared" si="3"/>
        <v>USD</v>
      </c>
      <c r="D259" s="82" t="s">
        <v>69</v>
      </c>
      <c r="E259" s="82">
        <v>1230630.0</v>
      </c>
      <c r="F259" s="82" t="s">
        <v>70</v>
      </c>
      <c r="G259" s="82" t="s">
        <v>695</v>
      </c>
      <c r="H259" s="82" t="s">
        <v>82</v>
      </c>
      <c r="I259" s="82" t="s">
        <v>83</v>
      </c>
      <c r="J259" s="82" t="s">
        <v>84</v>
      </c>
      <c r="K259" s="82" t="s">
        <v>695</v>
      </c>
      <c r="L259" s="82" t="s">
        <v>75</v>
      </c>
      <c r="M259" s="82" t="s">
        <v>696</v>
      </c>
      <c r="N259" s="82" t="s">
        <v>693</v>
      </c>
      <c r="O259" s="82" t="s">
        <v>694</v>
      </c>
      <c r="P259" s="82" t="s">
        <v>79</v>
      </c>
      <c r="Q259" s="82" t="s">
        <v>80</v>
      </c>
      <c r="R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ht="14.25" customHeight="1">
      <c r="A260" s="72" t="str">
        <f t="shared" si="1"/>
        <v>30/06/2023</v>
      </c>
      <c r="B260" s="82" t="str">
        <f t="shared" si="2"/>
        <v>06-30</v>
      </c>
      <c r="C260" s="82" t="str">
        <f t="shared" si="3"/>
        <v>USD</v>
      </c>
      <c r="D260" s="72" t="s">
        <v>69</v>
      </c>
      <c r="E260" s="72">
        <v>1230630.0</v>
      </c>
      <c r="F260" s="72" t="s">
        <v>70</v>
      </c>
      <c r="G260" s="72" t="s">
        <v>697</v>
      </c>
      <c r="H260" s="72" t="s">
        <v>172</v>
      </c>
      <c r="I260" s="72" t="s">
        <v>173</v>
      </c>
      <c r="J260" s="72" t="s">
        <v>174</v>
      </c>
      <c r="K260" s="72" t="s">
        <v>697</v>
      </c>
      <c r="L260" s="72" t="s">
        <v>75</v>
      </c>
      <c r="M260" s="72" t="s">
        <v>698</v>
      </c>
      <c r="N260" s="72" t="s">
        <v>699</v>
      </c>
      <c r="O260" s="72" t="s">
        <v>700</v>
      </c>
      <c r="P260" s="72" t="s">
        <v>79</v>
      </c>
      <c r="Q260" s="72" t="s">
        <v>122</v>
      </c>
      <c r="R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ht="14.25" customHeight="1">
      <c r="A261" s="72" t="str">
        <f t="shared" si="1"/>
        <v>30/06/2023</v>
      </c>
      <c r="B261" s="82" t="str">
        <f t="shared" si="2"/>
        <v>06-30</v>
      </c>
      <c r="C261" s="82" t="str">
        <f t="shared" si="3"/>
        <v>USD</v>
      </c>
      <c r="D261" s="72" t="s">
        <v>69</v>
      </c>
      <c r="E261" s="72">
        <v>1230630.0</v>
      </c>
      <c r="F261" s="72" t="s">
        <v>70</v>
      </c>
      <c r="G261" s="72" t="s">
        <v>701</v>
      </c>
      <c r="H261" s="72" t="s">
        <v>172</v>
      </c>
      <c r="I261" s="72" t="s">
        <v>173</v>
      </c>
      <c r="J261" s="72" t="s">
        <v>174</v>
      </c>
      <c r="K261" s="72" t="s">
        <v>701</v>
      </c>
      <c r="L261" s="72" t="s">
        <v>75</v>
      </c>
      <c r="M261" s="72" t="s">
        <v>698</v>
      </c>
      <c r="N261" s="72" t="s">
        <v>699</v>
      </c>
      <c r="O261" s="72" t="s">
        <v>700</v>
      </c>
      <c r="P261" s="72" t="s">
        <v>79</v>
      </c>
      <c r="Q261" s="72" t="s">
        <v>122</v>
      </c>
      <c r="R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ht="14.25" customHeight="1">
      <c r="A262" s="72" t="str">
        <f t="shared" si="1"/>
        <v>30/06/2023</v>
      </c>
      <c r="B262" s="82" t="str">
        <f t="shared" si="2"/>
        <v>06-30</v>
      </c>
      <c r="C262" s="82" t="str">
        <f t="shared" si="3"/>
        <v>USD</v>
      </c>
      <c r="D262" s="72" t="s">
        <v>69</v>
      </c>
      <c r="E262" s="72">
        <v>1230630.0</v>
      </c>
      <c r="F262" s="72" t="s">
        <v>70</v>
      </c>
      <c r="G262" s="72" t="s">
        <v>702</v>
      </c>
      <c r="H262" s="72" t="s">
        <v>172</v>
      </c>
      <c r="I262" s="72" t="s">
        <v>173</v>
      </c>
      <c r="J262" s="72" t="s">
        <v>174</v>
      </c>
      <c r="K262" s="72" t="s">
        <v>702</v>
      </c>
      <c r="L262" s="72" t="s">
        <v>75</v>
      </c>
      <c r="M262" s="72" t="s">
        <v>698</v>
      </c>
      <c r="N262" s="72" t="s">
        <v>703</v>
      </c>
      <c r="O262" s="72" t="s">
        <v>704</v>
      </c>
      <c r="P262" s="72" t="s">
        <v>79</v>
      </c>
      <c r="Q262" s="72" t="s">
        <v>122</v>
      </c>
      <c r="R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ht="14.25" customHeight="1">
      <c r="A263" s="72" t="str">
        <f t="shared" si="1"/>
        <v>30/06/2023</v>
      </c>
      <c r="B263" s="82" t="str">
        <f t="shared" si="2"/>
        <v>06-30</v>
      </c>
      <c r="C263" s="82" t="str">
        <f t="shared" si="3"/>
        <v>USD</v>
      </c>
      <c r="D263" s="72" t="s">
        <v>69</v>
      </c>
      <c r="E263" s="72">
        <v>1230630.0</v>
      </c>
      <c r="F263" s="72" t="s">
        <v>70</v>
      </c>
      <c r="G263" s="72" t="s">
        <v>705</v>
      </c>
      <c r="H263" s="72" t="s">
        <v>172</v>
      </c>
      <c r="I263" s="72" t="s">
        <v>173</v>
      </c>
      <c r="J263" s="72" t="s">
        <v>174</v>
      </c>
      <c r="K263" s="72" t="s">
        <v>705</v>
      </c>
      <c r="L263" s="72" t="s">
        <v>75</v>
      </c>
      <c r="M263" s="72" t="s">
        <v>698</v>
      </c>
      <c r="N263" s="72" t="s">
        <v>703</v>
      </c>
      <c r="O263" s="72" t="s">
        <v>704</v>
      </c>
      <c r="P263" s="72" t="s">
        <v>79</v>
      </c>
      <c r="Q263" s="72" t="s">
        <v>122</v>
      </c>
      <c r="R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ht="14.25" customHeight="1">
      <c r="A264" s="72" t="str">
        <f t="shared" si="1"/>
        <v>30/06/2023</v>
      </c>
      <c r="B264" s="82" t="str">
        <f t="shared" si="2"/>
        <v>06-30</v>
      </c>
      <c r="C264" s="82" t="str">
        <f t="shared" si="3"/>
        <v>USD</v>
      </c>
      <c r="D264" s="72" t="s">
        <v>69</v>
      </c>
      <c r="E264" s="72">
        <v>1230630.0</v>
      </c>
      <c r="F264" s="72" t="s">
        <v>70</v>
      </c>
      <c r="G264" s="72" t="s">
        <v>706</v>
      </c>
      <c r="H264" s="72" t="s">
        <v>172</v>
      </c>
      <c r="I264" s="72" t="s">
        <v>173</v>
      </c>
      <c r="J264" s="72" t="s">
        <v>174</v>
      </c>
      <c r="K264" s="72" t="s">
        <v>706</v>
      </c>
      <c r="L264" s="72" t="s">
        <v>75</v>
      </c>
      <c r="M264" s="72" t="s">
        <v>698</v>
      </c>
      <c r="N264" s="72" t="s">
        <v>561</v>
      </c>
      <c r="O264" s="72" t="s">
        <v>562</v>
      </c>
      <c r="P264" s="72" t="s">
        <v>79</v>
      </c>
      <c r="Q264" s="72" t="s">
        <v>122</v>
      </c>
      <c r="R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ht="14.25" customHeight="1">
      <c r="A265" s="72" t="str">
        <f t="shared" si="1"/>
        <v>30/06/2023</v>
      </c>
      <c r="B265" s="82" t="str">
        <f t="shared" si="2"/>
        <v>06-30</v>
      </c>
      <c r="C265" s="82" t="str">
        <f t="shared" si="3"/>
        <v>USD</v>
      </c>
      <c r="D265" s="72" t="s">
        <v>69</v>
      </c>
      <c r="E265" s="72">
        <v>1230630.0</v>
      </c>
      <c r="F265" s="72" t="s">
        <v>70</v>
      </c>
      <c r="G265" s="72" t="s">
        <v>707</v>
      </c>
      <c r="H265" s="72" t="s">
        <v>172</v>
      </c>
      <c r="I265" s="72" t="s">
        <v>173</v>
      </c>
      <c r="J265" s="72" t="s">
        <v>174</v>
      </c>
      <c r="K265" s="72" t="s">
        <v>707</v>
      </c>
      <c r="L265" s="72" t="s">
        <v>75</v>
      </c>
      <c r="M265" s="72" t="s">
        <v>708</v>
      </c>
      <c r="N265" s="72" t="s">
        <v>561</v>
      </c>
      <c r="O265" s="72" t="s">
        <v>562</v>
      </c>
      <c r="P265" s="72" t="s">
        <v>79</v>
      </c>
      <c r="Q265" s="72" t="s">
        <v>122</v>
      </c>
      <c r="R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ht="14.25" customHeight="1">
      <c r="A266" s="72" t="str">
        <f t="shared" si="1"/>
        <v>30/06/2023</v>
      </c>
      <c r="B266" s="82" t="str">
        <f t="shared" si="2"/>
        <v>06-30</v>
      </c>
      <c r="C266" s="82" t="str">
        <f t="shared" si="3"/>
        <v>USD</v>
      </c>
      <c r="D266" s="72" t="s">
        <v>69</v>
      </c>
      <c r="E266" s="72">
        <v>1230630.0</v>
      </c>
      <c r="F266" s="72" t="s">
        <v>70</v>
      </c>
      <c r="G266" s="72" t="s">
        <v>709</v>
      </c>
      <c r="H266" s="72" t="s">
        <v>172</v>
      </c>
      <c r="I266" s="72" t="s">
        <v>173</v>
      </c>
      <c r="J266" s="72" t="s">
        <v>174</v>
      </c>
      <c r="K266" s="72" t="s">
        <v>709</v>
      </c>
      <c r="L266" s="72" t="s">
        <v>75</v>
      </c>
      <c r="M266" s="72" t="s">
        <v>710</v>
      </c>
      <c r="N266" s="72" t="s">
        <v>561</v>
      </c>
      <c r="O266" s="72" t="s">
        <v>562</v>
      </c>
      <c r="P266" s="72" t="s">
        <v>79</v>
      </c>
      <c r="Q266" s="72" t="s">
        <v>122</v>
      </c>
      <c r="R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ht="14.25" customHeight="1">
      <c r="A267" s="72" t="str">
        <f t="shared" si="1"/>
        <v>30/06/2023</v>
      </c>
      <c r="B267" s="82" t="str">
        <f t="shared" si="2"/>
        <v>06-30</v>
      </c>
      <c r="C267" s="82" t="str">
        <f t="shared" si="3"/>
        <v>USD</v>
      </c>
      <c r="D267" s="72" t="s">
        <v>69</v>
      </c>
      <c r="E267" s="72">
        <v>1230630.0</v>
      </c>
      <c r="F267" s="72" t="s">
        <v>70</v>
      </c>
      <c r="G267" s="72" t="s">
        <v>711</v>
      </c>
      <c r="H267" s="72" t="s">
        <v>172</v>
      </c>
      <c r="I267" s="72" t="s">
        <v>173</v>
      </c>
      <c r="J267" s="72" t="s">
        <v>174</v>
      </c>
      <c r="K267" s="72" t="s">
        <v>711</v>
      </c>
      <c r="L267" s="72" t="s">
        <v>75</v>
      </c>
      <c r="M267" s="72" t="s">
        <v>712</v>
      </c>
      <c r="N267" s="72" t="s">
        <v>561</v>
      </c>
      <c r="O267" s="72" t="s">
        <v>562</v>
      </c>
      <c r="P267" s="72" t="s">
        <v>79</v>
      </c>
      <c r="Q267" s="72" t="s">
        <v>122</v>
      </c>
      <c r="R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ht="14.25" customHeight="1">
      <c r="A268" s="72" t="str">
        <f t="shared" si="1"/>
        <v>30/06/2023</v>
      </c>
      <c r="B268" s="82" t="str">
        <f t="shared" si="2"/>
        <v>06-30</v>
      </c>
      <c r="C268" s="82" t="str">
        <f t="shared" si="3"/>
        <v>USD</v>
      </c>
      <c r="D268" s="72" t="s">
        <v>69</v>
      </c>
      <c r="E268" s="72">
        <v>1230630.0</v>
      </c>
      <c r="F268" s="72" t="s">
        <v>70</v>
      </c>
      <c r="G268" s="72" t="s">
        <v>713</v>
      </c>
      <c r="H268" s="72" t="s">
        <v>172</v>
      </c>
      <c r="I268" s="72" t="s">
        <v>173</v>
      </c>
      <c r="J268" s="72" t="s">
        <v>174</v>
      </c>
      <c r="K268" s="72" t="s">
        <v>713</v>
      </c>
      <c r="L268" s="72" t="s">
        <v>75</v>
      </c>
      <c r="M268" s="72" t="s">
        <v>714</v>
      </c>
      <c r="N268" s="72" t="s">
        <v>561</v>
      </c>
      <c r="O268" s="72" t="s">
        <v>562</v>
      </c>
      <c r="P268" s="72" t="s">
        <v>79</v>
      </c>
      <c r="Q268" s="72" t="s">
        <v>122</v>
      </c>
      <c r="R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ht="14.25" customHeight="1">
      <c r="A269" s="72" t="str">
        <f t="shared" si="1"/>
        <v>30/06/2023</v>
      </c>
      <c r="B269" s="82" t="str">
        <f t="shared" si="2"/>
        <v>06-30</v>
      </c>
      <c r="C269" s="82" t="str">
        <f t="shared" si="3"/>
        <v>USD</v>
      </c>
      <c r="D269" s="72" t="s">
        <v>69</v>
      </c>
      <c r="E269" s="72">
        <v>1230630.0</v>
      </c>
      <c r="F269" s="72" t="s">
        <v>70</v>
      </c>
      <c r="G269" s="72" t="s">
        <v>715</v>
      </c>
      <c r="H269" s="72" t="s">
        <v>172</v>
      </c>
      <c r="I269" s="72" t="s">
        <v>173</v>
      </c>
      <c r="J269" s="72" t="s">
        <v>174</v>
      </c>
      <c r="K269" s="72" t="s">
        <v>715</v>
      </c>
      <c r="L269" s="72" t="s">
        <v>75</v>
      </c>
      <c r="M269" s="72" t="s">
        <v>716</v>
      </c>
      <c r="N269" s="72" t="s">
        <v>561</v>
      </c>
      <c r="O269" s="72" t="s">
        <v>562</v>
      </c>
      <c r="P269" s="72" t="s">
        <v>79</v>
      </c>
      <c r="Q269" s="72" t="s">
        <v>122</v>
      </c>
      <c r="R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ht="14.25" customHeight="1">
      <c r="A270" s="72" t="str">
        <f t="shared" si="1"/>
        <v>30/06/2023</v>
      </c>
      <c r="B270" s="82" t="str">
        <f t="shared" si="2"/>
        <v>06-30</v>
      </c>
      <c r="C270" s="82" t="str">
        <f t="shared" si="3"/>
        <v>USD</v>
      </c>
      <c r="D270" s="72" t="s">
        <v>69</v>
      </c>
      <c r="E270" s="72">
        <v>1230630.0</v>
      </c>
      <c r="F270" s="72" t="s">
        <v>70</v>
      </c>
      <c r="G270" s="72" t="s">
        <v>717</v>
      </c>
      <c r="H270" s="72" t="s">
        <v>172</v>
      </c>
      <c r="I270" s="72" t="s">
        <v>173</v>
      </c>
      <c r="J270" s="72" t="s">
        <v>174</v>
      </c>
      <c r="K270" s="72" t="s">
        <v>717</v>
      </c>
      <c r="L270" s="72" t="s">
        <v>75</v>
      </c>
      <c r="M270" s="72" t="s">
        <v>718</v>
      </c>
      <c r="N270" s="72" t="s">
        <v>561</v>
      </c>
      <c r="O270" s="72" t="s">
        <v>562</v>
      </c>
      <c r="P270" s="72" t="s">
        <v>79</v>
      </c>
      <c r="Q270" s="72" t="s">
        <v>122</v>
      </c>
      <c r="R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ht="14.25" customHeight="1">
      <c r="A271" s="72" t="str">
        <f t="shared" si="1"/>
        <v>30/06/2023</v>
      </c>
      <c r="B271" s="82" t="str">
        <f t="shared" si="2"/>
        <v>06-30</v>
      </c>
      <c r="C271" s="82" t="str">
        <f t="shared" si="3"/>
        <v>USD</v>
      </c>
      <c r="D271" s="72" t="s">
        <v>69</v>
      </c>
      <c r="E271" s="72">
        <v>1230630.0</v>
      </c>
      <c r="F271" s="72" t="s">
        <v>70</v>
      </c>
      <c r="G271" s="72" t="s">
        <v>719</v>
      </c>
      <c r="H271" s="72" t="s">
        <v>172</v>
      </c>
      <c r="I271" s="72" t="s">
        <v>173</v>
      </c>
      <c r="J271" s="72" t="s">
        <v>174</v>
      </c>
      <c r="K271" s="72" t="s">
        <v>719</v>
      </c>
      <c r="L271" s="72" t="s">
        <v>75</v>
      </c>
      <c r="M271" s="72" t="s">
        <v>720</v>
      </c>
      <c r="N271" s="72" t="s">
        <v>561</v>
      </c>
      <c r="O271" s="72" t="s">
        <v>562</v>
      </c>
      <c r="P271" s="72" t="s">
        <v>79</v>
      </c>
      <c r="Q271" s="72" t="s">
        <v>122</v>
      </c>
      <c r="R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ht="14.25" customHeight="1">
      <c r="A272" s="72" t="str">
        <f t="shared" si="1"/>
        <v>30/06/2023</v>
      </c>
      <c r="B272" s="82" t="str">
        <f t="shared" si="2"/>
        <v>06-30</v>
      </c>
      <c r="C272" s="82" t="str">
        <f t="shared" si="3"/>
        <v>USD</v>
      </c>
      <c r="D272" s="72" t="s">
        <v>69</v>
      </c>
      <c r="E272" s="72">
        <v>1230630.0</v>
      </c>
      <c r="F272" s="72" t="s">
        <v>70</v>
      </c>
      <c r="G272" s="72" t="s">
        <v>721</v>
      </c>
      <c r="H272" s="72" t="s">
        <v>172</v>
      </c>
      <c r="I272" s="72" t="s">
        <v>173</v>
      </c>
      <c r="J272" s="72" t="s">
        <v>174</v>
      </c>
      <c r="K272" s="72" t="s">
        <v>721</v>
      </c>
      <c r="L272" s="72" t="s">
        <v>75</v>
      </c>
      <c r="M272" s="72" t="s">
        <v>722</v>
      </c>
      <c r="N272" s="72" t="s">
        <v>561</v>
      </c>
      <c r="O272" s="72" t="s">
        <v>562</v>
      </c>
      <c r="P272" s="72" t="s">
        <v>79</v>
      </c>
      <c r="Q272" s="72" t="s">
        <v>122</v>
      </c>
      <c r="R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ht="14.25" customHeight="1">
      <c r="A273" s="72" t="str">
        <f t="shared" si="1"/>
        <v>30/06/2023</v>
      </c>
      <c r="B273" s="82" t="str">
        <f t="shared" si="2"/>
        <v>06-30</v>
      </c>
      <c r="C273" s="82" t="str">
        <f t="shared" si="3"/>
        <v>USD</v>
      </c>
      <c r="D273" s="72" t="s">
        <v>69</v>
      </c>
      <c r="E273" s="72">
        <v>1230630.0</v>
      </c>
      <c r="F273" s="72" t="s">
        <v>70</v>
      </c>
      <c r="G273" s="72" t="s">
        <v>723</v>
      </c>
      <c r="H273" s="72" t="s">
        <v>172</v>
      </c>
      <c r="I273" s="72" t="s">
        <v>173</v>
      </c>
      <c r="J273" s="72" t="s">
        <v>174</v>
      </c>
      <c r="K273" s="72" t="s">
        <v>723</v>
      </c>
      <c r="L273" s="72" t="s">
        <v>75</v>
      </c>
      <c r="M273" s="72" t="s">
        <v>724</v>
      </c>
      <c r="N273" s="72" t="s">
        <v>561</v>
      </c>
      <c r="O273" s="72" t="s">
        <v>562</v>
      </c>
      <c r="P273" s="72" t="s">
        <v>79</v>
      </c>
      <c r="Q273" s="72" t="s">
        <v>122</v>
      </c>
      <c r="R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ht="14.25" customHeight="1">
      <c r="A274" s="72" t="str">
        <f t="shared" si="1"/>
        <v>30/06/2023</v>
      </c>
      <c r="B274" s="82" t="str">
        <f t="shared" si="2"/>
        <v>06-30</v>
      </c>
      <c r="C274" s="82" t="str">
        <f t="shared" si="3"/>
        <v>USD</v>
      </c>
      <c r="D274" s="72" t="s">
        <v>69</v>
      </c>
      <c r="E274" s="72">
        <v>1230630.0</v>
      </c>
      <c r="F274" s="72" t="s">
        <v>70</v>
      </c>
      <c r="G274" s="72" t="s">
        <v>725</v>
      </c>
      <c r="H274" s="72" t="s">
        <v>172</v>
      </c>
      <c r="I274" s="72" t="s">
        <v>173</v>
      </c>
      <c r="J274" s="72" t="s">
        <v>174</v>
      </c>
      <c r="K274" s="72" t="s">
        <v>725</v>
      </c>
      <c r="L274" s="72" t="s">
        <v>75</v>
      </c>
      <c r="M274" s="72" t="s">
        <v>726</v>
      </c>
      <c r="N274" s="72" t="s">
        <v>561</v>
      </c>
      <c r="O274" s="72" t="s">
        <v>562</v>
      </c>
      <c r="P274" s="72" t="s">
        <v>79</v>
      </c>
      <c r="Q274" s="72" t="s">
        <v>122</v>
      </c>
      <c r="R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ht="14.25" customHeight="1">
      <c r="A275" s="72" t="str">
        <f t="shared" si="1"/>
        <v>30/06/2023</v>
      </c>
      <c r="B275" s="82" t="str">
        <f t="shared" si="2"/>
        <v>06-30</v>
      </c>
      <c r="C275" s="82" t="str">
        <f t="shared" si="3"/>
        <v>USD</v>
      </c>
      <c r="D275" s="72" t="s">
        <v>69</v>
      </c>
      <c r="E275" s="72">
        <v>1230630.0</v>
      </c>
      <c r="F275" s="72" t="s">
        <v>70</v>
      </c>
      <c r="G275" s="72" t="s">
        <v>727</v>
      </c>
      <c r="H275" s="72" t="s">
        <v>172</v>
      </c>
      <c r="I275" s="72" t="s">
        <v>173</v>
      </c>
      <c r="J275" s="72" t="s">
        <v>174</v>
      </c>
      <c r="K275" s="72" t="s">
        <v>727</v>
      </c>
      <c r="L275" s="72" t="s">
        <v>75</v>
      </c>
      <c r="M275" s="72" t="s">
        <v>728</v>
      </c>
      <c r="N275" s="72" t="s">
        <v>561</v>
      </c>
      <c r="O275" s="72" t="s">
        <v>562</v>
      </c>
      <c r="P275" s="72" t="s">
        <v>79</v>
      </c>
      <c r="Q275" s="72" t="s">
        <v>122</v>
      </c>
      <c r="R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ht="14.25" customHeight="1">
      <c r="A276" s="72" t="str">
        <f t="shared" si="1"/>
        <v>30/06/2023</v>
      </c>
      <c r="B276" s="82" t="str">
        <f t="shared" si="2"/>
        <v>06-30</v>
      </c>
      <c r="C276" s="82" t="str">
        <f t="shared" si="3"/>
        <v>USD</v>
      </c>
      <c r="D276" s="72" t="s">
        <v>69</v>
      </c>
      <c r="E276" s="72">
        <v>1230630.0</v>
      </c>
      <c r="F276" s="72" t="s">
        <v>70</v>
      </c>
      <c r="G276" s="72" t="s">
        <v>729</v>
      </c>
      <c r="H276" s="72" t="s">
        <v>172</v>
      </c>
      <c r="I276" s="72" t="s">
        <v>173</v>
      </c>
      <c r="J276" s="72" t="s">
        <v>174</v>
      </c>
      <c r="K276" s="72" t="s">
        <v>729</v>
      </c>
      <c r="L276" s="72" t="s">
        <v>75</v>
      </c>
      <c r="M276" s="72" t="s">
        <v>730</v>
      </c>
      <c r="N276" s="72" t="s">
        <v>561</v>
      </c>
      <c r="O276" s="72" t="s">
        <v>562</v>
      </c>
      <c r="P276" s="72" t="s">
        <v>79</v>
      </c>
      <c r="Q276" s="72" t="s">
        <v>122</v>
      </c>
      <c r="R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ht="14.25" customHeight="1">
      <c r="A277" s="72" t="str">
        <f t="shared" si="1"/>
        <v>30/06/2023</v>
      </c>
      <c r="B277" s="82" t="str">
        <f t="shared" si="2"/>
        <v>06-30</v>
      </c>
      <c r="C277" s="82" t="str">
        <f t="shared" si="3"/>
        <v>USD</v>
      </c>
      <c r="D277" s="72" t="s">
        <v>69</v>
      </c>
      <c r="E277" s="72">
        <v>1230630.0</v>
      </c>
      <c r="F277" s="72" t="s">
        <v>70</v>
      </c>
      <c r="G277" s="72" t="s">
        <v>731</v>
      </c>
      <c r="H277" s="72" t="s">
        <v>172</v>
      </c>
      <c r="I277" s="72" t="s">
        <v>173</v>
      </c>
      <c r="J277" s="72" t="s">
        <v>174</v>
      </c>
      <c r="K277" s="72" t="s">
        <v>731</v>
      </c>
      <c r="L277" s="72" t="s">
        <v>75</v>
      </c>
      <c r="M277" s="72" t="s">
        <v>732</v>
      </c>
      <c r="N277" s="72" t="s">
        <v>561</v>
      </c>
      <c r="O277" s="72" t="s">
        <v>562</v>
      </c>
      <c r="P277" s="72" t="s">
        <v>79</v>
      </c>
      <c r="Q277" s="72" t="s">
        <v>122</v>
      </c>
      <c r="R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ht="14.25" customHeight="1">
      <c r="A278" s="72" t="str">
        <f t="shared" si="1"/>
        <v>30/06/2023</v>
      </c>
      <c r="B278" s="82" t="str">
        <f t="shared" si="2"/>
        <v>06-30</v>
      </c>
      <c r="C278" s="82" t="str">
        <f t="shared" si="3"/>
        <v>USD</v>
      </c>
      <c r="D278" s="72" t="s">
        <v>69</v>
      </c>
      <c r="E278" s="72">
        <v>1230630.0</v>
      </c>
      <c r="F278" s="72" t="s">
        <v>70</v>
      </c>
      <c r="G278" s="72" t="s">
        <v>733</v>
      </c>
      <c r="H278" s="72" t="s">
        <v>172</v>
      </c>
      <c r="I278" s="72" t="s">
        <v>173</v>
      </c>
      <c r="J278" s="72" t="s">
        <v>174</v>
      </c>
      <c r="K278" s="72" t="s">
        <v>733</v>
      </c>
      <c r="L278" s="72" t="s">
        <v>75</v>
      </c>
      <c r="M278" s="72" t="s">
        <v>734</v>
      </c>
      <c r="N278" s="72" t="s">
        <v>561</v>
      </c>
      <c r="O278" s="72" t="s">
        <v>562</v>
      </c>
      <c r="P278" s="72" t="s">
        <v>79</v>
      </c>
      <c r="Q278" s="72" t="s">
        <v>122</v>
      </c>
      <c r="R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ht="14.25" customHeight="1">
      <c r="A279" s="72" t="str">
        <f t="shared" si="1"/>
        <v>30/06/2023</v>
      </c>
      <c r="B279" s="82" t="str">
        <f t="shared" si="2"/>
        <v>06-30</v>
      </c>
      <c r="C279" s="82" t="str">
        <f t="shared" si="3"/>
        <v>USD</v>
      </c>
      <c r="D279" s="72" t="s">
        <v>69</v>
      </c>
      <c r="E279" s="72">
        <v>1230630.0</v>
      </c>
      <c r="F279" s="72" t="s">
        <v>70</v>
      </c>
      <c r="G279" s="72" t="s">
        <v>735</v>
      </c>
      <c r="H279" s="72" t="s">
        <v>172</v>
      </c>
      <c r="I279" s="72" t="s">
        <v>173</v>
      </c>
      <c r="J279" s="72" t="s">
        <v>174</v>
      </c>
      <c r="K279" s="72" t="s">
        <v>735</v>
      </c>
      <c r="L279" s="72" t="s">
        <v>75</v>
      </c>
      <c r="M279" s="72" t="s">
        <v>736</v>
      </c>
      <c r="N279" s="72" t="s">
        <v>561</v>
      </c>
      <c r="O279" s="72" t="s">
        <v>562</v>
      </c>
      <c r="P279" s="72" t="s">
        <v>79</v>
      </c>
      <c r="Q279" s="72" t="s">
        <v>122</v>
      </c>
      <c r="R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ht="14.25" customHeight="1">
      <c r="A280" s="72" t="str">
        <f t="shared" si="1"/>
        <v>30/06/2023</v>
      </c>
      <c r="B280" s="82" t="str">
        <f t="shared" si="2"/>
        <v>06-30</v>
      </c>
      <c r="C280" s="82" t="str">
        <f t="shared" si="3"/>
        <v>USD</v>
      </c>
      <c r="D280" s="72" t="s">
        <v>69</v>
      </c>
      <c r="E280" s="72">
        <v>1230630.0</v>
      </c>
      <c r="F280" s="72" t="s">
        <v>70</v>
      </c>
      <c r="G280" s="72" t="s">
        <v>737</v>
      </c>
      <c r="H280" s="72" t="s">
        <v>172</v>
      </c>
      <c r="I280" s="72" t="s">
        <v>173</v>
      </c>
      <c r="J280" s="72" t="s">
        <v>174</v>
      </c>
      <c r="K280" s="72" t="s">
        <v>737</v>
      </c>
      <c r="L280" s="72" t="s">
        <v>75</v>
      </c>
      <c r="M280" s="72" t="s">
        <v>738</v>
      </c>
      <c r="N280" s="72" t="s">
        <v>561</v>
      </c>
      <c r="O280" s="72" t="s">
        <v>562</v>
      </c>
      <c r="P280" s="72" t="s">
        <v>79</v>
      </c>
      <c r="Q280" s="72" t="s">
        <v>122</v>
      </c>
      <c r="R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ht="14.25" customHeight="1">
      <c r="A281" s="72" t="str">
        <f t="shared" si="1"/>
        <v>30/06/2023</v>
      </c>
      <c r="B281" s="82" t="str">
        <f t="shared" si="2"/>
        <v>06-30</v>
      </c>
      <c r="C281" s="82" t="str">
        <f t="shared" si="3"/>
        <v>USD</v>
      </c>
      <c r="D281" s="72" t="s">
        <v>69</v>
      </c>
      <c r="E281" s="72">
        <v>1230630.0</v>
      </c>
      <c r="F281" s="72" t="s">
        <v>70</v>
      </c>
      <c r="G281" s="72" t="s">
        <v>739</v>
      </c>
      <c r="H281" s="72" t="s">
        <v>172</v>
      </c>
      <c r="I281" s="72" t="s">
        <v>173</v>
      </c>
      <c r="J281" s="72" t="s">
        <v>174</v>
      </c>
      <c r="K281" s="72" t="s">
        <v>739</v>
      </c>
      <c r="L281" s="72" t="s">
        <v>75</v>
      </c>
      <c r="M281" s="72" t="s">
        <v>146</v>
      </c>
      <c r="N281" s="72" t="s">
        <v>561</v>
      </c>
      <c r="O281" s="72" t="s">
        <v>562</v>
      </c>
      <c r="P281" s="72" t="s">
        <v>79</v>
      </c>
      <c r="Q281" s="72" t="s">
        <v>122</v>
      </c>
      <c r="R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ht="14.25" customHeight="1">
      <c r="A282" s="72" t="str">
        <f t="shared" si="1"/>
        <v>30/06/2023</v>
      </c>
      <c r="B282" s="82" t="str">
        <f t="shared" si="2"/>
        <v>06-30</v>
      </c>
      <c r="C282" s="82" t="str">
        <f t="shared" si="3"/>
        <v>USD</v>
      </c>
      <c r="D282" s="72" t="s">
        <v>69</v>
      </c>
      <c r="E282" s="72">
        <v>1230630.0</v>
      </c>
      <c r="F282" s="72" t="s">
        <v>70</v>
      </c>
      <c r="G282" s="72" t="s">
        <v>740</v>
      </c>
      <c r="H282" s="72" t="s">
        <v>172</v>
      </c>
      <c r="I282" s="72" t="s">
        <v>173</v>
      </c>
      <c r="J282" s="72" t="s">
        <v>174</v>
      </c>
      <c r="K282" s="72" t="s">
        <v>740</v>
      </c>
      <c r="L282" s="72" t="s">
        <v>75</v>
      </c>
      <c r="M282" s="72" t="s">
        <v>741</v>
      </c>
      <c r="N282" s="72" t="s">
        <v>561</v>
      </c>
      <c r="O282" s="72" t="s">
        <v>562</v>
      </c>
      <c r="P282" s="72" t="s">
        <v>79</v>
      </c>
      <c r="Q282" s="72" t="s">
        <v>122</v>
      </c>
      <c r="R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ht="14.25" customHeight="1">
      <c r="A283" s="72" t="str">
        <f t="shared" si="1"/>
        <v>30/06/2023</v>
      </c>
      <c r="B283" s="82" t="str">
        <f t="shared" si="2"/>
        <v>06-30</v>
      </c>
      <c r="C283" s="82" t="str">
        <f t="shared" si="3"/>
        <v>USD</v>
      </c>
      <c r="D283" s="72" t="s">
        <v>69</v>
      </c>
      <c r="E283" s="72">
        <v>1230630.0</v>
      </c>
      <c r="F283" s="72" t="s">
        <v>70</v>
      </c>
      <c r="G283" s="72" t="s">
        <v>742</v>
      </c>
      <c r="H283" s="72" t="s">
        <v>172</v>
      </c>
      <c r="I283" s="72" t="s">
        <v>173</v>
      </c>
      <c r="J283" s="72" t="s">
        <v>174</v>
      </c>
      <c r="K283" s="72" t="s">
        <v>742</v>
      </c>
      <c r="L283" s="72" t="s">
        <v>75</v>
      </c>
      <c r="M283" s="72" t="s">
        <v>70</v>
      </c>
      <c r="N283" s="72" t="s">
        <v>561</v>
      </c>
      <c r="O283" s="72" t="s">
        <v>562</v>
      </c>
      <c r="P283" s="72" t="s">
        <v>79</v>
      </c>
      <c r="Q283" s="72" t="s">
        <v>122</v>
      </c>
      <c r="R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ht="14.25" customHeight="1">
      <c r="A284" s="72" t="str">
        <f t="shared" si="1"/>
        <v>05/06/2023</v>
      </c>
      <c r="B284" s="82" t="str">
        <f t="shared" si="2"/>
        <v>06-05</v>
      </c>
      <c r="C284" s="82" t="str">
        <f t="shared" si="3"/>
        <v>AUD</v>
      </c>
      <c r="D284" s="82" t="s">
        <v>743</v>
      </c>
      <c r="E284" s="82">
        <v>1230605.0</v>
      </c>
      <c r="F284" s="82" t="s">
        <v>146</v>
      </c>
      <c r="G284" s="82" t="s">
        <v>744</v>
      </c>
      <c r="H284" s="82" t="s">
        <v>745</v>
      </c>
      <c r="I284" s="82" t="s">
        <v>746</v>
      </c>
      <c r="J284" s="82" t="s">
        <v>747</v>
      </c>
      <c r="K284" s="82" t="s">
        <v>744</v>
      </c>
      <c r="L284" s="82" t="s">
        <v>75</v>
      </c>
      <c r="M284" s="82" t="s">
        <v>748</v>
      </c>
      <c r="N284" s="82" t="s">
        <v>639</v>
      </c>
      <c r="O284" s="82" t="s">
        <v>648</v>
      </c>
      <c r="P284" s="82" t="s">
        <v>79</v>
      </c>
      <c r="Q284" s="82" t="s">
        <v>133</v>
      </c>
      <c r="R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ht="14.25" customHeight="1">
      <c r="A285" s="72" t="str">
        <f t="shared" si="1"/>
        <v>05/06/2023</v>
      </c>
      <c r="B285" s="82" t="str">
        <f t="shared" si="2"/>
        <v>06-05</v>
      </c>
      <c r="C285" s="82" t="str">
        <f t="shared" si="3"/>
        <v>AUD</v>
      </c>
      <c r="D285" s="82" t="s">
        <v>743</v>
      </c>
      <c r="E285" s="82">
        <v>1230605.0</v>
      </c>
      <c r="F285" s="82" t="s">
        <v>146</v>
      </c>
      <c r="G285" s="82" t="s">
        <v>749</v>
      </c>
      <c r="H285" s="82" t="s">
        <v>750</v>
      </c>
      <c r="I285" s="82" t="s">
        <v>751</v>
      </c>
      <c r="J285" s="82" t="s">
        <v>747</v>
      </c>
      <c r="K285" s="82" t="s">
        <v>749</v>
      </c>
      <c r="L285" s="82" t="s">
        <v>75</v>
      </c>
      <c r="M285" s="82" t="s">
        <v>752</v>
      </c>
      <c r="N285" s="82" t="s">
        <v>639</v>
      </c>
      <c r="O285" s="82" t="s">
        <v>648</v>
      </c>
      <c r="P285" s="82" t="s">
        <v>79</v>
      </c>
      <c r="Q285" s="82" t="s">
        <v>133</v>
      </c>
      <c r="R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ht="14.25" customHeight="1">
      <c r="A286" s="72" t="str">
        <f t="shared" si="1"/>
        <v>06/06/2023</v>
      </c>
      <c r="B286" s="82" t="str">
        <f t="shared" si="2"/>
        <v>06-06</v>
      </c>
      <c r="C286" s="82" t="str">
        <f t="shared" si="3"/>
        <v>AUD</v>
      </c>
      <c r="D286" s="82" t="s">
        <v>743</v>
      </c>
      <c r="E286" s="82">
        <v>1230606.0</v>
      </c>
      <c r="F286" s="82" t="s">
        <v>146</v>
      </c>
      <c r="G286" s="82" t="s">
        <v>753</v>
      </c>
      <c r="H286" s="82" t="s">
        <v>754</v>
      </c>
      <c r="I286" s="82" t="s">
        <v>755</v>
      </c>
      <c r="J286" s="82" t="s">
        <v>747</v>
      </c>
      <c r="K286" s="82" t="s">
        <v>753</v>
      </c>
      <c r="L286" s="82" t="s">
        <v>75</v>
      </c>
      <c r="M286" s="82" t="s">
        <v>756</v>
      </c>
      <c r="N286" s="82" t="s">
        <v>757</v>
      </c>
      <c r="O286" s="82" t="s">
        <v>758</v>
      </c>
      <c r="P286" s="82" t="s">
        <v>79</v>
      </c>
      <c r="Q286" s="82" t="s">
        <v>133</v>
      </c>
      <c r="R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ht="14.25" customHeight="1">
      <c r="A287" s="72" t="str">
        <f t="shared" si="1"/>
        <v>12/06/2023</v>
      </c>
      <c r="B287" s="82" t="str">
        <f t="shared" si="2"/>
        <v>06-12</v>
      </c>
      <c r="C287" s="82" t="str">
        <f t="shared" si="3"/>
        <v>AUD</v>
      </c>
      <c r="D287" s="82" t="s">
        <v>743</v>
      </c>
      <c r="E287" s="82">
        <v>1230612.0</v>
      </c>
      <c r="F287" s="82" t="s">
        <v>70</v>
      </c>
      <c r="G287" s="82" t="s">
        <v>759</v>
      </c>
      <c r="H287" s="82" t="s">
        <v>760</v>
      </c>
      <c r="I287" s="82" t="s">
        <v>761</v>
      </c>
      <c r="J287" s="82" t="s">
        <v>747</v>
      </c>
      <c r="K287" s="82" t="s">
        <v>759</v>
      </c>
      <c r="L287" s="82" t="s">
        <v>75</v>
      </c>
      <c r="M287" s="82" t="s">
        <v>762</v>
      </c>
      <c r="N287" s="82" t="s">
        <v>143</v>
      </c>
      <c r="O287" s="82" t="s">
        <v>144</v>
      </c>
      <c r="P287" s="82" t="s">
        <v>79</v>
      </c>
      <c r="Q287" s="82" t="s">
        <v>145</v>
      </c>
      <c r="R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ht="14.25" customHeight="1">
      <c r="A288" s="72" t="str">
        <f t="shared" si="1"/>
        <v>12/06/2023</v>
      </c>
      <c r="B288" s="82" t="str">
        <f t="shared" si="2"/>
        <v>06-12</v>
      </c>
      <c r="C288" s="82" t="str">
        <f t="shared" si="3"/>
        <v>AUD</v>
      </c>
      <c r="D288" s="82" t="s">
        <v>743</v>
      </c>
      <c r="E288" s="82">
        <v>1230612.0</v>
      </c>
      <c r="F288" s="82" t="s">
        <v>70</v>
      </c>
      <c r="G288" s="82" t="s">
        <v>763</v>
      </c>
      <c r="H288" s="82" t="s">
        <v>760</v>
      </c>
      <c r="I288" s="82" t="s">
        <v>761</v>
      </c>
      <c r="J288" s="82" t="s">
        <v>747</v>
      </c>
      <c r="K288" s="82" t="s">
        <v>763</v>
      </c>
      <c r="L288" s="82" t="s">
        <v>75</v>
      </c>
      <c r="M288" s="82" t="s">
        <v>764</v>
      </c>
      <c r="N288" s="82" t="s">
        <v>143</v>
      </c>
      <c r="O288" s="82" t="s">
        <v>144</v>
      </c>
      <c r="P288" s="82" t="s">
        <v>79</v>
      </c>
      <c r="Q288" s="82" t="s">
        <v>145</v>
      </c>
      <c r="R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ht="14.25" customHeight="1">
      <c r="A289" s="72" t="str">
        <f t="shared" si="1"/>
        <v>12/06/2023</v>
      </c>
      <c r="B289" s="82" t="str">
        <f t="shared" si="2"/>
        <v>06-12</v>
      </c>
      <c r="C289" s="82" t="str">
        <f t="shared" si="3"/>
        <v>AUD</v>
      </c>
      <c r="D289" s="82" t="s">
        <v>743</v>
      </c>
      <c r="E289" s="82">
        <v>1230612.0</v>
      </c>
      <c r="F289" s="82" t="s">
        <v>70</v>
      </c>
      <c r="G289" s="82" t="s">
        <v>765</v>
      </c>
      <c r="H289" s="82" t="s">
        <v>760</v>
      </c>
      <c r="I289" s="82" t="s">
        <v>761</v>
      </c>
      <c r="J289" s="82" t="s">
        <v>747</v>
      </c>
      <c r="K289" s="82" t="s">
        <v>765</v>
      </c>
      <c r="L289" s="82" t="s">
        <v>75</v>
      </c>
      <c r="M289" s="82" t="s">
        <v>766</v>
      </c>
      <c r="N289" s="82" t="s">
        <v>143</v>
      </c>
      <c r="O289" s="82" t="s">
        <v>144</v>
      </c>
      <c r="P289" s="82" t="s">
        <v>79</v>
      </c>
      <c r="Q289" s="82" t="s">
        <v>145</v>
      </c>
      <c r="R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ht="14.25" customHeight="1">
      <c r="A290" s="72" t="str">
        <f t="shared" si="1"/>
        <v>12/06/2023</v>
      </c>
      <c r="B290" s="82" t="str">
        <f t="shared" si="2"/>
        <v>06-12</v>
      </c>
      <c r="C290" s="82" t="str">
        <f t="shared" si="3"/>
        <v>AUD</v>
      </c>
      <c r="D290" s="82" t="s">
        <v>743</v>
      </c>
      <c r="E290" s="82">
        <v>1230612.0</v>
      </c>
      <c r="F290" s="82" t="s">
        <v>70</v>
      </c>
      <c r="G290" s="82" t="s">
        <v>767</v>
      </c>
      <c r="H290" s="82" t="s">
        <v>760</v>
      </c>
      <c r="I290" s="82" t="s">
        <v>761</v>
      </c>
      <c r="J290" s="82" t="s">
        <v>747</v>
      </c>
      <c r="K290" s="82" t="s">
        <v>767</v>
      </c>
      <c r="L290" s="82" t="s">
        <v>75</v>
      </c>
      <c r="M290" s="82" t="s">
        <v>768</v>
      </c>
      <c r="N290" s="82" t="s">
        <v>143</v>
      </c>
      <c r="O290" s="82" t="s">
        <v>144</v>
      </c>
      <c r="P290" s="82" t="s">
        <v>79</v>
      </c>
      <c r="Q290" s="82" t="s">
        <v>145</v>
      </c>
      <c r="R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ht="14.25" customHeight="1">
      <c r="A291" s="72" t="str">
        <f t="shared" si="1"/>
        <v>12/06/2023</v>
      </c>
      <c r="B291" s="82" t="str">
        <f t="shared" si="2"/>
        <v>06-12</v>
      </c>
      <c r="C291" s="82" t="str">
        <f t="shared" si="3"/>
        <v>AUD</v>
      </c>
      <c r="D291" s="82" t="s">
        <v>743</v>
      </c>
      <c r="E291" s="82">
        <v>1230612.0</v>
      </c>
      <c r="F291" s="82" t="s">
        <v>70</v>
      </c>
      <c r="G291" s="82" t="s">
        <v>769</v>
      </c>
      <c r="H291" s="82" t="s">
        <v>760</v>
      </c>
      <c r="I291" s="82" t="s">
        <v>761</v>
      </c>
      <c r="J291" s="82" t="s">
        <v>747</v>
      </c>
      <c r="K291" s="82" t="s">
        <v>769</v>
      </c>
      <c r="L291" s="82" t="s">
        <v>75</v>
      </c>
      <c r="M291" s="82" t="s">
        <v>770</v>
      </c>
      <c r="N291" s="82" t="s">
        <v>143</v>
      </c>
      <c r="O291" s="82" t="s">
        <v>144</v>
      </c>
      <c r="P291" s="82" t="s">
        <v>79</v>
      </c>
      <c r="Q291" s="82" t="s">
        <v>145</v>
      </c>
      <c r="R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ht="14.25" customHeight="1">
      <c r="A292" s="72" t="str">
        <f t="shared" si="1"/>
        <v>13/06/2023</v>
      </c>
      <c r="B292" s="82" t="str">
        <f t="shared" si="2"/>
        <v>06-13</v>
      </c>
      <c r="C292" s="82" t="str">
        <f t="shared" si="3"/>
        <v>AUD</v>
      </c>
      <c r="D292" s="82" t="s">
        <v>743</v>
      </c>
      <c r="E292" s="82">
        <v>1230613.0</v>
      </c>
      <c r="F292" s="82" t="s">
        <v>146</v>
      </c>
      <c r="G292" s="82" t="s">
        <v>771</v>
      </c>
      <c r="H292" s="82" t="s">
        <v>772</v>
      </c>
      <c r="I292" s="82" t="s">
        <v>773</v>
      </c>
      <c r="J292" s="82" t="s">
        <v>747</v>
      </c>
      <c r="K292" s="82" t="s">
        <v>771</v>
      </c>
      <c r="L292" s="82" t="s">
        <v>75</v>
      </c>
      <c r="M292" s="82" t="s">
        <v>774</v>
      </c>
      <c r="N292" s="82" t="s">
        <v>629</v>
      </c>
      <c r="O292" s="82" t="s">
        <v>630</v>
      </c>
      <c r="P292" s="82" t="s">
        <v>79</v>
      </c>
      <c r="Q292" s="82" t="s">
        <v>122</v>
      </c>
      <c r="R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ht="14.25" customHeight="1">
      <c r="A293" s="72" t="str">
        <f t="shared" si="1"/>
        <v>13/06/2023</v>
      </c>
      <c r="B293" s="82" t="str">
        <f t="shared" si="2"/>
        <v>06-13</v>
      </c>
      <c r="C293" s="82" t="str">
        <f t="shared" si="3"/>
        <v>AUD</v>
      </c>
      <c r="D293" s="82" t="s">
        <v>743</v>
      </c>
      <c r="E293" s="82">
        <v>1230613.0</v>
      </c>
      <c r="F293" s="82" t="s">
        <v>146</v>
      </c>
      <c r="G293" s="82" t="s">
        <v>775</v>
      </c>
      <c r="H293" s="82" t="s">
        <v>772</v>
      </c>
      <c r="I293" s="82" t="s">
        <v>773</v>
      </c>
      <c r="J293" s="82" t="s">
        <v>747</v>
      </c>
      <c r="K293" s="82" t="s">
        <v>775</v>
      </c>
      <c r="L293" s="82" t="s">
        <v>75</v>
      </c>
      <c r="M293" s="82" t="s">
        <v>776</v>
      </c>
      <c r="N293" s="82" t="s">
        <v>629</v>
      </c>
      <c r="O293" s="82" t="s">
        <v>630</v>
      </c>
      <c r="P293" s="82" t="s">
        <v>79</v>
      </c>
      <c r="Q293" s="82" t="s">
        <v>122</v>
      </c>
      <c r="R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ht="14.25" customHeight="1">
      <c r="A294" s="72" t="str">
        <f t="shared" si="1"/>
        <v>13/06/2023</v>
      </c>
      <c r="B294" s="82" t="str">
        <f t="shared" si="2"/>
        <v>06-13</v>
      </c>
      <c r="C294" s="82" t="str">
        <f t="shared" si="3"/>
        <v>AUD</v>
      </c>
      <c r="D294" s="82" t="s">
        <v>743</v>
      </c>
      <c r="E294" s="82">
        <v>1230613.0</v>
      </c>
      <c r="F294" s="82" t="s">
        <v>146</v>
      </c>
      <c r="G294" s="82" t="s">
        <v>777</v>
      </c>
      <c r="H294" s="82" t="s">
        <v>772</v>
      </c>
      <c r="I294" s="82" t="s">
        <v>773</v>
      </c>
      <c r="J294" s="82" t="s">
        <v>747</v>
      </c>
      <c r="K294" s="82" t="s">
        <v>777</v>
      </c>
      <c r="L294" s="82" t="s">
        <v>75</v>
      </c>
      <c r="M294" s="82" t="s">
        <v>778</v>
      </c>
      <c r="N294" s="82" t="s">
        <v>629</v>
      </c>
      <c r="O294" s="82" t="s">
        <v>630</v>
      </c>
      <c r="P294" s="82" t="s">
        <v>79</v>
      </c>
      <c r="Q294" s="82" t="s">
        <v>122</v>
      </c>
      <c r="R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ht="14.25" customHeight="1">
      <c r="A295" s="72" t="str">
        <f t="shared" si="1"/>
        <v>13/06/2023</v>
      </c>
      <c r="B295" s="82" t="str">
        <f t="shared" si="2"/>
        <v>06-13</v>
      </c>
      <c r="C295" s="82" t="str">
        <f t="shared" si="3"/>
        <v>AUD</v>
      </c>
      <c r="D295" s="82" t="s">
        <v>743</v>
      </c>
      <c r="E295" s="82">
        <v>1230613.0</v>
      </c>
      <c r="F295" s="82" t="s">
        <v>146</v>
      </c>
      <c r="G295" s="82" t="s">
        <v>779</v>
      </c>
      <c r="H295" s="82" t="s">
        <v>772</v>
      </c>
      <c r="I295" s="82" t="s">
        <v>773</v>
      </c>
      <c r="J295" s="82" t="s">
        <v>747</v>
      </c>
      <c r="K295" s="82" t="s">
        <v>779</v>
      </c>
      <c r="L295" s="82" t="s">
        <v>75</v>
      </c>
      <c r="M295" s="82" t="s">
        <v>780</v>
      </c>
      <c r="N295" s="82" t="s">
        <v>629</v>
      </c>
      <c r="O295" s="82" t="s">
        <v>630</v>
      </c>
      <c r="P295" s="82" t="s">
        <v>79</v>
      </c>
      <c r="Q295" s="82" t="s">
        <v>122</v>
      </c>
      <c r="R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ht="14.25" customHeight="1">
      <c r="A296" s="72" t="str">
        <f t="shared" si="1"/>
        <v>13/06/2023</v>
      </c>
      <c r="B296" s="82" t="str">
        <f t="shared" si="2"/>
        <v>06-13</v>
      </c>
      <c r="C296" s="82" t="str">
        <f t="shared" si="3"/>
        <v>AUD</v>
      </c>
      <c r="D296" s="82" t="s">
        <v>743</v>
      </c>
      <c r="E296" s="82">
        <v>1230613.0</v>
      </c>
      <c r="F296" s="82" t="s">
        <v>146</v>
      </c>
      <c r="G296" s="82" t="s">
        <v>781</v>
      </c>
      <c r="H296" s="82" t="s">
        <v>772</v>
      </c>
      <c r="I296" s="82" t="s">
        <v>773</v>
      </c>
      <c r="J296" s="82" t="s">
        <v>747</v>
      </c>
      <c r="K296" s="82" t="s">
        <v>781</v>
      </c>
      <c r="L296" s="82" t="s">
        <v>75</v>
      </c>
      <c r="M296" s="82" t="s">
        <v>782</v>
      </c>
      <c r="N296" s="82" t="s">
        <v>629</v>
      </c>
      <c r="O296" s="82" t="s">
        <v>630</v>
      </c>
      <c r="P296" s="82" t="s">
        <v>79</v>
      </c>
      <c r="Q296" s="82" t="s">
        <v>122</v>
      </c>
      <c r="R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ht="14.25" customHeight="1">
      <c r="A297" s="72" t="str">
        <f t="shared" si="1"/>
        <v>13/06/2023</v>
      </c>
      <c r="B297" s="82" t="str">
        <f t="shared" si="2"/>
        <v>06-13</v>
      </c>
      <c r="C297" s="82" t="str">
        <f t="shared" si="3"/>
        <v>AUD</v>
      </c>
      <c r="D297" s="82" t="s">
        <v>743</v>
      </c>
      <c r="E297" s="82">
        <v>1230613.0</v>
      </c>
      <c r="F297" s="82" t="s">
        <v>146</v>
      </c>
      <c r="G297" s="82" t="s">
        <v>783</v>
      </c>
      <c r="H297" s="82" t="s">
        <v>772</v>
      </c>
      <c r="I297" s="82" t="s">
        <v>773</v>
      </c>
      <c r="J297" s="82" t="s">
        <v>747</v>
      </c>
      <c r="K297" s="82" t="s">
        <v>783</v>
      </c>
      <c r="L297" s="82" t="s">
        <v>75</v>
      </c>
      <c r="M297" s="82" t="s">
        <v>784</v>
      </c>
      <c r="N297" s="82" t="s">
        <v>629</v>
      </c>
      <c r="O297" s="82" t="s">
        <v>630</v>
      </c>
      <c r="P297" s="82" t="s">
        <v>79</v>
      </c>
      <c r="Q297" s="82" t="s">
        <v>122</v>
      </c>
      <c r="R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ht="14.25" customHeight="1">
      <c r="A298" s="72" t="str">
        <f t="shared" si="1"/>
        <v>13/06/2023</v>
      </c>
      <c r="B298" s="82" t="str">
        <f t="shared" si="2"/>
        <v>06-13</v>
      </c>
      <c r="C298" s="82" t="str">
        <f t="shared" si="3"/>
        <v>AUD</v>
      </c>
      <c r="D298" s="82" t="s">
        <v>743</v>
      </c>
      <c r="E298" s="82">
        <v>1230613.0</v>
      </c>
      <c r="F298" s="82" t="s">
        <v>146</v>
      </c>
      <c r="G298" s="82" t="s">
        <v>785</v>
      </c>
      <c r="H298" s="82" t="s">
        <v>772</v>
      </c>
      <c r="I298" s="82" t="s">
        <v>773</v>
      </c>
      <c r="J298" s="82" t="s">
        <v>747</v>
      </c>
      <c r="K298" s="82" t="s">
        <v>785</v>
      </c>
      <c r="L298" s="82" t="s">
        <v>75</v>
      </c>
      <c r="M298" s="82" t="s">
        <v>786</v>
      </c>
      <c r="N298" s="82" t="s">
        <v>629</v>
      </c>
      <c r="O298" s="82" t="s">
        <v>630</v>
      </c>
      <c r="P298" s="82" t="s">
        <v>79</v>
      </c>
      <c r="Q298" s="82" t="s">
        <v>122</v>
      </c>
      <c r="R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ht="14.25" customHeight="1">
      <c r="A299" s="72" t="str">
        <f t="shared" si="1"/>
        <v>13/06/2023</v>
      </c>
      <c r="B299" s="82" t="str">
        <f t="shared" si="2"/>
        <v>06-13</v>
      </c>
      <c r="C299" s="82" t="str">
        <f t="shared" si="3"/>
        <v>AUD</v>
      </c>
      <c r="D299" s="82" t="s">
        <v>743</v>
      </c>
      <c r="E299" s="82">
        <v>1230613.0</v>
      </c>
      <c r="F299" s="82" t="s">
        <v>146</v>
      </c>
      <c r="G299" s="82" t="s">
        <v>787</v>
      </c>
      <c r="H299" s="82" t="s">
        <v>772</v>
      </c>
      <c r="I299" s="82" t="s">
        <v>773</v>
      </c>
      <c r="J299" s="82" t="s">
        <v>747</v>
      </c>
      <c r="K299" s="82" t="s">
        <v>787</v>
      </c>
      <c r="L299" s="82" t="s">
        <v>75</v>
      </c>
      <c r="M299" s="82" t="s">
        <v>788</v>
      </c>
      <c r="N299" s="82" t="s">
        <v>629</v>
      </c>
      <c r="O299" s="82" t="s">
        <v>630</v>
      </c>
      <c r="P299" s="82" t="s">
        <v>79</v>
      </c>
      <c r="Q299" s="82" t="s">
        <v>122</v>
      </c>
      <c r="R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ht="14.25" customHeight="1">
      <c r="A300" s="72" t="str">
        <f t="shared" si="1"/>
        <v>13/06/2023</v>
      </c>
      <c r="B300" s="82" t="str">
        <f t="shared" si="2"/>
        <v>06-13</v>
      </c>
      <c r="C300" s="82" t="str">
        <f t="shared" si="3"/>
        <v>AUD</v>
      </c>
      <c r="D300" s="82" t="s">
        <v>743</v>
      </c>
      <c r="E300" s="82">
        <v>1230613.0</v>
      </c>
      <c r="F300" s="82" t="s">
        <v>146</v>
      </c>
      <c r="G300" s="82" t="s">
        <v>789</v>
      </c>
      <c r="H300" s="82" t="s">
        <v>772</v>
      </c>
      <c r="I300" s="82" t="s">
        <v>773</v>
      </c>
      <c r="J300" s="82" t="s">
        <v>747</v>
      </c>
      <c r="K300" s="82" t="s">
        <v>789</v>
      </c>
      <c r="L300" s="82" t="s">
        <v>75</v>
      </c>
      <c r="M300" s="82" t="s">
        <v>790</v>
      </c>
      <c r="N300" s="82" t="s">
        <v>629</v>
      </c>
      <c r="O300" s="82" t="s">
        <v>630</v>
      </c>
      <c r="P300" s="82" t="s">
        <v>79</v>
      </c>
      <c r="Q300" s="82" t="s">
        <v>122</v>
      </c>
      <c r="R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ht="14.25" customHeight="1">
      <c r="A301" s="72" t="str">
        <f t="shared" si="1"/>
        <v>13/06/2023</v>
      </c>
      <c r="B301" s="82" t="str">
        <f t="shared" si="2"/>
        <v>06-13</v>
      </c>
      <c r="C301" s="82" t="str">
        <f t="shared" si="3"/>
        <v>AUD</v>
      </c>
      <c r="D301" s="82" t="s">
        <v>743</v>
      </c>
      <c r="E301" s="82">
        <v>1230613.0</v>
      </c>
      <c r="F301" s="82" t="s">
        <v>146</v>
      </c>
      <c r="G301" s="82" t="s">
        <v>791</v>
      </c>
      <c r="H301" s="82" t="s">
        <v>772</v>
      </c>
      <c r="I301" s="82" t="s">
        <v>773</v>
      </c>
      <c r="J301" s="82" t="s">
        <v>747</v>
      </c>
      <c r="K301" s="82" t="s">
        <v>791</v>
      </c>
      <c r="L301" s="82" t="s">
        <v>75</v>
      </c>
      <c r="M301" s="82" t="s">
        <v>792</v>
      </c>
      <c r="N301" s="82" t="s">
        <v>629</v>
      </c>
      <c r="O301" s="82" t="s">
        <v>630</v>
      </c>
      <c r="P301" s="82" t="s">
        <v>79</v>
      </c>
      <c r="Q301" s="82" t="s">
        <v>122</v>
      </c>
      <c r="R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ht="14.25" customHeight="1">
      <c r="A302" s="72" t="str">
        <f t="shared" si="1"/>
        <v>13/06/2023</v>
      </c>
      <c r="B302" s="82" t="str">
        <f t="shared" si="2"/>
        <v>06-13</v>
      </c>
      <c r="C302" s="82" t="str">
        <f t="shared" si="3"/>
        <v>AUD</v>
      </c>
      <c r="D302" s="82" t="s">
        <v>743</v>
      </c>
      <c r="E302" s="82">
        <v>1230613.0</v>
      </c>
      <c r="F302" s="82" t="s">
        <v>146</v>
      </c>
      <c r="G302" s="82" t="s">
        <v>793</v>
      </c>
      <c r="H302" s="82" t="s">
        <v>772</v>
      </c>
      <c r="I302" s="82" t="s">
        <v>773</v>
      </c>
      <c r="J302" s="82" t="s">
        <v>747</v>
      </c>
      <c r="K302" s="82" t="s">
        <v>793</v>
      </c>
      <c r="L302" s="82" t="s">
        <v>75</v>
      </c>
      <c r="M302" s="82" t="s">
        <v>794</v>
      </c>
      <c r="N302" s="82" t="s">
        <v>629</v>
      </c>
      <c r="O302" s="82" t="s">
        <v>630</v>
      </c>
      <c r="P302" s="82" t="s">
        <v>79</v>
      </c>
      <c r="Q302" s="82" t="s">
        <v>122</v>
      </c>
      <c r="R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ht="14.25" customHeight="1">
      <c r="A303" s="72" t="str">
        <f t="shared" si="1"/>
        <v>13/06/2023</v>
      </c>
      <c r="B303" s="82" t="str">
        <f t="shared" si="2"/>
        <v>06-13</v>
      </c>
      <c r="C303" s="82" t="str">
        <f t="shared" si="3"/>
        <v>AUD</v>
      </c>
      <c r="D303" s="82" t="s">
        <v>743</v>
      </c>
      <c r="E303" s="82">
        <v>1230613.0</v>
      </c>
      <c r="F303" s="82" t="s">
        <v>146</v>
      </c>
      <c r="G303" s="82" t="s">
        <v>795</v>
      </c>
      <c r="H303" s="82" t="s">
        <v>772</v>
      </c>
      <c r="I303" s="82" t="s">
        <v>773</v>
      </c>
      <c r="J303" s="82" t="s">
        <v>747</v>
      </c>
      <c r="K303" s="82" t="s">
        <v>795</v>
      </c>
      <c r="L303" s="82" t="s">
        <v>75</v>
      </c>
      <c r="M303" s="82" t="s">
        <v>796</v>
      </c>
      <c r="N303" s="82" t="s">
        <v>629</v>
      </c>
      <c r="O303" s="82" t="s">
        <v>630</v>
      </c>
      <c r="P303" s="82" t="s">
        <v>79</v>
      </c>
      <c r="Q303" s="82" t="s">
        <v>122</v>
      </c>
      <c r="R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ht="14.25" customHeight="1">
      <c r="A304" s="72" t="str">
        <f t="shared" si="1"/>
        <v>13/06/2023</v>
      </c>
      <c r="B304" s="82" t="str">
        <f t="shared" si="2"/>
        <v>06-13</v>
      </c>
      <c r="C304" s="82" t="str">
        <f t="shared" si="3"/>
        <v>AUD</v>
      </c>
      <c r="D304" s="82" t="s">
        <v>743</v>
      </c>
      <c r="E304" s="82">
        <v>1230613.0</v>
      </c>
      <c r="F304" s="82" t="s">
        <v>146</v>
      </c>
      <c r="G304" s="82" t="s">
        <v>797</v>
      </c>
      <c r="H304" s="82" t="s">
        <v>772</v>
      </c>
      <c r="I304" s="82" t="s">
        <v>773</v>
      </c>
      <c r="J304" s="82" t="s">
        <v>747</v>
      </c>
      <c r="K304" s="82" t="s">
        <v>797</v>
      </c>
      <c r="L304" s="82" t="s">
        <v>75</v>
      </c>
      <c r="M304" s="82" t="s">
        <v>798</v>
      </c>
      <c r="N304" s="82" t="s">
        <v>629</v>
      </c>
      <c r="O304" s="82" t="s">
        <v>630</v>
      </c>
      <c r="P304" s="82" t="s">
        <v>79</v>
      </c>
      <c r="Q304" s="82" t="s">
        <v>122</v>
      </c>
      <c r="R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ht="14.25" customHeight="1">
      <c r="A305" s="72" t="str">
        <f t="shared" si="1"/>
        <v>13/06/2023</v>
      </c>
      <c r="B305" s="82" t="str">
        <f t="shared" si="2"/>
        <v>06-13</v>
      </c>
      <c r="C305" s="82" t="str">
        <f t="shared" si="3"/>
        <v>AUD</v>
      </c>
      <c r="D305" s="82" t="s">
        <v>743</v>
      </c>
      <c r="E305" s="82">
        <v>1230613.0</v>
      </c>
      <c r="F305" s="82" t="s">
        <v>146</v>
      </c>
      <c r="G305" s="82" t="s">
        <v>799</v>
      </c>
      <c r="H305" s="82" t="s">
        <v>772</v>
      </c>
      <c r="I305" s="82" t="s">
        <v>773</v>
      </c>
      <c r="J305" s="82" t="s">
        <v>747</v>
      </c>
      <c r="K305" s="82" t="s">
        <v>799</v>
      </c>
      <c r="L305" s="82" t="s">
        <v>75</v>
      </c>
      <c r="M305" s="82" t="s">
        <v>800</v>
      </c>
      <c r="N305" s="82" t="s">
        <v>629</v>
      </c>
      <c r="O305" s="82" t="s">
        <v>630</v>
      </c>
      <c r="P305" s="82" t="s">
        <v>79</v>
      </c>
      <c r="Q305" s="82" t="s">
        <v>122</v>
      </c>
      <c r="R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ht="14.25" customHeight="1">
      <c r="A306" s="72" t="str">
        <f t="shared" si="1"/>
        <v>13/06/2023</v>
      </c>
      <c r="B306" s="82" t="str">
        <f t="shared" si="2"/>
        <v>06-13</v>
      </c>
      <c r="C306" s="82" t="str">
        <f t="shared" si="3"/>
        <v>AUD</v>
      </c>
      <c r="D306" s="82" t="s">
        <v>743</v>
      </c>
      <c r="E306" s="82">
        <v>1230613.0</v>
      </c>
      <c r="F306" s="82" t="s">
        <v>146</v>
      </c>
      <c r="G306" s="82" t="s">
        <v>801</v>
      </c>
      <c r="H306" s="82" t="s">
        <v>772</v>
      </c>
      <c r="I306" s="82" t="s">
        <v>773</v>
      </c>
      <c r="J306" s="82" t="s">
        <v>747</v>
      </c>
      <c r="K306" s="82" t="s">
        <v>801</v>
      </c>
      <c r="L306" s="82" t="s">
        <v>75</v>
      </c>
      <c r="M306" s="82" t="s">
        <v>802</v>
      </c>
      <c r="N306" s="82" t="s">
        <v>629</v>
      </c>
      <c r="O306" s="82" t="s">
        <v>630</v>
      </c>
      <c r="P306" s="82" t="s">
        <v>79</v>
      </c>
      <c r="Q306" s="82" t="s">
        <v>122</v>
      </c>
      <c r="R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ht="14.25" customHeight="1">
      <c r="A307" s="72" t="str">
        <f t="shared" si="1"/>
        <v>13/06/2023</v>
      </c>
      <c r="B307" s="82" t="str">
        <f t="shared" si="2"/>
        <v>06-13</v>
      </c>
      <c r="C307" s="82" t="str">
        <f t="shared" si="3"/>
        <v>AUD</v>
      </c>
      <c r="D307" s="82" t="s">
        <v>743</v>
      </c>
      <c r="E307" s="82">
        <v>1230613.0</v>
      </c>
      <c r="F307" s="82" t="s">
        <v>146</v>
      </c>
      <c r="G307" s="82" t="s">
        <v>803</v>
      </c>
      <c r="H307" s="82" t="s">
        <v>772</v>
      </c>
      <c r="I307" s="82" t="s">
        <v>773</v>
      </c>
      <c r="J307" s="82" t="s">
        <v>747</v>
      </c>
      <c r="K307" s="82" t="s">
        <v>803</v>
      </c>
      <c r="L307" s="82" t="s">
        <v>75</v>
      </c>
      <c r="M307" s="82" t="s">
        <v>804</v>
      </c>
      <c r="N307" s="82" t="s">
        <v>629</v>
      </c>
      <c r="O307" s="82" t="s">
        <v>630</v>
      </c>
      <c r="P307" s="82" t="s">
        <v>79</v>
      </c>
      <c r="Q307" s="82" t="s">
        <v>122</v>
      </c>
      <c r="R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ht="14.25" customHeight="1">
      <c r="A308" s="72" t="str">
        <f t="shared" si="1"/>
        <v>13/06/2023</v>
      </c>
      <c r="B308" s="82" t="str">
        <f t="shared" si="2"/>
        <v>06-13</v>
      </c>
      <c r="C308" s="82" t="str">
        <f t="shared" si="3"/>
        <v>AUD</v>
      </c>
      <c r="D308" s="82" t="s">
        <v>743</v>
      </c>
      <c r="E308" s="82">
        <v>1230613.0</v>
      </c>
      <c r="F308" s="82" t="s">
        <v>146</v>
      </c>
      <c r="G308" s="82" t="s">
        <v>805</v>
      </c>
      <c r="H308" s="82" t="s">
        <v>772</v>
      </c>
      <c r="I308" s="82" t="s">
        <v>773</v>
      </c>
      <c r="J308" s="82" t="s">
        <v>747</v>
      </c>
      <c r="K308" s="82" t="s">
        <v>805</v>
      </c>
      <c r="L308" s="82" t="s">
        <v>75</v>
      </c>
      <c r="M308" s="82" t="s">
        <v>806</v>
      </c>
      <c r="N308" s="82" t="s">
        <v>629</v>
      </c>
      <c r="O308" s="82" t="s">
        <v>630</v>
      </c>
      <c r="P308" s="82" t="s">
        <v>79</v>
      </c>
      <c r="Q308" s="82" t="s">
        <v>122</v>
      </c>
      <c r="R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ht="14.25" customHeight="1">
      <c r="A309" s="72" t="str">
        <f t="shared" si="1"/>
        <v>13/06/2023</v>
      </c>
      <c r="B309" s="82" t="str">
        <f t="shared" si="2"/>
        <v>06-13</v>
      </c>
      <c r="C309" s="82" t="str">
        <f t="shared" si="3"/>
        <v>AUD</v>
      </c>
      <c r="D309" s="82" t="s">
        <v>743</v>
      </c>
      <c r="E309" s="82">
        <v>1230613.0</v>
      </c>
      <c r="F309" s="82" t="s">
        <v>146</v>
      </c>
      <c r="G309" s="82" t="s">
        <v>807</v>
      </c>
      <c r="H309" s="82" t="s">
        <v>772</v>
      </c>
      <c r="I309" s="82" t="s">
        <v>773</v>
      </c>
      <c r="J309" s="82" t="s">
        <v>747</v>
      </c>
      <c r="K309" s="82" t="s">
        <v>807</v>
      </c>
      <c r="L309" s="82" t="s">
        <v>75</v>
      </c>
      <c r="M309" s="82" t="s">
        <v>808</v>
      </c>
      <c r="N309" s="82" t="s">
        <v>629</v>
      </c>
      <c r="O309" s="82" t="s">
        <v>630</v>
      </c>
      <c r="P309" s="82" t="s">
        <v>79</v>
      </c>
      <c r="Q309" s="82" t="s">
        <v>122</v>
      </c>
      <c r="R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ht="14.25" customHeight="1">
      <c r="A310" s="72" t="str">
        <f t="shared" si="1"/>
        <v>13/06/2023</v>
      </c>
      <c r="B310" s="82" t="str">
        <f t="shared" si="2"/>
        <v>06-13</v>
      </c>
      <c r="C310" s="82" t="str">
        <f t="shared" si="3"/>
        <v>AUD</v>
      </c>
      <c r="D310" s="82" t="s">
        <v>743</v>
      </c>
      <c r="E310" s="82">
        <v>1230613.0</v>
      </c>
      <c r="F310" s="82" t="s">
        <v>146</v>
      </c>
      <c r="G310" s="82" t="s">
        <v>809</v>
      </c>
      <c r="H310" s="82" t="s">
        <v>772</v>
      </c>
      <c r="I310" s="82" t="s">
        <v>773</v>
      </c>
      <c r="J310" s="82" t="s">
        <v>747</v>
      </c>
      <c r="K310" s="82" t="s">
        <v>809</v>
      </c>
      <c r="L310" s="82" t="s">
        <v>75</v>
      </c>
      <c r="M310" s="82" t="s">
        <v>810</v>
      </c>
      <c r="N310" s="82" t="s">
        <v>629</v>
      </c>
      <c r="O310" s="82" t="s">
        <v>630</v>
      </c>
      <c r="P310" s="82" t="s">
        <v>79</v>
      </c>
      <c r="Q310" s="82" t="s">
        <v>122</v>
      </c>
      <c r="R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ht="14.25" customHeight="1">
      <c r="A311" s="72" t="str">
        <f t="shared" si="1"/>
        <v>13/06/2023</v>
      </c>
      <c r="B311" s="82" t="str">
        <f t="shared" si="2"/>
        <v>06-13</v>
      </c>
      <c r="C311" s="82" t="str">
        <f t="shared" si="3"/>
        <v>AUD</v>
      </c>
      <c r="D311" s="82" t="s">
        <v>743</v>
      </c>
      <c r="E311" s="82">
        <v>1230613.0</v>
      </c>
      <c r="F311" s="82" t="s">
        <v>146</v>
      </c>
      <c r="G311" s="82" t="s">
        <v>811</v>
      </c>
      <c r="H311" s="82" t="s">
        <v>772</v>
      </c>
      <c r="I311" s="82" t="s">
        <v>773</v>
      </c>
      <c r="J311" s="82" t="s">
        <v>747</v>
      </c>
      <c r="K311" s="82" t="s">
        <v>811</v>
      </c>
      <c r="L311" s="82" t="s">
        <v>75</v>
      </c>
      <c r="M311" s="82" t="s">
        <v>812</v>
      </c>
      <c r="N311" s="82" t="s">
        <v>629</v>
      </c>
      <c r="O311" s="82" t="s">
        <v>630</v>
      </c>
      <c r="P311" s="82" t="s">
        <v>79</v>
      </c>
      <c r="Q311" s="82" t="s">
        <v>122</v>
      </c>
      <c r="R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ht="14.25" customHeight="1">
      <c r="A312" s="72" t="str">
        <f t="shared" si="1"/>
        <v>13/06/2023</v>
      </c>
      <c r="B312" s="82" t="str">
        <f t="shared" si="2"/>
        <v>06-13</v>
      </c>
      <c r="C312" s="82" t="str">
        <f t="shared" si="3"/>
        <v>AUD</v>
      </c>
      <c r="D312" s="82" t="s">
        <v>743</v>
      </c>
      <c r="E312" s="82">
        <v>1230613.0</v>
      </c>
      <c r="F312" s="82" t="s">
        <v>146</v>
      </c>
      <c r="G312" s="82" t="s">
        <v>813</v>
      </c>
      <c r="H312" s="82" t="s">
        <v>772</v>
      </c>
      <c r="I312" s="82" t="s">
        <v>773</v>
      </c>
      <c r="J312" s="82" t="s">
        <v>747</v>
      </c>
      <c r="K312" s="82" t="s">
        <v>813</v>
      </c>
      <c r="L312" s="82" t="s">
        <v>75</v>
      </c>
      <c r="M312" s="82" t="s">
        <v>814</v>
      </c>
      <c r="N312" s="82" t="s">
        <v>629</v>
      </c>
      <c r="O312" s="82" t="s">
        <v>630</v>
      </c>
      <c r="P312" s="82" t="s">
        <v>79</v>
      </c>
      <c r="Q312" s="82" t="s">
        <v>122</v>
      </c>
      <c r="R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ht="14.25" customHeight="1">
      <c r="A313" s="72" t="str">
        <f t="shared" si="1"/>
        <v>13/06/2023</v>
      </c>
      <c r="B313" s="82" t="str">
        <f t="shared" si="2"/>
        <v>06-13</v>
      </c>
      <c r="C313" s="82" t="str">
        <f t="shared" si="3"/>
        <v>AUD</v>
      </c>
      <c r="D313" s="82" t="s">
        <v>743</v>
      </c>
      <c r="E313" s="82">
        <v>1230613.0</v>
      </c>
      <c r="F313" s="82" t="s">
        <v>146</v>
      </c>
      <c r="G313" s="82" t="s">
        <v>815</v>
      </c>
      <c r="H313" s="82" t="s">
        <v>772</v>
      </c>
      <c r="I313" s="82" t="s">
        <v>773</v>
      </c>
      <c r="J313" s="82" t="s">
        <v>747</v>
      </c>
      <c r="K313" s="82" t="s">
        <v>815</v>
      </c>
      <c r="L313" s="82" t="s">
        <v>75</v>
      </c>
      <c r="M313" s="82" t="s">
        <v>816</v>
      </c>
      <c r="N313" s="82" t="s">
        <v>629</v>
      </c>
      <c r="O313" s="82" t="s">
        <v>630</v>
      </c>
      <c r="P313" s="82" t="s">
        <v>79</v>
      </c>
      <c r="Q313" s="82" t="s">
        <v>122</v>
      </c>
      <c r="R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ht="14.25" customHeight="1">
      <c r="A314" s="72" t="str">
        <f t="shared" si="1"/>
        <v>13/06/2023</v>
      </c>
      <c r="B314" s="82" t="str">
        <f t="shared" si="2"/>
        <v>06-13</v>
      </c>
      <c r="C314" s="82" t="str">
        <f t="shared" si="3"/>
        <v>AUD</v>
      </c>
      <c r="D314" s="82" t="s">
        <v>743</v>
      </c>
      <c r="E314" s="82">
        <v>1230613.0</v>
      </c>
      <c r="F314" s="82" t="s">
        <v>146</v>
      </c>
      <c r="G314" s="82" t="s">
        <v>817</v>
      </c>
      <c r="H314" s="82" t="s">
        <v>772</v>
      </c>
      <c r="I314" s="82" t="s">
        <v>773</v>
      </c>
      <c r="J314" s="82" t="s">
        <v>747</v>
      </c>
      <c r="K314" s="82" t="s">
        <v>817</v>
      </c>
      <c r="L314" s="82" t="s">
        <v>75</v>
      </c>
      <c r="M314" s="82" t="s">
        <v>818</v>
      </c>
      <c r="N314" s="82" t="s">
        <v>629</v>
      </c>
      <c r="O314" s="82" t="s">
        <v>630</v>
      </c>
      <c r="P314" s="82" t="s">
        <v>79</v>
      </c>
      <c r="Q314" s="82" t="s">
        <v>122</v>
      </c>
      <c r="R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ht="14.25" customHeight="1">
      <c r="A315" s="72" t="str">
        <f t="shared" si="1"/>
        <v>13/06/2023</v>
      </c>
      <c r="B315" s="82" t="str">
        <f t="shared" si="2"/>
        <v>06-13</v>
      </c>
      <c r="C315" s="82" t="str">
        <f t="shared" si="3"/>
        <v>AUD</v>
      </c>
      <c r="D315" s="82" t="s">
        <v>743</v>
      </c>
      <c r="E315" s="82">
        <v>1230613.0</v>
      </c>
      <c r="F315" s="82" t="s">
        <v>146</v>
      </c>
      <c r="G315" s="82" t="s">
        <v>819</v>
      </c>
      <c r="H315" s="82" t="s">
        <v>772</v>
      </c>
      <c r="I315" s="82" t="s">
        <v>773</v>
      </c>
      <c r="J315" s="82" t="s">
        <v>747</v>
      </c>
      <c r="K315" s="82" t="s">
        <v>819</v>
      </c>
      <c r="L315" s="82" t="s">
        <v>75</v>
      </c>
      <c r="M315" s="82" t="s">
        <v>820</v>
      </c>
      <c r="N315" s="82" t="s">
        <v>629</v>
      </c>
      <c r="O315" s="82" t="s">
        <v>630</v>
      </c>
      <c r="P315" s="82" t="s">
        <v>79</v>
      </c>
      <c r="Q315" s="82" t="s">
        <v>122</v>
      </c>
      <c r="R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ht="14.25" customHeight="1">
      <c r="A316" s="72" t="str">
        <f t="shared" si="1"/>
        <v>13/06/2023</v>
      </c>
      <c r="B316" s="82" t="str">
        <f t="shared" si="2"/>
        <v>06-13</v>
      </c>
      <c r="C316" s="82" t="str">
        <f t="shared" si="3"/>
        <v>AUD</v>
      </c>
      <c r="D316" s="82" t="s">
        <v>743</v>
      </c>
      <c r="E316" s="82">
        <v>1230613.0</v>
      </c>
      <c r="F316" s="82" t="s">
        <v>146</v>
      </c>
      <c r="G316" s="82" t="s">
        <v>821</v>
      </c>
      <c r="H316" s="82" t="s">
        <v>772</v>
      </c>
      <c r="I316" s="82" t="s">
        <v>773</v>
      </c>
      <c r="J316" s="82" t="s">
        <v>747</v>
      </c>
      <c r="K316" s="82" t="s">
        <v>821</v>
      </c>
      <c r="L316" s="82" t="s">
        <v>75</v>
      </c>
      <c r="M316" s="82" t="s">
        <v>822</v>
      </c>
      <c r="N316" s="82" t="s">
        <v>629</v>
      </c>
      <c r="O316" s="82" t="s">
        <v>630</v>
      </c>
      <c r="P316" s="82" t="s">
        <v>79</v>
      </c>
      <c r="Q316" s="82" t="s">
        <v>122</v>
      </c>
      <c r="R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ht="14.25" customHeight="1">
      <c r="A317" s="72" t="str">
        <f t="shared" si="1"/>
        <v>13/06/2023</v>
      </c>
      <c r="B317" s="82" t="str">
        <f t="shared" si="2"/>
        <v>06-13</v>
      </c>
      <c r="C317" s="82" t="str">
        <f t="shared" si="3"/>
        <v>AUD</v>
      </c>
      <c r="D317" s="82" t="s">
        <v>743</v>
      </c>
      <c r="E317" s="82">
        <v>1230613.0</v>
      </c>
      <c r="F317" s="82" t="s">
        <v>146</v>
      </c>
      <c r="G317" s="82" t="s">
        <v>823</v>
      </c>
      <c r="H317" s="82" t="s">
        <v>772</v>
      </c>
      <c r="I317" s="82" t="s">
        <v>773</v>
      </c>
      <c r="J317" s="82" t="s">
        <v>747</v>
      </c>
      <c r="K317" s="82" t="s">
        <v>823</v>
      </c>
      <c r="L317" s="82" t="s">
        <v>75</v>
      </c>
      <c r="M317" s="82" t="s">
        <v>824</v>
      </c>
      <c r="N317" s="82" t="s">
        <v>629</v>
      </c>
      <c r="O317" s="82" t="s">
        <v>630</v>
      </c>
      <c r="P317" s="82" t="s">
        <v>79</v>
      </c>
      <c r="Q317" s="82" t="s">
        <v>122</v>
      </c>
      <c r="R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ht="14.25" customHeight="1">
      <c r="A318" s="72" t="str">
        <f t="shared" si="1"/>
        <v>13/06/2023</v>
      </c>
      <c r="B318" s="82" t="str">
        <f t="shared" si="2"/>
        <v>06-13</v>
      </c>
      <c r="C318" s="82" t="str">
        <f t="shared" si="3"/>
        <v>AUD</v>
      </c>
      <c r="D318" s="82" t="s">
        <v>743</v>
      </c>
      <c r="E318" s="82">
        <v>1230613.0</v>
      </c>
      <c r="F318" s="82" t="s">
        <v>146</v>
      </c>
      <c r="G318" s="82" t="s">
        <v>825</v>
      </c>
      <c r="H318" s="82" t="s">
        <v>772</v>
      </c>
      <c r="I318" s="82" t="s">
        <v>773</v>
      </c>
      <c r="J318" s="82" t="s">
        <v>747</v>
      </c>
      <c r="K318" s="82" t="s">
        <v>825</v>
      </c>
      <c r="L318" s="82" t="s">
        <v>75</v>
      </c>
      <c r="M318" s="82" t="s">
        <v>826</v>
      </c>
      <c r="N318" s="82" t="s">
        <v>629</v>
      </c>
      <c r="O318" s="82" t="s">
        <v>630</v>
      </c>
      <c r="P318" s="82" t="s">
        <v>79</v>
      </c>
      <c r="Q318" s="82" t="s">
        <v>122</v>
      </c>
      <c r="R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ht="14.25" customHeight="1">
      <c r="A319" s="72" t="str">
        <f t="shared" si="1"/>
        <v>13/06/2023</v>
      </c>
      <c r="B319" s="82" t="str">
        <f t="shared" si="2"/>
        <v>06-13</v>
      </c>
      <c r="C319" s="82" t="str">
        <f t="shared" si="3"/>
        <v>AUD</v>
      </c>
      <c r="D319" s="82" t="s">
        <v>743</v>
      </c>
      <c r="E319" s="82">
        <v>1230613.0</v>
      </c>
      <c r="F319" s="82" t="s">
        <v>146</v>
      </c>
      <c r="G319" s="82" t="s">
        <v>827</v>
      </c>
      <c r="H319" s="82" t="s">
        <v>772</v>
      </c>
      <c r="I319" s="82" t="s">
        <v>773</v>
      </c>
      <c r="J319" s="82" t="s">
        <v>747</v>
      </c>
      <c r="K319" s="82" t="s">
        <v>827</v>
      </c>
      <c r="L319" s="82" t="s">
        <v>75</v>
      </c>
      <c r="M319" s="82" t="s">
        <v>828</v>
      </c>
      <c r="N319" s="82" t="s">
        <v>629</v>
      </c>
      <c r="O319" s="82" t="s">
        <v>630</v>
      </c>
      <c r="P319" s="82" t="s">
        <v>79</v>
      </c>
      <c r="Q319" s="82" t="s">
        <v>122</v>
      </c>
      <c r="R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ht="14.25" customHeight="1">
      <c r="A320" s="72" t="str">
        <f t="shared" si="1"/>
        <v>13/06/2023</v>
      </c>
      <c r="B320" s="82" t="str">
        <f t="shared" si="2"/>
        <v>06-13</v>
      </c>
      <c r="C320" s="82" t="str">
        <f t="shared" si="3"/>
        <v>AUD</v>
      </c>
      <c r="D320" s="82" t="s">
        <v>743</v>
      </c>
      <c r="E320" s="82">
        <v>1230613.0</v>
      </c>
      <c r="F320" s="82" t="s">
        <v>146</v>
      </c>
      <c r="G320" s="82" t="s">
        <v>829</v>
      </c>
      <c r="H320" s="82" t="s">
        <v>772</v>
      </c>
      <c r="I320" s="82" t="s">
        <v>773</v>
      </c>
      <c r="J320" s="82" t="s">
        <v>747</v>
      </c>
      <c r="K320" s="82" t="s">
        <v>829</v>
      </c>
      <c r="L320" s="82" t="s">
        <v>75</v>
      </c>
      <c r="M320" s="82" t="s">
        <v>830</v>
      </c>
      <c r="N320" s="82" t="s">
        <v>629</v>
      </c>
      <c r="O320" s="82" t="s">
        <v>630</v>
      </c>
      <c r="P320" s="82" t="s">
        <v>79</v>
      </c>
      <c r="Q320" s="82" t="s">
        <v>122</v>
      </c>
      <c r="R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ht="14.25" customHeight="1">
      <c r="A321" s="72" t="str">
        <f t="shared" si="1"/>
        <v>13/06/2023</v>
      </c>
      <c r="B321" s="82" t="str">
        <f t="shared" si="2"/>
        <v>06-13</v>
      </c>
      <c r="C321" s="82" t="str">
        <f t="shared" si="3"/>
        <v>AUD</v>
      </c>
      <c r="D321" s="82" t="s">
        <v>743</v>
      </c>
      <c r="E321" s="82">
        <v>1230613.0</v>
      </c>
      <c r="F321" s="82" t="s">
        <v>146</v>
      </c>
      <c r="G321" s="82" t="s">
        <v>831</v>
      </c>
      <c r="H321" s="82" t="s">
        <v>772</v>
      </c>
      <c r="I321" s="82" t="s">
        <v>773</v>
      </c>
      <c r="J321" s="82" t="s">
        <v>747</v>
      </c>
      <c r="K321" s="82" t="s">
        <v>831</v>
      </c>
      <c r="L321" s="82" t="s">
        <v>75</v>
      </c>
      <c r="M321" s="82" t="s">
        <v>832</v>
      </c>
      <c r="N321" s="82" t="s">
        <v>629</v>
      </c>
      <c r="O321" s="82" t="s">
        <v>630</v>
      </c>
      <c r="P321" s="82" t="s">
        <v>79</v>
      </c>
      <c r="Q321" s="82" t="s">
        <v>122</v>
      </c>
      <c r="R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ht="14.25" customHeight="1">
      <c r="A322" s="72" t="str">
        <f t="shared" si="1"/>
        <v>13/06/2023</v>
      </c>
      <c r="B322" s="82" t="str">
        <f t="shared" si="2"/>
        <v>06-13</v>
      </c>
      <c r="C322" s="82" t="str">
        <f t="shared" si="3"/>
        <v>USD</v>
      </c>
      <c r="D322" s="82" t="s">
        <v>743</v>
      </c>
      <c r="E322" s="82">
        <v>1230613.0</v>
      </c>
      <c r="F322" s="82" t="s">
        <v>70</v>
      </c>
      <c r="G322" s="82" t="s">
        <v>833</v>
      </c>
      <c r="H322" s="82" t="s">
        <v>834</v>
      </c>
      <c r="I322" s="82" t="s">
        <v>835</v>
      </c>
      <c r="J322" s="82" t="s">
        <v>836</v>
      </c>
      <c r="K322" s="82" t="s">
        <v>833</v>
      </c>
      <c r="L322" s="82" t="s">
        <v>75</v>
      </c>
      <c r="M322" s="82" t="s">
        <v>837</v>
      </c>
      <c r="N322" s="82" t="s">
        <v>494</v>
      </c>
      <c r="O322" s="82" t="s">
        <v>683</v>
      </c>
      <c r="P322" s="82" t="s">
        <v>79</v>
      </c>
      <c r="Q322" s="82" t="s">
        <v>133</v>
      </c>
      <c r="R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ht="14.25" customHeight="1">
      <c r="A323" s="72" t="str">
        <f t="shared" si="1"/>
        <v>13/06/2023</v>
      </c>
      <c r="B323" s="82" t="str">
        <f t="shared" si="2"/>
        <v>06-13</v>
      </c>
      <c r="C323" s="82" t="str">
        <f t="shared" si="3"/>
        <v>USD</v>
      </c>
      <c r="D323" s="82" t="s">
        <v>743</v>
      </c>
      <c r="E323" s="82">
        <v>1230613.0</v>
      </c>
      <c r="F323" s="82" t="s">
        <v>70</v>
      </c>
      <c r="G323" s="82" t="s">
        <v>838</v>
      </c>
      <c r="H323" s="82" t="s">
        <v>834</v>
      </c>
      <c r="I323" s="82" t="s">
        <v>835</v>
      </c>
      <c r="J323" s="82" t="s">
        <v>836</v>
      </c>
      <c r="K323" s="82" t="s">
        <v>838</v>
      </c>
      <c r="L323" s="82" t="s">
        <v>75</v>
      </c>
      <c r="M323" s="82" t="s">
        <v>839</v>
      </c>
      <c r="N323" s="82" t="s">
        <v>494</v>
      </c>
      <c r="O323" s="82" t="s">
        <v>683</v>
      </c>
      <c r="P323" s="82" t="s">
        <v>79</v>
      </c>
      <c r="Q323" s="82" t="s">
        <v>133</v>
      </c>
      <c r="R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ht="14.25" customHeight="1">
      <c r="A324" s="72" t="str">
        <f t="shared" si="1"/>
        <v>13/06/2023</v>
      </c>
      <c r="B324" s="82" t="str">
        <f t="shared" si="2"/>
        <v>06-13</v>
      </c>
      <c r="C324" s="82" t="str">
        <f t="shared" si="3"/>
        <v>USD</v>
      </c>
      <c r="D324" s="82" t="s">
        <v>743</v>
      </c>
      <c r="E324" s="82">
        <v>1230613.0</v>
      </c>
      <c r="F324" s="82" t="s">
        <v>70</v>
      </c>
      <c r="G324" s="82" t="s">
        <v>840</v>
      </c>
      <c r="H324" s="82" t="s">
        <v>834</v>
      </c>
      <c r="I324" s="82" t="s">
        <v>835</v>
      </c>
      <c r="J324" s="82" t="s">
        <v>836</v>
      </c>
      <c r="K324" s="82" t="s">
        <v>840</v>
      </c>
      <c r="L324" s="82" t="s">
        <v>75</v>
      </c>
      <c r="M324" s="82" t="s">
        <v>841</v>
      </c>
      <c r="N324" s="82" t="s">
        <v>494</v>
      </c>
      <c r="O324" s="82" t="s">
        <v>683</v>
      </c>
      <c r="P324" s="82" t="s">
        <v>79</v>
      </c>
      <c r="Q324" s="82" t="s">
        <v>133</v>
      </c>
      <c r="R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ht="14.25" customHeight="1">
      <c r="A325" s="72" t="str">
        <f t="shared" si="1"/>
        <v>13/06/2023</v>
      </c>
      <c r="B325" s="82" t="str">
        <f t="shared" si="2"/>
        <v>06-13</v>
      </c>
      <c r="C325" s="82" t="str">
        <f t="shared" si="3"/>
        <v>USD</v>
      </c>
      <c r="D325" s="82" t="s">
        <v>743</v>
      </c>
      <c r="E325" s="82">
        <v>1230613.0</v>
      </c>
      <c r="F325" s="82" t="s">
        <v>70</v>
      </c>
      <c r="G325" s="82" t="s">
        <v>842</v>
      </c>
      <c r="H325" s="82" t="s">
        <v>834</v>
      </c>
      <c r="I325" s="82" t="s">
        <v>835</v>
      </c>
      <c r="J325" s="82" t="s">
        <v>836</v>
      </c>
      <c r="K325" s="82" t="s">
        <v>842</v>
      </c>
      <c r="L325" s="82" t="s">
        <v>75</v>
      </c>
      <c r="M325" s="82" t="s">
        <v>843</v>
      </c>
      <c r="N325" s="82" t="s">
        <v>494</v>
      </c>
      <c r="O325" s="82" t="s">
        <v>683</v>
      </c>
      <c r="P325" s="82" t="s">
        <v>79</v>
      </c>
      <c r="Q325" s="82" t="s">
        <v>133</v>
      </c>
      <c r="R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ht="14.25" customHeight="1">
      <c r="A326" s="72" t="str">
        <f t="shared" si="1"/>
        <v>13/06/2023</v>
      </c>
      <c r="B326" s="82" t="str">
        <f t="shared" si="2"/>
        <v>06-13</v>
      </c>
      <c r="C326" s="82" t="str">
        <f t="shared" si="3"/>
        <v>USD</v>
      </c>
      <c r="D326" s="82" t="s">
        <v>743</v>
      </c>
      <c r="E326" s="82">
        <v>1230613.0</v>
      </c>
      <c r="F326" s="82" t="s">
        <v>70</v>
      </c>
      <c r="G326" s="82" t="s">
        <v>844</v>
      </c>
      <c r="H326" s="82" t="s">
        <v>834</v>
      </c>
      <c r="I326" s="82" t="s">
        <v>835</v>
      </c>
      <c r="J326" s="82" t="s">
        <v>836</v>
      </c>
      <c r="K326" s="82" t="s">
        <v>844</v>
      </c>
      <c r="L326" s="82" t="s">
        <v>75</v>
      </c>
      <c r="M326" s="82" t="s">
        <v>845</v>
      </c>
      <c r="N326" s="82" t="s">
        <v>846</v>
      </c>
      <c r="O326" s="82" t="s">
        <v>847</v>
      </c>
      <c r="P326" s="82" t="s">
        <v>79</v>
      </c>
      <c r="Q326" s="82" t="s">
        <v>133</v>
      </c>
      <c r="R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ht="14.25" customHeight="1">
      <c r="A327" s="72" t="str">
        <f t="shared" si="1"/>
        <v>14/06/2023</v>
      </c>
      <c r="B327" s="82" t="str">
        <f t="shared" si="2"/>
        <v>06-14</v>
      </c>
      <c r="C327" s="82" t="str">
        <f t="shared" si="3"/>
        <v>AUD</v>
      </c>
      <c r="D327" s="82" t="s">
        <v>743</v>
      </c>
      <c r="E327" s="82">
        <v>1230614.0</v>
      </c>
      <c r="F327" s="82" t="s">
        <v>146</v>
      </c>
      <c r="G327" s="82" t="s">
        <v>848</v>
      </c>
      <c r="H327" s="82" t="s">
        <v>745</v>
      </c>
      <c r="I327" s="82" t="s">
        <v>746</v>
      </c>
      <c r="J327" s="82" t="s">
        <v>747</v>
      </c>
      <c r="K327" s="82" t="s">
        <v>848</v>
      </c>
      <c r="L327" s="82" t="s">
        <v>75</v>
      </c>
      <c r="M327" s="82" t="s">
        <v>849</v>
      </c>
      <c r="N327" s="82" t="s">
        <v>850</v>
      </c>
      <c r="O327" s="82" t="s">
        <v>851</v>
      </c>
      <c r="P327" s="82" t="s">
        <v>79</v>
      </c>
      <c r="Q327" s="82" t="s">
        <v>145</v>
      </c>
      <c r="R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ht="14.25" customHeight="1">
      <c r="A328" s="72" t="str">
        <f t="shared" si="1"/>
        <v>14/06/2023</v>
      </c>
      <c r="B328" s="82" t="str">
        <f t="shared" si="2"/>
        <v>06-14</v>
      </c>
      <c r="C328" s="82" t="str">
        <f t="shared" si="3"/>
        <v>AUD</v>
      </c>
      <c r="D328" s="82" t="s">
        <v>743</v>
      </c>
      <c r="E328" s="82">
        <v>1230614.0</v>
      </c>
      <c r="F328" s="82" t="s">
        <v>146</v>
      </c>
      <c r="G328" s="82" t="s">
        <v>852</v>
      </c>
      <c r="H328" s="82" t="s">
        <v>853</v>
      </c>
      <c r="I328" s="82" t="s">
        <v>854</v>
      </c>
      <c r="J328" s="82" t="s">
        <v>747</v>
      </c>
      <c r="K328" s="82" t="s">
        <v>852</v>
      </c>
      <c r="L328" s="82" t="s">
        <v>75</v>
      </c>
      <c r="M328" s="82" t="s">
        <v>855</v>
      </c>
      <c r="N328" s="82" t="s">
        <v>266</v>
      </c>
      <c r="O328" s="82" t="s">
        <v>606</v>
      </c>
      <c r="P328" s="82" t="s">
        <v>79</v>
      </c>
      <c r="Q328" s="82" t="s">
        <v>145</v>
      </c>
      <c r="R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ht="14.25" customHeight="1">
      <c r="A329" s="72" t="str">
        <f t="shared" si="1"/>
        <v>15/06/2023</v>
      </c>
      <c r="B329" s="82" t="str">
        <f t="shared" si="2"/>
        <v>06-15</v>
      </c>
      <c r="C329" s="82" t="str">
        <f t="shared" si="3"/>
        <v>AUD</v>
      </c>
      <c r="D329" s="82" t="s">
        <v>743</v>
      </c>
      <c r="E329" s="82">
        <v>1230615.0</v>
      </c>
      <c r="F329" s="82" t="s">
        <v>70</v>
      </c>
      <c r="G329" s="82" t="s">
        <v>856</v>
      </c>
      <c r="H329" s="82" t="s">
        <v>857</v>
      </c>
      <c r="I329" s="82" t="s">
        <v>858</v>
      </c>
      <c r="J329" s="82" t="s">
        <v>747</v>
      </c>
      <c r="K329" s="82" t="s">
        <v>856</v>
      </c>
      <c r="L329" s="82" t="s">
        <v>75</v>
      </c>
      <c r="M329" s="82" t="s">
        <v>859</v>
      </c>
      <c r="N329" s="82" t="s">
        <v>143</v>
      </c>
      <c r="O329" s="82" t="s">
        <v>860</v>
      </c>
      <c r="P329" s="82" t="s">
        <v>79</v>
      </c>
      <c r="Q329" s="82" t="s">
        <v>145</v>
      </c>
      <c r="R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ht="14.25" customHeight="1">
      <c r="A330" s="72" t="str">
        <f t="shared" si="1"/>
        <v>19/06/2023</v>
      </c>
      <c r="B330" s="82" t="str">
        <f t="shared" si="2"/>
        <v>06-19</v>
      </c>
      <c r="C330" s="82" t="str">
        <f t="shared" si="3"/>
        <v>AUD</v>
      </c>
      <c r="D330" s="72" t="s">
        <v>743</v>
      </c>
      <c r="E330" s="72">
        <v>1230619.0</v>
      </c>
      <c r="F330" s="72" t="s">
        <v>146</v>
      </c>
      <c r="G330" s="72" t="s">
        <v>861</v>
      </c>
      <c r="H330" s="72" t="s">
        <v>862</v>
      </c>
      <c r="I330" s="72" t="s">
        <v>863</v>
      </c>
      <c r="J330" s="72" t="s">
        <v>747</v>
      </c>
      <c r="K330" s="72" t="s">
        <v>861</v>
      </c>
      <c r="L330" s="72" t="s">
        <v>75</v>
      </c>
      <c r="M330" s="72" t="s">
        <v>864</v>
      </c>
      <c r="N330" s="72" t="s">
        <v>865</v>
      </c>
      <c r="O330" s="72" t="s">
        <v>866</v>
      </c>
      <c r="P330" s="72" t="s">
        <v>79</v>
      </c>
      <c r="Q330" s="72" t="s">
        <v>133</v>
      </c>
      <c r="R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ht="14.25" customHeight="1">
      <c r="A331" s="72" t="str">
        <f t="shared" si="1"/>
        <v>19/06/2023</v>
      </c>
      <c r="B331" s="82" t="str">
        <f t="shared" si="2"/>
        <v>06-19</v>
      </c>
      <c r="C331" s="82" t="str">
        <f t="shared" si="3"/>
        <v>AUD</v>
      </c>
      <c r="D331" s="72" t="s">
        <v>743</v>
      </c>
      <c r="E331" s="72">
        <v>1230619.0</v>
      </c>
      <c r="F331" s="72" t="s">
        <v>146</v>
      </c>
      <c r="G331" s="72" t="s">
        <v>867</v>
      </c>
      <c r="H331" s="72" t="s">
        <v>862</v>
      </c>
      <c r="I331" s="72" t="s">
        <v>863</v>
      </c>
      <c r="J331" s="72" t="s">
        <v>747</v>
      </c>
      <c r="K331" s="72" t="s">
        <v>867</v>
      </c>
      <c r="L331" s="72" t="s">
        <v>75</v>
      </c>
      <c r="M331" s="72" t="s">
        <v>868</v>
      </c>
      <c r="N331" s="72" t="s">
        <v>865</v>
      </c>
      <c r="O331" s="72" t="s">
        <v>866</v>
      </c>
      <c r="P331" s="72" t="s">
        <v>79</v>
      </c>
      <c r="Q331" s="72" t="s">
        <v>133</v>
      </c>
      <c r="R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ht="14.25" customHeight="1">
      <c r="A332" s="72" t="str">
        <f t="shared" si="1"/>
        <v>21/06/2023</v>
      </c>
      <c r="B332" s="82" t="str">
        <f t="shared" si="2"/>
        <v>06-21</v>
      </c>
      <c r="C332" s="82" t="str">
        <f t="shared" si="3"/>
        <v>AUD</v>
      </c>
      <c r="D332" s="72" t="s">
        <v>743</v>
      </c>
      <c r="E332" s="72">
        <v>1230621.0</v>
      </c>
      <c r="F332" s="72" t="s">
        <v>146</v>
      </c>
      <c r="G332" s="72" t="s">
        <v>869</v>
      </c>
      <c r="H332" s="72" t="s">
        <v>754</v>
      </c>
      <c r="I332" s="72" t="s">
        <v>755</v>
      </c>
      <c r="J332" s="72" t="s">
        <v>747</v>
      </c>
      <c r="K332" s="72" t="s">
        <v>869</v>
      </c>
      <c r="L332" s="72" t="s">
        <v>75</v>
      </c>
      <c r="M332" s="72" t="s">
        <v>870</v>
      </c>
      <c r="N332" s="72" t="s">
        <v>204</v>
      </c>
      <c r="O332" s="72" t="s">
        <v>205</v>
      </c>
      <c r="P332" s="72" t="s">
        <v>79</v>
      </c>
      <c r="Q332" s="72" t="s">
        <v>145</v>
      </c>
      <c r="R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ht="14.25" customHeight="1">
      <c r="A333" s="72" t="str">
        <f t="shared" si="1"/>
        <v>21/06/2023</v>
      </c>
      <c r="B333" s="82" t="str">
        <f t="shared" si="2"/>
        <v>06-21</v>
      </c>
      <c r="C333" s="82" t="str">
        <f t="shared" si="3"/>
        <v>AUD</v>
      </c>
      <c r="D333" s="72" t="s">
        <v>743</v>
      </c>
      <c r="E333" s="72">
        <v>1230621.0</v>
      </c>
      <c r="F333" s="72" t="s">
        <v>146</v>
      </c>
      <c r="G333" s="72" t="s">
        <v>871</v>
      </c>
      <c r="H333" s="72" t="s">
        <v>745</v>
      </c>
      <c r="I333" s="72" t="s">
        <v>746</v>
      </c>
      <c r="J333" s="72" t="s">
        <v>747</v>
      </c>
      <c r="K333" s="72" t="s">
        <v>871</v>
      </c>
      <c r="L333" s="72" t="s">
        <v>75</v>
      </c>
      <c r="M333" s="72" t="s">
        <v>872</v>
      </c>
      <c r="N333" s="72" t="s">
        <v>850</v>
      </c>
      <c r="O333" s="72" t="s">
        <v>851</v>
      </c>
      <c r="P333" s="72" t="s">
        <v>79</v>
      </c>
      <c r="Q333" s="72" t="s">
        <v>145</v>
      </c>
      <c r="R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ht="14.25" customHeight="1">
      <c r="A334" s="72" t="str">
        <f t="shared" si="1"/>
        <v>22/06/2023</v>
      </c>
      <c r="B334" s="82" t="str">
        <f t="shared" si="2"/>
        <v>06-22</v>
      </c>
      <c r="C334" s="82" t="str">
        <f t="shared" si="3"/>
        <v>AUD</v>
      </c>
      <c r="D334" s="72" t="s">
        <v>743</v>
      </c>
      <c r="E334" s="72">
        <v>1230622.0</v>
      </c>
      <c r="F334" s="72" t="s">
        <v>146</v>
      </c>
      <c r="G334" s="72" t="s">
        <v>873</v>
      </c>
      <c r="H334" s="72" t="s">
        <v>754</v>
      </c>
      <c r="I334" s="72" t="s">
        <v>755</v>
      </c>
      <c r="J334" s="72" t="s">
        <v>747</v>
      </c>
      <c r="K334" s="72" t="s">
        <v>873</v>
      </c>
      <c r="L334" s="72" t="s">
        <v>75</v>
      </c>
      <c r="M334" s="72" t="s">
        <v>874</v>
      </c>
      <c r="N334" s="72" t="s">
        <v>757</v>
      </c>
      <c r="O334" s="72" t="s">
        <v>758</v>
      </c>
      <c r="P334" s="72" t="s">
        <v>79</v>
      </c>
      <c r="Q334" s="72" t="s">
        <v>133</v>
      </c>
      <c r="R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ht="14.25" customHeight="1">
      <c r="A335" s="72" t="str">
        <f t="shared" si="1"/>
        <v>22/06/2023</v>
      </c>
      <c r="B335" s="82" t="str">
        <f t="shared" si="2"/>
        <v>06-22</v>
      </c>
      <c r="C335" s="82" t="str">
        <f t="shared" si="3"/>
        <v>AUD</v>
      </c>
      <c r="D335" s="72" t="s">
        <v>743</v>
      </c>
      <c r="E335" s="72">
        <v>1230622.0</v>
      </c>
      <c r="F335" s="72" t="s">
        <v>146</v>
      </c>
      <c r="G335" s="72" t="s">
        <v>875</v>
      </c>
      <c r="H335" s="72" t="s">
        <v>853</v>
      </c>
      <c r="I335" s="72" t="s">
        <v>854</v>
      </c>
      <c r="J335" s="72" t="s">
        <v>747</v>
      </c>
      <c r="K335" s="72" t="s">
        <v>875</v>
      </c>
      <c r="L335" s="72" t="s">
        <v>75</v>
      </c>
      <c r="M335" s="72" t="s">
        <v>876</v>
      </c>
      <c r="N335" s="72" t="s">
        <v>877</v>
      </c>
      <c r="O335" s="72" t="s">
        <v>878</v>
      </c>
      <c r="P335" s="72" t="s">
        <v>79</v>
      </c>
      <c r="Q335" s="72" t="s">
        <v>145</v>
      </c>
      <c r="R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ht="14.25" customHeight="1">
      <c r="A336" s="72" t="str">
        <f t="shared" si="1"/>
        <v>22/06/2023</v>
      </c>
      <c r="B336" s="82" t="str">
        <f t="shared" si="2"/>
        <v>06-22</v>
      </c>
      <c r="C336" s="82" t="str">
        <f t="shared" si="3"/>
        <v>AUD</v>
      </c>
      <c r="D336" s="72" t="s">
        <v>743</v>
      </c>
      <c r="E336" s="72">
        <v>1230622.0</v>
      </c>
      <c r="F336" s="72" t="s">
        <v>146</v>
      </c>
      <c r="G336" s="72" t="s">
        <v>879</v>
      </c>
      <c r="H336" s="72" t="s">
        <v>853</v>
      </c>
      <c r="I336" s="72" t="s">
        <v>854</v>
      </c>
      <c r="J336" s="72" t="s">
        <v>747</v>
      </c>
      <c r="K336" s="72" t="s">
        <v>879</v>
      </c>
      <c r="L336" s="72" t="s">
        <v>75</v>
      </c>
      <c r="M336" s="72" t="s">
        <v>880</v>
      </c>
      <c r="N336" s="72" t="s">
        <v>881</v>
      </c>
      <c r="O336" s="72" t="s">
        <v>882</v>
      </c>
      <c r="P336" s="72" t="s">
        <v>79</v>
      </c>
      <c r="Q336" s="72" t="s">
        <v>145</v>
      </c>
      <c r="R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ht="14.25" customHeight="1">
      <c r="A337" s="72" t="str">
        <f t="shared" si="1"/>
        <v>22/06/2023</v>
      </c>
      <c r="B337" s="82" t="str">
        <f t="shared" si="2"/>
        <v>06-22</v>
      </c>
      <c r="C337" s="82" t="str">
        <f t="shared" si="3"/>
        <v>AUD</v>
      </c>
      <c r="D337" s="72" t="s">
        <v>743</v>
      </c>
      <c r="E337" s="72">
        <v>1230622.0</v>
      </c>
      <c r="F337" s="72" t="s">
        <v>146</v>
      </c>
      <c r="G337" s="72" t="s">
        <v>883</v>
      </c>
      <c r="H337" s="72" t="s">
        <v>853</v>
      </c>
      <c r="I337" s="72" t="s">
        <v>854</v>
      </c>
      <c r="J337" s="72" t="s">
        <v>747</v>
      </c>
      <c r="K337" s="72" t="s">
        <v>883</v>
      </c>
      <c r="L337" s="72" t="s">
        <v>75</v>
      </c>
      <c r="M337" s="72" t="s">
        <v>884</v>
      </c>
      <c r="N337" s="72" t="s">
        <v>885</v>
      </c>
      <c r="O337" s="72" t="s">
        <v>886</v>
      </c>
      <c r="P337" s="72" t="s">
        <v>79</v>
      </c>
      <c r="Q337" s="72" t="s">
        <v>145</v>
      </c>
      <c r="R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ht="14.25" customHeight="1">
      <c r="A338" s="72" t="str">
        <f t="shared" si="1"/>
        <v>22/06/2023</v>
      </c>
      <c r="B338" s="82" t="str">
        <f t="shared" si="2"/>
        <v>06-22</v>
      </c>
      <c r="C338" s="82" t="str">
        <f t="shared" si="3"/>
        <v>AUD</v>
      </c>
      <c r="D338" s="72" t="s">
        <v>743</v>
      </c>
      <c r="E338" s="72">
        <v>1230622.0</v>
      </c>
      <c r="F338" s="72" t="s">
        <v>146</v>
      </c>
      <c r="G338" s="72" t="s">
        <v>887</v>
      </c>
      <c r="H338" s="72" t="s">
        <v>853</v>
      </c>
      <c r="I338" s="72" t="s">
        <v>854</v>
      </c>
      <c r="J338" s="72" t="s">
        <v>747</v>
      </c>
      <c r="K338" s="72" t="s">
        <v>887</v>
      </c>
      <c r="L338" s="72" t="s">
        <v>75</v>
      </c>
      <c r="M338" s="72" t="s">
        <v>888</v>
      </c>
      <c r="N338" s="72" t="s">
        <v>266</v>
      </c>
      <c r="O338" s="72" t="s">
        <v>267</v>
      </c>
      <c r="P338" s="72" t="s">
        <v>79</v>
      </c>
      <c r="Q338" s="72" t="s">
        <v>145</v>
      </c>
      <c r="R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ht="14.25" customHeight="1">
      <c r="A339" s="72" t="str">
        <f t="shared" si="1"/>
        <v>22/06/2023</v>
      </c>
      <c r="B339" s="82" t="str">
        <f t="shared" si="2"/>
        <v>06-22</v>
      </c>
      <c r="C339" s="82" t="str">
        <f t="shared" si="3"/>
        <v>AUD</v>
      </c>
      <c r="D339" s="72" t="s">
        <v>743</v>
      </c>
      <c r="E339" s="72">
        <v>1230622.0</v>
      </c>
      <c r="F339" s="72" t="s">
        <v>146</v>
      </c>
      <c r="G339" s="72" t="s">
        <v>889</v>
      </c>
      <c r="H339" s="72" t="s">
        <v>853</v>
      </c>
      <c r="I339" s="72" t="s">
        <v>854</v>
      </c>
      <c r="J339" s="72" t="s">
        <v>747</v>
      </c>
      <c r="K339" s="72" t="s">
        <v>889</v>
      </c>
      <c r="L339" s="72" t="s">
        <v>75</v>
      </c>
      <c r="M339" s="72" t="s">
        <v>890</v>
      </c>
      <c r="N339" s="72" t="s">
        <v>266</v>
      </c>
      <c r="O339" s="72" t="s">
        <v>267</v>
      </c>
      <c r="P339" s="72" t="s">
        <v>79</v>
      </c>
      <c r="Q339" s="72" t="s">
        <v>145</v>
      </c>
      <c r="R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ht="14.25" customHeight="1">
      <c r="A340" s="72" t="str">
        <f t="shared" si="1"/>
        <v>22/06/2023</v>
      </c>
      <c r="B340" s="82" t="str">
        <f t="shared" si="2"/>
        <v>06-22</v>
      </c>
      <c r="C340" s="82" t="str">
        <f t="shared" si="3"/>
        <v>AUD</v>
      </c>
      <c r="D340" s="72" t="s">
        <v>743</v>
      </c>
      <c r="E340" s="72">
        <v>1230622.0</v>
      </c>
      <c r="F340" s="72" t="s">
        <v>146</v>
      </c>
      <c r="G340" s="72" t="s">
        <v>891</v>
      </c>
      <c r="H340" s="72" t="s">
        <v>853</v>
      </c>
      <c r="I340" s="72" t="s">
        <v>854</v>
      </c>
      <c r="J340" s="72" t="s">
        <v>747</v>
      </c>
      <c r="K340" s="72" t="s">
        <v>891</v>
      </c>
      <c r="L340" s="72" t="s">
        <v>75</v>
      </c>
      <c r="M340" s="72" t="s">
        <v>892</v>
      </c>
      <c r="N340" s="72" t="s">
        <v>885</v>
      </c>
      <c r="O340" s="72" t="s">
        <v>893</v>
      </c>
      <c r="P340" s="72" t="s">
        <v>79</v>
      </c>
      <c r="Q340" s="72" t="s">
        <v>145</v>
      </c>
      <c r="R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ht="14.25" customHeight="1">
      <c r="A341" s="72" t="str">
        <f t="shared" si="1"/>
        <v>22/06/2023</v>
      </c>
      <c r="B341" s="82" t="str">
        <f t="shared" si="2"/>
        <v>06-22</v>
      </c>
      <c r="C341" s="82" t="str">
        <f t="shared" si="3"/>
        <v>AUD</v>
      </c>
      <c r="D341" s="72" t="s">
        <v>743</v>
      </c>
      <c r="E341" s="72">
        <v>1230622.0</v>
      </c>
      <c r="F341" s="72" t="s">
        <v>146</v>
      </c>
      <c r="G341" s="72" t="s">
        <v>894</v>
      </c>
      <c r="H341" s="72" t="s">
        <v>853</v>
      </c>
      <c r="I341" s="72" t="s">
        <v>854</v>
      </c>
      <c r="J341" s="72" t="s">
        <v>747</v>
      </c>
      <c r="K341" s="72" t="s">
        <v>894</v>
      </c>
      <c r="L341" s="72" t="s">
        <v>75</v>
      </c>
      <c r="M341" s="72" t="s">
        <v>895</v>
      </c>
      <c r="N341" s="72" t="s">
        <v>885</v>
      </c>
      <c r="O341" s="72" t="s">
        <v>893</v>
      </c>
      <c r="P341" s="72" t="s">
        <v>79</v>
      </c>
      <c r="Q341" s="72" t="s">
        <v>145</v>
      </c>
      <c r="R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ht="14.25" customHeight="1">
      <c r="A342" s="72" t="str">
        <f t="shared" si="1"/>
        <v>22/06/2023</v>
      </c>
      <c r="B342" s="82" t="str">
        <f t="shared" si="2"/>
        <v>06-22</v>
      </c>
      <c r="C342" s="82" t="str">
        <f t="shared" si="3"/>
        <v>AUD</v>
      </c>
      <c r="D342" s="72" t="s">
        <v>743</v>
      </c>
      <c r="E342" s="72">
        <v>1230622.0</v>
      </c>
      <c r="F342" s="72" t="s">
        <v>146</v>
      </c>
      <c r="G342" s="72" t="s">
        <v>896</v>
      </c>
      <c r="H342" s="72" t="s">
        <v>853</v>
      </c>
      <c r="I342" s="72" t="s">
        <v>854</v>
      </c>
      <c r="J342" s="72" t="s">
        <v>747</v>
      </c>
      <c r="K342" s="72" t="s">
        <v>896</v>
      </c>
      <c r="L342" s="72" t="s">
        <v>75</v>
      </c>
      <c r="M342" s="72" t="s">
        <v>897</v>
      </c>
      <c r="N342" s="72" t="s">
        <v>885</v>
      </c>
      <c r="O342" s="72" t="s">
        <v>898</v>
      </c>
      <c r="P342" s="72" t="s">
        <v>79</v>
      </c>
      <c r="Q342" s="72" t="s">
        <v>145</v>
      </c>
      <c r="R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ht="14.25" customHeight="1">
      <c r="A343" s="72" t="str">
        <f t="shared" si="1"/>
        <v>22/06/2023</v>
      </c>
      <c r="B343" s="82" t="str">
        <f t="shared" si="2"/>
        <v>06-22</v>
      </c>
      <c r="C343" s="82" t="str">
        <f t="shared" si="3"/>
        <v>AUD</v>
      </c>
      <c r="D343" s="72" t="s">
        <v>743</v>
      </c>
      <c r="E343" s="72">
        <v>1230622.0</v>
      </c>
      <c r="F343" s="72" t="s">
        <v>146</v>
      </c>
      <c r="G343" s="72" t="s">
        <v>899</v>
      </c>
      <c r="H343" s="72" t="s">
        <v>853</v>
      </c>
      <c r="I343" s="72" t="s">
        <v>854</v>
      </c>
      <c r="J343" s="72" t="s">
        <v>747</v>
      </c>
      <c r="K343" s="72" t="s">
        <v>899</v>
      </c>
      <c r="L343" s="72" t="s">
        <v>75</v>
      </c>
      <c r="M343" s="72" t="s">
        <v>900</v>
      </c>
      <c r="N343" s="72" t="s">
        <v>885</v>
      </c>
      <c r="O343" s="72" t="s">
        <v>898</v>
      </c>
      <c r="P343" s="72" t="s">
        <v>79</v>
      </c>
      <c r="Q343" s="72" t="s">
        <v>145</v>
      </c>
      <c r="R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ht="14.25" customHeight="1">
      <c r="A344" s="72" t="str">
        <f t="shared" si="1"/>
        <v>22/06/2023</v>
      </c>
      <c r="B344" s="82" t="str">
        <f t="shared" si="2"/>
        <v>06-22</v>
      </c>
      <c r="C344" s="82" t="str">
        <f t="shared" si="3"/>
        <v>AUD</v>
      </c>
      <c r="D344" s="72" t="s">
        <v>743</v>
      </c>
      <c r="E344" s="72">
        <v>1230622.0</v>
      </c>
      <c r="F344" s="72" t="s">
        <v>146</v>
      </c>
      <c r="G344" s="72" t="s">
        <v>901</v>
      </c>
      <c r="H344" s="72" t="s">
        <v>853</v>
      </c>
      <c r="I344" s="72" t="s">
        <v>854</v>
      </c>
      <c r="J344" s="72" t="s">
        <v>747</v>
      </c>
      <c r="K344" s="72" t="s">
        <v>901</v>
      </c>
      <c r="L344" s="72" t="s">
        <v>75</v>
      </c>
      <c r="M344" s="72" t="s">
        <v>902</v>
      </c>
      <c r="N344" s="72" t="s">
        <v>885</v>
      </c>
      <c r="O344" s="72" t="s">
        <v>898</v>
      </c>
      <c r="P344" s="72" t="s">
        <v>79</v>
      </c>
      <c r="Q344" s="72" t="s">
        <v>145</v>
      </c>
      <c r="R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ht="14.25" customHeight="1">
      <c r="A345" s="72" t="str">
        <f t="shared" si="1"/>
        <v>22/06/2023</v>
      </c>
      <c r="B345" s="82" t="str">
        <f t="shared" si="2"/>
        <v>06-22</v>
      </c>
      <c r="C345" s="82" t="str">
        <f t="shared" si="3"/>
        <v>AUD</v>
      </c>
      <c r="D345" s="72" t="s">
        <v>743</v>
      </c>
      <c r="E345" s="72">
        <v>1230622.0</v>
      </c>
      <c r="F345" s="72" t="s">
        <v>146</v>
      </c>
      <c r="G345" s="72" t="s">
        <v>903</v>
      </c>
      <c r="H345" s="72" t="s">
        <v>853</v>
      </c>
      <c r="I345" s="72" t="s">
        <v>854</v>
      </c>
      <c r="J345" s="72" t="s">
        <v>747</v>
      </c>
      <c r="K345" s="72" t="s">
        <v>903</v>
      </c>
      <c r="L345" s="72" t="s">
        <v>75</v>
      </c>
      <c r="M345" s="72" t="s">
        <v>904</v>
      </c>
      <c r="N345" s="72" t="s">
        <v>266</v>
      </c>
      <c r="O345" s="72" t="s">
        <v>267</v>
      </c>
      <c r="P345" s="72" t="s">
        <v>79</v>
      </c>
      <c r="Q345" s="72" t="s">
        <v>145</v>
      </c>
      <c r="R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ht="14.25" customHeight="1">
      <c r="A346" s="72" t="str">
        <f t="shared" si="1"/>
        <v>22/06/2023</v>
      </c>
      <c r="B346" s="82" t="str">
        <f t="shared" si="2"/>
        <v>06-22</v>
      </c>
      <c r="C346" s="82" t="str">
        <f t="shared" si="3"/>
        <v>AUD</v>
      </c>
      <c r="D346" s="72" t="s">
        <v>743</v>
      </c>
      <c r="E346" s="72">
        <v>1230622.0</v>
      </c>
      <c r="F346" s="72" t="s">
        <v>146</v>
      </c>
      <c r="G346" s="72" t="s">
        <v>905</v>
      </c>
      <c r="H346" s="72" t="s">
        <v>853</v>
      </c>
      <c r="I346" s="72" t="s">
        <v>854</v>
      </c>
      <c r="J346" s="72" t="s">
        <v>747</v>
      </c>
      <c r="K346" s="72" t="s">
        <v>905</v>
      </c>
      <c r="L346" s="72" t="s">
        <v>75</v>
      </c>
      <c r="M346" s="72" t="s">
        <v>906</v>
      </c>
      <c r="N346" s="72" t="s">
        <v>266</v>
      </c>
      <c r="O346" s="72" t="s">
        <v>267</v>
      </c>
      <c r="P346" s="72" t="s">
        <v>79</v>
      </c>
      <c r="Q346" s="72" t="s">
        <v>145</v>
      </c>
      <c r="R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ht="14.25" customHeight="1">
      <c r="A347" s="72" t="str">
        <f t="shared" si="1"/>
        <v>22/06/2023</v>
      </c>
      <c r="B347" s="82" t="str">
        <f t="shared" si="2"/>
        <v>06-22</v>
      </c>
      <c r="C347" s="82" t="str">
        <f t="shared" si="3"/>
        <v>AUD</v>
      </c>
      <c r="D347" s="72" t="s">
        <v>743</v>
      </c>
      <c r="E347" s="72">
        <v>1230622.0</v>
      </c>
      <c r="F347" s="72" t="s">
        <v>70</v>
      </c>
      <c r="G347" s="72" t="s">
        <v>907</v>
      </c>
      <c r="H347" s="72" t="s">
        <v>857</v>
      </c>
      <c r="I347" s="72" t="s">
        <v>858</v>
      </c>
      <c r="J347" s="72" t="s">
        <v>747</v>
      </c>
      <c r="K347" s="72" t="s">
        <v>907</v>
      </c>
      <c r="L347" s="72" t="s">
        <v>75</v>
      </c>
      <c r="M347" s="72" t="s">
        <v>908</v>
      </c>
      <c r="N347" s="72" t="s">
        <v>187</v>
      </c>
      <c r="O347" s="72" t="s">
        <v>188</v>
      </c>
      <c r="P347" s="72" t="s">
        <v>79</v>
      </c>
      <c r="Q347" s="72" t="s">
        <v>80</v>
      </c>
      <c r="R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ht="14.25" customHeight="1">
      <c r="A348" s="72" t="str">
        <f t="shared" si="1"/>
        <v>22/06/2023</v>
      </c>
      <c r="B348" s="82" t="str">
        <f t="shared" si="2"/>
        <v>06-22</v>
      </c>
      <c r="C348" s="82" t="str">
        <f t="shared" si="3"/>
        <v>AUD</v>
      </c>
      <c r="D348" s="72" t="s">
        <v>743</v>
      </c>
      <c r="E348" s="72">
        <v>1230622.0</v>
      </c>
      <c r="F348" s="72" t="s">
        <v>146</v>
      </c>
      <c r="G348" s="72" t="s">
        <v>909</v>
      </c>
      <c r="H348" s="72" t="s">
        <v>853</v>
      </c>
      <c r="I348" s="72" t="s">
        <v>854</v>
      </c>
      <c r="J348" s="72" t="s">
        <v>747</v>
      </c>
      <c r="K348" s="72" t="s">
        <v>909</v>
      </c>
      <c r="L348" s="72" t="s">
        <v>75</v>
      </c>
      <c r="M348" s="72" t="s">
        <v>910</v>
      </c>
      <c r="N348" s="72" t="s">
        <v>266</v>
      </c>
      <c r="O348" s="72" t="s">
        <v>267</v>
      </c>
      <c r="P348" s="72" t="s">
        <v>79</v>
      </c>
      <c r="Q348" s="72" t="s">
        <v>145</v>
      </c>
      <c r="R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ht="14.25" customHeight="1">
      <c r="A349" s="72" t="str">
        <f t="shared" si="1"/>
        <v>22/06/2023</v>
      </c>
      <c r="B349" s="82" t="str">
        <f t="shared" si="2"/>
        <v>06-22</v>
      </c>
      <c r="C349" s="82" t="str">
        <f t="shared" si="3"/>
        <v>AUD</v>
      </c>
      <c r="D349" s="72" t="s">
        <v>743</v>
      </c>
      <c r="E349" s="72">
        <v>1230622.0</v>
      </c>
      <c r="F349" s="72" t="s">
        <v>146</v>
      </c>
      <c r="G349" s="72" t="s">
        <v>911</v>
      </c>
      <c r="H349" s="72" t="s">
        <v>853</v>
      </c>
      <c r="I349" s="72" t="s">
        <v>854</v>
      </c>
      <c r="J349" s="72" t="s">
        <v>747</v>
      </c>
      <c r="K349" s="72" t="s">
        <v>911</v>
      </c>
      <c r="L349" s="72" t="s">
        <v>75</v>
      </c>
      <c r="M349" s="72" t="s">
        <v>912</v>
      </c>
      <c r="N349" s="72" t="s">
        <v>266</v>
      </c>
      <c r="O349" s="72" t="s">
        <v>267</v>
      </c>
      <c r="P349" s="72" t="s">
        <v>79</v>
      </c>
      <c r="Q349" s="72" t="s">
        <v>145</v>
      </c>
      <c r="R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ht="14.25" customHeight="1">
      <c r="A350" s="72" t="str">
        <f t="shared" si="1"/>
        <v>22/06/2023</v>
      </c>
      <c r="B350" s="82" t="str">
        <f t="shared" si="2"/>
        <v>06-22</v>
      </c>
      <c r="C350" s="82" t="str">
        <f t="shared" si="3"/>
        <v>AUD</v>
      </c>
      <c r="D350" s="72" t="s">
        <v>743</v>
      </c>
      <c r="E350" s="72">
        <v>1230622.0</v>
      </c>
      <c r="F350" s="72" t="s">
        <v>146</v>
      </c>
      <c r="G350" s="72" t="s">
        <v>913</v>
      </c>
      <c r="H350" s="72" t="s">
        <v>853</v>
      </c>
      <c r="I350" s="72" t="s">
        <v>854</v>
      </c>
      <c r="J350" s="72" t="s">
        <v>747</v>
      </c>
      <c r="K350" s="72" t="s">
        <v>913</v>
      </c>
      <c r="L350" s="72" t="s">
        <v>75</v>
      </c>
      <c r="M350" s="72" t="s">
        <v>914</v>
      </c>
      <c r="N350" s="72" t="s">
        <v>204</v>
      </c>
      <c r="O350" s="72" t="s">
        <v>205</v>
      </c>
      <c r="P350" s="72" t="s">
        <v>79</v>
      </c>
      <c r="Q350" s="72" t="s">
        <v>145</v>
      </c>
      <c r="R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ht="14.25" customHeight="1">
      <c r="A351" s="72" t="str">
        <f t="shared" si="1"/>
        <v>25/06/2023</v>
      </c>
      <c r="B351" s="82" t="str">
        <f t="shared" si="2"/>
        <v>06-25</v>
      </c>
      <c r="C351" s="82" t="str">
        <f t="shared" si="3"/>
        <v>AUD</v>
      </c>
      <c r="D351" s="82" t="s">
        <v>743</v>
      </c>
      <c r="E351" s="82">
        <v>1230625.0</v>
      </c>
      <c r="F351" s="82" t="s">
        <v>70</v>
      </c>
      <c r="G351" s="82" t="s">
        <v>915</v>
      </c>
      <c r="H351" s="82" t="s">
        <v>760</v>
      </c>
      <c r="I351" s="82" t="s">
        <v>761</v>
      </c>
      <c r="J351" s="82" t="s">
        <v>747</v>
      </c>
      <c r="K351" s="82" t="s">
        <v>915</v>
      </c>
      <c r="L351" s="82" t="s">
        <v>75</v>
      </c>
      <c r="M351" s="82" t="s">
        <v>916</v>
      </c>
      <c r="N351" s="82" t="s">
        <v>917</v>
      </c>
      <c r="O351" s="82" t="s">
        <v>918</v>
      </c>
      <c r="P351" s="82" t="s">
        <v>79</v>
      </c>
      <c r="Q351" s="82" t="s">
        <v>145</v>
      </c>
      <c r="R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ht="14.25" customHeight="1">
      <c r="A352" s="72" t="str">
        <f t="shared" si="1"/>
        <v>25/06/2023</v>
      </c>
      <c r="B352" s="82" t="str">
        <f t="shared" si="2"/>
        <v>06-25</v>
      </c>
      <c r="C352" s="82" t="str">
        <f t="shared" si="3"/>
        <v>AUD</v>
      </c>
      <c r="D352" s="82" t="s">
        <v>743</v>
      </c>
      <c r="E352" s="82">
        <v>1230625.0</v>
      </c>
      <c r="F352" s="82" t="s">
        <v>146</v>
      </c>
      <c r="G352" s="82" t="s">
        <v>919</v>
      </c>
      <c r="H352" s="82" t="s">
        <v>745</v>
      </c>
      <c r="I352" s="82" t="s">
        <v>746</v>
      </c>
      <c r="J352" s="82" t="s">
        <v>747</v>
      </c>
      <c r="K352" s="82" t="s">
        <v>919</v>
      </c>
      <c r="L352" s="82" t="s">
        <v>75</v>
      </c>
      <c r="M352" s="82" t="s">
        <v>920</v>
      </c>
      <c r="N352" s="82" t="s">
        <v>266</v>
      </c>
      <c r="O352" s="82" t="s">
        <v>606</v>
      </c>
      <c r="P352" s="82" t="s">
        <v>79</v>
      </c>
      <c r="Q352" s="82" t="s">
        <v>145</v>
      </c>
      <c r="R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ht="14.25" customHeight="1">
      <c r="A353" s="72" t="str">
        <f t="shared" si="1"/>
        <v>26/06/2023</v>
      </c>
      <c r="B353" s="82" t="str">
        <f t="shared" si="2"/>
        <v>06-26</v>
      </c>
      <c r="C353" s="82" t="str">
        <f t="shared" si="3"/>
        <v>USD</v>
      </c>
      <c r="D353" s="82" t="s">
        <v>743</v>
      </c>
      <c r="E353" s="82">
        <v>1230626.0</v>
      </c>
      <c r="F353" s="82" t="s">
        <v>70</v>
      </c>
      <c r="G353" s="82" t="s">
        <v>921</v>
      </c>
      <c r="H353" s="82" t="s">
        <v>834</v>
      </c>
      <c r="I353" s="82" t="s">
        <v>835</v>
      </c>
      <c r="J353" s="82" t="s">
        <v>836</v>
      </c>
      <c r="K353" s="82" t="s">
        <v>921</v>
      </c>
      <c r="L353" s="82" t="s">
        <v>75</v>
      </c>
      <c r="M353" s="82" t="s">
        <v>922</v>
      </c>
      <c r="N353" s="82" t="s">
        <v>143</v>
      </c>
      <c r="O353" s="82" t="s">
        <v>144</v>
      </c>
      <c r="P353" s="82" t="s">
        <v>79</v>
      </c>
      <c r="Q353" s="82" t="s">
        <v>145</v>
      </c>
      <c r="R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ht="14.25" customHeight="1">
      <c r="A354" s="72" t="str">
        <f t="shared" si="1"/>
        <v>26/06/2023</v>
      </c>
      <c r="B354" s="82" t="str">
        <f t="shared" si="2"/>
        <v>06-26</v>
      </c>
      <c r="C354" s="82" t="str">
        <f t="shared" si="3"/>
        <v>USD</v>
      </c>
      <c r="D354" s="82" t="s">
        <v>743</v>
      </c>
      <c r="E354" s="82">
        <v>1230626.0</v>
      </c>
      <c r="F354" s="82" t="s">
        <v>70</v>
      </c>
      <c r="G354" s="82" t="s">
        <v>923</v>
      </c>
      <c r="H354" s="82" t="s">
        <v>834</v>
      </c>
      <c r="I354" s="82" t="s">
        <v>835</v>
      </c>
      <c r="J354" s="82" t="s">
        <v>836</v>
      </c>
      <c r="K354" s="82" t="s">
        <v>923</v>
      </c>
      <c r="L354" s="82" t="s">
        <v>75</v>
      </c>
      <c r="M354" s="82" t="s">
        <v>924</v>
      </c>
      <c r="N354" s="82" t="s">
        <v>143</v>
      </c>
      <c r="O354" s="82" t="s">
        <v>144</v>
      </c>
      <c r="P354" s="82" t="s">
        <v>79</v>
      </c>
      <c r="Q354" s="82" t="s">
        <v>145</v>
      </c>
      <c r="R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ht="14.25" customHeight="1">
      <c r="A355" s="72" t="str">
        <f t="shared" si="1"/>
        <v>26/06/2023</v>
      </c>
      <c r="B355" s="82" t="str">
        <f t="shared" si="2"/>
        <v>06-26</v>
      </c>
      <c r="C355" s="82" t="str">
        <f t="shared" si="3"/>
        <v>USD</v>
      </c>
      <c r="D355" s="82" t="s">
        <v>743</v>
      </c>
      <c r="E355" s="82">
        <v>1230626.0</v>
      </c>
      <c r="F355" s="82" t="s">
        <v>70</v>
      </c>
      <c r="G355" s="82" t="s">
        <v>925</v>
      </c>
      <c r="H355" s="82" t="s">
        <v>834</v>
      </c>
      <c r="I355" s="82" t="s">
        <v>835</v>
      </c>
      <c r="J355" s="82" t="s">
        <v>836</v>
      </c>
      <c r="K355" s="82" t="s">
        <v>925</v>
      </c>
      <c r="L355" s="82" t="s">
        <v>75</v>
      </c>
      <c r="M355" s="82" t="s">
        <v>926</v>
      </c>
      <c r="N355" s="82" t="s">
        <v>143</v>
      </c>
      <c r="O355" s="82" t="s">
        <v>144</v>
      </c>
      <c r="P355" s="82" t="s">
        <v>79</v>
      </c>
      <c r="Q355" s="82" t="s">
        <v>145</v>
      </c>
      <c r="R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ht="14.25" customHeight="1">
      <c r="A356" s="72" t="str">
        <f t="shared" si="1"/>
        <v>26/06/2023</v>
      </c>
      <c r="B356" s="82" t="str">
        <f t="shared" si="2"/>
        <v>06-26</v>
      </c>
      <c r="C356" s="82" t="str">
        <f t="shared" si="3"/>
        <v>USD</v>
      </c>
      <c r="D356" s="82" t="s">
        <v>743</v>
      </c>
      <c r="E356" s="82">
        <v>1230626.0</v>
      </c>
      <c r="F356" s="82" t="s">
        <v>70</v>
      </c>
      <c r="G356" s="82" t="s">
        <v>927</v>
      </c>
      <c r="H356" s="82" t="s">
        <v>834</v>
      </c>
      <c r="I356" s="82" t="s">
        <v>835</v>
      </c>
      <c r="J356" s="82" t="s">
        <v>836</v>
      </c>
      <c r="K356" s="82" t="s">
        <v>927</v>
      </c>
      <c r="L356" s="82" t="s">
        <v>75</v>
      </c>
      <c r="M356" s="82" t="s">
        <v>928</v>
      </c>
      <c r="N356" s="82" t="s">
        <v>143</v>
      </c>
      <c r="O356" s="82" t="s">
        <v>144</v>
      </c>
      <c r="P356" s="82" t="s">
        <v>79</v>
      </c>
      <c r="Q356" s="82" t="s">
        <v>145</v>
      </c>
      <c r="R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ht="14.25" customHeight="1">
      <c r="A357" s="72" t="str">
        <f t="shared" si="1"/>
        <v>26/06/2023</v>
      </c>
      <c r="B357" s="82" t="str">
        <f t="shared" si="2"/>
        <v>06-26</v>
      </c>
      <c r="C357" s="82" t="str">
        <f t="shared" si="3"/>
        <v>USD</v>
      </c>
      <c r="D357" s="82" t="s">
        <v>743</v>
      </c>
      <c r="E357" s="82">
        <v>1230626.0</v>
      </c>
      <c r="F357" s="82" t="s">
        <v>70</v>
      </c>
      <c r="G357" s="82" t="s">
        <v>929</v>
      </c>
      <c r="H357" s="82" t="s">
        <v>834</v>
      </c>
      <c r="I357" s="82" t="s">
        <v>835</v>
      </c>
      <c r="J357" s="82" t="s">
        <v>836</v>
      </c>
      <c r="K357" s="82" t="s">
        <v>929</v>
      </c>
      <c r="L357" s="82" t="s">
        <v>75</v>
      </c>
      <c r="M357" s="82" t="s">
        <v>930</v>
      </c>
      <c r="N357" s="82" t="s">
        <v>143</v>
      </c>
      <c r="O357" s="82" t="s">
        <v>860</v>
      </c>
      <c r="P357" s="82" t="s">
        <v>79</v>
      </c>
      <c r="Q357" s="82" t="s">
        <v>145</v>
      </c>
      <c r="R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ht="14.25" customHeight="1">
      <c r="A358" s="72" t="str">
        <f t="shared" si="1"/>
        <v>26/06/2023</v>
      </c>
      <c r="B358" s="82" t="str">
        <f t="shared" si="2"/>
        <v>06-26</v>
      </c>
      <c r="C358" s="82" t="str">
        <f t="shared" si="3"/>
        <v>USD</v>
      </c>
      <c r="D358" s="82" t="s">
        <v>743</v>
      </c>
      <c r="E358" s="82">
        <v>1230626.0</v>
      </c>
      <c r="F358" s="82" t="s">
        <v>70</v>
      </c>
      <c r="G358" s="82" t="s">
        <v>931</v>
      </c>
      <c r="H358" s="82" t="s">
        <v>834</v>
      </c>
      <c r="I358" s="82" t="s">
        <v>835</v>
      </c>
      <c r="J358" s="82" t="s">
        <v>836</v>
      </c>
      <c r="K358" s="82" t="s">
        <v>931</v>
      </c>
      <c r="L358" s="82" t="s">
        <v>75</v>
      </c>
      <c r="M358" s="82" t="s">
        <v>932</v>
      </c>
      <c r="N358" s="82" t="s">
        <v>143</v>
      </c>
      <c r="O358" s="82" t="s">
        <v>860</v>
      </c>
      <c r="P358" s="82" t="s">
        <v>79</v>
      </c>
      <c r="Q358" s="82" t="s">
        <v>145</v>
      </c>
      <c r="R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ht="14.25" customHeight="1">
      <c r="A359" s="72" t="str">
        <f t="shared" si="1"/>
        <v>26/06/2023</v>
      </c>
      <c r="B359" s="82" t="str">
        <f t="shared" si="2"/>
        <v>06-26</v>
      </c>
      <c r="C359" s="82" t="str">
        <f t="shared" si="3"/>
        <v>USD</v>
      </c>
      <c r="D359" s="82" t="s">
        <v>743</v>
      </c>
      <c r="E359" s="82">
        <v>1230626.0</v>
      </c>
      <c r="F359" s="82" t="s">
        <v>70</v>
      </c>
      <c r="G359" s="82" t="s">
        <v>933</v>
      </c>
      <c r="H359" s="82" t="s">
        <v>834</v>
      </c>
      <c r="I359" s="82" t="s">
        <v>835</v>
      </c>
      <c r="J359" s="82" t="s">
        <v>836</v>
      </c>
      <c r="K359" s="82" t="s">
        <v>933</v>
      </c>
      <c r="L359" s="82" t="s">
        <v>75</v>
      </c>
      <c r="M359" s="82" t="s">
        <v>934</v>
      </c>
      <c r="N359" s="82" t="s">
        <v>143</v>
      </c>
      <c r="O359" s="82" t="s">
        <v>935</v>
      </c>
      <c r="P359" s="82" t="s">
        <v>79</v>
      </c>
      <c r="Q359" s="82" t="s">
        <v>145</v>
      </c>
      <c r="R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ht="14.25" customHeight="1">
      <c r="A360" s="72" t="str">
        <f t="shared" si="1"/>
        <v>26/06/2023</v>
      </c>
      <c r="B360" s="82" t="str">
        <f t="shared" si="2"/>
        <v>06-26</v>
      </c>
      <c r="C360" s="82" t="str">
        <f t="shared" si="3"/>
        <v>USD</v>
      </c>
      <c r="D360" s="82" t="s">
        <v>743</v>
      </c>
      <c r="E360" s="82">
        <v>1230626.0</v>
      </c>
      <c r="F360" s="82" t="s">
        <v>70</v>
      </c>
      <c r="G360" s="82" t="s">
        <v>936</v>
      </c>
      <c r="H360" s="82" t="s">
        <v>834</v>
      </c>
      <c r="I360" s="82" t="s">
        <v>835</v>
      </c>
      <c r="J360" s="82" t="s">
        <v>836</v>
      </c>
      <c r="K360" s="82" t="s">
        <v>936</v>
      </c>
      <c r="L360" s="82" t="s">
        <v>75</v>
      </c>
      <c r="M360" s="82" t="s">
        <v>937</v>
      </c>
      <c r="N360" s="82" t="s">
        <v>143</v>
      </c>
      <c r="O360" s="82" t="s">
        <v>935</v>
      </c>
      <c r="P360" s="82" t="s">
        <v>79</v>
      </c>
      <c r="Q360" s="82" t="s">
        <v>145</v>
      </c>
      <c r="R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ht="14.25" customHeight="1">
      <c r="A361" s="72" t="str">
        <f t="shared" si="1"/>
        <v>27/06/2023</v>
      </c>
      <c r="B361" s="82" t="str">
        <f t="shared" si="2"/>
        <v>06-27</v>
      </c>
      <c r="C361" s="82" t="str">
        <f t="shared" si="3"/>
        <v>USD</v>
      </c>
      <c r="D361" s="82" t="s">
        <v>743</v>
      </c>
      <c r="E361" s="82">
        <v>1230627.0</v>
      </c>
      <c r="F361" s="82" t="s">
        <v>146</v>
      </c>
      <c r="G361" s="82" t="s">
        <v>938</v>
      </c>
      <c r="H361" s="82" t="s">
        <v>939</v>
      </c>
      <c r="I361" s="82" t="s">
        <v>940</v>
      </c>
      <c r="J361" s="82" t="s">
        <v>836</v>
      </c>
      <c r="K361" s="82" t="s">
        <v>938</v>
      </c>
      <c r="L361" s="82" t="s">
        <v>75</v>
      </c>
      <c r="M361" s="82" t="s">
        <v>941</v>
      </c>
      <c r="N361" s="82" t="s">
        <v>639</v>
      </c>
      <c r="O361" s="82" t="s">
        <v>643</v>
      </c>
      <c r="P361" s="82" t="s">
        <v>79</v>
      </c>
      <c r="Q361" s="82" t="s">
        <v>133</v>
      </c>
      <c r="R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ht="14.25" customHeight="1">
      <c r="A362" s="72" t="str">
        <f t="shared" si="1"/>
        <v>27/06/2023</v>
      </c>
      <c r="B362" s="82" t="str">
        <f t="shared" si="2"/>
        <v>06-27</v>
      </c>
      <c r="C362" s="82" t="str">
        <f t="shared" si="3"/>
        <v>AUD</v>
      </c>
      <c r="D362" s="82" t="s">
        <v>743</v>
      </c>
      <c r="E362" s="82">
        <v>1230627.0</v>
      </c>
      <c r="F362" s="82" t="s">
        <v>146</v>
      </c>
      <c r="G362" s="82" t="s">
        <v>942</v>
      </c>
      <c r="H362" s="82" t="s">
        <v>754</v>
      </c>
      <c r="I362" s="82" t="s">
        <v>755</v>
      </c>
      <c r="J362" s="82" t="s">
        <v>747</v>
      </c>
      <c r="K362" s="82" t="s">
        <v>942</v>
      </c>
      <c r="L362" s="82" t="s">
        <v>75</v>
      </c>
      <c r="M362" s="82" t="s">
        <v>943</v>
      </c>
      <c r="N362" s="82" t="s">
        <v>944</v>
      </c>
      <c r="O362" s="82" t="s">
        <v>945</v>
      </c>
      <c r="P362" s="82" t="s">
        <v>79</v>
      </c>
      <c r="Q362" s="82" t="s">
        <v>80</v>
      </c>
      <c r="R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ht="14.25" customHeight="1">
      <c r="A363" s="72" t="str">
        <f t="shared" si="1"/>
        <v>27/06/2023</v>
      </c>
      <c r="B363" s="82" t="str">
        <f t="shared" si="2"/>
        <v>06-27</v>
      </c>
      <c r="C363" s="82" t="str">
        <f t="shared" si="3"/>
        <v>AUD</v>
      </c>
      <c r="D363" s="82" t="s">
        <v>743</v>
      </c>
      <c r="E363" s="82">
        <v>1230627.0</v>
      </c>
      <c r="F363" s="82" t="s">
        <v>146</v>
      </c>
      <c r="G363" s="82" t="s">
        <v>946</v>
      </c>
      <c r="H363" s="82" t="s">
        <v>754</v>
      </c>
      <c r="I363" s="82" t="s">
        <v>755</v>
      </c>
      <c r="J363" s="82" t="s">
        <v>747</v>
      </c>
      <c r="K363" s="82" t="s">
        <v>946</v>
      </c>
      <c r="L363" s="82" t="s">
        <v>75</v>
      </c>
      <c r="M363" s="82" t="s">
        <v>947</v>
      </c>
      <c r="N363" s="82" t="s">
        <v>944</v>
      </c>
      <c r="O363" s="82" t="s">
        <v>945</v>
      </c>
      <c r="P363" s="82" t="s">
        <v>79</v>
      </c>
      <c r="Q363" s="82" t="s">
        <v>80</v>
      </c>
      <c r="R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ht="14.25" customHeight="1">
      <c r="A364" s="72" t="str">
        <f t="shared" si="1"/>
        <v>27/06/2023</v>
      </c>
      <c r="B364" s="82" t="str">
        <f t="shared" si="2"/>
        <v>06-27</v>
      </c>
      <c r="C364" s="82" t="str">
        <f t="shared" si="3"/>
        <v>AUD</v>
      </c>
      <c r="D364" s="82" t="s">
        <v>743</v>
      </c>
      <c r="E364" s="82">
        <v>1230627.0</v>
      </c>
      <c r="F364" s="82" t="s">
        <v>146</v>
      </c>
      <c r="G364" s="82" t="s">
        <v>948</v>
      </c>
      <c r="H364" s="82" t="s">
        <v>754</v>
      </c>
      <c r="I364" s="82" t="s">
        <v>755</v>
      </c>
      <c r="J364" s="82" t="s">
        <v>747</v>
      </c>
      <c r="K364" s="82" t="s">
        <v>948</v>
      </c>
      <c r="L364" s="82" t="s">
        <v>75</v>
      </c>
      <c r="M364" s="82" t="s">
        <v>949</v>
      </c>
      <c r="N364" s="82" t="s">
        <v>944</v>
      </c>
      <c r="O364" s="82" t="s">
        <v>945</v>
      </c>
      <c r="P364" s="82" t="s">
        <v>79</v>
      </c>
      <c r="Q364" s="82" t="s">
        <v>80</v>
      </c>
      <c r="R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ht="14.25" customHeight="1">
      <c r="A365" s="72" t="str">
        <f t="shared" si="1"/>
        <v>27/06/2023</v>
      </c>
      <c r="B365" s="82" t="str">
        <f t="shared" si="2"/>
        <v>06-27</v>
      </c>
      <c r="C365" s="82" t="str">
        <f t="shared" si="3"/>
        <v>AUD</v>
      </c>
      <c r="D365" s="82" t="s">
        <v>743</v>
      </c>
      <c r="E365" s="82">
        <v>1230627.0</v>
      </c>
      <c r="F365" s="82" t="s">
        <v>146</v>
      </c>
      <c r="G365" s="82" t="s">
        <v>950</v>
      </c>
      <c r="H365" s="82" t="s">
        <v>754</v>
      </c>
      <c r="I365" s="82" t="s">
        <v>755</v>
      </c>
      <c r="J365" s="82" t="s">
        <v>747</v>
      </c>
      <c r="K365" s="82" t="s">
        <v>950</v>
      </c>
      <c r="L365" s="82" t="s">
        <v>75</v>
      </c>
      <c r="M365" s="82" t="s">
        <v>951</v>
      </c>
      <c r="N365" s="82" t="s">
        <v>944</v>
      </c>
      <c r="O365" s="82" t="s">
        <v>945</v>
      </c>
      <c r="P365" s="82" t="s">
        <v>79</v>
      </c>
      <c r="Q365" s="82" t="s">
        <v>80</v>
      </c>
      <c r="R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ht="14.25" customHeight="1">
      <c r="A366" s="72" t="str">
        <f t="shared" si="1"/>
        <v>27/06/2023</v>
      </c>
      <c r="B366" s="82" t="str">
        <f t="shared" si="2"/>
        <v>06-27</v>
      </c>
      <c r="C366" s="82" t="str">
        <f t="shared" si="3"/>
        <v>AUD</v>
      </c>
      <c r="D366" s="72" t="s">
        <v>743</v>
      </c>
      <c r="E366" s="72">
        <v>1230627.0</v>
      </c>
      <c r="F366" s="72" t="s">
        <v>146</v>
      </c>
      <c r="G366" s="72" t="s">
        <v>952</v>
      </c>
      <c r="H366" s="72" t="s">
        <v>754</v>
      </c>
      <c r="I366" s="72" t="s">
        <v>755</v>
      </c>
      <c r="J366" s="72" t="s">
        <v>747</v>
      </c>
      <c r="K366" s="72" t="s">
        <v>952</v>
      </c>
      <c r="L366" s="72" t="s">
        <v>75</v>
      </c>
      <c r="M366" s="72" t="s">
        <v>953</v>
      </c>
      <c r="N366" s="72" t="s">
        <v>629</v>
      </c>
      <c r="O366" s="72" t="s">
        <v>630</v>
      </c>
      <c r="P366" s="72" t="s">
        <v>79</v>
      </c>
      <c r="Q366" s="72" t="s">
        <v>122</v>
      </c>
      <c r="R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ht="14.25" customHeight="1">
      <c r="A367" s="72" t="str">
        <f t="shared" si="1"/>
        <v>27/06/2023</v>
      </c>
      <c r="B367" s="82" t="str">
        <f t="shared" si="2"/>
        <v>06-27</v>
      </c>
      <c r="C367" s="82" t="str">
        <f t="shared" si="3"/>
        <v>AUD</v>
      </c>
      <c r="D367" s="72" t="s">
        <v>743</v>
      </c>
      <c r="E367" s="72">
        <v>1230627.0</v>
      </c>
      <c r="F367" s="72" t="s">
        <v>146</v>
      </c>
      <c r="G367" s="72" t="s">
        <v>954</v>
      </c>
      <c r="H367" s="72" t="s">
        <v>754</v>
      </c>
      <c r="I367" s="72" t="s">
        <v>755</v>
      </c>
      <c r="J367" s="72" t="s">
        <v>747</v>
      </c>
      <c r="K367" s="72" t="s">
        <v>954</v>
      </c>
      <c r="L367" s="72" t="s">
        <v>75</v>
      </c>
      <c r="M367" s="72" t="s">
        <v>955</v>
      </c>
      <c r="N367" s="72" t="s">
        <v>629</v>
      </c>
      <c r="O367" s="72" t="s">
        <v>630</v>
      </c>
      <c r="P367" s="72" t="s">
        <v>79</v>
      </c>
      <c r="Q367" s="72" t="s">
        <v>122</v>
      </c>
      <c r="R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ht="14.25" customHeight="1">
      <c r="A368" s="72" t="str">
        <f t="shared" si="1"/>
        <v>27/06/2023</v>
      </c>
      <c r="B368" s="82" t="str">
        <f t="shared" si="2"/>
        <v>06-27</v>
      </c>
      <c r="C368" s="82" t="str">
        <f t="shared" si="3"/>
        <v>AUD</v>
      </c>
      <c r="D368" s="72" t="s">
        <v>743</v>
      </c>
      <c r="E368" s="72">
        <v>1230627.0</v>
      </c>
      <c r="F368" s="72" t="s">
        <v>146</v>
      </c>
      <c r="G368" s="72" t="s">
        <v>956</v>
      </c>
      <c r="H368" s="72" t="s">
        <v>754</v>
      </c>
      <c r="I368" s="72" t="s">
        <v>755</v>
      </c>
      <c r="J368" s="72" t="s">
        <v>747</v>
      </c>
      <c r="K368" s="72" t="s">
        <v>956</v>
      </c>
      <c r="L368" s="72" t="s">
        <v>75</v>
      </c>
      <c r="M368" s="72" t="s">
        <v>957</v>
      </c>
      <c r="N368" s="72" t="s">
        <v>629</v>
      </c>
      <c r="O368" s="72" t="s">
        <v>630</v>
      </c>
      <c r="P368" s="72" t="s">
        <v>79</v>
      </c>
      <c r="Q368" s="72" t="s">
        <v>122</v>
      </c>
      <c r="R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ht="14.25" customHeight="1">
      <c r="A369" s="72" t="str">
        <f t="shared" si="1"/>
        <v>27/06/2023</v>
      </c>
      <c r="B369" s="82" t="str">
        <f t="shared" si="2"/>
        <v>06-27</v>
      </c>
      <c r="C369" s="82" t="str">
        <f t="shared" si="3"/>
        <v>AUD</v>
      </c>
      <c r="D369" s="72" t="s">
        <v>743</v>
      </c>
      <c r="E369" s="72">
        <v>1230627.0</v>
      </c>
      <c r="F369" s="72" t="s">
        <v>146</v>
      </c>
      <c r="G369" s="72" t="s">
        <v>958</v>
      </c>
      <c r="H369" s="72" t="s">
        <v>754</v>
      </c>
      <c r="I369" s="72" t="s">
        <v>755</v>
      </c>
      <c r="J369" s="72" t="s">
        <v>747</v>
      </c>
      <c r="K369" s="72" t="s">
        <v>958</v>
      </c>
      <c r="L369" s="72" t="s">
        <v>75</v>
      </c>
      <c r="M369" s="72" t="s">
        <v>959</v>
      </c>
      <c r="N369" s="72" t="s">
        <v>629</v>
      </c>
      <c r="O369" s="72" t="s">
        <v>630</v>
      </c>
      <c r="P369" s="72" t="s">
        <v>79</v>
      </c>
      <c r="Q369" s="72" t="s">
        <v>122</v>
      </c>
      <c r="R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ht="14.25" customHeight="1">
      <c r="A370" s="72" t="str">
        <f t="shared" si="1"/>
        <v>27/06/2023</v>
      </c>
      <c r="B370" s="82" t="str">
        <f t="shared" si="2"/>
        <v>06-27</v>
      </c>
      <c r="C370" s="82" t="str">
        <f t="shared" si="3"/>
        <v>AUD</v>
      </c>
      <c r="D370" s="72" t="s">
        <v>743</v>
      </c>
      <c r="E370" s="72">
        <v>1230627.0</v>
      </c>
      <c r="F370" s="72" t="s">
        <v>146</v>
      </c>
      <c r="G370" s="72" t="s">
        <v>960</v>
      </c>
      <c r="H370" s="72" t="s">
        <v>754</v>
      </c>
      <c r="I370" s="72" t="s">
        <v>755</v>
      </c>
      <c r="J370" s="72" t="s">
        <v>747</v>
      </c>
      <c r="K370" s="72" t="s">
        <v>960</v>
      </c>
      <c r="L370" s="72" t="s">
        <v>75</v>
      </c>
      <c r="M370" s="72" t="s">
        <v>961</v>
      </c>
      <c r="N370" s="72" t="s">
        <v>629</v>
      </c>
      <c r="O370" s="72" t="s">
        <v>630</v>
      </c>
      <c r="P370" s="72" t="s">
        <v>79</v>
      </c>
      <c r="Q370" s="72" t="s">
        <v>122</v>
      </c>
      <c r="R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ht="14.25" customHeight="1">
      <c r="A371" s="72" t="str">
        <f t="shared" si="1"/>
        <v>27/06/2023</v>
      </c>
      <c r="B371" s="82" t="str">
        <f t="shared" si="2"/>
        <v>06-27</v>
      </c>
      <c r="C371" s="82" t="str">
        <f t="shared" si="3"/>
        <v>AUD</v>
      </c>
      <c r="D371" s="72" t="s">
        <v>743</v>
      </c>
      <c r="E371" s="72">
        <v>1230627.0</v>
      </c>
      <c r="F371" s="72" t="s">
        <v>146</v>
      </c>
      <c r="G371" s="72" t="s">
        <v>962</v>
      </c>
      <c r="H371" s="72" t="s">
        <v>754</v>
      </c>
      <c r="I371" s="72" t="s">
        <v>755</v>
      </c>
      <c r="J371" s="72" t="s">
        <v>747</v>
      </c>
      <c r="K371" s="72" t="s">
        <v>962</v>
      </c>
      <c r="L371" s="72" t="s">
        <v>75</v>
      </c>
      <c r="M371" s="72" t="s">
        <v>963</v>
      </c>
      <c r="N371" s="72" t="s">
        <v>629</v>
      </c>
      <c r="O371" s="72" t="s">
        <v>630</v>
      </c>
      <c r="P371" s="72" t="s">
        <v>79</v>
      </c>
      <c r="Q371" s="72" t="s">
        <v>122</v>
      </c>
      <c r="R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ht="14.25" customHeight="1">
      <c r="A372" s="72" t="str">
        <f t="shared" si="1"/>
        <v>27/06/2023</v>
      </c>
      <c r="B372" s="82" t="str">
        <f t="shared" si="2"/>
        <v>06-27</v>
      </c>
      <c r="C372" s="82" t="str">
        <f t="shared" si="3"/>
        <v>AUD</v>
      </c>
      <c r="D372" s="72" t="s">
        <v>743</v>
      </c>
      <c r="E372" s="72">
        <v>1230627.0</v>
      </c>
      <c r="F372" s="72" t="s">
        <v>146</v>
      </c>
      <c r="G372" s="72" t="s">
        <v>964</v>
      </c>
      <c r="H372" s="72" t="s">
        <v>754</v>
      </c>
      <c r="I372" s="72" t="s">
        <v>755</v>
      </c>
      <c r="J372" s="72" t="s">
        <v>747</v>
      </c>
      <c r="K372" s="72" t="s">
        <v>964</v>
      </c>
      <c r="L372" s="72" t="s">
        <v>75</v>
      </c>
      <c r="M372" s="72" t="s">
        <v>965</v>
      </c>
      <c r="N372" s="72" t="s">
        <v>629</v>
      </c>
      <c r="O372" s="72" t="s">
        <v>630</v>
      </c>
      <c r="P372" s="72" t="s">
        <v>79</v>
      </c>
      <c r="Q372" s="72" t="s">
        <v>122</v>
      </c>
      <c r="R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ht="14.25" customHeight="1">
      <c r="A373" s="72" t="str">
        <f t="shared" si="1"/>
        <v>27/06/2023</v>
      </c>
      <c r="B373" s="82" t="str">
        <f t="shared" si="2"/>
        <v>06-27</v>
      </c>
      <c r="C373" s="82" t="str">
        <f t="shared" si="3"/>
        <v>AUD</v>
      </c>
      <c r="D373" s="72" t="s">
        <v>743</v>
      </c>
      <c r="E373" s="72">
        <v>1230627.0</v>
      </c>
      <c r="F373" s="72" t="s">
        <v>146</v>
      </c>
      <c r="G373" s="72" t="s">
        <v>966</v>
      </c>
      <c r="H373" s="72" t="s">
        <v>754</v>
      </c>
      <c r="I373" s="72" t="s">
        <v>755</v>
      </c>
      <c r="J373" s="72" t="s">
        <v>747</v>
      </c>
      <c r="K373" s="72" t="s">
        <v>966</v>
      </c>
      <c r="L373" s="72" t="s">
        <v>75</v>
      </c>
      <c r="M373" s="72" t="s">
        <v>967</v>
      </c>
      <c r="N373" s="72" t="s">
        <v>629</v>
      </c>
      <c r="O373" s="72" t="s">
        <v>630</v>
      </c>
      <c r="P373" s="72" t="s">
        <v>79</v>
      </c>
      <c r="Q373" s="72" t="s">
        <v>122</v>
      </c>
      <c r="R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ht="14.25" customHeight="1">
      <c r="A374" s="72" t="str">
        <f t="shared" si="1"/>
        <v>27/06/2023</v>
      </c>
      <c r="B374" s="82" t="str">
        <f t="shared" si="2"/>
        <v>06-27</v>
      </c>
      <c r="C374" s="82" t="str">
        <f t="shared" si="3"/>
        <v>AUD</v>
      </c>
      <c r="D374" s="72" t="s">
        <v>743</v>
      </c>
      <c r="E374" s="72">
        <v>1230627.0</v>
      </c>
      <c r="F374" s="72" t="s">
        <v>146</v>
      </c>
      <c r="G374" s="72" t="s">
        <v>968</v>
      </c>
      <c r="H374" s="72" t="s">
        <v>754</v>
      </c>
      <c r="I374" s="72" t="s">
        <v>755</v>
      </c>
      <c r="J374" s="72" t="s">
        <v>747</v>
      </c>
      <c r="K374" s="72" t="s">
        <v>968</v>
      </c>
      <c r="L374" s="72" t="s">
        <v>75</v>
      </c>
      <c r="M374" s="72" t="s">
        <v>969</v>
      </c>
      <c r="N374" s="72" t="s">
        <v>629</v>
      </c>
      <c r="O374" s="72" t="s">
        <v>630</v>
      </c>
      <c r="P374" s="72" t="s">
        <v>79</v>
      </c>
      <c r="Q374" s="72" t="s">
        <v>122</v>
      </c>
      <c r="R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ht="14.25" customHeight="1">
      <c r="A375" s="72" t="str">
        <f t="shared" si="1"/>
        <v>27/06/2023</v>
      </c>
      <c r="B375" s="82" t="str">
        <f t="shared" si="2"/>
        <v>06-27</v>
      </c>
      <c r="C375" s="82" t="str">
        <f t="shared" si="3"/>
        <v>AUD</v>
      </c>
      <c r="D375" s="72" t="s">
        <v>743</v>
      </c>
      <c r="E375" s="72">
        <v>1230627.0</v>
      </c>
      <c r="F375" s="72" t="s">
        <v>146</v>
      </c>
      <c r="G375" s="72" t="s">
        <v>970</v>
      </c>
      <c r="H375" s="72" t="s">
        <v>754</v>
      </c>
      <c r="I375" s="72" t="s">
        <v>755</v>
      </c>
      <c r="J375" s="72" t="s">
        <v>747</v>
      </c>
      <c r="K375" s="72" t="s">
        <v>970</v>
      </c>
      <c r="L375" s="72" t="s">
        <v>75</v>
      </c>
      <c r="M375" s="72" t="s">
        <v>971</v>
      </c>
      <c r="N375" s="72" t="s">
        <v>629</v>
      </c>
      <c r="O375" s="72" t="s">
        <v>630</v>
      </c>
      <c r="P375" s="72" t="s">
        <v>79</v>
      </c>
      <c r="Q375" s="72" t="s">
        <v>122</v>
      </c>
      <c r="R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ht="14.25" customHeight="1">
      <c r="A376" s="72" t="str">
        <f t="shared" si="1"/>
        <v>27/06/2023</v>
      </c>
      <c r="B376" s="82" t="str">
        <f t="shared" si="2"/>
        <v>06-27</v>
      </c>
      <c r="C376" s="82" t="str">
        <f t="shared" si="3"/>
        <v>AUD</v>
      </c>
      <c r="D376" s="72" t="s">
        <v>743</v>
      </c>
      <c r="E376" s="72">
        <v>1230627.0</v>
      </c>
      <c r="F376" s="72" t="s">
        <v>146</v>
      </c>
      <c r="G376" s="72" t="s">
        <v>972</v>
      </c>
      <c r="H376" s="72" t="s">
        <v>754</v>
      </c>
      <c r="I376" s="72" t="s">
        <v>755</v>
      </c>
      <c r="J376" s="72" t="s">
        <v>747</v>
      </c>
      <c r="K376" s="72" t="s">
        <v>972</v>
      </c>
      <c r="L376" s="72" t="s">
        <v>75</v>
      </c>
      <c r="M376" s="72" t="s">
        <v>973</v>
      </c>
      <c r="N376" s="72" t="s">
        <v>629</v>
      </c>
      <c r="O376" s="72" t="s">
        <v>630</v>
      </c>
      <c r="P376" s="72" t="s">
        <v>79</v>
      </c>
      <c r="Q376" s="72" t="s">
        <v>122</v>
      </c>
      <c r="R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ht="14.25" customHeight="1">
      <c r="A377" s="72" t="str">
        <f t="shared" si="1"/>
        <v>27/06/2023</v>
      </c>
      <c r="B377" s="82" t="str">
        <f t="shared" si="2"/>
        <v>06-27</v>
      </c>
      <c r="C377" s="82" t="str">
        <f t="shared" si="3"/>
        <v>AUD</v>
      </c>
      <c r="D377" s="72" t="s">
        <v>743</v>
      </c>
      <c r="E377" s="72">
        <v>1230627.0</v>
      </c>
      <c r="F377" s="72" t="s">
        <v>146</v>
      </c>
      <c r="G377" s="72" t="s">
        <v>974</v>
      </c>
      <c r="H377" s="72" t="s">
        <v>754</v>
      </c>
      <c r="I377" s="72" t="s">
        <v>755</v>
      </c>
      <c r="J377" s="72" t="s">
        <v>747</v>
      </c>
      <c r="K377" s="72" t="s">
        <v>974</v>
      </c>
      <c r="L377" s="72" t="s">
        <v>75</v>
      </c>
      <c r="M377" s="72" t="s">
        <v>975</v>
      </c>
      <c r="N377" s="72" t="s">
        <v>629</v>
      </c>
      <c r="O377" s="72" t="s">
        <v>630</v>
      </c>
      <c r="P377" s="72" t="s">
        <v>79</v>
      </c>
      <c r="Q377" s="72" t="s">
        <v>122</v>
      </c>
      <c r="R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ht="14.25" customHeight="1">
      <c r="A378" s="72" t="str">
        <f t="shared" si="1"/>
        <v>27/06/2023</v>
      </c>
      <c r="B378" s="82" t="str">
        <f t="shared" si="2"/>
        <v>06-27</v>
      </c>
      <c r="C378" s="82" t="str">
        <f t="shared" si="3"/>
        <v>AUD</v>
      </c>
      <c r="D378" s="72" t="s">
        <v>743</v>
      </c>
      <c r="E378" s="72">
        <v>1230627.0</v>
      </c>
      <c r="F378" s="72" t="s">
        <v>146</v>
      </c>
      <c r="G378" s="72" t="s">
        <v>976</v>
      </c>
      <c r="H378" s="72" t="s">
        <v>754</v>
      </c>
      <c r="I378" s="72" t="s">
        <v>755</v>
      </c>
      <c r="J378" s="72" t="s">
        <v>747</v>
      </c>
      <c r="K378" s="72" t="s">
        <v>976</v>
      </c>
      <c r="L378" s="72" t="s">
        <v>75</v>
      </c>
      <c r="M378" s="72" t="s">
        <v>977</v>
      </c>
      <c r="N378" s="72" t="s">
        <v>629</v>
      </c>
      <c r="O378" s="72" t="s">
        <v>630</v>
      </c>
      <c r="P378" s="72" t="s">
        <v>79</v>
      </c>
      <c r="Q378" s="72" t="s">
        <v>122</v>
      </c>
      <c r="R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ht="14.25" customHeight="1">
      <c r="A379" s="72" t="str">
        <f t="shared" si="1"/>
        <v>27/06/2023</v>
      </c>
      <c r="B379" s="82" t="str">
        <f t="shared" si="2"/>
        <v>06-27</v>
      </c>
      <c r="C379" s="82" t="str">
        <f t="shared" si="3"/>
        <v>AUD</v>
      </c>
      <c r="D379" s="72" t="s">
        <v>743</v>
      </c>
      <c r="E379" s="72">
        <v>1230627.0</v>
      </c>
      <c r="F379" s="72" t="s">
        <v>146</v>
      </c>
      <c r="G379" s="72" t="s">
        <v>978</v>
      </c>
      <c r="H379" s="72" t="s">
        <v>754</v>
      </c>
      <c r="I379" s="72" t="s">
        <v>755</v>
      </c>
      <c r="J379" s="72" t="s">
        <v>747</v>
      </c>
      <c r="K379" s="72" t="s">
        <v>978</v>
      </c>
      <c r="L379" s="72" t="s">
        <v>75</v>
      </c>
      <c r="M379" s="72" t="s">
        <v>979</v>
      </c>
      <c r="N379" s="72" t="s">
        <v>629</v>
      </c>
      <c r="O379" s="72" t="s">
        <v>630</v>
      </c>
      <c r="P379" s="72" t="s">
        <v>79</v>
      </c>
      <c r="Q379" s="72" t="s">
        <v>122</v>
      </c>
      <c r="R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ht="14.25" customHeight="1">
      <c r="A380" s="72" t="str">
        <f t="shared" si="1"/>
        <v>27/06/2023</v>
      </c>
      <c r="B380" s="82" t="str">
        <f t="shared" si="2"/>
        <v>06-27</v>
      </c>
      <c r="C380" s="82" t="str">
        <f t="shared" si="3"/>
        <v>AUD</v>
      </c>
      <c r="D380" s="72" t="s">
        <v>743</v>
      </c>
      <c r="E380" s="72">
        <v>1230627.0</v>
      </c>
      <c r="F380" s="72" t="s">
        <v>146</v>
      </c>
      <c r="G380" s="72" t="s">
        <v>980</v>
      </c>
      <c r="H380" s="72" t="s">
        <v>754</v>
      </c>
      <c r="I380" s="72" t="s">
        <v>755</v>
      </c>
      <c r="J380" s="72" t="s">
        <v>747</v>
      </c>
      <c r="K380" s="72" t="s">
        <v>980</v>
      </c>
      <c r="L380" s="72" t="s">
        <v>75</v>
      </c>
      <c r="M380" s="72" t="s">
        <v>981</v>
      </c>
      <c r="N380" s="72" t="s">
        <v>629</v>
      </c>
      <c r="O380" s="72" t="s">
        <v>630</v>
      </c>
      <c r="P380" s="72" t="s">
        <v>79</v>
      </c>
      <c r="Q380" s="72" t="s">
        <v>122</v>
      </c>
      <c r="R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ht="14.25" customHeight="1">
      <c r="A381" s="72" t="str">
        <f t="shared" si="1"/>
        <v>27/06/2023</v>
      </c>
      <c r="B381" s="82" t="str">
        <f t="shared" si="2"/>
        <v>06-27</v>
      </c>
      <c r="C381" s="82" t="str">
        <f t="shared" si="3"/>
        <v>AUD</v>
      </c>
      <c r="D381" s="72" t="s">
        <v>743</v>
      </c>
      <c r="E381" s="72">
        <v>1230627.0</v>
      </c>
      <c r="F381" s="72" t="s">
        <v>146</v>
      </c>
      <c r="G381" s="72" t="s">
        <v>982</v>
      </c>
      <c r="H381" s="72" t="s">
        <v>754</v>
      </c>
      <c r="I381" s="72" t="s">
        <v>755</v>
      </c>
      <c r="J381" s="72" t="s">
        <v>747</v>
      </c>
      <c r="K381" s="72" t="s">
        <v>982</v>
      </c>
      <c r="L381" s="72" t="s">
        <v>75</v>
      </c>
      <c r="M381" s="72" t="s">
        <v>983</v>
      </c>
      <c r="N381" s="72" t="s">
        <v>629</v>
      </c>
      <c r="O381" s="72" t="s">
        <v>630</v>
      </c>
      <c r="P381" s="72" t="s">
        <v>79</v>
      </c>
      <c r="Q381" s="72" t="s">
        <v>122</v>
      </c>
      <c r="R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ht="14.25" customHeight="1">
      <c r="A382" s="72" t="str">
        <f t="shared" si="1"/>
        <v>27/06/2023</v>
      </c>
      <c r="B382" s="82" t="str">
        <f t="shared" si="2"/>
        <v>06-27</v>
      </c>
      <c r="C382" s="82" t="str">
        <f t="shared" si="3"/>
        <v>AUD</v>
      </c>
      <c r="D382" s="72" t="s">
        <v>743</v>
      </c>
      <c r="E382" s="72">
        <v>1230627.0</v>
      </c>
      <c r="F382" s="72" t="s">
        <v>146</v>
      </c>
      <c r="G382" s="72" t="s">
        <v>984</v>
      </c>
      <c r="H382" s="72" t="s">
        <v>754</v>
      </c>
      <c r="I382" s="72" t="s">
        <v>755</v>
      </c>
      <c r="J382" s="72" t="s">
        <v>747</v>
      </c>
      <c r="K382" s="72" t="s">
        <v>984</v>
      </c>
      <c r="L382" s="72" t="s">
        <v>75</v>
      </c>
      <c r="M382" s="72" t="s">
        <v>985</v>
      </c>
      <c r="N382" s="72" t="s">
        <v>629</v>
      </c>
      <c r="O382" s="72" t="s">
        <v>630</v>
      </c>
      <c r="P382" s="72" t="s">
        <v>79</v>
      </c>
      <c r="Q382" s="72" t="s">
        <v>122</v>
      </c>
      <c r="R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ht="14.25" customHeight="1">
      <c r="A383" s="72" t="str">
        <f t="shared" si="1"/>
        <v>27/06/2023</v>
      </c>
      <c r="B383" s="82" t="str">
        <f t="shared" si="2"/>
        <v>06-27</v>
      </c>
      <c r="C383" s="82" t="str">
        <f t="shared" si="3"/>
        <v>AUD</v>
      </c>
      <c r="D383" s="72" t="s">
        <v>743</v>
      </c>
      <c r="E383" s="72">
        <v>1230627.0</v>
      </c>
      <c r="F383" s="72" t="s">
        <v>146</v>
      </c>
      <c r="G383" s="72" t="s">
        <v>986</v>
      </c>
      <c r="H383" s="72" t="s">
        <v>754</v>
      </c>
      <c r="I383" s="72" t="s">
        <v>755</v>
      </c>
      <c r="J383" s="72" t="s">
        <v>747</v>
      </c>
      <c r="K383" s="72" t="s">
        <v>986</v>
      </c>
      <c r="L383" s="72" t="s">
        <v>75</v>
      </c>
      <c r="M383" s="72" t="s">
        <v>987</v>
      </c>
      <c r="N383" s="72" t="s">
        <v>629</v>
      </c>
      <c r="O383" s="72" t="s">
        <v>630</v>
      </c>
      <c r="P383" s="72" t="s">
        <v>79</v>
      </c>
      <c r="Q383" s="72" t="s">
        <v>122</v>
      </c>
      <c r="R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ht="14.25" customHeight="1">
      <c r="A384" s="72" t="str">
        <f t="shared" si="1"/>
        <v>27/06/2023</v>
      </c>
      <c r="B384" s="82" t="str">
        <f t="shared" si="2"/>
        <v>06-27</v>
      </c>
      <c r="C384" s="82" t="str">
        <f t="shared" si="3"/>
        <v>AUD</v>
      </c>
      <c r="D384" s="72" t="s">
        <v>743</v>
      </c>
      <c r="E384" s="72">
        <v>1230627.0</v>
      </c>
      <c r="F384" s="72" t="s">
        <v>146</v>
      </c>
      <c r="G384" s="72" t="s">
        <v>988</v>
      </c>
      <c r="H384" s="72" t="s">
        <v>754</v>
      </c>
      <c r="I384" s="72" t="s">
        <v>755</v>
      </c>
      <c r="J384" s="72" t="s">
        <v>747</v>
      </c>
      <c r="K384" s="72" t="s">
        <v>988</v>
      </c>
      <c r="L384" s="72" t="s">
        <v>75</v>
      </c>
      <c r="M384" s="72" t="s">
        <v>989</v>
      </c>
      <c r="N384" s="72" t="s">
        <v>629</v>
      </c>
      <c r="O384" s="72" t="s">
        <v>630</v>
      </c>
      <c r="P384" s="72" t="s">
        <v>79</v>
      </c>
      <c r="Q384" s="72" t="s">
        <v>122</v>
      </c>
      <c r="R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ht="14.25" customHeight="1">
      <c r="A385" s="72" t="str">
        <f t="shared" si="1"/>
        <v>27/06/2023</v>
      </c>
      <c r="B385" s="82" t="str">
        <f t="shared" si="2"/>
        <v>06-27</v>
      </c>
      <c r="C385" s="82" t="str">
        <f t="shared" si="3"/>
        <v>AUD</v>
      </c>
      <c r="D385" s="72" t="s">
        <v>743</v>
      </c>
      <c r="E385" s="72">
        <v>1230627.0</v>
      </c>
      <c r="F385" s="72" t="s">
        <v>146</v>
      </c>
      <c r="G385" s="72" t="s">
        <v>990</v>
      </c>
      <c r="H385" s="72" t="s">
        <v>754</v>
      </c>
      <c r="I385" s="72" t="s">
        <v>755</v>
      </c>
      <c r="J385" s="72" t="s">
        <v>747</v>
      </c>
      <c r="K385" s="72" t="s">
        <v>990</v>
      </c>
      <c r="L385" s="72" t="s">
        <v>75</v>
      </c>
      <c r="M385" s="72" t="s">
        <v>991</v>
      </c>
      <c r="N385" s="72" t="s">
        <v>629</v>
      </c>
      <c r="O385" s="72" t="s">
        <v>630</v>
      </c>
      <c r="P385" s="72" t="s">
        <v>79</v>
      </c>
      <c r="Q385" s="72" t="s">
        <v>122</v>
      </c>
      <c r="R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ht="14.25" customHeight="1">
      <c r="A386" s="72" t="str">
        <f t="shared" si="1"/>
        <v>27/06/2023</v>
      </c>
      <c r="B386" s="82" t="str">
        <f t="shared" si="2"/>
        <v>06-27</v>
      </c>
      <c r="C386" s="82" t="str">
        <f t="shared" si="3"/>
        <v>AUD</v>
      </c>
      <c r="D386" s="72" t="s">
        <v>743</v>
      </c>
      <c r="E386" s="72">
        <v>1230627.0</v>
      </c>
      <c r="F386" s="72" t="s">
        <v>146</v>
      </c>
      <c r="G386" s="72" t="s">
        <v>992</v>
      </c>
      <c r="H386" s="72" t="s">
        <v>754</v>
      </c>
      <c r="I386" s="72" t="s">
        <v>755</v>
      </c>
      <c r="J386" s="72" t="s">
        <v>747</v>
      </c>
      <c r="K386" s="72" t="s">
        <v>992</v>
      </c>
      <c r="L386" s="72" t="s">
        <v>75</v>
      </c>
      <c r="M386" s="72" t="s">
        <v>993</v>
      </c>
      <c r="N386" s="72" t="s">
        <v>629</v>
      </c>
      <c r="O386" s="72" t="s">
        <v>630</v>
      </c>
      <c r="P386" s="72" t="s">
        <v>79</v>
      </c>
      <c r="Q386" s="72" t="s">
        <v>122</v>
      </c>
      <c r="R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ht="14.25" customHeight="1">
      <c r="A387" s="72" t="str">
        <f t="shared" si="1"/>
        <v>27/06/2023</v>
      </c>
      <c r="B387" s="82" t="str">
        <f t="shared" si="2"/>
        <v>06-27</v>
      </c>
      <c r="C387" s="82" t="str">
        <f t="shared" si="3"/>
        <v>AUD</v>
      </c>
      <c r="D387" s="72" t="s">
        <v>743</v>
      </c>
      <c r="E387" s="72">
        <v>1230627.0</v>
      </c>
      <c r="F387" s="72" t="s">
        <v>146</v>
      </c>
      <c r="G387" s="72" t="s">
        <v>994</v>
      </c>
      <c r="H387" s="72" t="s">
        <v>754</v>
      </c>
      <c r="I387" s="72" t="s">
        <v>755</v>
      </c>
      <c r="J387" s="72" t="s">
        <v>747</v>
      </c>
      <c r="K387" s="72" t="s">
        <v>994</v>
      </c>
      <c r="L387" s="72" t="s">
        <v>75</v>
      </c>
      <c r="M387" s="72" t="s">
        <v>995</v>
      </c>
      <c r="N387" s="72" t="s">
        <v>629</v>
      </c>
      <c r="O387" s="72" t="s">
        <v>630</v>
      </c>
      <c r="P387" s="72" t="s">
        <v>79</v>
      </c>
      <c r="Q387" s="72" t="s">
        <v>122</v>
      </c>
      <c r="R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F387" s="72"/>
    </row>
    <row r="388" ht="14.25" customHeight="1">
      <c r="A388" s="72" t="str">
        <f t="shared" si="1"/>
        <v>27/06/2023</v>
      </c>
      <c r="B388" s="82" t="str">
        <f t="shared" si="2"/>
        <v>06-27</v>
      </c>
      <c r="C388" s="82" t="str">
        <f t="shared" si="3"/>
        <v>AUD</v>
      </c>
      <c r="D388" s="72" t="s">
        <v>743</v>
      </c>
      <c r="E388" s="72">
        <v>1230627.0</v>
      </c>
      <c r="F388" s="72" t="s">
        <v>146</v>
      </c>
      <c r="G388" s="72" t="s">
        <v>996</v>
      </c>
      <c r="H388" s="72" t="s">
        <v>754</v>
      </c>
      <c r="I388" s="72" t="s">
        <v>755</v>
      </c>
      <c r="J388" s="72" t="s">
        <v>747</v>
      </c>
      <c r="K388" s="72" t="s">
        <v>996</v>
      </c>
      <c r="L388" s="72" t="s">
        <v>75</v>
      </c>
      <c r="M388" s="72" t="s">
        <v>997</v>
      </c>
      <c r="N388" s="72" t="s">
        <v>629</v>
      </c>
      <c r="O388" s="72" t="s">
        <v>630</v>
      </c>
      <c r="P388" s="72" t="s">
        <v>79</v>
      </c>
      <c r="Q388" s="72" t="s">
        <v>122</v>
      </c>
      <c r="R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ht="14.25" customHeight="1">
      <c r="A389" s="72" t="str">
        <f t="shared" si="1"/>
        <v>27/06/2023</v>
      </c>
      <c r="B389" s="82" t="str">
        <f t="shared" si="2"/>
        <v>06-27</v>
      </c>
      <c r="C389" s="82" t="str">
        <f t="shared" si="3"/>
        <v>AUD</v>
      </c>
      <c r="D389" s="72" t="s">
        <v>743</v>
      </c>
      <c r="E389" s="72">
        <v>1230627.0</v>
      </c>
      <c r="F389" s="72" t="s">
        <v>146</v>
      </c>
      <c r="G389" s="72" t="s">
        <v>998</v>
      </c>
      <c r="H389" s="72" t="s">
        <v>754</v>
      </c>
      <c r="I389" s="72" t="s">
        <v>755</v>
      </c>
      <c r="J389" s="72" t="s">
        <v>747</v>
      </c>
      <c r="K389" s="72" t="s">
        <v>998</v>
      </c>
      <c r="L389" s="72" t="s">
        <v>75</v>
      </c>
      <c r="M389" s="72" t="s">
        <v>999</v>
      </c>
      <c r="N389" s="72" t="s">
        <v>629</v>
      </c>
      <c r="O389" s="72" t="s">
        <v>630</v>
      </c>
      <c r="P389" s="72" t="s">
        <v>79</v>
      </c>
      <c r="Q389" s="72" t="s">
        <v>122</v>
      </c>
      <c r="R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ht="14.25" customHeight="1">
      <c r="A390" s="72" t="str">
        <f t="shared" si="1"/>
        <v>27/06/2023</v>
      </c>
      <c r="B390" s="82" t="str">
        <f t="shared" si="2"/>
        <v>06-27</v>
      </c>
      <c r="C390" s="82" t="str">
        <f t="shared" si="3"/>
        <v>AUD</v>
      </c>
      <c r="D390" s="72" t="s">
        <v>743</v>
      </c>
      <c r="E390" s="72">
        <v>1230627.0</v>
      </c>
      <c r="F390" s="72" t="s">
        <v>146</v>
      </c>
      <c r="G390" s="72" t="s">
        <v>1000</v>
      </c>
      <c r="H390" s="72" t="s">
        <v>754</v>
      </c>
      <c r="I390" s="72" t="s">
        <v>755</v>
      </c>
      <c r="J390" s="72" t="s">
        <v>747</v>
      </c>
      <c r="K390" s="72" t="s">
        <v>1000</v>
      </c>
      <c r="L390" s="72" t="s">
        <v>75</v>
      </c>
      <c r="M390" s="72" t="s">
        <v>1001</v>
      </c>
      <c r="N390" s="72" t="s">
        <v>629</v>
      </c>
      <c r="O390" s="72" t="s">
        <v>630</v>
      </c>
      <c r="P390" s="72" t="s">
        <v>79</v>
      </c>
      <c r="Q390" s="72" t="s">
        <v>122</v>
      </c>
      <c r="R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ht="14.25" customHeight="1">
      <c r="A391" s="72" t="str">
        <f t="shared" si="1"/>
        <v>27/06/2023</v>
      </c>
      <c r="B391" s="82" t="str">
        <f t="shared" si="2"/>
        <v>06-27</v>
      </c>
      <c r="C391" s="82" t="str">
        <f t="shared" si="3"/>
        <v>AUD</v>
      </c>
      <c r="D391" s="72" t="s">
        <v>743</v>
      </c>
      <c r="E391" s="72">
        <v>1230627.0</v>
      </c>
      <c r="F391" s="72" t="s">
        <v>146</v>
      </c>
      <c r="G391" s="72" t="s">
        <v>1002</v>
      </c>
      <c r="H391" s="72" t="s">
        <v>754</v>
      </c>
      <c r="I391" s="72" t="s">
        <v>755</v>
      </c>
      <c r="J391" s="72" t="s">
        <v>747</v>
      </c>
      <c r="K391" s="72" t="s">
        <v>1002</v>
      </c>
      <c r="L391" s="72" t="s">
        <v>75</v>
      </c>
      <c r="M391" s="72" t="s">
        <v>1003</v>
      </c>
      <c r="N391" s="72" t="s">
        <v>629</v>
      </c>
      <c r="O391" s="72" t="s">
        <v>630</v>
      </c>
      <c r="P391" s="72" t="s">
        <v>79</v>
      </c>
      <c r="Q391" s="72" t="s">
        <v>122</v>
      </c>
      <c r="R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ht="14.25" customHeight="1">
      <c r="A392" s="72" t="str">
        <f t="shared" si="1"/>
        <v>27/06/2023</v>
      </c>
      <c r="B392" s="82" t="str">
        <f t="shared" si="2"/>
        <v>06-27</v>
      </c>
      <c r="C392" s="82" t="str">
        <f t="shared" si="3"/>
        <v>AUD</v>
      </c>
      <c r="D392" s="72" t="s">
        <v>743</v>
      </c>
      <c r="E392" s="72">
        <v>1230627.0</v>
      </c>
      <c r="F392" s="72" t="s">
        <v>146</v>
      </c>
      <c r="G392" s="72" t="s">
        <v>1004</v>
      </c>
      <c r="H392" s="72" t="s">
        <v>754</v>
      </c>
      <c r="I392" s="72" t="s">
        <v>755</v>
      </c>
      <c r="J392" s="72" t="s">
        <v>747</v>
      </c>
      <c r="K392" s="72" t="s">
        <v>1004</v>
      </c>
      <c r="L392" s="72" t="s">
        <v>75</v>
      </c>
      <c r="M392" s="72" t="s">
        <v>1005</v>
      </c>
      <c r="N392" s="72" t="s">
        <v>629</v>
      </c>
      <c r="O392" s="72" t="s">
        <v>630</v>
      </c>
      <c r="P392" s="72" t="s">
        <v>79</v>
      </c>
      <c r="Q392" s="72" t="s">
        <v>122</v>
      </c>
      <c r="R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ht="14.25" customHeight="1">
      <c r="A393" s="72" t="str">
        <f t="shared" si="1"/>
        <v>27/06/2023</v>
      </c>
      <c r="B393" s="82" t="str">
        <f t="shared" si="2"/>
        <v>06-27</v>
      </c>
      <c r="C393" s="82" t="str">
        <f t="shared" si="3"/>
        <v>AUD</v>
      </c>
      <c r="D393" s="72" t="s">
        <v>743</v>
      </c>
      <c r="E393" s="72">
        <v>1230627.0</v>
      </c>
      <c r="F393" s="72" t="s">
        <v>146</v>
      </c>
      <c r="G393" s="72" t="s">
        <v>1006</v>
      </c>
      <c r="H393" s="72" t="s">
        <v>754</v>
      </c>
      <c r="I393" s="72" t="s">
        <v>755</v>
      </c>
      <c r="J393" s="72" t="s">
        <v>747</v>
      </c>
      <c r="K393" s="72" t="s">
        <v>1006</v>
      </c>
      <c r="L393" s="72" t="s">
        <v>75</v>
      </c>
      <c r="M393" s="72" t="s">
        <v>1007</v>
      </c>
      <c r="N393" s="72" t="s">
        <v>629</v>
      </c>
      <c r="O393" s="72" t="s">
        <v>630</v>
      </c>
      <c r="P393" s="72" t="s">
        <v>79</v>
      </c>
      <c r="Q393" s="72" t="s">
        <v>122</v>
      </c>
      <c r="R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ht="14.25" customHeight="1">
      <c r="A394" s="72" t="str">
        <f t="shared" si="1"/>
        <v>27/06/2023</v>
      </c>
      <c r="B394" s="82" t="str">
        <f t="shared" si="2"/>
        <v>06-27</v>
      </c>
      <c r="C394" s="82" t="str">
        <f t="shared" si="3"/>
        <v>AUD</v>
      </c>
      <c r="D394" s="72" t="s">
        <v>743</v>
      </c>
      <c r="E394" s="72">
        <v>1230627.0</v>
      </c>
      <c r="F394" s="72" t="s">
        <v>146</v>
      </c>
      <c r="G394" s="72" t="s">
        <v>1008</v>
      </c>
      <c r="H394" s="72" t="s">
        <v>754</v>
      </c>
      <c r="I394" s="72" t="s">
        <v>755</v>
      </c>
      <c r="J394" s="72" t="s">
        <v>747</v>
      </c>
      <c r="K394" s="72" t="s">
        <v>1008</v>
      </c>
      <c r="L394" s="72" t="s">
        <v>75</v>
      </c>
      <c r="M394" s="72" t="s">
        <v>1009</v>
      </c>
      <c r="N394" s="72" t="s">
        <v>629</v>
      </c>
      <c r="O394" s="72" t="s">
        <v>630</v>
      </c>
      <c r="P394" s="72" t="s">
        <v>79</v>
      </c>
      <c r="Q394" s="72" t="s">
        <v>122</v>
      </c>
      <c r="R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ht="14.25" customHeight="1">
      <c r="A395" s="72" t="str">
        <f t="shared" si="1"/>
        <v>27/06/2023</v>
      </c>
      <c r="B395" s="82" t="str">
        <f t="shared" si="2"/>
        <v>06-27</v>
      </c>
      <c r="C395" s="82" t="str">
        <f t="shared" si="3"/>
        <v>AUD</v>
      </c>
      <c r="D395" s="72" t="s">
        <v>743</v>
      </c>
      <c r="E395" s="72">
        <v>1230627.0</v>
      </c>
      <c r="F395" s="72" t="s">
        <v>146</v>
      </c>
      <c r="G395" s="72" t="s">
        <v>1010</v>
      </c>
      <c r="H395" s="72" t="s">
        <v>754</v>
      </c>
      <c r="I395" s="72" t="s">
        <v>755</v>
      </c>
      <c r="J395" s="72" t="s">
        <v>747</v>
      </c>
      <c r="K395" s="72" t="s">
        <v>1010</v>
      </c>
      <c r="L395" s="72" t="s">
        <v>75</v>
      </c>
      <c r="M395" s="72" t="s">
        <v>1011</v>
      </c>
      <c r="N395" s="72" t="s">
        <v>629</v>
      </c>
      <c r="O395" s="72" t="s">
        <v>630</v>
      </c>
      <c r="P395" s="72" t="s">
        <v>79</v>
      </c>
      <c r="Q395" s="72" t="s">
        <v>122</v>
      </c>
      <c r="R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ht="14.25" customHeight="1">
      <c r="A396" s="72" t="str">
        <f t="shared" si="1"/>
        <v>27/06/2023</v>
      </c>
      <c r="B396" s="82" t="str">
        <f t="shared" si="2"/>
        <v>06-27</v>
      </c>
      <c r="C396" s="82" t="str">
        <f t="shared" si="3"/>
        <v>AUD</v>
      </c>
      <c r="D396" s="72" t="s">
        <v>743</v>
      </c>
      <c r="E396" s="72">
        <v>1230627.0</v>
      </c>
      <c r="F396" s="72" t="s">
        <v>146</v>
      </c>
      <c r="G396" s="72" t="s">
        <v>1012</v>
      </c>
      <c r="H396" s="72" t="s">
        <v>745</v>
      </c>
      <c r="I396" s="72" t="s">
        <v>746</v>
      </c>
      <c r="J396" s="72" t="s">
        <v>747</v>
      </c>
      <c r="K396" s="72" t="s">
        <v>1012</v>
      </c>
      <c r="L396" s="72" t="s">
        <v>75</v>
      </c>
      <c r="M396" s="72" t="s">
        <v>1013</v>
      </c>
      <c r="N396" s="72" t="s">
        <v>629</v>
      </c>
      <c r="O396" s="72" t="s">
        <v>630</v>
      </c>
      <c r="P396" s="72" t="s">
        <v>79</v>
      </c>
      <c r="Q396" s="72" t="s">
        <v>122</v>
      </c>
      <c r="R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ht="14.25" customHeight="1">
      <c r="A397" s="72" t="str">
        <f t="shared" si="1"/>
        <v>27/06/2023</v>
      </c>
      <c r="B397" s="82" t="str">
        <f t="shared" si="2"/>
        <v>06-27</v>
      </c>
      <c r="C397" s="82" t="str">
        <f t="shared" si="3"/>
        <v>AUD</v>
      </c>
      <c r="D397" s="72" t="s">
        <v>743</v>
      </c>
      <c r="E397" s="72">
        <v>1230627.0</v>
      </c>
      <c r="F397" s="72" t="s">
        <v>146</v>
      </c>
      <c r="G397" s="72" t="s">
        <v>1014</v>
      </c>
      <c r="H397" s="72" t="s">
        <v>745</v>
      </c>
      <c r="I397" s="72" t="s">
        <v>746</v>
      </c>
      <c r="J397" s="72" t="s">
        <v>747</v>
      </c>
      <c r="K397" s="72" t="s">
        <v>1014</v>
      </c>
      <c r="L397" s="72" t="s">
        <v>75</v>
      </c>
      <c r="M397" s="72" t="s">
        <v>1015</v>
      </c>
      <c r="N397" s="72" t="s">
        <v>629</v>
      </c>
      <c r="O397" s="72" t="s">
        <v>630</v>
      </c>
      <c r="P397" s="72" t="s">
        <v>79</v>
      </c>
      <c r="Q397" s="72" t="s">
        <v>122</v>
      </c>
      <c r="R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ht="14.25" customHeight="1">
      <c r="A398" s="72" t="str">
        <f t="shared" si="1"/>
        <v>27/06/2023</v>
      </c>
      <c r="B398" s="82" t="str">
        <f t="shared" si="2"/>
        <v>06-27</v>
      </c>
      <c r="C398" s="82" t="str">
        <f t="shared" si="3"/>
        <v>AUD</v>
      </c>
      <c r="D398" s="72" t="s">
        <v>743</v>
      </c>
      <c r="E398" s="72">
        <v>1230627.0</v>
      </c>
      <c r="F398" s="72" t="s">
        <v>146</v>
      </c>
      <c r="G398" s="72" t="s">
        <v>1016</v>
      </c>
      <c r="H398" s="72" t="s">
        <v>745</v>
      </c>
      <c r="I398" s="72" t="s">
        <v>746</v>
      </c>
      <c r="J398" s="72" t="s">
        <v>747</v>
      </c>
      <c r="K398" s="72" t="s">
        <v>1016</v>
      </c>
      <c r="L398" s="72" t="s">
        <v>75</v>
      </c>
      <c r="M398" s="72" t="s">
        <v>1017</v>
      </c>
      <c r="N398" s="72" t="s">
        <v>629</v>
      </c>
      <c r="O398" s="72" t="s">
        <v>630</v>
      </c>
      <c r="P398" s="72" t="s">
        <v>79</v>
      </c>
      <c r="Q398" s="72" t="s">
        <v>122</v>
      </c>
      <c r="R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ht="14.25" customHeight="1">
      <c r="A399" s="72" t="str">
        <f t="shared" si="1"/>
        <v>27/06/2023</v>
      </c>
      <c r="B399" s="82" t="str">
        <f t="shared" si="2"/>
        <v>06-27</v>
      </c>
      <c r="C399" s="82" t="str">
        <f t="shared" si="3"/>
        <v>AUD</v>
      </c>
      <c r="D399" s="72" t="s">
        <v>743</v>
      </c>
      <c r="E399" s="72">
        <v>1230627.0</v>
      </c>
      <c r="F399" s="72" t="s">
        <v>146</v>
      </c>
      <c r="G399" s="72" t="s">
        <v>1018</v>
      </c>
      <c r="H399" s="72" t="s">
        <v>745</v>
      </c>
      <c r="I399" s="72" t="s">
        <v>746</v>
      </c>
      <c r="J399" s="72" t="s">
        <v>747</v>
      </c>
      <c r="K399" s="72" t="s">
        <v>1018</v>
      </c>
      <c r="L399" s="72" t="s">
        <v>75</v>
      </c>
      <c r="M399" s="72" t="s">
        <v>1019</v>
      </c>
      <c r="N399" s="72" t="s">
        <v>629</v>
      </c>
      <c r="O399" s="72" t="s">
        <v>630</v>
      </c>
      <c r="P399" s="72" t="s">
        <v>79</v>
      </c>
      <c r="Q399" s="72" t="s">
        <v>122</v>
      </c>
      <c r="R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ht="14.25" customHeight="1">
      <c r="A400" s="72" t="str">
        <f t="shared" si="1"/>
        <v>27/06/2023</v>
      </c>
      <c r="B400" s="82" t="str">
        <f t="shared" si="2"/>
        <v>06-27</v>
      </c>
      <c r="C400" s="82" t="str">
        <f t="shared" si="3"/>
        <v>AUD</v>
      </c>
      <c r="D400" s="72" t="s">
        <v>743</v>
      </c>
      <c r="E400" s="72">
        <v>1230627.0</v>
      </c>
      <c r="F400" s="72" t="s">
        <v>146</v>
      </c>
      <c r="G400" s="72" t="s">
        <v>1020</v>
      </c>
      <c r="H400" s="72" t="s">
        <v>745</v>
      </c>
      <c r="I400" s="72" t="s">
        <v>746</v>
      </c>
      <c r="J400" s="72" t="s">
        <v>747</v>
      </c>
      <c r="K400" s="72" t="s">
        <v>1020</v>
      </c>
      <c r="L400" s="72" t="s">
        <v>75</v>
      </c>
      <c r="M400" s="72" t="s">
        <v>1021</v>
      </c>
      <c r="N400" s="72" t="s">
        <v>629</v>
      </c>
      <c r="O400" s="72" t="s">
        <v>630</v>
      </c>
      <c r="P400" s="72" t="s">
        <v>79</v>
      </c>
      <c r="Q400" s="72" t="s">
        <v>122</v>
      </c>
      <c r="R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ht="14.25" customHeight="1">
      <c r="A401" s="72" t="str">
        <f t="shared" si="1"/>
        <v>27/06/2023</v>
      </c>
      <c r="B401" s="82" t="str">
        <f t="shared" si="2"/>
        <v>06-27</v>
      </c>
      <c r="C401" s="82" t="str">
        <f t="shared" si="3"/>
        <v>AUD</v>
      </c>
      <c r="D401" s="72" t="s">
        <v>743</v>
      </c>
      <c r="E401" s="72">
        <v>1230627.0</v>
      </c>
      <c r="F401" s="72" t="s">
        <v>146</v>
      </c>
      <c r="G401" s="72" t="s">
        <v>1022</v>
      </c>
      <c r="H401" s="72" t="s">
        <v>745</v>
      </c>
      <c r="I401" s="72" t="s">
        <v>746</v>
      </c>
      <c r="J401" s="72" t="s">
        <v>747</v>
      </c>
      <c r="K401" s="72" t="s">
        <v>1022</v>
      </c>
      <c r="L401" s="72" t="s">
        <v>75</v>
      </c>
      <c r="M401" s="72" t="s">
        <v>1023</v>
      </c>
      <c r="N401" s="72" t="s">
        <v>629</v>
      </c>
      <c r="O401" s="72" t="s">
        <v>630</v>
      </c>
      <c r="P401" s="72" t="s">
        <v>79</v>
      </c>
      <c r="Q401" s="72" t="s">
        <v>122</v>
      </c>
      <c r="R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ht="14.25" customHeight="1">
      <c r="A402" s="72" t="str">
        <f t="shared" si="1"/>
        <v>27/06/2023</v>
      </c>
      <c r="B402" s="82" t="str">
        <f t="shared" si="2"/>
        <v>06-27</v>
      </c>
      <c r="C402" s="82" t="str">
        <f t="shared" si="3"/>
        <v>AUD</v>
      </c>
      <c r="D402" s="72" t="s">
        <v>743</v>
      </c>
      <c r="E402" s="72">
        <v>1230627.0</v>
      </c>
      <c r="F402" s="72" t="s">
        <v>146</v>
      </c>
      <c r="G402" s="72" t="s">
        <v>1024</v>
      </c>
      <c r="H402" s="72" t="s">
        <v>745</v>
      </c>
      <c r="I402" s="72" t="s">
        <v>746</v>
      </c>
      <c r="J402" s="72" t="s">
        <v>747</v>
      </c>
      <c r="K402" s="72" t="s">
        <v>1024</v>
      </c>
      <c r="L402" s="72" t="s">
        <v>75</v>
      </c>
      <c r="M402" s="72" t="s">
        <v>1025</v>
      </c>
      <c r="N402" s="72" t="s">
        <v>629</v>
      </c>
      <c r="O402" s="72" t="s">
        <v>630</v>
      </c>
      <c r="P402" s="72" t="s">
        <v>79</v>
      </c>
      <c r="Q402" s="72" t="s">
        <v>122</v>
      </c>
      <c r="R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ht="14.25" customHeight="1">
      <c r="A403" s="72" t="str">
        <f t="shared" si="1"/>
        <v>27/06/2023</v>
      </c>
      <c r="B403" s="82" t="str">
        <f t="shared" si="2"/>
        <v>06-27</v>
      </c>
      <c r="C403" s="82" t="str">
        <f t="shared" si="3"/>
        <v>AUD</v>
      </c>
      <c r="D403" s="72" t="s">
        <v>743</v>
      </c>
      <c r="E403" s="72">
        <v>1230627.0</v>
      </c>
      <c r="F403" s="72" t="s">
        <v>146</v>
      </c>
      <c r="G403" s="72" t="s">
        <v>1026</v>
      </c>
      <c r="H403" s="72" t="s">
        <v>745</v>
      </c>
      <c r="I403" s="72" t="s">
        <v>746</v>
      </c>
      <c r="J403" s="72" t="s">
        <v>747</v>
      </c>
      <c r="K403" s="72" t="s">
        <v>1026</v>
      </c>
      <c r="L403" s="72" t="s">
        <v>75</v>
      </c>
      <c r="M403" s="72" t="s">
        <v>1027</v>
      </c>
      <c r="N403" s="72" t="s">
        <v>629</v>
      </c>
      <c r="O403" s="72" t="s">
        <v>630</v>
      </c>
      <c r="P403" s="72" t="s">
        <v>79</v>
      </c>
      <c r="Q403" s="72" t="s">
        <v>122</v>
      </c>
      <c r="R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ht="14.25" customHeight="1">
      <c r="A404" s="72" t="str">
        <f t="shared" si="1"/>
        <v>27/06/2023</v>
      </c>
      <c r="B404" s="82" t="str">
        <f t="shared" si="2"/>
        <v>06-27</v>
      </c>
      <c r="C404" s="82" t="str">
        <f t="shared" si="3"/>
        <v>AUD</v>
      </c>
      <c r="D404" s="72" t="s">
        <v>743</v>
      </c>
      <c r="E404" s="72">
        <v>1230627.0</v>
      </c>
      <c r="F404" s="72" t="s">
        <v>146</v>
      </c>
      <c r="G404" s="72" t="s">
        <v>1028</v>
      </c>
      <c r="H404" s="72" t="s">
        <v>745</v>
      </c>
      <c r="I404" s="72" t="s">
        <v>746</v>
      </c>
      <c r="J404" s="72" t="s">
        <v>747</v>
      </c>
      <c r="K404" s="72" t="s">
        <v>1028</v>
      </c>
      <c r="L404" s="72" t="s">
        <v>75</v>
      </c>
      <c r="M404" s="72" t="s">
        <v>1029</v>
      </c>
      <c r="N404" s="72" t="s">
        <v>629</v>
      </c>
      <c r="O404" s="72" t="s">
        <v>630</v>
      </c>
      <c r="P404" s="72" t="s">
        <v>79</v>
      </c>
      <c r="Q404" s="72" t="s">
        <v>122</v>
      </c>
      <c r="R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ht="14.25" customHeight="1">
      <c r="A405" s="72" t="str">
        <f t="shared" si="1"/>
        <v>27/06/2023</v>
      </c>
      <c r="B405" s="82" t="str">
        <f t="shared" si="2"/>
        <v>06-27</v>
      </c>
      <c r="C405" s="82" t="str">
        <f t="shared" si="3"/>
        <v>AUD</v>
      </c>
      <c r="D405" s="72" t="s">
        <v>743</v>
      </c>
      <c r="E405" s="72">
        <v>1230627.0</v>
      </c>
      <c r="F405" s="72" t="s">
        <v>146</v>
      </c>
      <c r="G405" s="72" t="s">
        <v>1030</v>
      </c>
      <c r="H405" s="72" t="s">
        <v>745</v>
      </c>
      <c r="I405" s="72" t="s">
        <v>746</v>
      </c>
      <c r="J405" s="72" t="s">
        <v>747</v>
      </c>
      <c r="K405" s="72" t="s">
        <v>1030</v>
      </c>
      <c r="L405" s="72" t="s">
        <v>75</v>
      </c>
      <c r="M405" s="72" t="s">
        <v>1031</v>
      </c>
      <c r="N405" s="72" t="s">
        <v>629</v>
      </c>
      <c r="O405" s="72" t="s">
        <v>630</v>
      </c>
      <c r="P405" s="72" t="s">
        <v>79</v>
      </c>
      <c r="Q405" s="72" t="s">
        <v>122</v>
      </c>
      <c r="R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ht="14.25" customHeight="1">
      <c r="A406" s="72" t="str">
        <f t="shared" si="1"/>
        <v>27/06/2023</v>
      </c>
      <c r="B406" s="82" t="str">
        <f t="shared" si="2"/>
        <v>06-27</v>
      </c>
      <c r="C406" s="82" t="str">
        <f t="shared" si="3"/>
        <v>AUD</v>
      </c>
      <c r="D406" s="72" t="s">
        <v>743</v>
      </c>
      <c r="E406" s="72">
        <v>1230627.0</v>
      </c>
      <c r="F406" s="72" t="s">
        <v>146</v>
      </c>
      <c r="G406" s="72" t="s">
        <v>1032</v>
      </c>
      <c r="H406" s="72" t="s">
        <v>745</v>
      </c>
      <c r="I406" s="72" t="s">
        <v>746</v>
      </c>
      <c r="J406" s="72" t="s">
        <v>747</v>
      </c>
      <c r="K406" s="72" t="s">
        <v>1032</v>
      </c>
      <c r="L406" s="72" t="s">
        <v>75</v>
      </c>
      <c r="M406" s="72" t="s">
        <v>1033</v>
      </c>
      <c r="N406" s="72" t="s">
        <v>629</v>
      </c>
      <c r="O406" s="72" t="s">
        <v>630</v>
      </c>
      <c r="P406" s="72" t="s">
        <v>79</v>
      </c>
      <c r="Q406" s="72" t="s">
        <v>122</v>
      </c>
      <c r="R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ht="14.25" customHeight="1">
      <c r="A407" s="72" t="str">
        <f t="shared" si="1"/>
        <v>27/06/2023</v>
      </c>
      <c r="B407" s="82" t="str">
        <f t="shared" si="2"/>
        <v>06-27</v>
      </c>
      <c r="C407" s="82" t="str">
        <f t="shared" si="3"/>
        <v>AUD</v>
      </c>
      <c r="D407" s="72" t="s">
        <v>743</v>
      </c>
      <c r="E407" s="72">
        <v>1230627.0</v>
      </c>
      <c r="F407" s="72" t="s">
        <v>146</v>
      </c>
      <c r="G407" s="72" t="s">
        <v>1034</v>
      </c>
      <c r="H407" s="72" t="s">
        <v>745</v>
      </c>
      <c r="I407" s="72" t="s">
        <v>746</v>
      </c>
      <c r="J407" s="72" t="s">
        <v>747</v>
      </c>
      <c r="K407" s="72" t="s">
        <v>1034</v>
      </c>
      <c r="L407" s="72" t="s">
        <v>75</v>
      </c>
      <c r="M407" s="72" t="s">
        <v>1035</v>
      </c>
      <c r="N407" s="72" t="s">
        <v>629</v>
      </c>
      <c r="O407" s="72" t="s">
        <v>630</v>
      </c>
      <c r="P407" s="72" t="s">
        <v>79</v>
      </c>
      <c r="Q407" s="72" t="s">
        <v>122</v>
      </c>
      <c r="R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ht="14.25" customHeight="1">
      <c r="A408" s="72" t="str">
        <f t="shared" si="1"/>
        <v>27/06/2023</v>
      </c>
      <c r="B408" s="82" t="str">
        <f t="shared" si="2"/>
        <v>06-27</v>
      </c>
      <c r="C408" s="82" t="str">
        <f t="shared" si="3"/>
        <v>AUD</v>
      </c>
      <c r="D408" s="72" t="s">
        <v>743</v>
      </c>
      <c r="E408" s="72">
        <v>1230627.0</v>
      </c>
      <c r="F408" s="72" t="s">
        <v>146</v>
      </c>
      <c r="G408" s="72" t="s">
        <v>1036</v>
      </c>
      <c r="H408" s="72" t="s">
        <v>745</v>
      </c>
      <c r="I408" s="72" t="s">
        <v>746</v>
      </c>
      <c r="J408" s="72" t="s">
        <v>747</v>
      </c>
      <c r="K408" s="72" t="s">
        <v>1036</v>
      </c>
      <c r="L408" s="72" t="s">
        <v>75</v>
      </c>
      <c r="M408" s="72" t="s">
        <v>1037</v>
      </c>
      <c r="N408" s="72" t="s">
        <v>629</v>
      </c>
      <c r="O408" s="72" t="s">
        <v>630</v>
      </c>
      <c r="P408" s="72" t="s">
        <v>79</v>
      </c>
      <c r="Q408" s="72" t="s">
        <v>122</v>
      </c>
      <c r="R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ht="14.25" customHeight="1">
      <c r="A409" s="72" t="str">
        <f t="shared" si="1"/>
        <v>27/06/2023</v>
      </c>
      <c r="B409" s="82" t="str">
        <f t="shared" si="2"/>
        <v>06-27</v>
      </c>
      <c r="C409" s="82" t="str">
        <f t="shared" si="3"/>
        <v>AUD</v>
      </c>
      <c r="D409" s="72" t="s">
        <v>743</v>
      </c>
      <c r="E409" s="72">
        <v>1230627.0</v>
      </c>
      <c r="F409" s="72" t="s">
        <v>146</v>
      </c>
      <c r="G409" s="72" t="s">
        <v>1038</v>
      </c>
      <c r="H409" s="72" t="s">
        <v>745</v>
      </c>
      <c r="I409" s="72" t="s">
        <v>746</v>
      </c>
      <c r="J409" s="72" t="s">
        <v>747</v>
      </c>
      <c r="K409" s="72" t="s">
        <v>1038</v>
      </c>
      <c r="L409" s="72" t="s">
        <v>75</v>
      </c>
      <c r="M409" s="72" t="s">
        <v>1039</v>
      </c>
      <c r="N409" s="72" t="s">
        <v>629</v>
      </c>
      <c r="O409" s="72" t="s">
        <v>630</v>
      </c>
      <c r="P409" s="72" t="s">
        <v>79</v>
      </c>
      <c r="Q409" s="72" t="s">
        <v>122</v>
      </c>
      <c r="R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ht="14.25" customHeight="1">
      <c r="A410" s="72" t="str">
        <f t="shared" si="1"/>
        <v>27/06/2023</v>
      </c>
      <c r="B410" s="82" t="str">
        <f t="shared" si="2"/>
        <v>06-27</v>
      </c>
      <c r="C410" s="82" t="str">
        <f t="shared" si="3"/>
        <v>AUD</v>
      </c>
      <c r="D410" s="72" t="s">
        <v>743</v>
      </c>
      <c r="E410" s="72">
        <v>1230627.0</v>
      </c>
      <c r="F410" s="72" t="s">
        <v>146</v>
      </c>
      <c r="G410" s="72" t="s">
        <v>1040</v>
      </c>
      <c r="H410" s="72" t="s">
        <v>745</v>
      </c>
      <c r="I410" s="72" t="s">
        <v>746</v>
      </c>
      <c r="J410" s="72" t="s">
        <v>747</v>
      </c>
      <c r="K410" s="72" t="s">
        <v>1040</v>
      </c>
      <c r="L410" s="72" t="s">
        <v>75</v>
      </c>
      <c r="M410" s="72" t="s">
        <v>1041</v>
      </c>
      <c r="N410" s="72" t="s">
        <v>629</v>
      </c>
      <c r="O410" s="72" t="s">
        <v>630</v>
      </c>
      <c r="P410" s="72" t="s">
        <v>79</v>
      </c>
      <c r="Q410" s="72" t="s">
        <v>122</v>
      </c>
      <c r="R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ht="14.25" customHeight="1">
      <c r="A411" s="72" t="str">
        <f t="shared" si="1"/>
        <v>27/06/2023</v>
      </c>
      <c r="B411" s="82" t="str">
        <f t="shared" si="2"/>
        <v>06-27</v>
      </c>
      <c r="C411" s="82" t="str">
        <f t="shared" si="3"/>
        <v>AUD</v>
      </c>
      <c r="D411" s="72" t="s">
        <v>743</v>
      </c>
      <c r="E411" s="72">
        <v>1230627.0</v>
      </c>
      <c r="F411" s="72" t="s">
        <v>146</v>
      </c>
      <c r="G411" s="72" t="s">
        <v>1042</v>
      </c>
      <c r="H411" s="72" t="s">
        <v>745</v>
      </c>
      <c r="I411" s="72" t="s">
        <v>746</v>
      </c>
      <c r="J411" s="72" t="s">
        <v>747</v>
      </c>
      <c r="K411" s="72" t="s">
        <v>1042</v>
      </c>
      <c r="L411" s="72" t="s">
        <v>75</v>
      </c>
      <c r="M411" s="72" t="s">
        <v>1043</v>
      </c>
      <c r="N411" s="72" t="s">
        <v>629</v>
      </c>
      <c r="O411" s="72" t="s">
        <v>630</v>
      </c>
      <c r="P411" s="72" t="s">
        <v>79</v>
      </c>
      <c r="Q411" s="72" t="s">
        <v>122</v>
      </c>
      <c r="R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ht="14.25" customHeight="1">
      <c r="A412" s="72" t="str">
        <f t="shared" si="1"/>
        <v>27/06/2023</v>
      </c>
      <c r="B412" s="82" t="str">
        <f t="shared" si="2"/>
        <v>06-27</v>
      </c>
      <c r="C412" s="82" t="str">
        <f t="shared" si="3"/>
        <v>AUD</v>
      </c>
      <c r="D412" s="72" t="s">
        <v>743</v>
      </c>
      <c r="E412" s="72">
        <v>1230627.0</v>
      </c>
      <c r="F412" s="72" t="s">
        <v>146</v>
      </c>
      <c r="G412" s="72" t="s">
        <v>1044</v>
      </c>
      <c r="H412" s="72" t="s">
        <v>745</v>
      </c>
      <c r="I412" s="72" t="s">
        <v>746</v>
      </c>
      <c r="J412" s="72" t="s">
        <v>747</v>
      </c>
      <c r="K412" s="72" t="s">
        <v>1044</v>
      </c>
      <c r="L412" s="72" t="s">
        <v>75</v>
      </c>
      <c r="M412" s="72" t="s">
        <v>1045</v>
      </c>
      <c r="N412" s="72" t="s">
        <v>629</v>
      </c>
      <c r="O412" s="72" t="s">
        <v>630</v>
      </c>
      <c r="P412" s="72" t="s">
        <v>79</v>
      </c>
      <c r="Q412" s="72" t="s">
        <v>122</v>
      </c>
      <c r="R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ht="14.25" customHeight="1">
      <c r="A413" s="72" t="str">
        <f t="shared" si="1"/>
        <v>27/06/2023</v>
      </c>
      <c r="B413" s="82" t="str">
        <f t="shared" si="2"/>
        <v>06-27</v>
      </c>
      <c r="C413" s="82" t="str">
        <f t="shared" si="3"/>
        <v>AUD</v>
      </c>
      <c r="D413" s="72" t="s">
        <v>743</v>
      </c>
      <c r="E413" s="72">
        <v>1230627.0</v>
      </c>
      <c r="F413" s="72" t="s">
        <v>146</v>
      </c>
      <c r="G413" s="72" t="s">
        <v>1046</v>
      </c>
      <c r="H413" s="72" t="s">
        <v>745</v>
      </c>
      <c r="I413" s="72" t="s">
        <v>746</v>
      </c>
      <c r="J413" s="72" t="s">
        <v>747</v>
      </c>
      <c r="K413" s="72" t="s">
        <v>1046</v>
      </c>
      <c r="L413" s="72" t="s">
        <v>75</v>
      </c>
      <c r="M413" s="72" t="s">
        <v>1047</v>
      </c>
      <c r="N413" s="72" t="s">
        <v>629</v>
      </c>
      <c r="O413" s="72" t="s">
        <v>630</v>
      </c>
      <c r="P413" s="72" t="s">
        <v>79</v>
      </c>
      <c r="Q413" s="72" t="s">
        <v>122</v>
      </c>
      <c r="R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ht="14.25" customHeight="1">
      <c r="A414" s="72" t="str">
        <f t="shared" si="1"/>
        <v>27/06/2023</v>
      </c>
      <c r="B414" s="82" t="str">
        <f t="shared" si="2"/>
        <v>06-27</v>
      </c>
      <c r="C414" s="82" t="str">
        <f t="shared" si="3"/>
        <v>AUD</v>
      </c>
      <c r="D414" s="72" t="s">
        <v>743</v>
      </c>
      <c r="E414" s="72">
        <v>1230627.0</v>
      </c>
      <c r="F414" s="72" t="s">
        <v>146</v>
      </c>
      <c r="G414" s="72" t="s">
        <v>1048</v>
      </c>
      <c r="H414" s="72" t="s">
        <v>745</v>
      </c>
      <c r="I414" s="72" t="s">
        <v>746</v>
      </c>
      <c r="J414" s="72" t="s">
        <v>747</v>
      </c>
      <c r="K414" s="72" t="s">
        <v>1048</v>
      </c>
      <c r="L414" s="72" t="s">
        <v>75</v>
      </c>
      <c r="M414" s="72" t="s">
        <v>1049</v>
      </c>
      <c r="N414" s="72" t="s">
        <v>629</v>
      </c>
      <c r="O414" s="72" t="s">
        <v>630</v>
      </c>
      <c r="P414" s="72" t="s">
        <v>79</v>
      </c>
      <c r="Q414" s="72" t="s">
        <v>122</v>
      </c>
      <c r="R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ht="14.25" customHeight="1">
      <c r="A415" s="72" t="str">
        <f t="shared" si="1"/>
        <v>27/06/2023</v>
      </c>
      <c r="B415" s="82" t="str">
        <f t="shared" si="2"/>
        <v>06-27</v>
      </c>
      <c r="C415" s="82" t="str">
        <f t="shared" si="3"/>
        <v>AUD</v>
      </c>
      <c r="D415" s="72" t="s">
        <v>743</v>
      </c>
      <c r="E415" s="72">
        <v>1230627.0</v>
      </c>
      <c r="F415" s="72" t="s">
        <v>146</v>
      </c>
      <c r="G415" s="72" t="s">
        <v>1050</v>
      </c>
      <c r="H415" s="72" t="s">
        <v>745</v>
      </c>
      <c r="I415" s="72" t="s">
        <v>746</v>
      </c>
      <c r="J415" s="72" t="s">
        <v>747</v>
      </c>
      <c r="K415" s="72" t="s">
        <v>1050</v>
      </c>
      <c r="L415" s="72" t="s">
        <v>75</v>
      </c>
      <c r="M415" s="72" t="s">
        <v>1051</v>
      </c>
      <c r="N415" s="72" t="s">
        <v>629</v>
      </c>
      <c r="O415" s="72" t="s">
        <v>630</v>
      </c>
      <c r="P415" s="72" t="s">
        <v>79</v>
      </c>
      <c r="Q415" s="72" t="s">
        <v>122</v>
      </c>
      <c r="R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ht="14.25" customHeight="1">
      <c r="A416" s="72" t="str">
        <f t="shared" si="1"/>
        <v>27/06/2023</v>
      </c>
      <c r="B416" s="82" t="str">
        <f t="shared" si="2"/>
        <v>06-27</v>
      </c>
      <c r="C416" s="82" t="str">
        <f t="shared" si="3"/>
        <v>AUD</v>
      </c>
      <c r="D416" s="72" t="s">
        <v>743</v>
      </c>
      <c r="E416" s="72">
        <v>1230627.0</v>
      </c>
      <c r="F416" s="72" t="s">
        <v>146</v>
      </c>
      <c r="G416" s="72" t="s">
        <v>1052</v>
      </c>
      <c r="H416" s="72" t="s">
        <v>745</v>
      </c>
      <c r="I416" s="72" t="s">
        <v>746</v>
      </c>
      <c r="J416" s="72" t="s">
        <v>747</v>
      </c>
      <c r="K416" s="72" t="s">
        <v>1052</v>
      </c>
      <c r="L416" s="72" t="s">
        <v>75</v>
      </c>
      <c r="M416" s="72" t="s">
        <v>1053</v>
      </c>
      <c r="N416" s="72" t="s">
        <v>629</v>
      </c>
      <c r="O416" s="72" t="s">
        <v>630</v>
      </c>
      <c r="P416" s="72" t="s">
        <v>79</v>
      </c>
      <c r="Q416" s="72" t="s">
        <v>122</v>
      </c>
      <c r="R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ht="14.25" customHeight="1">
      <c r="A417" s="72" t="str">
        <f t="shared" si="1"/>
        <v>27/06/2023</v>
      </c>
      <c r="B417" s="82" t="str">
        <f t="shared" si="2"/>
        <v>06-27</v>
      </c>
      <c r="C417" s="82" t="str">
        <f t="shared" si="3"/>
        <v>AUD</v>
      </c>
      <c r="D417" s="72" t="s">
        <v>743</v>
      </c>
      <c r="E417" s="72">
        <v>1230627.0</v>
      </c>
      <c r="F417" s="72" t="s">
        <v>146</v>
      </c>
      <c r="G417" s="72" t="s">
        <v>1054</v>
      </c>
      <c r="H417" s="72" t="s">
        <v>745</v>
      </c>
      <c r="I417" s="72" t="s">
        <v>746</v>
      </c>
      <c r="J417" s="72" t="s">
        <v>747</v>
      </c>
      <c r="K417" s="72" t="s">
        <v>1054</v>
      </c>
      <c r="L417" s="72" t="s">
        <v>75</v>
      </c>
      <c r="M417" s="72" t="s">
        <v>1055</v>
      </c>
      <c r="N417" s="72" t="s">
        <v>629</v>
      </c>
      <c r="O417" s="72" t="s">
        <v>630</v>
      </c>
      <c r="P417" s="72" t="s">
        <v>79</v>
      </c>
      <c r="Q417" s="72" t="s">
        <v>122</v>
      </c>
      <c r="R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ht="14.25" customHeight="1">
      <c r="A418" s="72" t="str">
        <f t="shared" si="1"/>
        <v>27/06/2023</v>
      </c>
      <c r="B418" s="82" t="str">
        <f t="shared" si="2"/>
        <v>06-27</v>
      </c>
      <c r="C418" s="82" t="str">
        <f t="shared" si="3"/>
        <v>AUD</v>
      </c>
      <c r="D418" s="72" t="s">
        <v>743</v>
      </c>
      <c r="E418" s="72">
        <v>1230627.0</v>
      </c>
      <c r="F418" s="72" t="s">
        <v>146</v>
      </c>
      <c r="G418" s="72" t="s">
        <v>1056</v>
      </c>
      <c r="H418" s="72" t="s">
        <v>745</v>
      </c>
      <c r="I418" s="72" t="s">
        <v>746</v>
      </c>
      <c r="J418" s="72" t="s">
        <v>747</v>
      </c>
      <c r="K418" s="72" t="s">
        <v>1056</v>
      </c>
      <c r="L418" s="72" t="s">
        <v>75</v>
      </c>
      <c r="M418" s="72" t="s">
        <v>1057</v>
      </c>
      <c r="N418" s="72" t="s">
        <v>629</v>
      </c>
      <c r="O418" s="72" t="s">
        <v>630</v>
      </c>
      <c r="P418" s="72" t="s">
        <v>79</v>
      </c>
      <c r="Q418" s="72" t="s">
        <v>122</v>
      </c>
      <c r="R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ht="14.25" customHeight="1">
      <c r="A419" s="72" t="str">
        <f t="shared" si="1"/>
        <v>27/06/2023</v>
      </c>
      <c r="B419" s="82" t="str">
        <f t="shared" si="2"/>
        <v>06-27</v>
      </c>
      <c r="C419" s="82" t="str">
        <f t="shared" si="3"/>
        <v>AUD</v>
      </c>
      <c r="D419" s="72" t="s">
        <v>743</v>
      </c>
      <c r="E419" s="72">
        <v>1230627.0</v>
      </c>
      <c r="F419" s="72" t="s">
        <v>146</v>
      </c>
      <c r="G419" s="72" t="s">
        <v>1058</v>
      </c>
      <c r="H419" s="72" t="s">
        <v>745</v>
      </c>
      <c r="I419" s="72" t="s">
        <v>746</v>
      </c>
      <c r="J419" s="72" t="s">
        <v>747</v>
      </c>
      <c r="K419" s="72" t="s">
        <v>1058</v>
      </c>
      <c r="L419" s="72" t="s">
        <v>75</v>
      </c>
      <c r="M419" s="72" t="s">
        <v>1059</v>
      </c>
      <c r="N419" s="72" t="s">
        <v>629</v>
      </c>
      <c r="O419" s="72" t="s">
        <v>630</v>
      </c>
      <c r="P419" s="72" t="s">
        <v>79</v>
      </c>
      <c r="Q419" s="72" t="s">
        <v>122</v>
      </c>
      <c r="R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ht="14.25" customHeight="1">
      <c r="A420" s="72" t="str">
        <f t="shared" si="1"/>
        <v>27/06/2023</v>
      </c>
      <c r="B420" s="82" t="str">
        <f t="shared" si="2"/>
        <v>06-27</v>
      </c>
      <c r="C420" s="82" t="str">
        <f t="shared" si="3"/>
        <v>AUD</v>
      </c>
      <c r="D420" s="72" t="s">
        <v>743</v>
      </c>
      <c r="E420" s="72">
        <v>1230627.0</v>
      </c>
      <c r="F420" s="72" t="s">
        <v>146</v>
      </c>
      <c r="G420" s="72" t="s">
        <v>1060</v>
      </c>
      <c r="H420" s="72" t="s">
        <v>745</v>
      </c>
      <c r="I420" s="72" t="s">
        <v>746</v>
      </c>
      <c r="J420" s="72" t="s">
        <v>747</v>
      </c>
      <c r="K420" s="72" t="s">
        <v>1060</v>
      </c>
      <c r="L420" s="72" t="s">
        <v>75</v>
      </c>
      <c r="M420" s="72" t="s">
        <v>1061</v>
      </c>
      <c r="N420" s="72" t="s">
        <v>629</v>
      </c>
      <c r="O420" s="72" t="s">
        <v>630</v>
      </c>
      <c r="P420" s="72" t="s">
        <v>79</v>
      </c>
      <c r="Q420" s="72" t="s">
        <v>122</v>
      </c>
      <c r="R420" s="76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</row>
    <row r="421" ht="14.25" customHeight="1">
      <c r="A421" s="72" t="str">
        <f t="shared" si="1"/>
        <v>27/06/2023</v>
      </c>
      <c r="B421" s="82" t="str">
        <f t="shared" si="2"/>
        <v>06-27</v>
      </c>
      <c r="C421" s="82" t="str">
        <f t="shared" si="3"/>
        <v>AUD</v>
      </c>
      <c r="D421" s="72" t="s">
        <v>743</v>
      </c>
      <c r="E421" s="72">
        <v>1230627.0</v>
      </c>
      <c r="F421" s="72" t="s">
        <v>146</v>
      </c>
      <c r="G421" s="72" t="s">
        <v>1062</v>
      </c>
      <c r="H421" s="72" t="s">
        <v>745</v>
      </c>
      <c r="I421" s="72" t="s">
        <v>746</v>
      </c>
      <c r="J421" s="72" t="s">
        <v>747</v>
      </c>
      <c r="K421" s="72" t="s">
        <v>1062</v>
      </c>
      <c r="L421" s="72" t="s">
        <v>75</v>
      </c>
      <c r="M421" s="72" t="s">
        <v>1063</v>
      </c>
      <c r="N421" s="72" t="s">
        <v>629</v>
      </c>
      <c r="O421" s="72" t="s">
        <v>630</v>
      </c>
      <c r="P421" s="72" t="s">
        <v>79</v>
      </c>
      <c r="Q421" s="72" t="s">
        <v>122</v>
      </c>
      <c r="R421" s="76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</row>
    <row r="422" ht="14.25" customHeight="1">
      <c r="A422" s="72" t="str">
        <f t="shared" si="1"/>
        <v>27/06/2023</v>
      </c>
      <c r="B422" s="82" t="str">
        <f t="shared" si="2"/>
        <v>06-27</v>
      </c>
      <c r="C422" s="82" t="str">
        <f t="shared" si="3"/>
        <v>AUD</v>
      </c>
      <c r="D422" s="72" t="s">
        <v>743</v>
      </c>
      <c r="E422" s="72">
        <v>1230627.0</v>
      </c>
      <c r="F422" s="72" t="s">
        <v>146</v>
      </c>
      <c r="G422" s="72" t="s">
        <v>1064</v>
      </c>
      <c r="H422" s="72" t="s">
        <v>745</v>
      </c>
      <c r="I422" s="72" t="s">
        <v>746</v>
      </c>
      <c r="J422" s="72" t="s">
        <v>747</v>
      </c>
      <c r="K422" s="72" t="s">
        <v>1064</v>
      </c>
      <c r="L422" s="72" t="s">
        <v>75</v>
      </c>
      <c r="M422" s="72" t="s">
        <v>1065</v>
      </c>
      <c r="N422" s="72" t="s">
        <v>629</v>
      </c>
      <c r="O422" s="72" t="s">
        <v>630</v>
      </c>
      <c r="P422" s="72" t="s">
        <v>79</v>
      </c>
      <c r="Q422" s="72" t="s">
        <v>122</v>
      </c>
      <c r="R422" s="76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</row>
    <row r="423" ht="14.25" customHeight="1">
      <c r="A423" s="72" t="str">
        <f t="shared" si="1"/>
        <v>27/06/2023</v>
      </c>
      <c r="B423" s="82" t="str">
        <f t="shared" si="2"/>
        <v>06-27</v>
      </c>
      <c r="C423" s="82" t="str">
        <f t="shared" si="3"/>
        <v>AUD</v>
      </c>
      <c r="D423" s="72" t="s">
        <v>743</v>
      </c>
      <c r="E423" s="72">
        <v>1230627.0</v>
      </c>
      <c r="F423" s="72" t="s">
        <v>146</v>
      </c>
      <c r="G423" s="72" t="s">
        <v>1066</v>
      </c>
      <c r="H423" s="72" t="s">
        <v>745</v>
      </c>
      <c r="I423" s="72" t="s">
        <v>746</v>
      </c>
      <c r="J423" s="72" t="s">
        <v>747</v>
      </c>
      <c r="K423" s="72" t="s">
        <v>1066</v>
      </c>
      <c r="L423" s="72" t="s">
        <v>75</v>
      </c>
      <c r="M423" s="72" t="s">
        <v>1067</v>
      </c>
      <c r="N423" s="72" t="s">
        <v>629</v>
      </c>
      <c r="O423" s="72" t="s">
        <v>630</v>
      </c>
      <c r="P423" s="72" t="s">
        <v>79</v>
      </c>
      <c r="Q423" s="72" t="s">
        <v>122</v>
      </c>
      <c r="R423" s="76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</row>
    <row r="424" ht="14.25" customHeight="1">
      <c r="A424" s="72" t="str">
        <f t="shared" si="1"/>
        <v>27/06/2023</v>
      </c>
      <c r="B424" s="82" t="str">
        <f t="shared" si="2"/>
        <v>06-27</v>
      </c>
      <c r="C424" s="82" t="str">
        <f t="shared" si="3"/>
        <v>AUD</v>
      </c>
      <c r="D424" s="72" t="s">
        <v>743</v>
      </c>
      <c r="E424" s="72">
        <v>1230627.0</v>
      </c>
      <c r="F424" s="72" t="s">
        <v>146</v>
      </c>
      <c r="G424" s="72" t="s">
        <v>1068</v>
      </c>
      <c r="H424" s="72" t="s">
        <v>745</v>
      </c>
      <c r="I424" s="72" t="s">
        <v>746</v>
      </c>
      <c r="J424" s="72" t="s">
        <v>747</v>
      </c>
      <c r="K424" s="72" t="s">
        <v>1068</v>
      </c>
      <c r="L424" s="72" t="s">
        <v>75</v>
      </c>
      <c r="M424" s="72" t="s">
        <v>1069</v>
      </c>
      <c r="N424" s="72" t="s">
        <v>629</v>
      </c>
      <c r="O424" s="72" t="s">
        <v>630</v>
      </c>
      <c r="P424" s="72" t="s">
        <v>79</v>
      </c>
      <c r="Q424" s="72" t="s">
        <v>122</v>
      </c>
      <c r="R424" s="76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</row>
    <row r="425" ht="14.25" customHeight="1">
      <c r="A425" s="72" t="str">
        <f t="shared" si="1"/>
        <v>27/06/2023</v>
      </c>
      <c r="B425" s="82" t="str">
        <f t="shared" si="2"/>
        <v>06-27</v>
      </c>
      <c r="C425" s="82" t="str">
        <f t="shared" si="3"/>
        <v>AUD</v>
      </c>
      <c r="D425" s="72" t="s">
        <v>743</v>
      </c>
      <c r="E425" s="72">
        <v>1230627.0</v>
      </c>
      <c r="F425" s="72" t="s">
        <v>146</v>
      </c>
      <c r="G425" s="72" t="s">
        <v>1070</v>
      </c>
      <c r="H425" s="72" t="s">
        <v>745</v>
      </c>
      <c r="I425" s="72" t="s">
        <v>746</v>
      </c>
      <c r="J425" s="72" t="s">
        <v>747</v>
      </c>
      <c r="K425" s="72" t="s">
        <v>1070</v>
      </c>
      <c r="L425" s="72" t="s">
        <v>75</v>
      </c>
      <c r="M425" s="72" t="s">
        <v>1071</v>
      </c>
      <c r="N425" s="72" t="s">
        <v>629</v>
      </c>
      <c r="O425" s="72" t="s">
        <v>630</v>
      </c>
      <c r="P425" s="72" t="s">
        <v>79</v>
      </c>
      <c r="Q425" s="72" t="s">
        <v>122</v>
      </c>
      <c r="R425" s="76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</row>
    <row r="426" ht="14.25" customHeight="1">
      <c r="A426" s="72" t="str">
        <f t="shared" si="1"/>
        <v>27/06/2023</v>
      </c>
      <c r="B426" s="82" t="str">
        <f t="shared" si="2"/>
        <v>06-27</v>
      </c>
      <c r="C426" s="82" t="str">
        <f t="shared" si="3"/>
        <v>AUD</v>
      </c>
      <c r="D426" s="72" t="s">
        <v>743</v>
      </c>
      <c r="E426" s="72">
        <v>1230627.0</v>
      </c>
      <c r="F426" s="72" t="s">
        <v>146</v>
      </c>
      <c r="G426" s="72" t="s">
        <v>1072</v>
      </c>
      <c r="H426" s="72" t="s">
        <v>862</v>
      </c>
      <c r="I426" s="72" t="s">
        <v>863</v>
      </c>
      <c r="J426" s="72" t="s">
        <v>747</v>
      </c>
      <c r="K426" s="72" t="s">
        <v>1072</v>
      </c>
      <c r="L426" s="72" t="s">
        <v>75</v>
      </c>
      <c r="M426" s="72" t="s">
        <v>1073</v>
      </c>
      <c r="N426" s="72" t="s">
        <v>629</v>
      </c>
      <c r="O426" s="72" t="s">
        <v>630</v>
      </c>
      <c r="P426" s="72" t="s">
        <v>79</v>
      </c>
      <c r="Q426" s="72" t="s">
        <v>122</v>
      </c>
      <c r="R426" s="76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</row>
    <row r="427" ht="14.25" customHeight="1">
      <c r="A427" s="72" t="str">
        <f t="shared" si="1"/>
        <v>27/06/2023</v>
      </c>
      <c r="B427" s="82" t="str">
        <f t="shared" si="2"/>
        <v>06-27</v>
      </c>
      <c r="C427" s="82" t="str">
        <f t="shared" si="3"/>
        <v>AUD</v>
      </c>
      <c r="D427" s="72" t="s">
        <v>743</v>
      </c>
      <c r="E427" s="72">
        <v>1230627.0</v>
      </c>
      <c r="F427" s="72" t="s">
        <v>146</v>
      </c>
      <c r="G427" s="72" t="s">
        <v>1074</v>
      </c>
      <c r="H427" s="72" t="s">
        <v>862</v>
      </c>
      <c r="I427" s="72" t="s">
        <v>863</v>
      </c>
      <c r="J427" s="72" t="s">
        <v>747</v>
      </c>
      <c r="K427" s="72" t="s">
        <v>1074</v>
      </c>
      <c r="L427" s="72" t="s">
        <v>75</v>
      </c>
      <c r="M427" s="72" t="s">
        <v>1075</v>
      </c>
      <c r="N427" s="72" t="s">
        <v>629</v>
      </c>
      <c r="O427" s="72" t="s">
        <v>630</v>
      </c>
      <c r="P427" s="72" t="s">
        <v>79</v>
      </c>
      <c r="Q427" s="72" t="s">
        <v>122</v>
      </c>
      <c r="R427" s="76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</row>
    <row r="428" ht="14.25" customHeight="1">
      <c r="A428" s="72" t="str">
        <f t="shared" si="1"/>
        <v>27/06/2023</v>
      </c>
      <c r="B428" s="82" t="str">
        <f t="shared" si="2"/>
        <v>06-27</v>
      </c>
      <c r="C428" s="82" t="str">
        <f t="shared" si="3"/>
        <v>AUD</v>
      </c>
      <c r="D428" s="72" t="s">
        <v>743</v>
      </c>
      <c r="E428" s="72">
        <v>1230627.0</v>
      </c>
      <c r="F428" s="72" t="s">
        <v>146</v>
      </c>
      <c r="G428" s="72" t="s">
        <v>1076</v>
      </c>
      <c r="H428" s="72" t="s">
        <v>862</v>
      </c>
      <c r="I428" s="72" t="s">
        <v>863</v>
      </c>
      <c r="J428" s="72" t="s">
        <v>747</v>
      </c>
      <c r="K428" s="72" t="s">
        <v>1076</v>
      </c>
      <c r="L428" s="72" t="s">
        <v>75</v>
      </c>
      <c r="M428" s="72" t="s">
        <v>1077</v>
      </c>
      <c r="N428" s="72" t="s">
        <v>629</v>
      </c>
      <c r="O428" s="72" t="s">
        <v>630</v>
      </c>
      <c r="P428" s="72" t="s">
        <v>79</v>
      </c>
      <c r="Q428" s="72" t="s">
        <v>122</v>
      </c>
      <c r="R428" s="76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</row>
    <row r="429" ht="14.25" customHeight="1">
      <c r="A429" s="72" t="str">
        <f t="shared" si="1"/>
        <v>27/06/2023</v>
      </c>
      <c r="B429" s="82" t="str">
        <f t="shared" si="2"/>
        <v>06-27</v>
      </c>
      <c r="C429" s="82" t="str">
        <f t="shared" si="3"/>
        <v>AUD</v>
      </c>
      <c r="D429" s="72" t="s">
        <v>743</v>
      </c>
      <c r="E429" s="72">
        <v>1230627.0</v>
      </c>
      <c r="F429" s="72" t="s">
        <v>146</v>
      </c>
      <c r="G429" s="72" t="s">
        <v>1078</v>
      </c>
      <c r="H429" s="72" t="s">
        <v>862</v>
      </c>
      <c r="I429" s="72" t="s">
        <v>863</v>
      </c>
      <c r="J429" s="72" t="s">
        <v>747</v>
      </c>
      <c r="K429" s="72" t="s">
        <v>1078</v>
      </c>
      <c r="L429" s="72" t="s">
        <v>75</v>
      </c>
      <c r="M429" s="72" t="s">
        <v>1079</v>
      </c>
      <c r="N429" s="72" t="s">
        <v>629</v>
      </c>
      <c r="O429" s="72" t="s">
        <v>630</v>
      </c>
      <c r="P429" s="72" t="s">
        <v>79</v>
      </c>
      <c r="Q429" s="72" t="s">
        <v>122</v>
      </c>
      <c r="R429" s="76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</row>
    <row r="430" ht="14.25" customHeight="1">
      <c r="A430" s="72" t="str">
        <f t="shared" si="1"/>
        <v>27/06/2023</v>
      </c>
      <c r="B430" s="82" t="str">
        <f t="shared" si="2"/>
        <v>06-27</v>
      </c>
      <c r="C430" s="82" t="str">
        <f t="shared" si="3"/>
        <v>AUD</v>
      </c>
      <c r="D430" s="72" t="s">
        <v>743</v>
      </c>
      <c r="E430" s="72">
        <v>1230627.0</v>
      </c>
      <c r="F430" s="72" t="s">
        <v>146</v>
      </c>
      <c r="G430" s="72" t="s">
        <v>1080</v>
      </c>
      <c r="H430" s="72" t="s">
        <v>862</v>
      </c>
      <c r="I430" s="72" t="s">
        <v>863</v>
      </c>
      <c r="J430" s="72" t="s">
        <v>747</v>
      </c>
      <c r="K430" s="72" t="s">
        <v>1080</v>
      </c>
      <c r="L430" s="72" t="s">
        <v>75</v>
      </c>
      <c r="M430" s="72" t="s">
        <v>1081</v>
      </c>
      <c r="N430" s="72" t="s">
        <v>629</v>
      </c>
      <c r="O430" s="72" t="s">
        <v>630</v>
      </c>
      <c r="P430" s="72" t="s">
        <v>79</v>
      </c>
      <c r="Q430" s="72" t="s">
        <v>122</v>
      </c>
      <c r="R430" s="76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</row>
    <row r="431" ht="14.25" customHeight="1">
      <c r="A431" s="72" t="str">
        <f t="shared" si="1"/>
        <v>27/06/2023</v>
      </c>
      <c r="B431" s="82" t="str">
        <f t="shared" si="2"/>
        <v>06-27</v>
      </c>
      <c r="C431" s="82" t="str">
        <f t="shared" si="3"/>
        <v>AUD</v>
      </c>
      <c r="D431" s="72" t="s">
        <v>743</v>
      </c>
      <c r="E431" s="72">
        <v>1230627.0</v>
      </c>
      <c r="F431" s="72" t="s">
        <v>146</v>
      </c>
      <c r="G431" s="72" t="s">
        <v>1082</v>
      </c>
      <c r="H431" s="72" t="s">
        <v>862</v>
      </c>
      <c r="I431" s="72" t="s">
        <v>863</v>
      </c>
      <c r="J431" s="72" t="s">
        <v>747</v>
      </c>
      <c r="K431" s="72" t="s">
        <v>1082</v>
      </c>
      <c r="L431" s="72" t="s">
        <v>75</v>
      </c>
      <c r="M431" s="72" t="s">
        <v>1083</v>
      </c>
      <c r="N431" s="72" t="s">
        <v>629</v>
      </c>
      <c r="O431" s="72" t="s">
        <v>630</v>
      </c>
      <c r="P431" s="72" t="s">
        <v>79</v>
      </c>
      <c r="Q431" s="72" t="s">
        <v>122</v>
      </c>
      <c r="R431" s="76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</row>
    <row r="432" ht="14.25" customHeight="1">
      <c r="A432" s="72" t="str">
        <f t="shared" si="1"/>
        <v>27/06/2023</v>
      </c>
      <c r="B432" s="82" t="str">
        <f t="shared" si="2"/>
        <v>06-27</v>
      </c>
      <c r="C432" s="82" t="str">
        <f t="shared" si="3"/>
        <v>AUD</v>
      </c>
      <c r="D432" s="72" t="s">
        <v>743</v>
      </c>
      <c r="E432" s="72">
        <v>1230627.0</v>
      </c>
      <c r="F432" s="72" t="s">
        <v>146</v>
      </c>
      <c r="G432" s="72" t="s">
        <v>1084</v>
      </c>
      <c r="H432" s="72" t="s">
        <v>862</v>
      </c>
      <c r="I432" s="72" t="s">
        <v>863</v>
      </c>
      <c r="J432" s="72" t="s">
        <v>747</v>
      </c>
      <c r="K432" s="72" t="s">
        <v>1084</v>
      </c>
      <c r="L432" s="72" t="s">
        <v>75</v>
      </c>
      <c r="M432" s="72" t="s">
        <v>1085</v>
      </c>
      <c r="N432" s="72" t="s">
        <v>629</v>
      </c>
      <c r="O432" s="72" t="s">
        <v>630</v>
      </c>
      <c r="P432" s="72" t="s">
        <v>79</v>
      </c>
      <c r="Q432" s="72" t="s">
        <v>122</v>
      </c>
      <c r="R432" s="76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</row>
    <row r="433" ht="14.25" customHeight="1">
      <c r="A433" s="72" t="str">
        <f t="shared" si="1"/>
        <v>27/06/2023</v>
      </c>
      <c r="B433" s="82" t="str">
        <f t="shared" si="2"/>
        <v>06-27</v>
      </c>
      <c r="C433" s="82" t="str">
        <f t="shared" si="3"/>
        <v>AUD</v>
      </c>
      <c r="D433" s="72" t="s">
        <v>743</v>
      </c>
      <c r="E433" s="72">
        <v>1230627.0</v>
      </c>
      <c r="F433" s="72" t="s">
        <v>146</v>
      </c>
      <c r="G433" s="72" t="s">
        <v>1086</v>
      </c>
      <c r="H433" s="72" t="s">
        <v>862</v>
      </c>
      <c r="I433" s="72" t="s">
        <v>863</v>
      </c>
      <c r="J433" s="72" t="s">
        <v>747</v>
      </c>
      <c r="K433" s="72" t="s">
        <v>1086</v>
      </c>
      <c r="L433" s="72" t="s">
        <v>75</v>
      </c>
      <c r="M433" s="72" t="s">
        <v>1087</v>
      </c>
      <c r="N433" s="72" t="s">
        <v>629</v>
      </c>
      <c r="O433" s="72" t="s">
        <v>630</v>
      </c>
      <c r="P433" s="72" t="s">
        <v>79</v>
      </c>
      <c r="Q433" s="72" t="s">
        <v>122</v>
      </c>
      <c r="R433" s="76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</row>
    <row r="434" ht="14.25" customHeight="1">
      <c r="A434" s="72" t="str">
        <f t="shared" si="1"/>
        <v>27/06/2023</v>
      </c>
      <c r="B434" s="82" t="str">
        <f t="shared" si="2"/>
        <v>06-27</v>
      </c>
      <c r="C434" s="82" t="str">
        <f t="shared" si="3"/>
        <v>AUD</v>
      </c>
      <c r="D434" s="72" t="s">
        <v>743</v>
      </c>
      <c r="E434" s="72">
        <v>1230627.0</v>
      </c>
      <c r="F434" s="72" t="s">
        <v>146</v>
      </c>
      <c r="G434" s="72" t="s">
        <v>1088</v>
      </c>
      <c r="H434" s="72" t="s">
        <v>862</v>
      </c>
      <c r="I434" s="72" t="s">
        <v>863</v>
      </c>
      <c r="J434" s="72" t="s">
        <v>747</v>
      </c>
      <c r="K434" s="72" t="s">
        <v>1088</v>
      </c>
      <c r="L434" s="72" t="s">
        <v>75</v>
      </c>
      <c r="M434" s="72" t="s">
        <v>1089</v>
      </c>
      <c r="N434" s="72" t="s">
        <v>629</v>
      </c>
      <c r="O434" s="72" t="s">
        <v>630</v>
      </c>
      <c r="P434" s="72" t="s">
        <v>79</v>
      </c>
      <c r="Q434" s="72" t="s">
        <v>122</v>
      </c>
      <c r="R434" s="76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</row>
    <row r="435" ht="14.25" customHeight="1">
      <c r="A435" s="72" t="str">
        <f t="shared" si="1"/>
        <v>27/06/2023</v>
      </c>
      <c r="B435" s="82" t="str">
        <f t="shared" si="2"/>
        <v>06-27</v>
      </c>
      <c r="C435" s="82" t="str">
        <f t="shared" si="3"/>
        <v>AUD</v>
      </c>
      <c r="D435" s="72" t="s">
        <v>743</v>
      </c>
      <c r="E435" s="72">
        <v>1230627.0</v>
      </c>
      <c r="F435" s="72" t="s">
        <v>146</v>
      </c>
      <c r="G435" s="72" t="s">
        <v>1090</v>
      </c>
      <c r="H435" s="72" t="s">
        <v>862</v>
      </c>
      <c r="I435" s="72" t="s">
        <v>863</v>
      </c>
      <c r="J435" s="72" t="s">
        <v>747</v>
      </c>
      <c r="K435" s="72" t="s">
        <v>1090</v>
      </c>
      <c r="L435" s="72" t="s">
        <v>75</v>
      </c>
      <c r="M435" s="72" t="s">
        <v>1091</v>
      </c>
      <c r="N435" s="72" t="s">
        <v>629</v>
      </c>
      <c r="O435" s="72" t="s">
        <v>630</v>
      </c>
      <c r="P435" s="72" t="s">
        <v>79</v>
      </c>
      <c r="Q435" s="72" t="s">
        <v>122</v>
      </c>
      <c r="R435" s="76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</row>
    <row r="436" ht="14.25" customHeight="1">
      <c r="A436" s="72" t="str">
        <f t="shared" si="1"/>
        <v>27/06/2023</v>
      </c>
      <c r="B436" s="82" t="str">
        <f t="shared" si="2"/>
        <v>06-27</v>
      </c>
      <c r="C436" s="82" t="str">
        <f t="shared" si="3"/>
        <v>AUD</v>
      </c>
      <c r="D436" s="82" t="s">
        <v>743</v>
      </c>
      <c r="E436" s="82">
        <v>1230627.0</v>
      </c>
      <c r="F436" s="82" t="s">
        <v>146</v>
      </c>
      <c r="G436" s="82" t="s">
        <v>1092</v>
      </c>
      <c r="H436" s="82" t="s">
        <v>862</v>
      </c>
      <c r="I436" s="82" t="s">
        <v>863</v>
      </c>
      <c r="J436" s="82" t="s">
        <v>747</v>
      </c>
      <c r="K436" s="82" t="s">
        <v>1092</v>
      </c>
      <c r="L436" s="82" t="s">
        <v>75</v>
      </c>
      <c r="M436" s="82" t="s">
        <v>1093</v>
      </c>
      <c r="N436" s="82" t="s">
        <v>885</v>
      </c>
      <c r="O436" s="82" t="s">
        <v>886</v>
      </c>
      <c r="P436" s="82" t="s">
        <v>79</v>
      </c>
      <c r="Q436" s="82" t="s">
        <v>145</v>
      </c>
      <c r="R436" s="76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</row>
    <row r="437" ht="14.25" customHeight="1">
      <c r="A437" s="72" t="str">
        <f t="shared" si="1"/>
        <v>27/06/2023</v>
      </c>
      <c r="B437" s="82" t="str">
        <f t="shared" si="2"/>
        <v>06-27</v>
      </c>
      <c r="C437" s="82" t="str">
        <f t="shared" si="3"/>
        <v>USD</v>
      </c>
      <c r="D437" s="82" t="s">
        <v>743</v>
      </c>
      <c r="E437" s="82">
        <v>1230627.0</v>
      </c>
      <c r="F437" s="82" t="s">
        <v>70</v>
      </c>
      <c r="G437" s="82" t="s">
        <v>1094</v>
      </c>
      <c r="H437" s="82" t="s">
        <v>834</v>
      </c>
      <c r="I437" s="82" t="s">
        <v>835</v>
      </c>
      <c r="J437" s="82" t="s">
        <v>836</v>
      </c>
      <c r="K437" s="82" t="s">
        <v>1094</v>
      </c>
      <c r="L437" s="82" t="s">
        <v>75</v>
      </c>
      <c r="M437" s="82" t="s">
        <v>1095</v>
      </c>
      <c r="N437" s="82" t="s">
        <v>482</v>
      </c>
      <c r="O437" s="82" t="s">
        <v>483</v>
      </c>
      <c r="P437" s="82" t="s">
        <v>79</v>
      </c>
      <c r="Q437" s="82" t="s">
        <v>145</v>
      </c>
      <c r="R437" s="76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</row>
    <row r="438" ht="14.25" customHeight="1">
      <c r="A438" s="72" t="str">
        <f t="shared" si="1"/>
        <v>27/06/2023</v>
      </c>
      <c r="B438" s="82" t="str">
        <f t="shared" si="2"/>
        <v>06-27</v>
      </c>
      <c r="C438" s="82" t="str">
        <f t="shared" si="3"/>
        <v>USD</v>
      </c>
      <c r="D438" s="82" t="s">
        <v>743</v>
      </c>
      <c r="E438" s="82">
        <v>1230627.0</v>
      </c>
      <c r="F438" s="82" t="s">
        <v>70</v>
      </c>
      <c r="G438" s="82" t="s">
        <v>1096</v>
      </c>
      <c r="H438" s="82" t="s">
        <v>834</v>
      </c>
      <c r="I438" s="82" t="s">
        <v>835</v>
      </c>
      <c r="J438" s="82" t="s">
        <v>836</v>
      </c>
      <c r="K438" s="82" t="s">
        <v>1096</v>
      </c>
      <c r="L438" s="82" t="s">
        <v>75</v>
      </c>
      <c r="M438" s="82" t="s">
        <v>1097</v>
      </c>
      <c r="N438" s="82" t="s">
        <v>482</v>
      </c>
      <c r="O438" s="82" t="s">
        <v>483</v>
      </c>
      <c r="P438" s="82" t="s">
        <v>79</v>
      </c>
      <c r="Q438" s="82" t="s">
        <v>145</v>
      </c>
      <c r="R438" s="76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</row>
    <row r="439" ht="14.25" customHeight="1">
      <c r="A439" s="72" t="str">
        <f t="shared" si="1"/>
        <v>27/06/2023</v>
      </c>
      <c r="B439" s="82" t="str">
        <f t="shared" si="2"/>
        <v>06-27</v>
      </c>
      <c r="C439" s="82" t="str">
        <f t="shared" si="3"/>
        <v>USD</v>
      </c>
      <c r="D439" s="82" t="s">
        <v>743</v>
      </c>
      <c r="E439" s="82">
        <v>1230627.0</v>
      </c>
      <c r="F439" s="82" t="s">
        <v>70</v>
      </c>
      <c r="G439" s="82" t="s">
        <v>1098</v>
      </c>
      <c r="H439" s="82" t="s">
        <v>834</v>
      </c>
      <c r="I439" s="82" t="s">
        <v>835</v>
      </c>
      <c r="J439" s="82" t="s">
        <v>836</v>
      </c>
      <c r="K439" s="82" t="s">
        <v>1098</v>
      </c>
      <c r="L439" s="82" t="s">
        <v>75</v>
      </c>
      <c r="M439" s="82" t="s">
        <v>1099</v>
      </c>
      <c r="N439" s="82" t="s">
        <v>482</v>
      </c>
      <c r="O439" s="82" t="s">
        <v>483</v>
      </c>
      <c r="P439" s="82" t="s">
        <v>79</v>
      </c>
      <c r="Q439" s="82" t="s">
        <v>145</v>
      </c>
      <c r="R439" s="76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</row>
    <row r="440" ht="14.25" customHeight="1">
      <c r="A440" s="72" t="str">
        <f t="shared" si="1"/>
        <v>27/06/2023</v>
      </c>
      <c r="B440" s="82" t="str">
        <f t="shared" si="2"/>
        <v>06-27</v>
      </c>
      <c r="C440" s="82" t="str">
        <f t="shared" si="3"/>
        <v>USD</v>
      </c>
      <c r="D440" s="82" t="s">
        <v>743</v>
      </c>
      <c r="E440" s="82">
        <v>1230627.0</v>
      </c>
      <c r="F440" s="82" t="s">
        <v>70</v>
      </c>
      <c r="G440" s="82" t="s">
        <v>1100</v>
      </c>
      <c r="H440" s="82" t="s">
        <v>834</v>
      </c>
      <c r="I440" s="82" t="s">
        <v>835</v>
      </c>
      <c r="J440" s="82" t="s">
        <v>836</v>
      </c>
      <c r="K440" s="82" t="s">
        <v>1100</v>
      </c>
      <c r="L440" s="82" t="s">
        <v>75</v>
      </c>
      <c r="M440" s="82" t="s">
        <v>1101</v>
      </c>
      <c r="N440" s="82" t="s">
        <v>482</v>
      </c>
      <c r="O440" s="82" t="s">
        <v>483</v>
      </c>
      <c r="P440" s="82" t="s">
        <v>79</v>
      </c>
      <c r="Q440" s="82" t="s">
        <v>145</v>
      </c>
      <c r="R440" s="76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</row>
    <row r="441" ht="14.25" customHeight="1">
      <c r="A441" s="72" t="str">
        <f t="shared" si="1"/>
        <v>27/06/2023</v>
      </c>
      <c r="B441" s="82" t="str">
        <f t="shared" si="2"/>
        <v>06-27</v>
      </c>
      <c r="C441" s="82" t="str">
        <f t="shared" si="3"/>
        <v>USD</v>
      </c>
      <c r="D441" s="82" t="s">
        <v>743</v>
      </c>
      <c r="E441" s="82">
        <v>1230627.0</v>
      </c>
      <c r="F441" s="82" t="s">
        <v>70</v>
      </c>
      <c r="G441" s="82" t="s">
        <v>1102</v>
      </c>
      <c r="H441" s="82" t="s">
        <v>834</v>
      </c>
      <c r="I441" s="82" t="s">
        <v>835</v>
      </c>
      <c r="J441" s="82" t="s">
        <v>836</v>
      </c>
      <c r="K441" s="82" t="s">
        <v>1102</v>
      </c>
      <c r="L441" s="82" t="s">
        <v>75</v>
      </c>
      <c r="M441" s="82" t="s">
        <v>1103</v>
      </c>
      <c r="N441" s="82" t="s">
        <v>482</v>
      </c>
      <c r="O441" s="82" t="s">
        <v>483</v>
      </c>
      <c r="P441" s="82" t="s">
        <v>79</v>
      </c>
      <c r="Q441" s="82" t="s">
        <v>145</v>
      </c>
      <c r="R441" s="76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</row>
    <row r="442" ht="14.25" customHeight="1">
      <c r="A442" s="72" t="str">
        <f t="shared" si="1"/>
        <v>27/06/2023</v>
      </c>
      <c r="B442" s="82" t="str">
        <f t="shared" si="2"/>
        <v>06-27</v>
      </c>
      <c r="C442" s="82" t="str">
        <f t="shared" si="3"/>
        <v>USD</v>
      </c>
      <c r="D442" s="82" t="s">
        <v>743</v>
      </c>
      <c r="E442" s="82">
        <v>1230627.0</v>
      </c>
      <c r="F442" s="82" t="s">
        <v>70</v>
      </c>
      <c r="G442" s="82" t="s">
        <v>1104</v>
      </c>
      <c r="H442" s="82" t="s">
        <v>834</v>
      </c>
      <c r="I442" s="82" t="s">
        <v>835</v>
      </c>
      <c r="J442" s="82" t="s">
        <v>836</v>
      </c>
      <c r="K442" s="82" t="s">
        <v>1104</v>
      </c>
      <c r="L442" s="82" t="s">
        <v>75</v>
      </c>
      <c r="M442" s="82" t="s">
        <v>1105</v>
      </c>
      <c r="N442" s="82" t="s">
        <v>482</v>
      </c>
      <c r="O442" s="82" t="s">
        <v>483</v>
      </c>
      <c r="P442" s="82" t="s">
        <v>79</v>
      </c>
      <c r="Q442" s="82" t="s">
        <v>145</v>
      </c>
      <c r="R442" s="76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</row>
    <row r="443" ht="14.25" customHeight="1">
      <c r="A443" s="72" t="str">
        <f t="shared" si="1"/>
        <v>27/06/2023</v>
      </c>
      <c r="B443" s="82" t="str">
        <f t="shared" si="2"/>
        <v>06-27</v>
      </c>
      <c r="C443" s="82" t="str">
        <f t="shared" si="3"/>
        <v>USD</v>
      </c>
      <c r="D443" s="82" t="s">
        <v>743</v>
      </c>
      <c r="E443" s="82">
        <v>1230627.0</v>
      </c>
      <c r="F443" s="82" t="s">
        <v>70</v>
      </c>
      <c r="G443" s="82" t="s">
        <v>1106</v>
      </c>
      <c r="H443" s="82" t="s">
        <v>834</v>
      </c>
      <c r="I443" s="82" t="s">
        <v>835</v>
      </c>
      <c r="J443" s="82" t="s">
        <v>836</v>
      </c>
      <c r="K443" s="82" t="s">
        <v>1106</v>
      </c>
      <c r="L443" s="82" t="s">
        <v>75</v>
      </c>
      <c r="M443" s="82" t="s">
        <v>1107</v>
      </c>
      <c r="N443" s="82" t="s">
        <v>482</v>
      </c>
      <c r="O443" s="82" t="s">
        <v>483</v>
      </c>
      <c r="P443" s="82" t="s">
        <v>79</v>
      </c>
      <c r="Q443" s="82" t="s">
        <v>145</v>
      </c>
      <c r="R443" s="76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</row>
    <row r="444" ht="14.25" customHeight="1">
      <c r="A444" s="72" t="str">
        <f t="shared" si="1"/>
        <v>27/06/2023</v>
      </c>
      <c r="B444" s="82" t="str">
        <f t="shared" si="2"/>
        <v>06-27</v>
      </c>
      <c r="C444" s="82" t="str">
        <f t="shared" si="3"/>
        <v>USD</v>
      </c>
      <c r="D444" s="82" t="s">
        <v>743</v>
      </c>
      <c r="E444" s="82">
        <v>1230627.0</v>
      </c>
      <c r="F444" s="82" t="s">
        <v>70</v>
      </c>
      <c r="G444" s="82" t="s">
        <v>1108</v>
      </c>
      <c r="H444" s="82" t="s">
        <v>834</v>
      </c>
      <c r="I444" s="82" t="s">
        <v>835</v>
      </c>
      <c r="J444" s="82" t="s">
        <v>836</v>
      </c>
      <c r="K444" s="82" t="s">
        <v>1108</v>
      </c>
      <c r="L444" s="82" t="s">
        <v>75</v>
      </c>
      <c r="M444" s="82" t="s">
        <v>1109</v>
      </c>
      <c r="N444" s="82" t="s">
        <v>482</v>
      </c>
      <c r="O444" s="82" t="s">
        <v>483</v>
      </c>
      <c r="P444" s="82" t="s">
        <v>79</v>
      </c>
      <c r="Q444" s="82" t="s">
        <v>145</v>
      </c>
      <c r="R444" s="76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</row>
    <row r="445" ht="14.25" customHeight="1">
      <c r="A445" s="72" t="str">
        <f t="shared" si="1"/>
        <v>27/06/2023</v>
      </c>
      <c r="B445" s="82" t="str">
        <f t="shared" si="2"/>
        <v>06-27</v>
      </c>
      <c r="C445" s="82" t="str">
        <f t="shared" si="3"/>
        <v>USD</v>
      </c>
      <c r="D445" s="82" t="s">
        <v>743</v>
      </c>
      <c r="E445" s="82">
        <v>1230627.0</v>
      </c>
      <c r="F445" s="82" t="s">
        <v>70</v>
      </c>
      <c r="G445" s="82" t="s">
        <v>1110</v>
      </c>
      <c r="H445" s="82" t="s">
        <v>834</v>
      </c>
      <c r="I445" s="82" t="s">
        <v>835</v>
      </c>
      <c r="J445" s="82" t="s">
        <v>836</v>
      </c>
      <c r="K445" s="82" t="s">
        <v>1110</v>
      </c>
      <c r="L445" s="82" t="s">
        <v>75</v>
      </c>
      <c r="M445" s="82" t="s">
        <v>1111</v>
      </c>
      <c r="N445" s="82" t="s">
        <v>482</v>
      </c>
      <c r="O445" s="82" t="s">
        <v>483</v>
      </c>
      <c r="P445" s="82" t="s">
        <v>79</v>
      </c>
      <c r="Q445" s="82" t="s">
        <v>145</v>
      </c>
      <c r="R445" s="76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</row>
    <row r="446" ht="14.25" customHeight="1">
      <c r="A446" s="72" t="str">
        <f t="shared" si="1"/>
        <v>27/06/2023</v>
      </c>
      <c r="B446" s="82" t="str">
        <f t="shared" si="2"/>
        <v>06-27</v>
      </c>
      <c r="C446" s="82" t="str">
        <f t="shared" si="3"/>
        <v>USD</v>
      </c>
      <c r="D446" s="82" t="s">
        <v>743</v>
      </c>
      <c r="E446" s="82">
        <v>1230627.0</v>
      </c>
      <c r="F446" s="82" t="s">
        <v>70</v>
      </c>
      <c r="G446" s="82" t="s">
        <v>1112</v>
      </c>
      <c r="H446" s="82" t="s">
        <v>834</v>
      </c>
      <c r="I446" s="82" t="s">
        <v>835</v>
      </c>
      <c r="J446" s="82" t="s">
        <v>836</v>
      </c>
      <c r="K446" s="82" t="s">
        <v>1112</v>
      </c>
      <c r="L446" s="82" t="s">
        <v>75</v>
      </c>
      <c r="M446" s="82" t="s">
        <v>1113</v>
      </c>
      <c r="N446" s="82" t="s">
        <v>482</v>
      </c>
      <c r="O446" s="82" t="s">
        <v>483</v>
      </c>
      <c r="P446" s="82" t="s">
        <v>79</v>
      </c>
      <c r="Q446" s="82" t="s">
        <v>145</v>
      </c>
      <c r="R446" s="76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</row>
    <row r="447" ht="14.25" customHeight="1">
      <c r="A447" s="72" t="str">
        <f t="shared" si="1"/>
        <v>28/06/2023</v>
      </c>
      <c r="B447" s="82" t="str">
        <f t="shared" si="2"/>
        <v>06-28</v>
      </c>
      <c r="C447" s="82" t="str">
        <f t="shared" si="3"/>
        <v>AUD</v>
      </c>
      <c r="D447" s="72" t="s">
        <v>743</v>
      </c>
      <c r="E447" s="72">
        <v>1230628.0</v>
      </c>
      <c r="F447" s="72" t="s">
        <v>146</v>
      </c>
      <c r="G447" s="72" t="s">
        <v>1114</v>
      </c>
      <c r="H447" s="72" t="s">
        <v>853</v>
      </c>
      <c r="I447" s="72" t="s">
        <v>854</v>
      </c>
      <c r="J447" s="72" t="s">
        <v>747</v>
      </c>
      <c r="K447" s="72" t="s">
        <v>1114</v>
      </c>
      <c r="L447" s="72" t="s">
        <v>75</v>
      </c>
      <c r="M447" s="72" t="s">
        <v>1115</v>
      </c>
      <c r="N447" s="72" t="s">
        <v>877</v>
      </c>
      <c r="O447" s="72" t="s">
        <v>878</v>
      </c>
      <c r="P447" s="72" t="s">
        <v>79</v>
      </c>
      <c r="Q447" s="72" t="s">
        <v>145</v>
      </c>
      <c r="R447" s="76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</row>
    <row r="448" ht="14.25" customHeight="1">
      <c r="A448" s="72" t="str">
        <f t="shared" si="1"/>
        <v>28/06/2023</v>
      </c>
      <c r="B448" s="82" t="str">
        <f t="shared" si="2"/>
        <v>06-28</v>
      </c>
      <c r="C448" s="82" t="str">
        <f t="shared" si="3"/>
        <v>AUD</v>
      </c>
      <c r="D448" s="72" t="s">
        <v>743</v>
      </c>
      <c r="E448" s="72">
        <v>1230628.0</v>
      </c>
      <c r="F448" s="72" t="s">
        <v>146</v>
      </c>
      <c r="G448" s="72" t="s">
        <v>1116</v>
      </c>
      <c r="H448" s="72" t="s">
        <v>754</v>
      </c>
      <c r="I448" s="72" t="s">
        <v>755</v>
      </c>
      <c r="J448" s="72" t="s">
        <v>747</v>
      </c>
      <c r="K448" s="72" t="s">
        <v>1116</v>
      </c>
      <c r="L448" s="72" t="s">
        <v>75</v>
      </c>
      <c r="M448" s="72" t="s">
        <v>1117</v>
      </c>
      <c r="N448" s="72" t="s">
        <v>204</v>
      </c>
      <c r="O448" s="72" t="s">
        <v>1118</v>
      </c>
      <c r="P448" s="72" t="s">
        <v>79</v>
      </c>
      <c r="Q448" s="72" t="s">
        <v>145</v>
      </c>
      <c r="R448" s="76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</row>
    <row r="449" ht="14.25" customHeight="1">
      <c r="A449" s="72" t="str">
        <f t="shared" si="1"/>
        <v>28/06/2023</v>
      </c>
      <c r="B449" s="82" t="str">
        <f t="shared" si="2"/>
        <v>06-28</v>
      </c>
      <c r="C449" s="82" t="str">
        <f t="shared" si="3"/>
        <v>AUD</v>
      </c>
      <c r="D449" s="72" t="s">
        <v>743</v>
      </c>
      <c r="E449" s="72">
        <v>1230628.0</v>
      </c>
      <c r="F449" s="72" t="s">
        <v>146</v>
      </c>
      <c r="G449" s="72" t="s">
        <v>1119</v>
      </c>
      <c r="H449" s="72" t="s">
        <v>754</v>
      </c>
      <c r="I449" s="72" t="s">
        <v>755</v>
      </c>
      <c r="J449" s="72" t="s">
        <v>747</v>
      </c>
      <c r="K449" s="72" t="s">
        <v>1119</v>
      </c>
      <c r="L449" s="72" t="s">
        <v>75</v>
      </c>
      <c r="M449" s="72" t="s">
        <v>1120</v>
      </c>
      <c r="N449" s="72" t="s">
        <v>204</v>
      </c>
      <c r="O449" s="72" t="s">
        <v>1118</v>
      </c>
      <c r="P449" s="72" t="s">
        <v>79</v>
      </c>
      <c r="Q449" s="72" t="s">
        <v>145</v>
      </c>
      <c r="R449" s="76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</row>
    <row r="450" ht="14.25" customHeight="1">
      <c r="A450" s="72" t="str">
        <f t="shared" si="1"/>
        <v>28/06/2023</v>
      </c>
      <c r="B450" s="82" t="str">
        <f t="shared" si="2"/>
        <v>06-28</v>
      </c>
      <c r="C450" s="82" t="str">
        <f t="shared" si="3"/>
        <v>AUD</v>
      </c>
      <c r="D450" s="72" t="s">
        <v>743</v>
      </c>
      <c r="E450" s="72">
        <v>1230628.0</v>
      </c>
      <c r="F450" s="72" t="s">
        <v>146</v>
      </c>
      <c r="G450" s="72" t="s">
        <v>1121</v>
      </c>
      <c r="H450" s="72" t="s">
        <v>754</v>
      </c>
      <c r="I450" s="72" t="s">
        <v>755</v>
      </c>
      <c r="J450" s="72" t="s">
        <v>747</v>
      </c>
      <c r="K450" s="72" t="s">
        <v>1121</v>
      </c>
      <c r="L450" s="72" t="s">
        <v>75</v>
      </c>
      <c r="M450" s="72" t="s">
        <v>1122</v>
      </c>
      <c r="N450" s="72" t="s">
        <v>204</v>
      </c>
      <c r="O450" s="72" t="s">
        <v>690</v>
      </c>
      <c r="P450" s="72" t="s">
        <v>79</v>
      </c>
      <c r="Q450" s="72" t="s">
        <v>145</v>
      </c>
      <c r="R450" s="76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</row>
    <row r="451" ht="14.25" customHeight="1">
      <c r="A451" s="72" t="str">
        <f t="shared" si="1"/>
        <v>28/06/2023</v>
      </c>
      <c r="B451" s="82" t="str">
        <f t="shared" si="2"/>
        <v>06-28</v>
      </c>
      <c r="C451" s="82" t="str">
        <f t="shared" si="3"/>
        <v>AUD</v>
      </c>
      <c r="D451" s="72" t="s">
        <v>743</v>
      </c>
      <c r="E451" s="72">
        <v>1230628.0</v>
      </c>
      <c r="F451" s="72" t="s">
        <v>146</v>
      </c>
      <c r="G451" s="72" t="s">
        <v>1123</v>
      </c>
      <c r="H451" s="72" t="s">
        <v>754</v>
      </c>
      <c r="I451" s="72" t="s">
        <v>755</v>
      </c>
      <c r="J451" s="72" t="s">
        <v>747</v>
      </c>
      <c r="K451" s="72" t="s">
        <v>1123</v>
      </c>
      <c r="L451" s="72" t="s">
        <v>75</v>
      </c>
      <c r="M451" s="72" t="s">
        <v>1124</v>
      </c>
      <c r="N451" s="72" t="s">
        <v>204</v>
      </c>
      <c r="O451" s="72" t="s">
        <v>690</v>
      </c>
      <c r="P451" s="72" t="s">
        <v>79</v>
      </c>
      <c r="Q451" s="72" t="s">
        <v>145</v>
      </c>
      <c r="R451" s="76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</row>
    <row r="452" ht="14.25" customHeight="1">
      <c r="A452" s="72" t="str">
        <f t="shared" si="1"/>
        <v>28/06/2023</v>
      </c>
      <c r="B452" s="82" t="str">
        <f t="shared" si="2"/>
        <v>06-28</v>
      </c>
      <c r="C452" s="82" t="str">
        <f t="shared" si="3"/>
        <v>AUD</v>
      </c>
      <c r="D452" s="72" t="s">
        <v>743</v>
      </c>
      <c r="E452" s="72">
        <v>1230628.0</v>
      </c>
      <c r="F452" s="72" t="s">
        <v>146</v>
      </c>
      <c r="G452" s="72" t="s">
        <v>1125</v>
      </c>
      <c r="H452" s="72" t="s">
        <v>754</v>
      </c>
      <c r="I452" s="72" t="s">
        <v>755</v>
      </c>
      <c r="J452" s="72" t="s">
        <v>747</v>
      </c>
      <c r="K452" s="72" t="s">
        <v>1125</v>
      </c>
      <c r="L452" s="72" t="s">
        <v>75</v>
      </c>
      <c r="M452" s="72" t="s">
        <v>1126</v>
      </c>
      <c r="N452" s="72" t="s">
        <v>850</v>
      </c>
      <c r="O452" s="72" t="s">
        <v>851</v>
      </c>
      <c r="P452" s="72" t="s">
        <v>79</v>
      </c>
      <c r="Q452" s="72" t="s">
        <v>145</v>
      </c>
      <c r="R452" s="76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</row>
    <row r="453" ht="14.25" customHeight="1">
      <c r="A453" s="72" t="str">
        <f t="shared" si="1"/>
        <v>28/06/2023</v>
      </c>
      <c r="B453" s="82" t="str">
        <f t="shared" si="2"/>
        <v>06-28</v>
      </c>
      <c r="C453" s="82" t="str">
        <f t="shared" si="3"/>
        <v>AUD</v>
      </c>
      <c r="D453" s="72" t="s">
        <v>743</v>
      </c>
      <c r="E453" s="72">
        <v>1230628.0</v>
      </c>
      <c r="F453" s="72" t="s">
        <v>146</v>
      </c>
      <c r="G453" s="72" t="s">
        <v>1127</v>
      </c>
      <c r="H453" s="72" t="s">
        <v>754</v>
      </c>
      <c r="I453" s="72" t="s">
        <v>755</v>
      </c>
      <c r="J453" s="72" t="s">
        <v>747</v>
      </c>
      <c r="K453" s="72" t="s">
        <v>1127</v>
      </c>
      <c r="L453" s="72" t="s">
        <v>75</v>
      </c>
      <c r="M453" s="72" t="s">
        <v>1128</v>
      </c>
      <c r="N453" s="72" t="s">
        <v>158</v>
      </c>
      <c r="O453" s="72" t="s">
        <v>162</v>
      </c>
      <c r="P453" s="72" t="s">
        <v>79</v>
      </c>
      <c r="Q453" s="72" t="s">
        <v>80</v>
      </c>
      <c r="R453" s="76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</row>
    <row r="454" ht="14.25" customHeight="1">
      <c r="A454" s="72" t="str">
        <f t="shared" si="1"/>
        <v>28/06/2023</v>
      </c>
      <c r="B454" s="82" t="str">
        <f t="shared" si="2"/>
        <v>06-28</v>
      </c>
      <c r="C454" s="82" t="str">
        <f t="shared" si="3"/>
        <v>AUD</v>
      </c>
      <c r="D454" s="72" t="s">
        <v>743</v>
      </c>
      <c r="E454" s="72">
        <v>1230628.0</v>
      </c>
      <c r="F454" s="72" t="s">
        <v>146</v>
      </c>
      <c r="G454" s="72" t="s">
        <v>1129</v>
      </c>
      <c r="H454" s="72" t="s">
        <v>754</v>
      </c>
      <c r="I454" s="72" t="s">
        <v>755</v>
      </c>
      <c r="J454" s="72" t="s">
        <v>747</v>
      </c>
      <c r="K454" s="72" t="s">
        <v>1129</v>
      </c>
      <c r="L454" s="72" t="s">
        <v>75</v>
      </c>
      <c r="M454" s="72" t="s">
        <v>1130</v>
      </c>
      <c r="N454" s="72" t="s">
        <v>158</v>
      </c>
      <c r="O454" s="72" t="s">
        <v>162</v>
      </c>
      <c r="P454" s="72" t="s">
        <v>79</v>
      </c>
      <c r="Q454" s="72" t="s">
        <v>80</v>
      </c>
      <c r="R454" s="76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</row>
    <row r="455" ht="14.25" customHeight="1">
      <c r="A455" s="72" t="str">
        <f t="shared" si="1"/>
        <v>28/06/2023</v>
      </c>
      <c r="B455" s="82" t="str">
        <f t="shared" si="2"/>
        <v>06-28</v>
      </c>
      <c r="C455" s="82" t="str">
        <f t="shared" si="3"/>
        <v>AUD</v>
      </c>
      <c r="D455" s="72" t="s">
        <v>743</v>
      </c>
      <c r="E455" s="72">
        <v>1230628.0</v>
      </c>
      <c r="F455" s="72" t="s">
        <v>146</v>
      </c>
      <c r="G455" s="72" t="s">
        <v>1131</v>
      </c>
      <c r="H455" s="72" t="s">
        <v>754</v>
      </c>
      <c r="I455" s="72" t="s">
        <v>755</v>
      </c>
      <c r="J455" s="72" t="s">
        <v>747</v>
      </c>
      <c r="K455" s="72" t="s">
        <v>1131</v>
      </c>
      <c r="L455" s="72" t="s">
        <v>75</v>
      </c>
      <c r="M455" s="72" t="s">
        <v>1132</v>
      </c>
      <c r="N455" s="72" t="s">
        <v>266</v>
      </c>
      <c r="O455" s="72" t="s">
        <v>267</v>
      </c>
      <c r="P455" s="72" t="s">
        <v>79</v>
      </c>
      <c r="Q455" s="72" t="s">
        <v>145</v>
      </c>
      <c r="R455" s="76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</row>
    <row r="456" ht="14.25" customHeight="1">
      <c r="A456" s="72" t="str">
        <f t="shared" si="1"/>
        <v>28/06/2023</v>
      </c>
      <c r="B456" s="82" t="str">
        <f t="shared" si="2"/>
        <v>06-28</v>
      </c>
      <c r="C456" s="82" t="str">
        <f t="shared" si="3"/>
        <v>AUD</v>
      </c>
      <c r="D456" s="72" t="s">
        <v>743</v>
      </c>
      <c r="E456" s="72">
        <v>1230628.0</v>
      </c>
      <c r="F456" s="72" t="s">
        <v>146</v>
      </c>
      <c r="G456" s="72" t="s">
        <v>1133</v>
      </c>
      <c r="H456" s="72" t="s">
        <v>754</v>
      </c>
      <c r="I456" s="72" t="s">
        <v>755</v>
      </c>
      <c r="J456" s="72" t="s">
        <v>747</v>
      </c>
      <c r="K456" s="72" t="s">
        <v>1133</v>
      </c>
      <c r="L456" s="72" t="s">
        <v>75</v>
      </c>
      <c r="M456" s="72" t="s">
        <v>1134</v>
      </c>
      <c r="N456" s="72" t="s">
        <v>757</v>
      </c>
      <c r="O456" s="72" t="s">
        <v>758</v>
      </c>
      <c r="P456" s="72" t="s">
        <v>79</v>
      </c>
      <c r="Q456" s="72" t="s">
        <v>133</v>
      </c>
      <c r="R456" s="76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</row>
    <row r="457" ht="14.25" customHeight="1">
      <c r="A457" s="72" t="str">
        <f t="shared" si="1"/>
        <v>28/06/2023</v>
      </c>
      <c r="B457" s="82" t="str">
        <f t="shared" si="2"/>
        <v>06-28</v>
      </c>
      <c r="C457" s="82" t="str">
        <f t="shared" si="3"/>
        <v>AUD</v>
      </c>
      <c r="D457" s="72" t="s">
        <v>743</v>
      </c>
      <c r="E457" s="72">
        <v>1230628.0</v>
      </c>
      <c r="F457" s="72" t="s">
        <v>146</v>
      </c>
      <c r="G457" s="72" t="s">
        <v>1135</v>
      </c>
      <c r="H457" s="72" t="s">
        <v>754</v>
      </c>
      <c r="I457" s="72" t="s">
        <v>755</v>
      </c>
      <c r="J457" s="72" t="s">
        <v>747</v>
      </c>
      <c r="K457" s="72" t="s">
        <v>1135</v>
      </c>
      <c r="L457" s="72" t="s">
        <v>75</v>
      </c>
      <c r="M457" s="72" t="s">
        <v>1136</v>
      </c>
      <c r="N457" s="72" t="s">
        <v>757</v>
      </c>
      <c r="O457" s="72" t="s">
        <v>758</v>
      </c>
      <c r="P457" s="72" t="s">
        <v>79</v>
      </c>
      <c r="Q457" s="72" t="s">
        <v>133</v>
      </c>
      <c r="R457" s="76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</row>
    <row r="458" ht="14.25" customHeight="1">
      <c r="A458" s="72" t="str">
        <f t="shared" si="1"/>
        <v>28/06/2023</v>
      </c>
      <c r="B458" s="82" t="str">
        <f t="shared" si="2"/>
        <v>06-28</v>
      </c>
      <c r="C458" s="82" t="str">
        <f t="shared" si="3"/>
        <v>AUD</v>
      </c>
      <c r="D458" s="72" t="s">
        <v>743</v>
      </c>
      <c r="E458" s="72">
        <v>1230628.0</v>
      </c>
      <c r="F458" s="72" t="s">
        <v>146</v>
      </c>
      <c r="G458" s="72" t="s">
        <v>1137</v>
      </c>
      <c r="H458" s="72" t="s">
        <v>754</v>
      </c>
      <c r="I458" s="72" t="s">
        <v>755</v>
      </c>
      <c r="J458" s="72" t="s">
        <v>747</v>
      </c>
      <c r="K458" s="72" t="s">
        <v>1137</v>
      </c>
      <c r="L458" s="72" t="s">
        <v>75</v>
      </c>
      <c r="M458" s="72" t="s">
        <v>1138</v>
      </c>
      <c r="N458" s="72" t="s">
        <v>757</v>
      </c>
      <c r="O458" s="72" t="s">
        <v>758</v>
      </c>
      <c r="P458" s="72" t="s">
        <v>79</v>
      </c>
      <c r="Q458" s="72" t="s">
        <v>133</v>
      </c>
      <c r="R458" s="76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</row>
    <row r="459" ht="14.25" customHeight="1">
      <c r="A459" s="72" t="str">
        <f t="shared" si="1"/>
        <v>28/06/2023</v>
      </c>
      <c r="B459" s="82" t="str">
        <f t="shared" si="2"/>
        <v>06-28</v>
      </c>
      <c r="C459" s="82" t="str">
        <f t="shared" si="3"/>
        <v>AUD</v>
      </c>
      <c r="D459" s="72" t="s">
        <v>743</v>
      </c>
      <c r="E459" s="72">
        <v>1230628.0</v>
      </c>
      <c r="F459" s="72" t="s">
        <v>70</v>
      </c>
      <c r="G459" s="72" t="s">
        <v>1139</v>
      </c>
      <c r="H459" s="72" t="s">
        <v>857</v>
      </c>
      <c r="I459" s="72" t="s">
        <v>858</v>
      </c>
      <c r="J459" s="72" t="s">
        <v>747</v>
      </c>
      <c r="K459" s="72" t="s">
        <v>1139</v>
      </c>
      <c r="L459" s="72" t="s">
        <v>75</v>
      </c>
      <c r="M459" s="72" t="s">
        <v>1140</v>
      </c>
      <c r="N459" s="72" t="s">
        <v>693</v>
      </c>
      <c r="O459" s="72" t="s">
        <v>1141</v>
      </c>
      <c r="P459" s="72" t="s">
        <v>79</v>
      </c>
      <c r="Q459" s="72" t="s">
        <v>80</v>
      </c>
      <c r="R459" s="76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</row>
    <row r="460" ht="14.25" customHeight="1">
      <c r="A460" s="72" t="str">
        <f t="shared" si="1"/>
        <v>28/06/2023</v>
      </c>
      <c r="B460" s="82" t="str">
        <f t="shared" si="2"/>
        <v>06-28</v>
      </c>
      <c r="C460" s="82" t="str">
        <f t="shared" si="3"/>
        <v>AUD</v>
      </c>
      <c r="D460" s="72" t="s">
        <v>743</v>
      </c>
      <c r="E460" s="72">
        <v>1230628.0</v>
      </c>
      <c r="F460" s="72" t="s">
        <v>146</v>
      </c>
      <c r="G460" s="72" t="s">
        <v>1142</v>
      </c>
      <c r="H460" s="72" t="s">
        <v>745</v>
      </c>
      <c r="I460" s="72" t="s">
        <v>746</v>
      </c>
      <c r="J460" s="72" t="s">
        <v>747</v>
      </c>
      <c r="K460" s="72" t="s">
        <v>1142</v>
      </c>
      <c r="L460" s="72" t="s">
        <v>75</v>
      </c>
      <c r="M460" s="72" t="s">
        <v>1143</v>
      </c>
      <c r="N460" s="72" t="s">
        <v>204</v>
      </c>
      <c r="O460" s="72" t="s">
        <v>1118</v>
      </c>
      <c r="P460" s="72" t="s">
        <v>79</v>
      </c>
      <c r="Q460" s="72" t="s">
        <v>145</v>
      </c>
      <c r="R460" s="76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</row>
    <row r="461" ht="14.25" customHeight="1">
      <c r="A461" s="72" t="str">
        <f t="shared" si="1"/>
        <v>28/06/2023</v>
      </c>
      <c r="B461" s="82" t="str">
        <f t="shared" si="2"/>
        <v>06-28</v>
      </c>
      <c r="C461" s="82" t="str">
        <f t="shared" si="3"/>
        <v>AUD</v>
      </c>
      <c r="D461" s="72" t="s">
        <v>743</v>
      </c>
      <c r="E461" s="72">
        <v>1230628.0</v>
      </c>
      <c r="F461" s="72" t="s">
        <v>146</v>
      </c>
      <c r="G461" s="72" t="s">
        <v>1144</v>
      </c>
      <c r="H461" s="72" t="s">
        <v>745</v>
      </c>
      <c r="I461" s="72" t="s">
        <v>746</v>
      </c>
      <c r="J461" s="72" t="s">
        <v>747</v>
      </c>
      <c r="K461" s="72" t="s">
        <v>1144</v>
      </c>
      <c r="L461" s="72" t="s">
        <v>75</v>
      </c>
      <c r="M461" s="72" t="s">
        <v>1145</v>
      </c>
      <c r="N461" s="72" t="s">
        <v>204</v>
      </c>
      <c r="O461" s="72" t="s">
        <v>1118</v>
      </c>
      <c r="P461" s="72" t="s">
        <v>79</v>
      </c>
      <c r="Q461" s="72" t="s">
        <v>145</v>
      </c>
      <c r="R461" s="76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</row>
    <row r="462" ht="14.25" customHeight="1">
      <c r="A462" s="72" t="str">
        <f t="shared" si="1"/>
        <v>28/06/2023</v>
      </c>
      <c r="B462" s="82" t="str">
        <f t="shared" si="2"/>
        <v>06-28</v>
      </c>
      <c r="C462" s="82" t="str">
        <f t="shared" si="3"/>
        <v>AUD</v>
      </c>
      <c r="D462" s="72" t="s">
        <v>743</v>
      </c>
      <c r="E462" s="72">
        <v>1230628.0</v>
      </c>
      <c r="F462" s="72" t="s">
        <v>146</v>
      </c>
      <c r="G462" s="72" t="s">
        <v>1146</v>
      </c>
      <c r="H462" s="72" t="s">
        <v>745</v>
      </c>
      <c r="I462" s="72" t="s">
        <v>746</v>
      </c>
      <c r="J462" s="72" t="s">
        <v>747</v>
      </c>
      <c r="K462" s="72" t="s">
        <v>1146</v>
      </c>
      <c r="L462" s="72" t="s">
        <v>75</v>
      </c>
      <c r="M462" s="72" t="s">
        <v>1147</v>
      </c>
      <c r="N462" s="72" t="s">
        <v>204</v>
      </c>
      <c r="O462" s="72" t="s">
        <v>690</v>
      </c>
      <c r="P462" s="72" t="s">
        <v>79</v>
      </c>
      <c r="Q462" s="72" t="s">
        <v>145</v>
      </c>
      <c r="R462" s="76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</row>
    <row r="463" ht="14.25" customHeight="1">
      <c r="A463" s="72" t="str">
        <f t="shared" si="1"/>
        <v>28/06/2023</v>
      </c>
      <c r="B463" s="82" t="str">
        <f t="shared" si="2"/>
        <v>06-28</v>
      </c>
      <c r="C463" s="82" t="str">
        <f t="shared" si="3"/>
        <v>AUD</v>
      </c>
      <c r="D463" s="72" t="s">
        <v>743</v>
      </c>
      <c r="E463" s="72">
        <v>1230628.0</v>
      </c>
      <c r="F463" s="72" t="s">
        <v>146</v>
      </c>
      <c r="G463" s="72" t="s">
        <v>1148</v>
      </c>
      <c r="H463" s="72" t="s">
        <v>745</v>
      </c>
      <c r="I463" s="72" t="s">
        <v>746</v>
      </c>
      <c r="J463" s="72" t="s">
        <v>747</v>
      </c>
      <c r="K463" s="72" t="s">
        <v>1148</v>
      </c>
      <c r="L463" s="72" t="s">
        <v>75</v>
      </c>
      <c r="M463" s="72" t="s">
        <v>1149</v>
      </c>
      <c r="N463" s="72" t="s">
        <v>204</v>
      </c>
      <c r="O463" s="72" t="s">
        <v>690</v>
      </c>
      <c r="P463" s="72" t="s">
        <v>79</v>
      </c>
      <c r="Q463" s="72" t="s">
        <v>145</v>
      </c>
      <c r="R463" s="76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</row>
    <row r="464" ht="14.25" customHeight="1">
      <c r="A464" s="72" t="str">
        <f t="shared" si="1"/>
        <v>28/06/2023</v>
      </c>
      <c r="B464" s="82" t="str">
        <f t="shared" si="2"/>
        <v>06-28</v>
      </c>
      <c r="C464" s="82" t="str">
        <f t="shared" si="3"/>
        <v>AUD</v>
      </c>
      <c r="D464" s="72" t="s">
        <v>743</v>
      </c>
      <c r="E464" s="72">
        <v>1230628.0</v>
      </c>
      <c r="F464" s="72" t="s">
        <v>146</v>
      </c>
      <c r="G464" s="72" t="s">
        <v>1150</v>
      </c>
      <c r="H464" s="72" t="s">
        <v>745</v>
      </c>
      <c r="I464" s="72" t="s">
        <v>746</v>
      </c>
      <c r="J464" s="72" t="s">
        <v>747</v>
      </c>
      <c r="K464" s="72" t="s">
        <v>1150</v>
      </c>
      <c r="L464" s="72" t="s">
        <v>75</v>
      </c>
      <c r="M464" s="72" t="s">
        <v>1151</v>
      </c>
      <c r="N464" s="72" t="s">
        <v>850</v>
      </c>
      <c r="O464" s="72" t="s">
        <v>851</v>
      </c>
      <c r="P464" s="72" t="s">
        <v>79</v>
      </c>
      <c r="Q464" s="72" t="s">
        <v>145</v>
      </c>
      <c r="R464" s="76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</row>
    <row r="465" ht="14.25" customHeight="1">
      <c r="A465" s="72" t="str">
        <f t="shared" si="1"/>
        <v>28/06/2023</v>
      </c>
      <c r="B465" s="82" t="str">
        <f t="shared" si="2"/>
        <v>06-28</v>
      </c>
      <c r="C465" s="82" t="str">
        <f t="shared" si="3"/>
        <v>AUD</v>
      </c>
      <c r="D465" s="72" t="s">
        <v>743</v>
      </c>
      <c r="E465" s="72">
        <v>1230628.0</v>
      </c>
      <c r="F465" s="72" t="s">
        <v>146</v>
      </c>
      <c r="G465" s="72" t="s">
        <v>1152</v>
      </c>
      <c r="H465" s="72" t="s">
        <v>745</v>
      </c>
      <c r="I465" s="72" t="s">
        <v>746</v>
      </c>
      <c r="J465" s="72" t="s">
        <v>747</v>
      </c>
      <c r="K465" s="72" t="s">
        <v>1152</v>
      </c>
      <c r="L465" s="72" t="s">
        <v>75</v>
      </c>
      <c r="M465" s="72" t="s">
        <v>1153</v>
      </c>
      <c r="N465" s="72" t="s">
        <v>850</v>
      </c>
      <c r="O465" s="72" t="s">
        <v>851</v>
      </c>
      <c r="P465" s="72" t="s">
        <v>79</v>
      </c>
      <c r="Q465" s="72" t="s">
        <v>145</v>
      </c>
      <c r="R465" s="76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</row>
    <row r="466" ht="14.25" customHeight="1">
      <c r="A466" s="72" t="str">
        <f t="shared" si="1"/>
        <v>28/06/2023</v>
      </c>
      <c r="B466" s="82" t="str">
        <f t="shared" si="2"/>
        <v>06-28</v>
      </c>
      <c r="C466" s="82" t="str">
        <f t="shared" si="3"/>
        <v>AUD</v>
      </c>
      <c r="D466" s="72" t="s">
        <v>743</v>
      </c>
      <c r="E466" s="72">
        <v>1230628.0</v>
      </c>
      <c r="F466" s="72" t="s">
        <v>146</v>
      </c>
      <c r="G466" s="72" t="s">
        <v>1154</v>
      </c>
      <c r="H466" s="72" t="s">
        <v>745</v>
      </c>
      <c r="I466" s="72" t="s">
        <v>746</v>
      </c>
      <c r="J466" s="72" t="s">
        <v>747</v>
      </c>
      <c r="K466" s="72" t="s">
        <v>1154</v>
      </c>
      <c r="L466" s="72" t="s">
        <v>75</v>
      </c>
      <c r="M466" s="72" t="s">
        <v>1155</v>
      </c>
      <c r="N466" s="72" t="s">
        <v>266</v>
      </c>
      <c r="O466" s="72" t="s">
        <v>267</v>
      </c>
      <c r="P466" s="72" t="s">
        <v>79</v>
      </c>
      <c r="Q466" s="72" t="s">
        <v>145</v>
      </c>
      <c r="R466" s="76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</row>
    <row r="467" ht="14.25" customHeight="1">
      <c r="A467" s="72" t="str">
        <f t="shared" si="1"/>
        <v>28/06/2023</v>
      </c>
      <c r="B467" s="82" t="str">
        <f t="shared" si="2"/>
        <v>06-28</v>
      </c>
      <c r="C467" s="82" t="str">
        <f t="shared" si="3"/>
        <v>AUD</v>
      </c>
      <c r="D467" s="72" t="s">
        <v>743</v>
      </c>
      <c r="E467" s="72">
        <v>1230628.0</v>
      </c>
      <c r="F467" s="72" t="s">
        <v>146</v>
      </c>
      <c r="G467" s="72" t="s">
        <v>1156</v>
      </c>
      <c r="H467" s="72" t="s">
        <v>745</v>
      </c>
      <c r="I467" s="72" t="s">
        <v>746</v>
      </c>
      <c r="J467" s="72" t="s">
        <v>747</v>
      </c>
      <c r="K467" s="72" t="s">
        <v>1156</v>
      </c>
      <c r="L467" s="72" t="s">
        <v>75</v>
      </c>
      <c r="M467" s="72" t="s">
        <v>1157</v>
      </c>
      <c r="N467" s="72" t="s">
        <v>757</v>
      </c>
      <c r="O467" s="72" t="s">
        <v>758</v>
      </c>
      <c r="P467" s="72" t="s">
        <v>79</v>
      </c>
      <c r="Q467" s="72" t="s">
        <v>133</v>
      </c>
      <c r="R467" s="76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</row>
    <row r="468" ht="14.25" customHeight="1">
      <c r="A468" s="72" t="str">
        <f t="shared" si="1"/>
        <v>28/06/2023</v>
      </c>
      <c r="B468" s="82" t="str">
        <f t="shared" si="2"/>
        <v>06-28</v>
      </c>
      <c r="C468" s="82" t="str">
        <f t="shared" si="3"/>
        <v>AUD</v>
      </c>
      <c r="D468" s="72" t="s">
        <v>743</v>
      </c>
      <c r="E468" s="72">
        <v>1230628.0</v>
      </c>
      <c r="F468" s="72" t="s">
        <v>146</v>
      </c>
      <c r="G468" s="72" t="s">
        <v>1158</v>
      </c>
      <c r="H468" s="72" t="s">
        <v>745</v>
      </c>
      <c r="I468" s="72" t="s">
        <v>746</v>
      </c>
      <c r="J468" s="72" t="s">
        <v>747</v>
      </c>
      <c r="K468" s="72" t="s">
        <v>1158</v>
      </c>
      <c r="L468" s="72" t="s">
        <v>75</v>
      </c>
      <c r="M468" s="72" t="s">
        <v>1159</v>
      </c>
      <c r="N468" s="72" t="s">
        <v>757</v>
      </c>
      <c r="O468" s="72" t="s">
        <v>758</v>
      </c>
      <c r="P468" s="72" t="s">
        <v>79</v>
      </c>
      <c r="Q468" s="72" t="s">
        <v>133</v>
      </c>
      <c r="R468" s="76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</row>
    <row r="469" ht="14.25" customHeight="1">
      <c r="A469" s="72" t="str">
        <f t="shared" si="1"/>
        <v>28/06/2023</v>
      </c>
      <c r="B469" s="82" t="str">
        <f t="shared" si="2"/>
        <v>06-28</v>
      </c>
      <c r="C469" s="82" t="str">
        <f t="shared" si="3"/>
        <v>AUD</v>
      </c>
      <c r="D469" s="72" t="s">
        <v>743</v>
      </c>
      <c r="E469" s="72">
        <v>1230628.0</v>
      </c>
      <c r="F469" s="72" t="s">
        <v>146</v>
      </c>
      <c r="G469" s="72" t="s">
        <v>1160</v>
      </c>
      <c r="H469" s="72" t="s">
        <v>745</v>
      </c>
      <c r="I469" s="72" t="s">
        <v>746</v>
      </c>
      <c r="J469" s="72" t="s">
        <v>747</v>
      </c>
      <c r="K469" s="72" t="s">
        <v>1160</v>
      </c>
      <c r="L469" s="72" t="s">
        <v>75</v>
      </c>
      <c r="M469" s="72" t="s">
        <v>1161</v>
      </c>
      <c r="N469" s="72" t="s">
        <v>757</v>
      </c>
      <c r="O469" s="72" t="s">
        <v>758</v>
      </c>
      <c r="P469" s="72" t="s">
        <v>79</v>
      </c>
      <c r="Q469" s="72" t="s">
        <v>133</v>
      </c>
      <c r="R469" s="76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</row>
    <row r="470" ht="14.25" customHeight="1">
      <c r="A470" s="72" t="str">
        <f t="shared" si="1"/>
        <v>28/06/2023</v>
      </c>
      <c r="B470" s="82" t="str">
        <f t="shared" si="2"/>
        <v>06-28</v>
      </c>
      <c r="C470" s="82" t="str">
        <f t="shared" si="3"/>
        <v>AUD</v>
      </c>
      <c r="D470" s="72" t="s">
        <v>743</v>
      </c>
      <c r="E470" s="72">
        <v>1230628.0</v>
      </c>
      <c r="F470" s="72" t="s">
        <v>146</v>
      </c>
      <c r="G470" s="72" t="s">
        <v>1162</v>
      </c>
      <c r="H470" s="72" t="s">
        <v>745</v>
      </c>
      <c r="I470" s="72" t="s">
        <v>746</v>
      </c>
      <c r="J470" s="72" t="s">
        <v>747</v>
      </c>
      <c r="K470" s="72" t="s">
        <v>1162</v>
      </c>
      <c r="L470" s="72" t="s">
        <v>75</v>
      </c>
      <c r="M470" s="72" t="s">
        <v>1163</v>
      </c>
      <c r="N470" s="72" t="s">
        <v>757</v>
      </c>
      <c r="O470" s="72" t="s">
        <v>758</v>
      </c>
      <c r="P470" s="72" t="s">
        <v>79</v>
      </c>
      <c r="Q470" s="72" t="s">
        <v>133</v>
      </c>
      <c r="R470" s="76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</row>
    <row r="471" ht="14.25" customHeight="1">
      <c r="A471" s="72" t="str">
        <f t="shared" si="1"/>
        <v>28/06/2023</v>
      </c>
      <c r="B471" s="82" t="str">
        <f t="shared" si="2"/>
        <v>06-28</v>
      </c>
      <c r="C471" s="82" t="str">
        <f t="shared" si="3"/>
        <v>AUD</v>
      </c>
      <c r="D471" s="72" t="s">
        <v>743</v>
      </c>
      <c r="E471" s="72">
        <v>1230628.0</v>
      </c>
      <c r="F471" s="72" t="s">
        <v>70</v>
      </c>
      <c r="G471" s="72" t="s">
        <v>1164</v>
      </c>
      <c r="H471" s="72" t="s">
        <v>1165</v>
      </c>
      <c r="I471" s="72" t="s">
        <v>746</v>
      </c>
      <c r="J471" s="72" t="s">
        <v>747</v>
      </c>
      <c r="K471" s="72" t="s">
        <v>1164</v>
      </c>
      <c r="L471" s="72" t="s">
        <v>75</v>
      </c>
      <c r="M471" s="72" t="s">
        <v>1166</v>
      </c>
      <c r="N471" s="72" t="s">
        <v>482</v>
      </c>
      <c r="O471" s="72" t="s">
        <v>1167</v>
      </c>
      <c r="P471" s="72" t="s">
        <v>79</v>
      </c>
      <c r="Q471" s="72" t="s">
        <v>145</v>
      </c>
      <c r="R471" s="76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</row>
    <row r="472" ht="14.25" customHeight="1">
      <c r="A472" s="72" t="str">
        <f t="shared" si="1"/>
        <v>28/06/2023</v>
      </c>
      <c r="B472" s="82" t="str">
        <f t="shared" si="2"/>
        <v>06-28</v>
      </c>
      <c r="C472" s="82" t="str">
        <f t="shared" si="3"/>
        <v>AUD</v>
      </c>
      <c r="D472" s="72" t="s">
        <v>743</v>
      </c>
      <c r="E472" s="72">
        <v>1230628.0</v>
      </c>
      <c r="F472" s="72" t="s">
        <v>70</v>
      </c>
      <c r="G472" s="72" t="s">
        <v>1168</v>
      </c>
      <c r="H472" s="72" t="s">
        <v>1165</v>
      </c>
      <c r="I472" s="72" t="s">
        <v>746</v>
      </c>
      <c r="J472" s="72" t="s">
        <v>747</v>
      </c>
      <c r="K472" s="72" t="s">
        <v>1168</v>
      </c>
      <c r="L472" s="72" t="s">
        <v>75</v>
      </c>
      <c r="M472" s="72" t="s">
        <v>1169</v>
      </c>
      <c r="N472" s="72" t="s">
        <v>693</v>
      </c>
      <c r="O472" s="72" t="s">
        <v>1141</v>
      </c>
      <c r="P472" s="72" t="s">
        <v>79</v>
      </c>
      <c r="Q472" s="72" t="s">
        <v>80</v>
      </c>
      <c r="R472" s="76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</row>
    <row r="473" ht="14.25" customHeight="1">
      <c r="A473" s="72" t="str">
        <f t="shared" si="1"/>
        <v>28/06/2023</v>
      </c>
      <c r="B473" s="82" t="str">
        <f t="shared" si="2"/>
        <v>06-28</v>
      </c>
      <c r="C473" s="82" t="str">
        <f t="shared" si="3"/>
        <v>AUD</v>
      </c>
      <c r="D473" s="72" t="s">
        <v>743</v>
      </c>
      <c r="E473" s="72">
        <v>1230628.0</v>
      </c>
      <c r="F473" s="72" t="s">
        <v>146</v>
      </c>
      <c r="G473" s="72" t="s">
        <v>1170</v>
      </c>
      <c r="H473" s="72" t="s">
        <v>862</v>
      </c>
      <c r="I473" s="72" t="s">
        <v>863</v>
      </c>
      <c r="J473" s="72" t="s">
        <v>747</v>
      </c>
      <c r="K473" s="72" t="s">
        <v>1170</v>
      </c>
      <c r="L473" s="72" t="s">
        <v>75</v>
      </c>
      <c r="M473" s="72" t="s">
        <v>1171</v>
      </c>
      <c r="N473" s="72" t="s">
        <v>204</v>
      </c>
      <c r="O473" s="72" t="s">
        <v>1118</v>
      </c>
      <c r="P473" s="72" t="s">
        <v>79</v>
      </c>
      <c r="Q473" s="72" t="s">
        <v>145</v>
      </c>
      <c r="R473" s="76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</row>
    <row r="474" ht="14.25" customHeight="1">
      <c r="A474" s="72" t="str">
        <f t="shared" si="1"/>
        <v>28/06/2023</v>
      </c>
      <c r="B474" s="82" t="str">
        <f t="shared" si="2"/>
        <v>06-28</v>
      </c>
      <c r="C474" s="82" t="str">
        <f t="shared" si="3"/>
        <v>AUD</v>
      </c>
      <c r="D474" s="72" t="s">
        <v>743</v>
      </c>
      <c r="E474" s="72">
        <v>1230628.0</v>
      </c>
      <c r="F474" s="72" t="s">
        <v>146</v>
      </c>
      <c r="G474" s="72" t="s">
        <v>1172</v>
      </c>
      <c r="H474" s="72" t="s">
        <v>862</v>
      </c>
      <c r="I474" s="72" t="s">
        <v>863</v>
      </c>
      <c r="J474" s="72" t="s">
        <v>747</v>
      </c>
      <c r="K474" s="72" t="s">
        <v>1172</v>
      </c>
      <c r="L474" s="72" t="s">
        <v>75</v>
      </c>
      <c r="M474" s="72" t="s">
        <v>1173</v>
      </c>
      <c r="N474" s="72" t="s">
        <v>204</v>
      </c>
      <c r="O474" s="72" t="s">
        <v>1118</v>
      </c>
      <c r="P474" s="72" t="s">
        <v>79</v>
      </c>
      <c r="Q474" s="72" t="s">
        <v>145</v>
      </c>
      <c r="R474" s="76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</row>
    <row r="475" ht="14.25" customHeight="1">
      <c r="A475" s="72" t="str">
        <f t="shared" si="1"/>
        <v>28/06/2023</v>
      </c>
      <c r="B475" s="82" t="str">
        <f t="shared" si="2"/>
        <v>06-28</v>
      </c>
      <c r="C475" s="82" t="str">
        <f t="shared" si="3"/>
        <v>AUD</v>
      </c>
      <c r="D475" s="72" t="s">
        <v>743</v>
      </c>
      <c r="E475" s="72">
        <v>1230628.0</v>
      </c>
      <c r="F475" s="72" t="s">
        <v>146</v>
      </c>
      <c r="G475" s="72" t="s">
        <v>1174</v>
      </c>
      <c r="H475" s="72" t="s">
        <v>862</v>
      </c>
      <c r="I475" s="72" t="s">
        <v>863</v>
      </c>
      <c r="J475" s="72" t="s">
        <v>747</v>
      </c>
      <c r="K475" s="72" t="s">
        <v>1174</v>
      </c>
      <c r="L475" s="72" t="s">
        <v>75</v>
      </c>
      <c r="M475" s="72" t="s">
        <v>1175</v>
      </c>
      <c r="N475" s="72" t="s">
        <v>204</v>
      </c>
      <c r="O475" s="72" t="s">
        <v>690</v>
      </c>
      <c r="P475" s="72" t="s">
        <v>79</v>
      </c>
      <c r="Q475" s="72" t="s">
        <v>145</v>
      </c>
      <c r="R475" s="76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</row>
    <row r="476" ht="14.25" customHeight="1">
      <c r="A476" s="72" t="str">
        <f t="shared" si="1"/>
        <v>28/06/2023</v>
      </c>
      <c r="B476" s="82" t="str">
        <f t="shared" si="2"/>
        <v>06-28</v>
      </c>
      <c r="C476" s="82" t="str">
        <f t="shared" si="3"/>
        <v>AUD</v>
      </c>
      <c r="D476" s="72" t="s">
        <v>743</v>
      </c>
      <c r="E476" s="72">
        <v>1230628.0</v>
      </c>
      <c r="F476" s="72" t="s">
        <v>146</v>
      </c>
      <c r="G476" s="72" t="s">
        <v>1176</v>
      </c>
      <c r="H476" s="72" t="s">
        <v>862</v>
      </c>
      <c r="I476" s="72" t="s">
        <v>863</v>
      </c>
      <c r="J476" s="72" t="s">
        <v>747</v>
      </c>
      <c r="K476" s="72" t="s">
        <v>1176</v>
      </c>
      <c r="L476" s="72" t="s">
        <v>75</v>
      </c>
      <c r="M476" s="72" t="s">
        <v>1177</v>
      </c>
      <c r="N476" s="72" t="s">
        <v>204</v>
      </c>
      <c r="O476" s="72" t="s">
        <v>690</v>
      </c>
      <c r="P476" s="72" t="s">
        <v>79</v>
      </c>
      <c r="Q476" s="72" t="s">
        <v>145</v>
      </c>
      <c r="R476" s="76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</row>
    <row r="477" ht="14.25" customHeight="1">
      <c r="A477" s="72" t="str">
        <f t="shared" si="1"/>
        <v>28/06/2023</v>
      </c>
      <c r="B477" s="82" t="str">
        <f t="shared" si="2"/>
        <v>06-28</v>
      </c>
      <c r="C477" s="82" t="str">
        <f t="shared" si="3"/>
        <v>AUD</v>
      </c>
      <c r="D477" s="72" t="s">
        <v>743</v>
      </c>
      <c r="E477" s="72">
        <v>1230628.0</v>
      </c>
      <c r="F477" s="72" t="s">
        <v>146</v>
      </c>
      <c r="G477" s="72" t="s">
        <v>1178</v>
      </c>
      <c r="H477" s="72" t="s">
        <v>862</v>
      </c>
      <c r="I477" s="72" t="s">
        <v>863</v>
      </c>
      <c r="J477" s="72" t="s">
        <v>747</v>
      </c>
      <c r="K477" s="72" t="s">
        <v>1178</v>
      </c>
      <c r="L477" s="72" t="s">
        <v>75</v>
      </c>
      <c r="M477" s="72" t="s">
        <v>1179</v>
      </c>
      <c r="N477" s="72" t="s">
        <v>850</v>
      </c>
      <c r="O477" s="72" t="s">
        <v>851</v>
      </c>
      <c r="P477" s="72" t="s">
        <v>79</v>
      </c>
      <c r="Q477" s="72" t="s">
        <v>145</v>
      </c>
      <c r="R477" s="76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</row>
    <row r="478" ht="14.25" customHeight="1">
      <c r="A478" s="72" t="str">
        <f t="shared" si="1"/>
        <v>28/06/2023</v>
      </c>
      <c r="B478" s="82" t="str">
        <f t="shared" si="2"/>
        <v>06-28</v>
      </c>
      <c r="C478" s="82" t="str">
        <f t="shared" si="3"/>
        <v>AUD</v>
      </c>
      <c r="D478" s="72" t="s">
        <v>743</v>
      </c>
      <c r="E478" s="72">
        <v>1230628.0</v>
      </c>
      <c r="F478" s="72" t="s">
        <v>146</v>
      </c>
      <c r="G478" s="72" t="s">
        <v>1180</v>
      </c>
      <c r="H478" s="72" t="s">
        <v>862</v>
      </c>
      <c r="I478" s="72" t="s">
        <v>863</v>
      </c>
      <c r="J478" s="72" t="s">
        <v>747</v>
      </c>
      <c r="K478" s="72" t="s">
        <v>1180</v>
      </c>
      <c r="L478" s="72" t="s">
        <v>75</v>
      </c>
      <c r="M478" s="72" t="s">
        <v>1181</v>
      </c>
      <c r="N478" s="72" t="s">
        <v>158</v>
      </c>
      <c r="O478" s="72" t="s">
        <v>162</v>
      </c>
      <c r="P478" s="72" t="s">
        <v>79</v>
      </c>
      <c r="Q478" s="72" t="s">
        <v>80</v>
      </c>
      <c r="R478" s="76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</row>
    <row r="479" ht="14.25" customHeight="1">
      <c r="A479" s="72" t="str">
        <f t="shared" si="1"/>
        <v>28/06/2023</v>
      </c>
      <c r="B479" s="82" t="str">
        <f t="shared" si="2"/>
        <v>06-28</v>
      </c>
      <c r="C479" s="82" t="str">
        <f t="shared" si="3"/>
        <v>AUD</v>
      </c>
      <c r="D479" s="72" t="s">
        <v>743</v>
      </c>
      <c r="E479" s="72">
        <v>1230628.0</v>
      </c>
      <c r="F479" s="72" t="s">
        <v>146</v>
      </c>
      <c r="G479" s="72" t="s">
        <v>1182</v>
      </c>
      <c r="H479" s="72" t="s">
        <v>862</v>
      </c>
      <c r="I479" s="72" t="s">
        <v>863</v>
      </c>
      <c r="J479" s="72" t="s">
        <v>747</v>
      </c>
      <c r="K479" s="72" t="s">
        <v>1182</v>
      </c>
      <c r="L479" s="72" t="s">
        <v>75</v>
      </c>
      <c r="M479" s="72" t="s">
        <v>1183</v>
      </c>
      <c r="N479" s="72" t="s">
        <v>158</v>
      </c>
      <c r="O479" s="72" t="s">
        <v>162</v>
      </c>
      <c r="P479" s="72" t="s">
        <v>79</v>
      </c>
      <c r="Q479" s="72" t="s">
        <v>80</v>
      </c>
      <c r="R479" s="76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</row>
    <row r="480" ht="14.25" customHeight="1">
      <c r="A480" s="72" t="str">
        <f t="shared" si="1"/>
        <v>28/06/2023</v>
      </c>
      <c r="B480" s="82" t="str">
        <f t="shared" si="2"/>
        <v>06-28</v>
      </c>
      <c r="C480" s="82" t="str">
        <f t="shared" si="3"/>
        <v>AUD</v>
      </c>
      <c r="D480" s="72" t="s">
        <v>743</v>
      </c>
      <c r="E480" s="72">
        <v>1230628.0</v>
      </c>
      <c r="F480" s="72" t="s">
        <v>146</v>
      </c>
      <c r="G480" s="72" t="s">
        <v>1184</v>
      </c>
      <c r="H480" s="72" t="s">
        <v>862</v>
      </c>
      <c r="I480" s="72" t="s">
        <v>863</v>
      </c>
      <c r="J480" s="72" t="s">
        <v>747</v>
      </c>
      <c r="K480" s="72" t="s">
        <v>1184</v>
      </c>
      <c r="L480" s="72" t="s">
        <v>75</v>
      </c>
      <c r="M480" s="72" t="s">
        <v>1185</v>
      </c>
      <c r="N480" s="72" t="s">
        <v>266</v>
      </c>
      <c r="O480" s="72" t="s">
        <v>267</v>
      </c>
      <c r="P480" s="72" t="s">
        <v>79</v>
      </c>
      <c r="Q480" s="72" t="s">
        <v>145</v>
      </c>
      <c r="R480" s="76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</row>
    <row r="481" ht="14.25" customHeight="1">
      <c r="A481" s="72" t="str">
        <f t="shared" si="1"/>
        <v>28/06/2023</v>
      </c>
      <c r="B481" s="82" t="str">
        <f t="shared" si="2"/>
        <v>06-28</v>
      </c>
      <c r="C481" s="82" t="str">
        <f t="shared" si="3"/>
        <v>AUD</v>
      </c>
      <c r="D481" s="72" t="s">
        <v>743</v>
      </c>
      <c r="E481" s="72">
        <v>1230628.0</v>
      </c>
      <c r="F481" s="72" t="s">
        <v>146</v>
      </c>
      <c r="G481" s="72" t="s">
        <v>1186</v>
      </c>
      <c r="H481" s="72" t="s">
        <v>862</v>
      </c>
      <c r="I481" s="72" t="s">
        <v>863</v>
      </c>
      <c r="J481" s="72" t="s">
        <v>747</v>
      </c>
      <c r="K481" s="72" t="s">
        <v>1186</v>
      </c>
      <c r="L481" s="72" t="s">
        <v>75</v>
      </c>
      <c r="M481" s="72" t="s">
        <v>1187</v>
      </c>
      <c r="N481" s="72" t="s">
        <v>757</v>
      </c>
      <c r="O481" s="72" t="s">
        <v>758</v>
      </c>
      <c r="P481" s="72" t="s">
        <v>79</v>
      </c>
      <c r="Q481" s="72" t="s">
        <v>133</v>
      </c>
      <c r="R481" s="76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</row>
    <row r="482" ht="14.25" customHeight="1">
      <c r="A482" s="72" t="str">
        <f t="shared" si="1"/>
        <v>28/06/2023</v>
      </c>
      <c r="B482" s="82" t="str">
        <f t="shared" si="2"/>
        <v>06-28</v>
      </c>
      <c r="C482" s="82" t="str">
        <f t="shared" si="3"/>
        <v>AUD</v>
      </c>
      <c r="D482" s="72" t="s">
        <v>743</v>
      </c>
      <c r="E482" s="72">
        <v>1230628.0</v>
      </c>
      <c r="F482" s="72" t="s">
        <v>146</v>
      </c>
      <c r="G482" s="72" t="s">
        <v>1188</v>
      </c>
      <c r="H482" s="72" t="s">
        <v>862</v>
      </c>
      <c r="I482" s="72" t="s">
        <v>863</v>
      </c>
      <c r="J482" s="72" t="s">
        <v>747</v>
      </c>
      <c r="K482" s="72" t="s">
        <v>1188</v>
      </c>
      <c r="L482" s="72" t="s">
        <v>75</v>
      </c>
      <c r="M482" s="72" t="s">
        <v>1189</v>
      </c>
      <c r="N482" s="72" t="s">
        <v>757</v>
      </c>
      <c r="O482" s="72" t="s">
        <v>758</v>
      </c>
      <c r="P482" s="72" t="s">
        <v>79</v>
      </c>
      <c r="Q482" s="72" t="s">
        <v>133</v>
      </c>
      <c r="R482" s="76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</row>
    <row r="483" ht="14.25" customHeight="1">
      <c r="A483" s="72" t="str">
        <f t="shared" si="1"/>
        <v>28/06/2023</v>
      </c>
      <c r="B483" s="82" t="str">
        <f t="shared" si="2"/>
        <v>06-28</v>
      </c>
      <c r="C483" s="82" t="str">
        <f t="shared" si="3"/>
        <v>AUD</v>
      </c>
      <c r="D483" s="72" t="s">
        <v>743</v>
      </c>
      <c r="E483" s="72">
        <v>1230628.0</v>
      </c>
      <c r="F483" s="72" t="s">
        <v>146</v>
      </c>
      <c r="G483" s="72" t="s">
        <v>1190</v>
      </c>
      <c r="H483" s="72" t="s">
        <v>853</v>
      </c>
      <c r="I483" s="72" t="s">
        <v>854</v>
      </c>
      <c r="J483" s="72" t="s">
        <v>747</v>
      </c>
      <c r="K483" s="72" t="s">
        <v>1190</v>
      </c>
      <c r="L483" s="72" t="s">
        <v>75</v>
      </c>
      <c r="M483" s="72" t="s">
        <v>1191</v>
      </c>
      <c r="N483" s="72" t="s">
        <v>204</v>
      </c>
      <c r="O483" s="72" t="s">
        <v>1118</v>
      </c>
      <c r="P483" s="72" t="s">
        <v>79</v>
      </c>
      <c r="Q483" s="72" t="s">
        <v>145</v>
      </c>
      <c r="R483" s="76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</row>
    <row r="484" ht="14.25" customHeight="1">
      <c r="A484" s="72" t="str">
        <f t="shared" si="1"/>
        <v>28/06/2023</v>
      </c>
      <c r="B484" s="82" t="str">
        <f t="shared" si="2"/>
        <v>06-28</v>
      </c>
      <c r="C484" s="82" t="str">
        <f t="shared" si="3"/>
        <v>AUD</v>
      </c>
      <c r="D484" s="72" t="s">
        <v>743</v>
      </c>
      <c r="E484" s="72">
        <v>1230628.0</v>
      </c>
      <c r="F484" s="72" t="s">
        <v>146</v>
      </c>
      <c r="G484" s="72" t="s">
        <v>1192</v>
      </c>
      <c r="H484" s="72" t="s">
        <v>853</v>
      </c>
      <c r="I484" s="72" t="s">
        <v>854</v>
      </c>
      <c r="J484" s="72" t="s">
        <v>747</v>
      </c>
      <c r="K484" s="72" t="s">
        <v>1192</v>
      </c>
      <c r="L484" s="72" t="s">
        <v>75</v>
      </c>
      <c r="M484" s="72" t="s">
        <v>1193</v>
      </c>
      <c r="N484" s="72" t="s">
        <v>204</v>
      </c>
      <c r="O484" s="72" t="s">
        <v>1118</v>
      </c>
      <c r="P484" s="72" t="s">
        <v>79</v>
      </c>
      <c r="Q484" s="72" t="s">
        <v>145</v>
      </c>
      <c r="R484" s="76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</row>
    <row r="485" ht="14.25" customHeight="1">
      <c r="A485" s="72" t="str">
        <f t="shared" si="1"/>
        <v>28/06/2023</v>
      </c>
      <c r="B485" s="82" t="str">
        <f t="shared" si="2"/>
        <v>06-28</v>
      </c>
      <c r="C485" s="82" t="str">
        <f t="shared" si="3"/>
        <v>AUD</v>
      </c>
      <c r="D485" s="72" t="s">
        <v>743</v>
      </c>
      <c r="E485" s="72">
        <v>1230628.0</v>
      </c>
      <c r="F485" s="72" t="s">
        <v>146</v>
      </c>
      <c r="G485" s="72" t="s">
        <v>1194</v>
      </c>
      <c r="H485" s="72" t="s">
        <v>853</v>
      </c>
      <c r="I485" s="72" t="s">
        <v>854</v>
      </c>
      <c r="J485" s="72" t="s">
        <v>747</v>
      </c>
      <c r="K485" s="72" t="s">
        <v>1194</v>
      </c>
      <c r="L485" s="72" t="s">
        <v>75</v>
      </c>
      <c r="M485" s="72" t="s">
        <v>1195</v>
      </c>
      <c r="N485" s="72" t="s">
        <v>204</v>
      </c>
      <c r="O485" s="72" t="s">
        <v>690</v>
      </c>
      <c r="P485" s="72" t="s">
        <v>79</v>
      </c>
      <c r="Q485" s="72" t="s">
        <v>145</v>
      </c>
      <c r="R485" s="76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</row>
    <row r="486" ht="14.25" customHeight="1">
      <c r="A486" s="72" t="str">
        <f t="shared" si="1"/>
        <v>28/06/2023</v>
      </c>
      <c r="B486" s="82" t="str">
        <f t="shared" si="2"/>
        <v>06-28</v>
      </c>
      <c r="C486" s="82" t="str">
        <f t="shared" si="3"/>
        <v>AUD</v>
      </c>
      <c r="D486" s="72" t="s">
        <v>743</v>
      </c>
      <c r="E486" s="72">
        <v>1230628.0</v>
      </c>
      <c r="F486" s="72" t="s">
        <v>146</v>
      </c>
      <c r="G486" s="72" t="s">
        <v>1196</v>
      </c>
      <c r="H486" s="72" t="s">
        <v>853</v>
      </c>
      <c r="I486" s="72" t="s">
        <v>854</v>
      </c>
      <c r="J486" s="72" t="s">
        <v>747</v>
      </c>
      <c r="K486" s="72" t="s">
        <v>1196</v>
      </c>
      <c r="L486" s="72" t="s">
        <v>75</v>
      </c>
      <c r="M486" s="72" t="s">
        <v>1197</v>
      </c>
      <c r="N486" s="72" t="s">
        <v>204</v>
      </c>
      <c r="O486" s="72" t="s">
        <v>690</v>
      </c>
      <c r="P486" s="72" t="s">
        <v>79</v>
      </c>
      <c r="Q486" s="72" t="s">
        <v>145</v>
      </c>
      <c r="R486" s="76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</row>
    <row r="487" ht="14.25" customHeight="1">
      <c r="A487" s="72" t="str">
        <f t="shared" si="1"/>
        <v>28/06/2023</v>
      </c>
      <c r="B487" s="82" t="str">
        <f t="shared" si="2"/>
        <v>06-28</v>
      </c>
      <c r="C487" s="82" t="str">
        <f t="shared" si="3"/>
        <v>AUD</v>
      </c>
      <c r="D487" s="72" t="s">
        <v>743</v>
      </c>
      <c r="E487" s="72">
        <v>1230628.0</v>
      </c>
      <c r="F487" s="72" t="s">
        <v>146</v>
      </c>
      <c r="G487" s="72" t="s">
        <v>1198</v>
      </c>
      <c r="H487" s="72" t="s">
        <v>853</v>
      </c>
      <c r="I487" s="72" t="s">
        <v>854</v>
      </c>
      <c r="J487" s="72" t="s">
        <v>747</v>
      </c>
      <c r="K487" s="72" t="s">
        <v>1198</v>
      </c>
      <c r="L487" s="72" t="s">
        <v>75</v>
      </c>
      <c r="M487" s="72" t="s">
        <v>1199</v>
      </c>
      <c r="N487" s="72" t="s">
        <v>850</v>
      </c>
      <c r="O487" s="72" t="s">
        <v>851</v>
      </c>
      <c r="P487" s="72" t="s">
        <v>79</v>
      </c>
      <c r="Q487" s="72" t="s">
        <v>145</v>
      </c>
      <c r="R487" s="76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</row>
    <row r="488" ht="14.25" customHeight="1">
      <c r="A488" s="72" t="str">
        <f t="shared" si="1"/>
        <v>28/06/2023</v>
      </c>
      <c r="B488" s="82" t="str">
        <f t="shared" si="2"/>
        <v>06-28</v>
      </c>
      <c r="C488" s="82" t="str">
        <f t="shared" si="3"/>
        <v>AUD</v>
      </c>
      <c r="D488" s="72" t="s">
        <v>743</v>
      </c>
      <c r="E488" s="72">
        <v>1230628.0</v>
      </c>
      <c r="F488" s="72" t="s">
        <v>146</v>
      </c>
      <c r="G488" s="72" t="s">
        <v>1200</v>
      </c>
      <c r="H488" s="72" t="s">
        <v>853</v>
      </c>
      <c r="I488" s="72" t="s">
        <v>854</v>
      </c>
      <c r="J488" s="72" t="s">
        <v>747</v>
      </c>
      <c r="K488" s="72" t="s">
        <v>1200</v>
      </c>
      <c r="L488" s="72" t="s">
        <v>75</v>
      </c>
      <c r="M488" s="72" t="s">
        <v>1201</v>
      </c>
      <c r="N488" s="72" t="s">
        <v>850</v>
      </c>
      <c r="O488" s="72" t="s">
        <v>851</v>
      </c>
      <c r="P488" s="72" t="s">
        <v>79</v>
      </c>
      <c r="Q488" s="72" t="s">
        <v>145</v>
      </c>
      <c r="R488" s="76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</row>
    <row r="489" ht="14.25" customHeight="1">
      <c r="A489" s="72" t="str">
        <f t="shared" si="1"/>
        <v>28/06/2023</v>
      </c>
      <c r="B489" s="82" t="str">
        <f t="shared" si="2"/>
        <v>06-28</v>
      </c>
      <c r="C489" s="82" t="str">
        <f t="shared" si="3"/>
        <v>AUD</v>
      </c>
      <c r="D489" s="72" t="s">
        <v>743</v>
      </c>
      <c r="E489" s="72">
        <v>1230628.0</v>
      </c>
      <c r="F489" s="72" t="s">
        <v>146</v>
      </c>
      <c r="G489" s="72" t="s">
        <v>1202</v>
      </c>
      <c r="H489" s="72" t="s">
        <v>853</v>
      </c>
      <c r="I489" s="72" t="s">
        <v>854</v>
      </c>
      <c r="J489" s="72" t="s">
        <v>747</v>
      </c>
      <c r="K489" s="72" t="s">
        <v>1202</v>
      </c>
      <c r="L489" s="72" t="s">
        <v>75</v>
      </c>
      <c r="M489" s="72" t="s">
        <v>1203</v>
      </c>
      <c r="N489" s="72" t="s">
        <v>158</v>
      </c>
      <c r="O489" s="72" t="s">
        <v>162</v>
      </c>
      <c r="P489" s="72" t="s">
        <v>79</v>
      </c>
      <c r="Q489" s="72" t="s">
        <v>80</v>
      </c>
      <c r="R489" s="76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</row>
    <row r="490" ht="14.25" customHeight="1">
      <c r="A490" s="72" t="str">
        <f t="shared" si="1"/>
        <v>28/06/2023</v>
      </c>
      <c r="B490" s="82" t="str">
        <f t="shared" si="2"/>
        <v>06-28</v>
      </c>
      <c r="C490" s="82" t="str">
        <f t="shared" si="3"/>
        <v>AUD</v>
      </c>
      <c r="D490" s="72" t="s">
        <v>743</v>
      </c>
      <c r="E490" s="72">
        <v>1230628.0</v>
      </c>
      <c r="F490" s="72" t="s">
        <v>146</v>
      </c>
      <c r="G490" s="72" t="s">
        <v>1204</v>
      </c>
      <c r="H490" s="72" t="s">
        <v>853</v>
      </c>
      <c r="I490" s="72" t="s">
        <v>854</v>
      </c>
      <c r="J490" s="72" t="s">
        <v>747</v>
      </c>
      <c r="K490" s="72" t="s">
        <v>1204</v>
      </c>
      <c r="L490" s="72" t="s">
        <v>75</v>
      </c>
      <c r="M490" s="72" t="s">
        <v>1205</v>
      </c>
      <c r="N490" s="72" t="s">
        <v>158</v>
      </c>
      <c r="O490" s="72" t="s">
        <v>162</v>
      </c>
      <c r="P490" s="72" t="s">
        <v>79</v>
      </c>
      <c r="Q490" s="72" t="s">
        <v>80</v>
      </c>
      <c r="R490" s="76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</row>
    <row r="491" ht="14.25" customHeight="1">
      <c r="A491" s="72" t="str">
        <f t="shared" si="1"/>
        <v>28/06/2023</v>
      </c>
      <c r="B491" s="82" t="str">
        <f t="shared" si="2"/>
        <v>06-28</v>
      </c>
      <c r="C491" s="82" t="str">
        <f t="shared" si="3"/>
        <v>AUD</v>
      </c>
      <c r="D491" s="72" t="s">
        <v>743</v>
      </c>
      <c r="E491" s="72">
        <v>1230628.0</v>
      </c>
      <c r="F491" s="72" t="s">
        <v>146</v>
      </c>
      <c r="G491" s="72" t="s">
        <v>1206</v>
      </c>
      <c r="H491" s="72" t="s">
        <v>853</v>
      </c>
      <c r="I491" s="72" t="s">
        <v>854</v>
      </c>
      <c r="J491" s="72" t="s">
        <v>747</v>
      </c>
      <c r="K491" s="72" t="s">
        <v>1206</v>
      </c>
      <c r="L491" s="72" t="s">
        <v>75</v>
      </c>
      <c r="M491" s="72" t="s">
        <v>1207</v>
      </c>
      <c r="N491" s="72" t="s">
        <v>266</v>
      </c>
      <c r="O491" s="72" t="s">
        <v>267</v>
      </c>
      <c r="P491" s="72" t="s">
        <v>79</v>
      </c>
      <c r="Q491" s="72" t="s">
        <v>145</v>
      </c>
      <c r="R491" s="76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</row>
    <row r="492" ht="14.25" customHeight="1">
      <c r="A492" s="72" t="str">
        <f t="shared" si="1"/>
        <v>28/06/2023</v>
      </c>
      <c r="B492" s="82" t="str">
        <f t="shared" si="2"/>
        <v>06-28</v>
      </c>
      <c r="C492" s="82" t="str">
        <f t="shared" si="3"/>
        <v>AUD</v>
      </c>
      <c r="D492" s="72" t="s">
        <v>743</v>
      </c>
      <c r="E492" s="72">
        <v>1230628.0</v>
      </c>
      <c r="F492" s="72" t="s">
        <v>146</v>
      </c>
      <c r="G492" s="72" t="s">
        <v>1208</v>
      </c>
      <c r="H492" s="72" t="s">
        <v>853</v>
      </c>
      <c r="I492" s="72" t="s">
        <v>854</v>
      </c>
      <c r="J492" s="72" t="s">
        <v>747</v>
      </c>
      <c r="K492" s="72" t="s">
        <v>1208</v>
      </c>
      <c r="L492" s="72" t="s">
        <v>75</v>
      </c>
      <c r="M492" s="72" t="s">
        <v>1209</v>
      </c>
      <c r="N492" s="72" t="s">
        <v>757</v>
      </c>
      <c r="O492" s="72" t="s">
        <v>758</v>
      </c>
      <c r="P492" s="72" t="s">
        <v>79</v>
      </c>
      <c r="Q492" s="72" t="s">
        <v>133</v>
      </c>
      <c r="R492" s="76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</row>
    <row r="493" ht="14.25" customHeight="1">
      <c r="A493" s="72" t="str">
        <f t="shared" si="1"/>
        <v>28/06/2023</v>
      </c>
      <c r="B493" s="82" t="str">
        <f t="shared" si="2"/>
        <v>06-28</v>
      </c>
      <c r="C493" s="82" t="str">
        <f t="shared" si="3"/>
        <v>AUD</v>
      </c>
      <c r="D493" s="72" t="s">
        <v>743</v>
      </c>
      <c r="E493" s="72">
        <v>1230628.0</v>
      </c>
      <c r="F493" s="72" t="s">
        <v>70</v>
      </c>
      <c r="G493" s="72" t="s">
        <v>1210</v>
      </c>
      <c r="H493" s="72" t="s">
        <v>1211</v>
      </c>
      <c r="I493" s="72" t="s">
        <v>854</v>
      </c>
      <c r="J493" s="72" t="s">
        <v>747</v>
      </c>
      <c r="K493" s="72" t="s">
        <v>1210</v>
      </c>
      <c r="L493" s="72" t="s">
        <v>75</v>
      </c>
      <c r="M493" s="72" t="s">
        <v>1212</v>
      </c>
      <c r="N493" s="72" t="s">
        <v>482</v>
      </c>
      <c r="O493" s="72" t="s">
        <v>1167</v>
      </c>
      <c r="P493" s="72" t="s">
        <v>79</v>
      </c>
      <c r="Q493" s="72" t="s">
        <v>145</v>
      </c>
      <c r="R493" s="76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</row>
    <row r="494" ht="14.25" customHeight="1">
      <c r="A494" s="72" t="str">
        <f t="shared" si="1"/>
        <v>28/06/2023</v>
      </c>
      <c r="B494" s="82" t="str">
        <f t="shared" si="2"/>
        <v>06-28</v>
      </c>
      <c r="C494" s="82" t="str">
        <f t="shared" si="3"/>
        <v>AUD</v>
      </c>
      <c r="D494" s="72" t="s">
        <v>743</v>
      </c>
      <c r="E494" s="72">
        <v>1230628.0</v>
      </c>
      <c r="F494" s="72" t="s">
        <v>70</v>
      </c>
      <c r="G494" s="72" t="s">
        <v>1213</v>
      </c>
      <c r="H494" s="72" t="s">
        <v>1211</v>
      </c>
      <c r="I494" s="72" t="s">
        <v>854</v>
      </c>
      <c r="J494" s="72" t="s">
        <v>747</v>
      </c>
      <c r="K494" s="72" t="s">
        <v>1213</v>
      </c>
      <c r="L494" s="72" t="s">
        <v>75</v>
      </c>
      <c r="M494" s="72" t="s">
        <v>1214</v>
      </c>
      <c r="N494" s="72" t="s">
        <v>693</v>
      </c>
      <c r="O494" s="72" t="s">
        <v>1141</v>
      </c>
      <c r="P494" s="72" t="s">
        <v>79</v>
      </c>
      <c r="Q494" s="72" t="s">
        <v>80</v>
      </c>
      <c r="R494" s="76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</row>
    <row r="495" ht="14.25" customHeight="1">
      <c r="A495" s="72" t="str">
        <f t="shared" si="1"/>
        <v>28/06/2023</v>
      </c>
      <c r="B495" s="82" t="str">
        <f t="shared" si="2"/>
        <v>06-28</v>
      </c>
      <c r="C495" s="82" t="str">
        <f t="shared" si="3"/>
        <v>AUD</v>
      </c>
      <c r="D495" s="72" t="s">
        <v>743</v>
      </c>
      <c r="E495" s="72">
        <v>1230628.0</v>
      </c>
      <c r="F495" s="72" t="s">
        <v>146</v>
      </c>
      <c r="G495" s="72" t="s">
        <v>1215</v>
      </c>
      <c r="H495" s="72" t="s">
        <v>862</v>
      </c>
      <c r="I495" s="72" t="s">
        <v>863</v>
      </c>
      <c r="J495" s="72" t="s">
        <v>747</v>
      </c>
      <c r="K495" s="72" t="s">
        <v>1215</v>
      </c>
      <c r="L495" s="72" t="s">
        <v>75</v>
      </c>
      <c r="M495" s="72" t="s">
        <v>1216</v>
      </c>
      <c r="N495" s="72" t="s">
        <v>629</v>
      </c>
      <c r="O495" s="72" t="s">
        <v>630</v>
      </c>
      <c r="P495" s="72" t="s">
        <v>79</v>
      </c>
      <c r="Q495" s="72" t="s">
        <v>122</v>
      </c>
      <c r="R495" s="76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</row>
    <row r="496" ht="14.25" customHeight="1">
      <c r="A496" s="72" t="str">
        <f t="shared" si="1"/>
        <v>28/06/2023</v>
      </c>
      <c r="B496" s="82" t="str">
        <f t="shared" si="2"/>
        <v>06-28</v>
      </c>
      <c r="C496" s="82" t="str">
        <f t="shared" si="3"/>
        <v>AUD</v>
      </c>
      <c r="D496" s="72" t="s">
        <v>743</v>
      </c>
      <c r="E496" s="72">
        <v>1230628.0</v>
      </c>
      <c r="F496" s="72" t="s">
        <v>146</v>
      </c>
      <c r="G496" s="72" t="s">
        <v>1217</v>
      </c>
      <c r="H496" s="72" t="s">
        <v>862</v>
      </c>
      <c r="I496" s="72" t="s">
        <v>863</v>
      </c>
      <c r="J496" s="72" t="s">
        <v>747</v>
      </c>
      <c r="K496" s="72" t="s">
        <v>1217</v>
      </c>
      <c r="L496" s="72" t="s">
        <v>75</v>
      </c>
      <c r="M496" s="72" t="s">
        <v>1218</v>
      </c>
      <c r="N496" s="72" t="s">
        <v>629</v>
      </c>
      <c r="O496" s="72" t="s">
        <v>630</v>
      </c>
      <c r="P496" s="72" t="s">
        <v>79</v>
      </c>
      <c r="Q496" s="72" t="s">
        <v>122</v>
      </c>
      <c r="R496" s="76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</row>
    <row r="497" ht="14.25" customHeight="1">
      <c r="A497" s="72" t="str">
        <f t="shared" si="1"/>
        <v>28/06/2023</v>
      </c>
      <c r="B497" s="82" t="str">
        <f t="shared" si="2"/>
        <v>06-28</v>
      </c>
      <c r="C497" s="82" t="str">
        <f t="shared" si="3"/>
        <v>AUD</v>
      </c>
      <c r="D497" s="72" t="s">
        <v>743</v>
      </c>
      <c r="E497" s="72">
        <v>1230628.0</v>
      </c>
      <c r="F497" s="72" t="s">
        <v>146</v>
      </c>
      <c r="G497" s="72" t="s">
        <v>1219</v>
      </c>
      <c r="H497" s="72" t="s">
        <v>862</v>
      </c>
      <c r="I497" s="72" t="s">
        <v>863</v>
      </c>
      <c r="J497" s="72" t="s">
        <v>747</v>
      </c>
      <c r="K497" s="72" t="s">
        <v>1219</v>
      </c>
      <c r="L497" s="72" t="s">
        <v>75</v>
      </c>
      <c r="M497" s="72" t="s">
        <v>1220</v>
      </c>
      <c r="N497" s="72" t="s">
        <v>629</v>
      </c>
      <c r="O497" s="72" t="s">
        <v>630</v>
      </c>
      <c r="P497" s="72" t="s">
        <v>79</v>
      </c>
      <c r="Q497" s="72" t="s">
        <v>122</v>
      </c>
      <c r="R497" s="76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</row>
    <row r="498" ht="14.25" customHeight="1">
      <c r="A498" s="72" t="str">
        <f t="shared" si="1"/>
        <v>28/06/2023</v>
      </c>
      <c r="B498" s="82" t="str">
        <f t="shared" si="2"/>
        <v>06-28</v>
      </c>
      <c r="C498" s="82" t="str">
        <f t="shared" si="3"/>
        <v>AUD</v>
      </c>
      <c r="D498" s="72" t="s">
        <v>743</v>
      </c>
      <c r="E498" s="72">
        <v>1230628.0</v>
      </c>
      <c r="F498" s="72" t="s">
        <v>146</v>
      </c>
      <c r="G498" s="72" t="s">
        <v>1221</v>
      </c>
      <c r="H498" s="72" t="s">
        <v>862</v>
      </c>
      <c r="I498" s="72" t="s">
        <v>863</v>
      </c>
      <c r="J498" s="72" t="s">
        <v>747</v>
      </c>
      <c r="K498" s="72" t="s">
        <v>1221</v>
      </c>
      <c r="L498" s="72" t="s">
        <v>75</v>
      </c>
      <c r="M498" s="72" t="s">
        <v>1222</v>
      </c>
      <c r="N498" s="72" t="s">
        <v>629</v>
      </c>
      <c r="O498" s="72" t="s">
        <v>630</v>
      </c>
      <c r="P498" s="72" t="s">
        <v>79</v>
      </c>
      <c r="Q498" s="72" t="s">
        <v>122</v>
      </c>
      <c r="R498" s="76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</row>
    <row r="499" ht="14.25" customHeight="1">
      <c r="A499" s="72" t="str">
        <f t="shared" si="1"/>
        <v>28/06/2023</v>
      </c>
      <c r="B499" s="82" t="str">
        <f t="shared" si="2"/>
        <v>06-28</v>
      </c>
      <c r="C499" s="82" t="str">
        <f t="shared" si="3"/>
        <v>AUD</v>
      </c>
      <c r="D499" s="72" t="s">
        <v>743</v>
      </c>
      <c r="E499" s="72">
        <v>1230628.0</v>
      </c>
      <c r="F499" s="72" t="s">
        <v>146</v>
      </c>
      <c r="G499" s="72" t="s">
        <v>1223</v>
      </c>
      <c r="H499" s="72" t="s">
        <v>862</v>
      </c>
      <c r="I499" s="72" t="s">
        <v>863</v>
      </c>
      <c r="J499" s="72" t="s">
        <v>747</v>
      </c>
      <c r="K499" s="72" t="s">
        <v>1223</v>
      </c>
      <c r="L499" s="72" t="s">
        <v>75</v>
      </c>
      <c r="M499" s="72" t="s">
        <v>1224</v>
      </c>
      <c r="N499" s="72" t="s">
        <v>629</v>
      </c>
      <c r="O499" s="72" t="s">
        <v>630</v>
      </c>
      <c r="P499" s="72" t="s">
        <v>79</v>
      </c>
      <c r="Q499" s="72" t="s">
        <v>122</v>
      </c>
      <c r="R499" s="76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</row>
    <row r="500" ht="14.25" customHeight="1">
      <c r="A500" s="72" t="str">
        <f t="shared" si="1"/>
        <v>28/06/2023</v>
      </c>
      <c r="B500" s="82" t="str">
        <f t="shared" si="2"/>
        <v>06-28</v>
      </c>
      <c r="C500" s="82" t="str">
        <f t="shared" si="3"/>
        <v>AUD</v>
      </c>
      <c r="D500" s="72" t="s">
        <v>743</v>
      </c>
      <c r="E500" s="72">
        <v>1230628.0</v>
      </c>
      <c r="F500" s="72" t="s">
        <v>146</v>
      </c>
      <c r="G500" s="72" t="s">
        <v>1225</v>
      </c>
      <c r="H500" s="72" t="s">
        <v>862</v>
      </c>
      <c r="I500" s="72" t="s">
        <v>863</v>
      </c>
      <c r="J500" s="72" t="s">
        <v>747</v>
      </c>
      <c r="K500" s="72" t="s">
        <v>1225</v>
      </c>
      <c r="L500" s="72" t="s">
        <v>75</v>
      </c>
      <c r="M500" s="72" t="s">
        <v>1226</v>
      </c>
      <c r="N500" s="72" t="s">
        <v>629</v>
      </c>
      <c r="O500" s="72" t="s">
        <v>630</v>
      </c>
      <c r="P500" s="72" t="s">
        <v>79</v>
      </c>
      <c r="Q500" s="72" t="s">
        <v>122</v>
      </c>
      <c r="R500" s="76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</row>
    <row r="501" ht="14.25" customHeight="1">
      <c r="A501" s="72" t="str">
        <f t="shared" si="1"/>
        <v>28/06/2023</v>
      </c>
      <c r="B501" s="82" t="str">
        <f t="shared" si="2"/>
        <v>06-28</v>
      </c>
      <c r="C501" s="82" t="str">
        <f t="shared" si="3"/>
        <v>AUD</v>
      </c>
      <c r="D501" s="72" t="s">
        <v>743</v>
      </c>
      <c r="E501" s="72">
        <v>1230628.0</v>
      </c>
      <c r="F501" s="72" t="s">
        <v>146</v>
      </c>
      <c r="G501" s="72" t="s">
        <v>1227</v>
      </c>
      <c r="H501" s="72" t="s">
        <v>862</v>
      </c>
      <c r="I501" s="72" t="s">
        <v>863</v>
      </c>
      <c r="J501" s="72" t="s">
        <v>747</v>
      </c>
      <c r="K501" s="72" t="s">
        <v>1227</v>
      </c>
      <c r="L501" s="72" t="s">
        <v>75</v>
      </c>
      <c r="M501" s="72" t="s">
        <v>1228</v>
      </c>
      <c r="N501" s="72" t="s">
        <v>629</v>
      </c>
      <c r="O501" s="72" t="s">
        <v>630</v>
      </c>
      <c r="P501" s="72" t="s">
        <v>79</v>
      </c>
      <c r="Q501" s="72" t="s">
        <v>122</v>
      </c>
      <c r="R501" s="76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</row>
    <row r="502" ht="14.25" customHeight="1">
      <c r="A502" s="72" t="str">
        <f t="shared" si="1"/>
        <v>28/06/2023</v>
      </c>
      <c r="B502" s="82" t="str">
        <f t="shared" si="2"/>
        <v>06-28</v>
      </c>
      <c r="C502" s="82" t="str">
        <f t="shared" si="3"/>
        <v>AUD</v>
      </c>
      <c r="D502" s="72" t="s">
        <v>743</v>
      </c>
      <c r="E502" s="72">
        <v>1230628.0</v>
      </c>
      <c r="F502" s="72" t="s">
        <v>146</v>
      </c>
      <c r="G502" s="72" t="s">
        <v>1229</v>
      </c>
      <c r="H502" s="72" t="s">
        <v>862</v>
      </c>
      <c r="I502" s="72" t="s">
        <v>863</v>
      </c>
      <c r="J502" s="72" t="s">
        <v>747</v>
      </c>
      <c r="K502" s="72" t="s">
        <v>1229</v>
      </c>
      <c r="L502" s="72" t="s">
        <v>75</v>
      </c>
      <c r="M502" s="72" t="s">
        <v>1230</v>
      </c>
      <c r="N502" s="72" t="s">
        <v>629</v>
      </c>
      <c r="O502" s="72" t="s">
        <v>630</v>
      </c>
      <c r="P502" s="72" t="s">
        <v>79</v>
      </c>
      <c r="Q502" s="72" t="s">
        <v>122</v>
      </c>
      <c r="R502" s="76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</row>
    <row r="503" ht="14.25" customHeight="1">
      <c r="A503" s="72" t="str">
        <f t="shared" si="1"/>
        <v>28/06/2023</v>
      </c>
      <c r="B503" s="82" t="str">
        <f t="shared" si="2"/>
        <v>06-28</v>
      </c>
      <c r="C503" s="82" t="str">
        <f t="shared" si="3"/>
        <v>AUD</v>
      </c>
      <c r="D503" s="72" t="s">
        <v>743</v>
      </c>
      <c r="E503" s="72">
        <v>1230628.0</v>
      </c>
      <c r="F503" s="72" t="s">
        <v>146</v>
      </c>
      <c r="G503" s="72" t="s">
        <v>1231</v>
      </c>
      <c r="H503" s="72" t="s">
        <v>862</v>
      </c>
      <c r="I503" s="72" t="s">
        <v>863</v>
      </c>
      <c r="J503" s="72" t="s">
        <v>747</v>
      </c>
      <c r="K503" s="72" t="s">
        <v>1231</v>
      </c>
      <c r="L503" s="72" t="s">
        <v>75</v>
      </c>
      <c r="M503" s="72" t="s">
        <v>1232</v>
      </c>
      <c r="N503" s="72" t="s">
        <v>629</v>
      </c>
      <c r="O503" s="72" t="s">
        <v>630</v>
      </c>
      <c r="P503" s="72" t="s">
        <v>79</v>
      </c>
      <c r="Q503" s="72" t="s">
        <v>122</v>
      </c>
      <c r="R503" s="76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</row>
    <row r="504" ht="14.25" customHeight="1">
      <c r="A504" s="72" t="str">
        <f t="shared" si="1"/>
        <v>28/06/2023</v>
      </c>
      <c r="B504" s="82" t="str">
        <f t="shared" si="2"/>
        <v>06-28</v>
      </c>
      <c r="C504" s="82" t="str">
        <f t="shared" si="3"/>
        <v>AUD</v>
      </c>
      <c r="D504" s="72" t="s">
        <v>743</v>
      </c>
      <c r="E504" s="72">
        <v>1230628.0</v>
      </c>
      <c r="F504" s="72" t="s">
        <v>146</v>
      </c>
      <c r="G504" s="72" t="s">
        <v>1233</v>
      </c>
      <c r="H504" s="72" t="s">
        <v>862</v>
      </c>
      <c r="I504" s="72" t="s">
        <v>863</v>
      </c>
      <c r="J504" s="72" t="s">
        <v>747</v>
      </c>
      <c r="K504" s="72" t="s">
        <v>1233</v>
      </c>
      <c r="L504" s="72" t="s">
        <v>75</v>
      </c>
      <c r="M504" s="72" t="s">
        <v>1234</v>
      </c>
      <c r="N504" s="72" t="s">
        <v>629</v>
      </c>
      <c r="O504" s="72" t="s">
        <v>630</v>
      </c>
      <c r="P504" s="72" t="s">
        <v>79</v>
      </c>
      <c r="Q504" s="72" t="s">
        <v>122</v>
      </c>
      <c r="R504" s="76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</row>
    <row r="505" ht="14.25" customHeight="1">
      <c r="A505" s="72" t="str">
        <f t="shared" si="1"/>
        <v>28/06/2023</v>
      </c>
      <c r="B505" s="82" t="str">
        <f t="shared" si="2"/>
        <v>06-28</v>
      </c>
      <c r="C505" s="82" t="str">
        <f t="shared" si="3"/>
        <v>AUD</v>
      </c>
      <c r="D505" s="72" t="s">
        <v>743</v>
      </c>
      <c r="E505" s="72">
        <v>1230628.0</v>
      </c>
      <c r="F505" s="72" t="s">
        <v>146</v>
      </c>
      <c r="G505" s="72" t="s">
        <v>1235</v>
      </c>
      <c r="H505" s="72" t="s">
        <v>862</v>
      </c>
      <c r="I505" s="72" t="s">
        <v>863</v>
      </c>
      <c r="J505" s="72" t="s">
        <v>747</v>
      </c>
      <c r="K505" s="72" t="s">
        <v>1235</v>
      </c>
      <c r="L505" s="72" t="s">
        <v>75</v>
      </c>
      <c r="M505" s="72" t="s">
        <v>1236</v>
      </c>
      <c r="N505" s="72" t="s">
        <v>629</v>
      </c>
      <c r="O505" s="72" t="s">
        <v>630</v>
      </c>
      <c r="P505" s="72" t="s">
        <v>79</v>
      </c>
      <c r="Q505" s="72" t="s">
        <v>122</v>
      </c>
      <c r="R505" s="76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</row>
    <row r="506" ht="14.25" customHeight="1">
      <c r="A506" s="72" t="str">
        <f t="shared" si="1"/>
        <v>28/06/2023</v>
      </c>
      <c r="B506" s="82" t="str">
        <f t="shared" si="2"/>
        <v>06-28</v>
      </c>
      <c r="C506" s="82" t="str">
        <f t="shared" si="3"/>
        <v>AUD</v>
      </c>
      <c r="D506" s="72" t="s">
        <v>743</v>
      </c>
      <c r="E506" s="72">
        <v>1230628.0</v>
      </c>
      <c r="F506" s="72" t="s">
        <v>146</v>
      </c>
      <c r="G506" s="72" t="s">
        <v>1237</v>
      </c>
      <c r="H506" s="72" t="s">
        <v>862</v>
      </c>
      <c r="I506" s="72" t="s">
        <v>863</v>
      </c>
      <c r="J506" s="72" t="s">
        <v>747</v>
      </c>
      <c r="K506" s="72" t="s">
        <v>1237</v>
      </c>
      <c r="L506" s="72" t="s">
        <v>75</v>
      </c>
      <c r="M506" s="72" t="s">
        <v>1238</v>
      </c>
      <c r="N506" s="72" t="s">
        <v>629</v>
      </c>
      <c r="O506" s="72" t="s">
        <v>630</v>
      </c>
      <c r="P506" s="72" t="s">
        <v>79</v>
      </c>
      <c r="Q506" s="72" t="s">
        <v>122</v>
      </c>
      <c r="R506" s="76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</row>
    <row r="507" ht="14.25" customHeight="1">
      <c r="A507" s="72" t="str">
        <f t="shared" si="1"/>
        <v>28/06/2023</v>
      </c>
      <c r="B507" s="82" t="str">
        <f t="shared" si="2"/>
        <v>06-28</v>
      </c>
      <c r="C507" s="82" t="str">
        <f t="shared" si="3"/>
        <v>AUD</v>
      </c>
      <c r="D507" s="72" t="s">
        <v>743</v>
      </c>
      <c r="E507" s="72">
        <v>1230628.0</v>
      </c>
      <c r="F507" s="72" t="s">
        <v>146</v>
      </c>
      <c r="G507" s="72" t="s">
        <v>1239</v>
      </c>
      <c r="H507" s="72" t="s">
        <v>862</v>
      </c>
      <c r="I507" s="72" t="s">
        <v>863</v>
      </c>
      <c r="J507" s="72" t="s">
        <v>747</v>
      </c>
      <c r="K507" s="72" t="s">
        <v>1239</v>
      </c>
      <c r="L507" s="72" t="s">
        <v>75</v>
      </c>
      <c r="M507" s="72" t="s">
        <v>1240</v>
      </c>
      <c r="N507" s="72" t="s">
        <v>629</v>
      </c>
      <c r="O507" s="72" t="s">
        <v>630</v>
      </c>
      <c r="P507" s="72" t="s">
        <v>79</v>
      </c>
      <c r="Q507" s="72" t="s">
        <v>122</v>
      </c>
      <c r="R507" s="76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</row>
    <row r="508" ht="14.25" customHeight="1">
      <c r="A508" s="72" t="str">
        <f t="shared" si="1"/>
        <v>28/06/2023</v>
      </c>
      <c r="B508" s="82" t="str">
        <f t="shared" si="2"/>
        <v>06-28</v>
      </c>
      <c r="C508" s="82" t="str">
        <f t="shared" si="3"/>
        <v>AUD</v>
      </c>
      <c r="D508" s="72" t="s">
        <v>743</v>
      </c>
      <c r="E508" s="72">
        <v>1230628.0</v>
      </c>
      <c r="F508" s="72" t="s">
        <v>146</v>
      </c>
      <c r="G508" s="72" t="s">
        <v>1241</v>
      </c>
      <c r="H508" s="72" t="s">
        <v>862</v>
      </c>
      <c r="I508" s="72" t="s">
        <v>863</v>
      </c>
      <c r="J508" s="72" t="s">
        <v>747</v>
      </c>
      <c r="K508" s="72" t="s">
        <v>1241</v>
      </c>
      <c r="L508" s="72" t="s">
        <v>75</v>
      </c>
      <c r="M508" s="72" t="s">
        <v>1242</v>
      </c>
      <c r="N508" s="72" t="s">
        <v>629</v>
      </c>
      <c r="O508" s="72" t="s">
        <v>630</v>
      </c>
      <c r="P508" s="72" t="s">
        <v>79</v>
      </c>
      <c r="Q508" s="72" t="s">
        <v>122</v>
      </c>
      <c r="R508" s="76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</row>
    <row r="509" ht="14.25" customHeight="1">
      <c r="A509" s="72" t="str">
        <f t="shared" si="1"/>
        <v>28/06/2023</v>
      </c>
      <c r="B509" s="82" t="str">
        <f t="shared" si="2"/>
        <v>06-28</v>
      </c>
      <c r="C509" s="82" t="str">
        <f t="shared" si="3"/>
        <v>AUD</v>
      </c>
      <c r="D509" s="72" t="s">
        <v>743</v>
      </c>
      <c r="E509" s="72">
        <v>1230628.0</v>
      </c>
      <c r="F509" s="72" t="s">
        <v>146</v>
      </c>
      <c r="G509" s="72" t="s">
        <v>1243</v>
      </c>
      <c r="H509" s="72" t="s">
        <v>862</v>
      </c>
      <c r="I509" s="72" t="s">
        <v>863</v>
      </c>
      <c r="J509" s="72" t="s">
        <v>747</v>
      </c>
      <c r="K509" s="72" t="s">
        <v>1243</v>
      </c>
      <c r="L509" s="72" t="s">
        <v>75</v>
      </c>
      <c r="M509" s="72" t="s">
        <v>1244</v>
      </c>
      <c r="N509" s="72" t="s">
        <v>629</v>
      </c>
      <c r="O509" s="72" t="s">
        <v>630</v>
      </c>
      <c r="P509" s="72" t="s">
        <v>79</v>
      </c>
      <c r="Q509" s="72" t="s">
        <v>122</v>
      </c>
      <c r="R509" s="76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</row>
    <row r="510" ht="14.25" customHeight="1">
      <c r="A510" s="72" t="str">
        <f t="shared" si="1"/>
        <v>28/06/2023</v>
      </c>
      <c r="B510" s="82" t="str">
        <f t="shared" si="2"/>
        <v>06-28</v>
      </c>
      <c r="C510" s="82" t="str">
        <f t="shared" si="3"/>
        <v>AUD</v>
      </c>
      <c r="D510" s="72" t="s">
        <v>743</v>
      </c>
      <c r="E510" s="72">
        <v>1230628.0</v>
      </c>
      <c r="F510" s="72" t="s">
        <v>146</v>
      </c>
      <c r="G510" s="72" t="s">
        <v>1245</v>
      </c>
      <c r="H510" s="72" t="s">
        <v>862</v>
      </c>
      <c r="I510" s="72" t="s">
        <v>863</v>
      </c>
      <c r="J510" s="72" t="s">
        <v>747</v>
      </c>
      <c r="K510" s="72" t="s">
        <v>1245</v>
      </c>
      <c r="L510" s="72" t="s">
        <v>75</v>
      </c>
      <c r="M510" s="72" t="s">
        <v>1246</v>
      </c>
      <c r="N510" s="72" t="s">
        <v>629</v>
      </c>
      <c r="O510" s="72" t="s">
        <v>630</v>
      </c>
      <c r="P510" s="72" t="s">
        <v>79</v>
      </c>
      <c r="Q510" s="72" t="s">
        <v>122</v>
      </c>
      <c r="R510" s="76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</row>
    <row r="511" ht="14.25" customHeight="1">
      <c r="A511" s="72" t="str">
        <f t="shared" si="1"/>
        <v>28/06/2023</v>
      </c>
      <c r="B511" s="82" t="str">
        <f t="shared" si="2"/>
        <v>06-28</v>
      </c>
      <c r="C511" s="82" t="str">
        <f t="shared" si="3"/>
        <v>AUD</v>
      </c>
      <c r="D511" s="72" t="s">
        <v>743</v>
      </c>
      <c r="E511" s="72">
        <v>1230628.0</v>
      </c>
      <c r="F511" s="72" t="s">
        <v>146</v>
      </c>
      <c r="G511" s="72" t="s">
        <v>1247</v>
      </c>
      <c r="H511" s="72" t="s">
        <v>862</v>
      </c>
      <c r="I511" s="72" t="s">
        <v>863</v>
      </c>
      <c r="J511" s="72" t="s">
        <v>747</v>
      </c>
      <c r="K511" s="72" t="s">
        <v>1247</v>
      </c>
      <c r="L511" s="72" t="s">
        <v>75</v>
      </c>
      <c r="M511" s="72" t="s">
        <v>1248</v>
      </c>
      <c r="N511" s="72" t="s">
        <v>629</v>
      </c>
      <c r="O511" s="72" t="s">
        <v>630</v>
      </c>
      <c r="P511" s="72" t="s">
        <v>79</v>
      </c>
      <c r="Q511" s="72" t="s">
        <v>122</v>
      </c>
      <c r="R511" s="76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</row>
    <row r="512" ht="14.25" customHeight="1">
      <c r="A512" s="72" t="str">
        <f t="shared" si="1"/>
        <v>28/06/2023</v>
      </c>
      <c r="B512" s="82" t="str">
        <f t="shared" si="2"/>
        <v>06-28</v>
      </c>
      <c r="C512" s="82" t="str">
        <f t="shared" si="3"/>
        <v>AUD</v>
      </c>
      <c r="D512" s="72" t="s">
        <v>743</v>
      </c>
      <c r="E512" s="72">
        <v>1230628.0</v>
      </c>
      <c r="F512" s="72" t="s">
        <v>146</v>
      </c>
      <c r="G512" s="72" t="s">
        <v>1249</v>
      </c>
      <c r="H512" s="72" t="s">
        <v>862</v>
      </c>
      <c r="I512" s="72" t="s">
        <v>863</v>
      </c>
      <c r="J512" s="72" t="s">
        <v>747</v>
      </c>
      <c r="K512" s="72" t="s">
        <v>1249</v>
      </c>
      <c r="L512" s="72" t="s">
        <v>75</v>
      </c>
      <c r="M512" s="72" t="s">
        <v>1250</v>
      </c>
      <c r="N512" s="72" t="s">
        <v>629</v>
      </c>
      <c r="O512" s="72" t="s">
        <v>630</v>
      </c>
      <c r="P512" s="72" t="s">
        <v>79</v>
      </c>
      <c r="Q512" s="72" t="s">
        <v>122</v>
      </c>
      <c r="R512" s="76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</row>
    <row r="513" ht="14.25" customHeight="1">
      <c r="A513" s="72" t="str">
        <f t="shared" si="1"/>
        <v>28/06/2023</v>
      </c>
      <c r="B513" s="82" t="str">
        <f t="shared" si="2"/>
        <v>06-28</v>
      </c>
      <c r="C513" s="82" t="str">
        <f t="shared" si="3"/>
        <v>AUD</v>
      </c>
      <c r="D513" s="72" t="s">
        <v>743</v>
      </c>
      <c r="E513" s="72">
        <v>1230628.0</v>
      </c>
      <c r="F513" s="72" t="s">
        <v>146</v>
      </c>
      <c r="G513" s="72" t="s">
        <v>1251</v>
      </c>
      <c r="H513" s="72" t="s">
        <v>862</v>
      </c>
      <c r="I513" s="72" t="s">
        <v>863</v>
      </c>
      <c r="J513" s="72" t="s">
        <v>747</v>
      </c>
      <c r="K513" s="72" t="s">
        <v>1251</v>
      </c>
      <c r="L513" s="72" t="s">
        <v>75</v>
      </c>
      <c r="M513" s="72" t="s">
        <v>1252</v>
      </c>
      <c r="N513" s="72" t="s">
        <v>629</v>
      </c>
      <c r="O513" s="72" t="s">
        <v>630</v>
      </c>
      <c r="P513" s="72" t="s">
        <v>79</v>
      </c>
      <c r="Q513" s="72" t="s">
        <v>122</v>
      </c>
      <c r="R513" s="76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</row>
    <row r="514" ht="14.25" customHeight="1">
      <c r="A514" s="72" t="str">
        <f t="shared" si="1"/>
        <v>28/06/2023</v>
      </c>
      <c r="B514" s="82" t="str">
        <f t="shared" si="2"/>
        <v>06-28</v>
      </c>
      <c r="C514" s="82" t="str">
        <f t="shared" si="3"/>
        <v>AUD</v>
      </c>
      <c r="D514" s="72" t="s">
        <v>743</v>
      </c>
      <c r="E514" s="72">
        <v>1230628.0</v>
      </c>
      <c r="F514" s="72" t="s">
        <v>146</v>
      </c>
      <c r="G514" s="72" t="s">
        <v>1253</v>
      </c>
      <c r="H514" s="72" t="s">
        <v>862</v>
      </c>
      <c r="I514" s="72" t="s">
        <v>863</v>
      </c>
      <c r="J514" s="72" t="s">
        <v>747</v>
      </c>
      <c r="K514" s="72" t="s">
        <v>1253</v>
      </c>
      <c r="L514" s="72" t="s">
        <v>75</v>
      </c>
      <c r="M514" s="72" t="s">
        <v>1254</v>
      </c>
      <c r="N514" s="72" t="s">
        <v>629</v>
      </c>
      <c r="O514" s="72" t="s">
        <v>630</v>
      </c>
      <c r="P514" s="72" t="s">
        <v>79</v>
      </c>
      <c r="Q514" s="72" t="s">
        <v>122</v>
      </c>
      <c r="R514" s="76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</row>
    <row r="515" ht="14.25" customHeight="1">
      <c r="A515" s="72" t="str">
        <f t="shared" si="1"/>
        <v>28/06/2023</v>
      </c>
      <c r="B515" s="82" t="str">
        <f t="shared" si="2"/>
        <v>06-28</v>
      </c>
      <c r="C515" s="82" t="str">
        <f t="shared" si="3"/>
        <v>AUD</v>
      </c>
      <c r="D515" s="72" t="s">
        <v>743</v>
      </c>
      <c r="E515" s="72">
        <v>1230628.0</v>
      </c>
      <c r="F515" s="72" t="s">
        <v>146</v>
      </c>
      <c r="G515" s="72" t="s">
        <v>1255</v>
      </c>
      <c r="H515" s="72" t="s">
        <v>862</v>
      </c>
      <c r="I515" s="72" t="s">
        <v>863</v>
      </c>
      <c r="J515" s="72" t="s">
        <v>747</v>
      </c>
      <c r="K515" s="72" t="s">
        <v>1255</v>
      </c>
      <c r="L515" s="72" t="s">
        <v>75</v>
      </c>
      <c r="M515" s="72" t="s">
        <v>1256</v>
      </c>
      <c r="N515" s="72" t="s">
        <v>629</v>
      </c>
      <c r="O515" s="72" t="s">
        <v>630</v>
      </c>
      <c r="P515" s="72" t="s">
        <v>79</v>
      </c>
      <c r="Q515" s="72" t="s">
        <v>122</v>
      </c>
      <c r="R515" s="76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</row>
    <row r="516" ht="14.25" customHeight="1">
      <c r="A516" s="72" t="str">
        <f t="shared" si="1"/>
        <v>28/06/2023</v>
      </c>
      <c r="B516" s="82" t="str">
        <f t="shared" si="2"/>
        <v>06-28</v>
      </c>
      <c r="C516" s="82" t="str">
        <f t="shared" si="3"/>
        <v>AUD</v>
      </c>
      <c r="D516" s="72" t="s">
        <v>743</v>
      </c>
      <c r="E516" s="72">
        <v>1230628.0</v>
      </c>
      <c r="F516" s="72" t="s">
        <v>146</v>
      </c>
      <c r="G516" s="72" t="s">
        <v>1257</v>
      </c>
      <c r="H516" s="72" t="s">
        <v>862</v>
      </c>
      <c r="I516" s="72" t="s">
        <v>863</v>
      </c>
      <c r="J516" s="72" t="s">
        <v>747</v>
      </c>
      <c r="K516" s="72" t="s">
        <v>1257</v>
      </c>
      <c r="L516" s="72" t="s">
        <v>75</v>
      </c>
      <c r="M516" s="72" t="s">
        <v>1258</v>
      </c>
      <c r="N516" s="72" t="s">
        <v>629</v>
      </c>
      <c r="O516" s="72" t="s">
        <v>630</v>
      </c>
      <c r="P516" s="72" t="s">
        <v>79</v>
      </c>
      <c r="Q516" s="72" t="s">
        <v>122</v>
      </c>
      <c r="R516" s="76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</row>
    <row r="517" ht="14.25" customHeight="1">
      <c r="A517" s="72" t="str">
        <f t="shared" si="1"/>
        <v>28/06/2023</v>
      </c>
      <c r="B517" s="82" t="str">
        <f t="shared" si="2"/>
        <v>06-28</v>
      </c>
      <c r="C517" s="82" t="str">
        <f t="shared" si="3"/>
        <v>AUD</v>
      </c>
      <c r="D517" s="72" t="s">
        <v>743</v>
      </c>
      <c r="E517" s="72">
        <v>1230628.0</v>
      </c>
      <c r="F517" s="72" t="s">
        <v>146</v>
      </c>
      <c r="G517" s="72" t="s">
        <v>1259</v>
      </c>
      <c r="H517" s="72" t="s">
        <v>862</v>
      </c>
      <c r="I517" s="72" t="s">
        <v>863</v>
      </c>
      <c r="J517" s="72" t="s">
        <v>747</v>
      </c>
      <c r="K517" s="72" t="s">
        <v>1259</v>
      </c>
      <c r="L517" s="72" t="s">
        <v>75</v>
      </c>
      <c r="M517" s="72" t="s">
        <v>1260</v>
      </c>
      <c r="N517" s="72" t="s">
        <v>629</v>
      </c>
      <c r="O517" s="72" t="s">
        <v>630</v>
      </c>
      <c r="P517" s="72" t="s">
        <v>79</v>
      </c>
      <c r="Q517" s="72" t="s">
        <v>122</v>
      </c>
      <c r="R517" s="76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</row>
    <row r="518" ht="14.25" customHeight="1">
      <c r="A518" s="72" t="str">
        <f t="shared" si="1"/>
        <v>28/06/2023</v>
      </c>
      <c r="B518" s="82" t="str">
        <f t="shared" si="2"/>
        <v>06-28</v>
      </c>
      <c r="C518" s="82" t="str">
        <f t="shared" si="3"/>
        <v>AUD</v>
      </c>
      <c r="D518" s="72" t="s">
        <v>743</v>
      </c>
      <c r="E518" s="72">
        <v>1230628.0</v>
      </c>
      <c r="F518" s="72" t="s">
        <v>146</v>
      </c>
      <c r="G518" s="72" t="s">
        <v>1261</v>
      </c>
      <c r="H518" s="72" t="s">
        <v>862</v>
      </c>
      <c r="I518" s="72" t="s">
        <v>863</v>
      </c>
      <c r="J518" s="72" t="s">
        <v>747</v>
      </c>
      <c r="K518" s="72" t="s">
        <v>1261</v>
      </c>
      <c r="L518" s="72" t="s">
        <v>75</v>
      </c>
      <c r="M518" s="72" t="s">
        <v>1262</v>
      </c>
      <c r="N518" s="72" t="s">
        <v>629</v>
      </c>
      <c r="O518" s="72" t="s">
        <v>630</v>
      </c>
      <c r="P518" s="72" t="s">
        <v>79</v>
      </c>
      <c r="Q518" s="72" t="s">
        <v>122</v>
      </c>
      <c r="R518" s="76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</row>
    <row r="519" ht="14.25" customHeight="1">
      <c r="A519" s="72" t="str">
        <f t="shared" si="1"/>
        <v>28/06/2023</v>
      </c>
      <c r="B519" s="82" t="str">
        <f t="shared" si="2"/>
        <v>06-28</v>
      </c>
      <c r="C519" s="82" t="str">
        <f t="shared" si="3"/>
        <v>AUD</v>
      </c>
      <c r="D519" s="72" t="s">
        <v>743</v>
      </c>
      <c r="E519" s="72">
        <v>1230628.0</v>
      </c>
      <c r="F519" s="72" t="s">
        <v>146</v>
      </c>
      <c r="G519" s="72" t="s">
        <v>1263</v>
      </c>
      <c r="H519" s="72" t="s">
        <v>862</v>
      </c>
      <c r="I519" s="72" t="s">
        <v>863</v>
      </c>
      <c r="J519" s="72" t="s">
        <v>747</v>
      </c>
      <c r="K519" s="72" t="s">
        <v>1263</v>
      </c>
      <c r="L519" s="72" t="s">
        <v>75</v>
      </c>
      <c r="M519" s="72" t="s">
        <v>1264</v>
      </c>
      <c r="N519" s="72" t="s">
        <v>629</v>
      </c>
      <c r="O519" s="72" t="s">
        <v>630</v>
      </c>
      <c r="P519" s="72" t="s">
        <v>79</v>
      </c>
      <c r="Q519" s="72" t="s">
        <v>122</v>
      </c>
      <c r="R519" s="76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</row>
    <row r="520" ht="14.25" customHeight="1">
      <c r="A520" s="72" t="str">
        <f t="shared" si="1"/>
        <v>28/06/2023</v>
      </c>
      <c r="B520" s="82" t="str">
        <f t="shared" si="2"/>
        <v>06-28</v>
      </c>
      <c r="C520" s="82" t="str">
        <f t="shared" si="3"/>
        <v>AUD</v>
      </c>
      <c r="D520" s="72" t="s">
        <v>743</v>
      </c>
      <c r="E520" s="72">
        <v>1230628.0</v>
      </c>
      <c r="F520" s="72" t="s">
        <v>146</v>
      </c>
      <c r="G520" s="72" t="s">
        <v>1265</v>
      </c>
      <c r="H520" s="72" t="s">
        <v>862</v>
      </c>
      <c r="I520" s="72" t="s">
        <v>863</v>
      </c>
      <c r="J520" s="72" t="s">
        <v>747</v>
      </c>
      <c r="K520" s="72" t="s">
        <v>1265</v>
      </c>
      <c r="L520" s="72" t="s">
        <v>75</v>
      </c>
      <c r="M520" s="72" t="s">
        <v>1266</v>
      </c>
      <c r="N520" s="72" t="s">
        <v>629</v>
      </c>
      <c r="O520" s="72" t="s">
        <v>630</v>
      </c>
      <c r="P520" s="72" t="s">
        <v>79</v>
      </c>
      <c r="Q520" s="72" t="s">
        <v>122</v>
      </c>
      <c r="R520" s="76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</row>
    <row r="521" ht="14.25" customHeight="1">
      <c r="A521" s="72" t="str">
        <f t="shared" si="1"/>
        <v>28/06/2023</v>
      </c>
      <c r="B521" s="82" t="str">
        <f t="shared" si="2"/>
        <v>06-28</v>
      </c>
      <c r="C521" s="82" t="str">
        <f t="shared" si="3"/>
        <v>AUD</v>
      </c>
      <c r="D521" s="72" t="s">
        <v>743</v>
      </c>
      <c r="E521" s="72">
        <v>1230628.0</v>
      </c>
      <c r="F521" s="72" t="s">
        <v>146</v>
      </c>
      <c r="G521" s="72" t="s">
        <v>1267</v>
      </c>
      <c r="H521" s="72" t="s">
        <v>862</v>
      </c>
      <c r="I521" s="72" t="s">
        <v>863</v>
      </c>
      <c r="J521" s="72" t="s">
        <v>747</v>
      </c>
      <c r="K521" s="72" t="s">
        <v>1267</v>
      </c>
      <c r="L521" s="72" t="s">
        <v>75</v>
      </c>
      <c r="M521" s="72" t="s">
        <v>1268</v>
      </c>
      <c r="N521" s="72" t="s">
        <v>629</v>
      </c>
      <c r="O521" s="72" t="s">
        <v>630</v>
      </c>
      <c r="P521" s="72" t="s">
        <v>79</v>
      </c>
      <c r="Q521" s="72" t="s">
        <v>122</v>
      </c>
      <c r="R521" s="76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</row>
    <row r="522" ht="14.25" customHeight="1">
      <c r="A522" s="72" t="str">
        <f t="shared" si="1"/>
        <v>28/06/2023</v>
      </c>
      <c r="B522" s="82" t="str">
        <f t="shared" si="2"/>
        <v>06-28</v>
      </c>
      <c r="C522" s="82" t="str">
        <f t="shared" si="3"/>
        <v>AUD</v>
      </c>
      <c r="D522" s="72" t="s">
        <v>743</v>
      </c>
      <c r="E522" s="72">
        <v>1230628.0</v>
      </c>
      <c r="F522" s="72" t="s">
        <v>146</v>
      </c>
      <c r="G522" s="72" t="s">
        <v>1269</v>
      </c>
      <c r="H522" s="72" t="s">
        <v>862</v>
      </c>
      <c r="I522" s="72" t="s">
        <v>863</v>
      </c>
      <c r="J522" s="72" t="s">
        <v>747</v>
      </c>
      <c r="K522" s="72" t="s">
        <v>1269</v>
      </c>
      <c r="L522" s="72" t="s">
        <v>75</v>
      </c>
      <c r="M522" s="72" t="s">
        <v>1270</v>
      </c>
      <c r="N522" s="72" t="s">
        <v>629</v>
      </c>
      <c r="O522" s="72" t="s">
        <v>630</v>
      </c>
      <c r="P522" s="72" t="s">
        <v>79</v>
      </c>
      <c r="Q522" s="72" t="s">
        <v>122</v>
      </c>
      <c r="R522" s="76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</row>
    <row r="523" ht="14.25" customHeight="1">
      <c r="A523" s="72" t="str">
        <f t="shared" si="1"/>
        <v>28/06/2023</v>
      </c>
      <c r="B523" s="82" t="str">
        <f t="shared" si="2"/>
        <v>06-28</v>
      </c>
      <c r="C523" s="82" t="str">
        <f t="shared" si="3"/>
        <v>AUD</v>
      </c>
      <c r="D523" s="72" t="s">
        <v>743</v>
      </c>
      <c r="E523" s="72">
        <v>1230628.0</v>
      </c>
      <c r="F523" s="72" t="s">
        <v>146</v>
      </c>
      <c r="G523" s="72" t="s">
        <v>1271</v>
      </c>
      <c r="H523" s="72" t="s">
        <v>862</v>
      </c>
      <c r="I523" s="72" t="s">
        <v>863</v>
      </c>
      <c r="J523" s="72" t="s">
        <v>747</v>
      </c>
      <c r="K523" s="72" t="s">
        <v>1271</v>
      </c>
      <c r="L523" s="72" t="s">
        <v>75</v>
      </c>
      <c r="M523" s="72" t="s">
        <v>1272</v>
      </c>
      <c r="N523" s="72" t="s">
        <v>629</v>
      </c>
      <c r="O523" s="72" t="s">
        <v>630</v>
      </c>
      <c r="P523" s="72" t="s">
        <v>79</v>
      </c>
      <c r="Q523" s="72" t="s">
        <v>122</v>
      </c>
      <c r="R523" s="76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</row>
    <row r="524" ht="14.25" customHeight="1">
      <c r="A524" s="72" t="str">
        <f t="shared" si="1"/>
        <v>28/06/2023</v>
      </c>
      <c r="B524" s="82" t="str">
        <f t="shared" si="2"/>
        <v>06-28</v>
      </c>
      <c r="C524" s="82" t="str">
        <f t="shared" si="3"/>
        <v>AUD</v>
      </c>
      <c r="D524" s="72" t="s">
        <v>743</v>
      </c>
      <c r="E524" s="72">
        <v>1230628.0</v>
      </c>
      <c r="F524" s="72" t="s">
        <v>146</v>
      </c>
      <c r="G524" s="72" t="s">
        <v>1273</v>
      </c>
      <c r="H524" s="72" t="s">
        <v>862</v>
      </c>
      <c r="I524" s="72" t="s">
        <v>863</v>
      </c>
      <c r="J524" s="72" t="s">
        <v>747</v>
      </c>
      <c r="K524" s="72" t="s">
        <v>1273</v>
      </c>
      <c r="L524" s="72" t="s">
        <v>75</v>
      </c>
      <c r="M524" s="72" t="s">
        <v>1274</v>
      </c>
      <c r="N524" s="72" t="s">
        <v>629</v>
      </c>
      <c r="O524" s="72" t="s">
        <v>630</v>
      </c>
      <c r="P524" s="72" t="s">
        <v>79</v>
      </c>
      <c r="Q524" s="72" t="s">
        <v>122</v>
      </c>
      <c r="R524" s="76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</row>
    <row r="525" ht="14.25" customHeight="1">
      <c r="A525" s="72" t="str">
        <f t="shared" si="1"/>
        <v>28/06/2023</v>
      </c>
      <c r="B525" s="82" t="str">
        <f t="shared" si="2"/>
        <v>06-28</v>
      </c>
      <c r="C525" s="82" t="str">
        <f t="shared" si="3"/>
        <v>AUD</v>
      </c>
      <c r="D525" s="72" t="s">
        <v>743</v>
      </c>
      <c r="E525" s="72">
        <v>1230628.0</v>
      </c>
      <c r="F525" s="72" t="s">
        <v>146</v>
      </c>
      <c r="G525" s="72" t="s">
        <v>1275</v>
      </c>
      <c r="H525" s="72" t="s">
        <v>853</v>
      </c>
      <c r="I525" s="72" t="s">
        <v>854</v>
      </c>
      <c r="J525" s="72" t="s">
        <v>747</v>
      </c>
      <c r="K525" s="72" t="s">
        <v>1275</v>
      </c>
      <c r="L525" s="72" t="s">
        <v>75</v>
      </c>
      <c r="M525" s="72" t="s">
        <v>1276</v>
      </c>
      <c r="N525" s="72" t="s">
        <v>1277</v>
      </c>
      <c r="O525" s="72" t="s">
        <v>1278</v>
      </c>
      <c r="P525" s="72" t="s">
        <v>79</v>
      </c>
      <c r="Q525" s="72" t="s">
        <v>80</v>
      </c>
      <c r="R525" s="76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</row>
    <row r="526" ht="14.25" customHeight="1">
      <c r="A526" s="72" t="str">
        <f t="shared" si="1"/>
        <v>28/06/2023</v>
      </c>
      <c r="B526" s="82" t="str">
        <f t="shared" si="2"/>
        <v>06-28</v>
      </c>
      <c r="C526" s="82" t="str">
        <f t="shared" si="3"/>
        <v>AUD</v>
      </c>
      <c r="D526" s="72" t="s">
        <v>743</v>
      </c>
      <c r="E526" s="72">
        <v>1230628.0</v>
      </c>
      <c r="F526" s="72" t="s">
        <v>146</v>
      </c>
      <c r="G526" s="72" t="s">
        <v>1279</v>
      </c>
      <c r="H526" s="72" t="s">
        <v>853</v>
      </c>
      <c r="I526" s="72" t="s">
        <v>854</v>
      </c>
      <c r="J526" s="72" t="s">
        <v>747</v>
      </c>
      <c r="K526" s="72" t="s">
        <v>1279</v>
      </c>
      <c r="L526" s="72" t="s">
        <v>75</v>
      </c>
      <c r="M526" s="72" t="s">
        <v>1280</v>
      </c>
      <c r="N526" s="72" t="s">
        <v>1277</v>
      </c>
      <c r="O526" s="72" t="s">
        <v>1278</v>
      </c>
      <c r="P526" s="72" t="s">
        <v>79</v>
      </c>
      <c r="Q526" s="72" t="s">
        <v>80</v>
      </c>
      <c r="R526" s="76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</row>
    <row r="527" ht="14.25" customHeight="1">
      <c r="A527" s="72" t="str">
        <f t="shared" si="1"/>
        <v>28/06/2023</v>
      </c>
      <c r="B527" s="82" t="str">
        <f t="shared" si="2"/>
        <v>06-28</v>
      </c>
      <c r="C527" s="82" t="str">
        <f t="shared" si="3"/>
        <v>AUD</v>
      </c>
      <c r="D527" s="72" t="s">
        <v>743</v>
      </c>
      <c r="E527" s="72">
        <v>1230628.0</v>
      </c>
      <c r="F527" s="72" t="s">
        <v>146</v>
      </c>
      <c r="G527" s="72" t="s">
        <v>1281</v>
      </c>
      <c r="H527" s="72" t="s">
        <v>853</v>
      </c>
      <c r="I527" s="72" t="s">
        <v>854</v>
      </c>
      <c r="J527" s="72" t="s">
        <v>747</v>
      </c>
      <c r="K527" s="72" t="s">
        <v>1281</v>
      </c>
      <c r="L527" s="72" t="s">
        <v>75</v>
      </c>
      <c r="M527" s="72" t="s">
        <v>1282</v>
      </c>
      <c r="N527" s="72" t="s">
        <v>1277</v>
      </c>
      <c r="O527" s="72" t="s">
        <v>1278</v>
      </c>
      <c r="P527" s="72" t="s">
        <v>79</v>
      </c>
      <c r="Q527" s="72" t="s">
        <v>80</v>
      </c>
      <c r="R527" s="76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</row>
    <row r="528" ht="14.25" customHeight="1">
      <c r="A528" s="72" t="str">
        <f t="shared" si="1"/>
        <v>28/06/2023</v>
      </c>
      <c r="B528" s="82" t="str">
        <f t="shared" si="2"/>
        <v>06-28</v>
      </c>
      <c r="C528" s="82" t="str">
        <f t="shared" si="3"/>
        <v>AUD</v>
      </c>
      <c r="D528" s="72" t="s">
        <v>743</v>
      </c>
      <c r="E528" s="72">
        <v>1230628.0</v>
      </c>
      <c r="F528" s="72" t="s">
        <v>146</v>
      </c>
      <c r="G528" s="72" t="s">
        <v>1283</v>
      </c>
      <c r="H528" s="72" t="s">
        <v>853</v>
      </c>
      <c r="I528" s="72" t="s">
        <v>854</v>
      </c>
      <c r="J528" s="72" t="s">
        <v>747</v>
      </c>
      <c r="K528" s="72" t="s">
        <v>1283</v>
      </c>
      <c r="L528" s="72" t="s">
        <v>75</v>
      </c>
      <c r="M528" s="72" t="s">
        <v>1284</v>
      </c>
      <c r="N528" s="72" t="s">
        <v>1277</v>
      </c>
      <c r="O528" s="72" t="s">
        <v>1278</v>
      </c>
      <c r="P528" s="72" t="s">
        <v>79</v>
      </c>
      <c r="Q528" s="72" t="s">
        <v>80</v>
      </c>
      <c r="R528" s="76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</row>
    <row r="529" ht="14.25" customHeight="1">
      <c r="A529" s="72" t="str">
        <f t="shared" si="1"/>
        <v>28/06/2023</v>
      </c>
      <c r="B529" s="82" t="str">
        <f t="shared" si="2"/>
        <v>06-28</v>
      </c>
      <c r="C529" s="82" t="str">
        <f t="shared" si="3"/>
        <v>AUD</v>
      </c>
      <c r="D529" s="72" t="s">
        <v>743</v>
      </c>
      <c r="E529" s="72">
        <v>1230628.0</v>
      </c>
      <c r="F529" s="72" t="s">
        <v>146</v>
      </c>
      <c r="G529" s="72" t="s">
        <v>1285</v>
      </c>
      <c r="H529" s="72" t="s">
        <v>853</v>
      </c>
      <c r="I529" s="72" t="s">
        <v>854</v>
      </c>
      <c r="J529" s="72" t="s">
        <v>747</v>
      </c>
      <c r="K529" s="72" t="s">
        <v>1285</v>
      </c>
      <c r="L529" s="72" t="s">
        <v>75</v>
      </c>
      <c r="M529" s="72" t="s">
        <v>1286</v>
      </c>
      <c r="N529" s="72" t="s">
        <v>1277</v>
      </c>
      <c r="O529" s="72" t="s">
        <v>1278</v>
      </c>
      <c r="P529" s="72" t="s">
        <v>79</v>
      </c>
      <c r="Q529" s="72" t="s">
        <v>80</v>
      </c>
      <c r="R529" s="76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</row>
    <row r="530" ht="14.25" customHeight="1">
      <c r="A530" s="72" t="str">
        <f t="shared" si="1"/>
        <v>28/06/2023</v>
      </c>
      <c r="B530" s="82" t="str">
        <f t="shared" si="2"/>
        <v>06-28</v>
      </c>
      <c r="C530" s="82" t="str">
        <f t="shared" si="3"/>
        <v>AUD</v>
      </c>
      <c r="D530" s="72" t="s">
        <v>743</v>
      </c>
      <c r="E530" s="72">
        <v>1230628.0</v>
      </c>
      <c r="F530" s="72" t="s">
        <v>146</v>
      </c>
      <c r="G530" s="72" t="s">
        <v>1287</v>
      </c>
      <c r="H530" s="72" t="s">
        <v>853</v>
      </c>
      <c r="I530" s="72" t="s">
        <v>854</v>
      </c>
      <c r="J530" s="72" t="s">
        <v>747</v>
      </c>
      <c r="K530" s="72" t="s">
        <v>1287</v>
      </c>
      <c r="L530" s="72" t="s">
        <v>75</v>
      </c>
      <c r="M530" s="72" t="s">
        <v>1288</v>
      </c>
      <c r="N530" s="72" t="s">
        <v>1277</v>
      </c>
      <c r="O530" s="72" t="s">
        <v>1278</v>
      </c>
      <c r="P530" s="72" t="s">
        <v>79</v>
      </c>
      <c r="Q530" s="72" t="s">
        <v>80</v>
      </c>
      <c r="R530" s="76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</row>
    <row r="531" ht="14.25" customHeight="1">
      <c r="A531" s="72" t="str">
        <f t="shared" si="1"/>
        <v>28/06/2023</v>
      </c>
      <c r="B531" s="82" t="str">
        <f t="shared" si="2"/>
        <v>06-28</v>
      </c>
      <c r="C531" s="82" t="str">
        <f t="shared" si="3"/>
        <v>AUD</v>
      </c>
      <c r="D531" s="72" t="s">
        <v>743</v>
      </c>
      <c r="E531" s="72">
        <v>1230628.0</v>
      </c>
      <c r="F531" s="72" t="s">
        <v>146</v>
      </c>
      <c r="G531" s="72" t="s">
        <v>1289</v>
      </c>
      <c r="H531" s="72" t="s">
        <v>853</v>
      </c>
      <c r="I531" s="72" t="s">
        <v>854</v>
      </c>
      <c r="J531" s="72" t="s">
        <v>747</v>
      </c>
      <c r="K531" s="72" t="s">
        <v>1289</v>
      </c>
      <c r="L531" s="72" t="s">
        <v>75</v>
      </c>
      <c r="M531" s="72" t="s">
        <v>1290</v>
      </c>
      <c r="N531" s="72" t="s">
        <v>639</v>
      </c>
      <c r="O531" s="72" t="s">
        <v>643</v>
      </c>
      <c r="P531" s="72" t="s">
        <v>79</v>
      </c>
      <c r="Q531" s="72" t="s">
        <v>133</v>
      </c>
      <c r="R531" s="76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</row>
    <row r="532" ht="14.25" customHeight="1">
      <c r="A532" s="72" t="str">
        <f t="shared" si="1"/>
        <v>28/06/2023</v>
      </c>
      <c r="B532" s="82" t="str">
        <f t="shared" si="2"/>
        <v>06-28</v>
      </c>
      <c r="C532" s="82" t="str">
        <f t="shared" si="3"/>
        <v>AUD</v>
      </c>
      <c r="D532" s="72" t="s">
        <v>743</v>
      </c>
      <c r="E532" s="72">
        <v>1230628.0</v>
      </c>
      <c r="F532" s="72" t="s">
        <v>146</v>
      </c>
      <c r="G532" s="72" t="s">
        <v>1291</v>
      </c>
      <c r="H532" s="72" t="s">
        <v>853</v>
      </c>
      <c r="I532" s="72" t="s">
        <v>854</v>
      </c>
      <c r="J532" s="72" t="s">
        <v>747</v>
      </c>
      <c r="K532" s="72" t="s">
        <v>1291</v>
      </c>
      <c r="L532" s="72" t="s">
        <v>75</v>
      </c>
      <c r="M532" s="72" t="s">
        <v>1292</v>
      </c>
      <c r="N532" s="72" t="s">
        <v>639</v>
      </c>
      <c r="O532" s="72" t="s">
        <v>643</v>
      </c>
      <c r="P532" s="72" t="s">
        <v>79</v>
      </c>
      <c r="Q532" s="72" t="s">
        <v>133</v>
      </c>
      <c r="R532" s="76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</row>
    <row r="533" ht="14.25" customHeight="1">
      <c r="A533" s="72" t="str">
        <f t="shared" si="1"/>
        <v>28/06/2023</v>
      </c>
      <c r="B533" s="82" t="str">
        <f t="shared" si="2"/>
        <v>06-28</v>
      </c>
      <c r="C533" s="82" t="str">
        <f t="shared" si="3"/>
        <v>AUD</v>
      </c>
      <c r="D533" s="72" t="s">
        <v>743</v>
      </c>
      <c r="E533" s="72">
        <v>1230628.0</v>
      </c>
      <c r="F533" s="72" t="s">
        <v>146</v>
      </c>
      <c r="G533" s="72" t="s">
        <v>1293</v>
      </c>
      <c r="H533" s="72" t="s">
        <v>853</v>
      </c>
      <c r="I533" s="72" t="s">
        <v>854</v>
      </c>
      <c r="J533" s="72" t="s">
        <v>747</v>
      </c>
      <c r="K533" s="72" t="s">
        <v>1293</v>
      </c>
      <c r="L533" s="72" t="s">
        <v>75</v>
      </c>
      <c r="M533" s="72" t="s">
        <v>1294</v>
      </c>
      <c r="N533" s="72" t="s">
        <v>639</v>
      </c>
      <c r="O533" s="72" t="s">
        <v>643</v>
      </c>
      <c r="P533" s="72" t="s">
        <v>79</v>
      </c>
      <c r="Q533" s="72" t="s">
        <v>133</v>
      </c>
      <c r="R533" s="76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</row>
    <row r="534" ht="14.25" customHeight="1">
      <c r="A534" s="72" t="str">
        <f t="shared" si="1"/>
        <v>28/06/2023</v>
      </c>
      <c r="B534" s="82" t="str">
        <f t="shared" si="2"/>
        <v>06-28</v>
      </c>
      <c r="C534" s="82" t="str">
        <f t="shared" si="3"/>
        <v>AUD</v>
      </c>
      <c r="D534" s="72" t="s">
        <v>743</v>
      </c>
      <c r="E534" s="72">
        <v>1230628.0</v>
      </c>
      <c r="F534" s="72" t="s">
        <v>146</v>
      </c>
      <c r="G534" s="72" t="s">
        <v>1295</v>
      </c>
      <c r="H534" s="72" t="s">
        <v>853</v>
      </c>
      <c r="I534" s="72" t="s">
        <v>854</v>
      </c>
      <c r="J534" s="72" t="s">
        <v>747</v>
      </c>
      <c r="K534" s="72" t="s">
        <v>1295</v>
      </c>
      <c r="L534" s="72" t="s">
        <v>75</v>
      </c>
      <c r="M534" s="72" t="s">
        <v>1296</v>
      </c>
      <c r="N534" s="72" t="s">
        <v>639</v>
      </c>
      <c r="O534" s="72" t="s">
        <v>643</v>
      </c>
      <c r="P534" s="72" t="s">
        <v>79</v>
      </c>
      <c r="Q534" s="72" t="s">
        <v>133</v>
      </c>
      <c r="R534" s="76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</row>
    <row r="535" ht="14.25" customHeight="1">
      <c r="A535" s="72" t="str">
        <f t="shared" si="1"/>
        <v>28/06/2023</v>
      </c>
      <c r="B535" s="82" t="str">
        <f t="shared" si="2"/>
        <v>06-28</v>
      </c>
      <c r="C535" s="82" t="str">
        <f t="shared" si="3"/>
        <v>AUD</v>
      </c>
      <c r="D535" s="72" t="s">
        <v>743</v>
      </c>
      <c r="E535" s="72">
        <v>1230628.0</v>
      </c>
      <c r="F535" s="72" t="s">
        <v>146</v>
      </c>
      <c r="G535" s="72" t="s">
        <v>1297</v>
      </c>
      <c r="H535" s="72" t="s">
        <v>853</v>
      </c>
      <c r="I535" s="72" t="s">
        <v>854</v>
      </c>
      <c r="J535" s="72" t="s">
        <v>747</v>
      </c>
      <c r="K535" s="72" t="s">
        <v>1297</v>
      </c>
      <c r="L535" s="72" t="s">
        <v>75</v>
      </c>
      <c r="M535" s="72" t="s">
        <v>1298</v>
      </c>
      <c r="N535" s="72" t="s">
        <v>639</v>
      </c>
      <c r="O535" s="72" t="s">
        <v>643</v>
      </c>
      <c r="P535" s="72" t="s">
        <v>79</v>
      </c>
      <c r="Q535" s="72" t="s">
        <v>133</v>
      </c>
      <c r="R535" s="76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</row>
    <row r="536" ht="14.25" customHeight="1">
      <c r="A536" s="72" t="str">
        <f t="shared" si="1"/>
        <v>28/06/2023</v>
      </c>
      <c r="B536" s="82" t="str">
        <f t="shared" si="2"/>
        <v>06-28</v>
      </c>
      <c r="C536" s="82" t="str">
        <f t="shared" si="3"/>
        <v>AUD</v>
      </c>
      <c r="D536" s="72" t="s">
        <v>743</v>
      </c>
      <c r="E536" s="72">
        <v>1230628.0</v>
      </c>
      <c r="F536" s="72" t="s">
        <v>146</v>
      </c>
      <c r="G536" s="72" t="s">
        <v>1299</v>
      </c>
      <c r="H536" s="72" t="s">
        <v>853</v>
      </c>
      <c r="I536" s="72" t="s">
        <v>854</v>
      </c>
      <c r="J536" s="72" t="s">
        <v>747</v>
      </c>
      <c r="K536" s="72" t="s">
        <v>1299</v>
      </c>
      <c r="L536" s="72" t="s">
        <v>75</v>
      </c>
      <c r="M536" s="72" t="s">
        <v>1300</v>
      </c>
      <c r="N536" s="72" t="s">
        <v>639</v>
      </c>
      <c r="O536" s="72" t="s">
        <v>643</v>
      </c>
      <c r="P536" s="72" t="s">
        <v>79</v>
      </c>
      <c r="Q536" s="72" t="s">
        <v>133</v>
      </c>
      <c r="R536" s="76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</row>
    <row r="537" ht="14.25" customHeight="1">
      <c r="A537" s="72" t="str">
        <f t="shared" si="1"/>
        <v>28/06/2023</v>
      </c>
      <c r="B537" s="82" t="str">
        <f t="shared" si="2"/>
        <v>06-28</v>
      </c>
      <c r="C537" s="82" t="str">
        <f t="shared" si="3"/>
        <v>AUD</v>
      </c>
      <c r="D537" s="72" t="s">
        <v>743</v>
      </c>
      <c r="E537" s="72">
        <v>1230628.0</v>
      </c>
      <c r="F537" s="72" t="s">
        <v>146</v>
      </c>
      <c r="G537" s="72" t="s">
        <v>1301</v>
      </c>
      <c r="H537" s="72" t="s">
        <v>853</v>
      </c>
      <c r="I537" s="72" t="s">
        <v>854</v>
      </c>
      <c r="J537" s="72" t="s">
        <v>747</v>
      </c>
      <c r="K537" s="72" t="s">
        <v>1301</v>
      </c>
      <c r="L537" s="72" t="s">
        <v>75</v>
      </c>
      <c r="M537" s="72" t="s">
        <v>1302</v>
      </c>
      <c r="N537" s="72" t="s">
        <v>639</v>
      </c>
      <c r="O537" s="72" t="s">
        <v>643</v>
      </c>
      <c r="P537" s="72" t="s">
        <v>79</v>
      </c>
      <c r="Q537" s="72" t="s">
        <v>133</v>
      </c>
      <c r="R537" s="76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</row>
    <row r="538" ht="14.25" customHeight="1">
      <c r="A538" s="72" t="str">
        <f t="shared" si="1"/>
        <v>28/06/2023</v>
      </c>
      <c r="B538" s="82" t="str">
        <f t="shared" si="2"/>
        <v>06-28</v>
      </c>
      <c r="C538" s="82" t="str">
        <f t="shared" si="3"/>
        <v>AUD</v>
      </c>
      <c r="D538" s="72" t="s">
        <v>743</v>
      </c>
      <c r="E538" s="72">
        <v>1230628.0</v>
      </c>
      <c r="F538" s="72" t="s">
        <v>146</v>
      </c>
      <c r="G538" s="72" t="s">
        <v>1303</v>
      </c>
      <c r="H538" s="72" t="s">
        <v>853</v>
      </c>
      <c r="I538" s="72" t="s">
        <v>854</v>
      </c>
      <c r="J538" s="72" t="s">
        <v>747</v>
      </c>
      <c r="K538" s="72" t="s">
        <v>1303</v>
      </c>
      <c r="L538" s="72" t="s">
        <v>75</v>
      </c>
      <c r="M538" s="72" t="s">
        <v>1304</v>
      </c>
      <c r="N538" s="72" t="s">
        <v>639</v>
      </c>
      <c r="O538" s="72" t="s">
        <v>643</v>
      </c>
      <c r="P538" s="72" t="s">
        <v>79</v>
      </c>
      <c r="Q538" s="72" t="s">
        <v>133</v>
      </c>
      <c r="R538" s="76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</row>
    <row r="539" ht="14.25" customHeight="1">
      <c r="A539" s="72" t="str">
        <f t="shared" si="1"/>
        <v>28/06/2023</v>
      </c>
      <c r="B539" s="82" t="str">
        <f t="shared" si="2"/>
        <v>06-28</v>
      </c>
      <c r="C539" s="82" t="str">
        <f t="shared" si="3"/>
        <v>AUD</v>
      </c>
      <c r="D539" s="72" t="s">
        <v>743</v>
      </c>
      <c r="E539" s="72">
        <v>1230628.0</v>
      </c>
      <c r="F539" s="72" t="s">
        <v>146</v>
      </c>
      <c r="G539" s="72" t="s">
        <v>1305</v>
      </c>
      <c r="H539" s="72" t="s">
        <v>853</v>
      </c>
      <c r="I539" s="72" t="s">
        <v>854</v>
      </c>
      <c r="J539" s="72" t="s">
        <v>747</v>
      </c>
      <c r="K539" s="72" t="s">
        <v>1305</v>
      </c>
      <c r="L539" s="72" t="s">
        <v>75</v>
      </c>
      <c r="M539" s="72" t="s">
        <v>1306</v>
      </c>
      <c r="N539" s="72" t="s">
        <v>639</v>
      </c>
      <c r="O539" s="72" t="s">
        <v>643</v>
      </c>
      <c r="P539" s="72" t="s">
        <v>79</v>
      </c>
      <c r="Q539" s="72" t="s">
        <v>133</v>
      </c>
      <c r="R539" s="76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</row>
    <row r="540" ht="14.25" customHeight="1">
      <c r="A540" s="72" t="str">
        <f t="shared" si="1"/>
        <v>28/06/2023</v>
      </c>
      <c r="B540" s="82" t="str">
        <f t="shared" si="2"/>
        <v>06-28</v>
      </c>
      <c r="C540" s="82" t="str">
        <f t="shared" si="3"/>
        <v>AUD</v>
      </c>
      <c r="D540" s="72" t="s">
        <v>743</v>
      </c>
      <c r="E540" s="72">
        <v>1230628.0</v>
      </c>
      <c r="F540" s="72" t="s">
        <v>146</v>
      </c>
      <c r="G540" s="72" t="s">
        <v>1307</v>
      </c>
      <c r="H540" s="72" t="s">
        <v>853</v>
      </c>
      <c r="I540" s="72" t="s">
        <v>854</v>
      </c>
      <c r="J540" s="72" t="s">
        <v>747</v>
      </c>
      <c r="K540" s="72" t="s">
        <v>1307</v>
      </c>
      <c r="L540" s="72" t="s">
        <v>75</v>
      </c>
      <c r="M540" s="72" t="s">
        <v>1308</v>
      </c>
      <c r="N540" s="72" t="s">
        <v>639</v>
      </c>
      <c r="O540" s="72" t="s">
        <v>643</v>
      </c>
      <c r="P540" s="72" t="s">
        <v>79</v>
      </c>
      <c r="Q540" s="72" t="s">
        <v>133</v>
      </c>
      <c r="R540" s="76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</row>
    <row r="541" ht="14.25" customHeight="1">
      <c r="A541" s="72" t="str">
        <f t="shared" si="1"/>
        <v>28/06/2023</v>
      </c>
      <c r="B541" s="82" t="str">
        <f t="shared" si="2"/>
        <v>06-28</v>
      </c>
      <c r="C541" s="82" t="str">
        <f t="shared" si="3"/>
        <v>AUD</v>
      </c>
      <c r="D541" s="72" t="s">
        <v>743</v>
      </c>
      <c r="E541" s="72">
        <v>1230628.0</v>
      </c>
      <c r="F541" s="72" t="s">
        <v>146</v>
      </c>
      <c r="G541" s="72" t="s">
        <v>1309</v>
      </c>
      <c r="H541" s="72" t="s">
        <v>853</v>
      </c>
      <c r="I541" s="72" t="s">
        <v>854</v>
      </c>
      <c r="J541" s="72" t="s">
        <v>747</v>
      </c>
      <c r="K541" s="72" t="s">
        <v>1309</v>
      </c>
      <c r="L541" s="72" t="s">
        <v>75</v>
      </c>
      <c r="M541" s="72" t="s">
        <v>1310</v>
      </c>
      <c r="N541" s="72" t="s">
        <v>639</v>
      </c>
      <c r="O541" s="72" t="s">
        <v>643</v>
      </c>
      <c r="P541" s="72" t="s">
        <v>79</v>
      </c>
      <c r="Q541" s="72" t="s">
        <v>133</v>
      </c>
      <c r="R541" s="76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</row>
    <row r="542" ht="14.25" customHeight="1">
      <c r="A542" s="72" t="str">
        <f t="shared" si="1"/>
        <v>28/06/2023</v>
      </c>
      <c r="B542" s="82" t="str">
        <f t="shared" si="2"/>
        <v>06-28</v>
      </c>
      <c r="C542" s="82" t="str">
        <f t="shared" si="3"/>
        <v>AUD</v>
      </c>
      <c r="D542" s="72" t="s">
        <v>743</v>
      </c>
      <c r="E542" s="72">
        <v>1230628.0</v>
      </c>
      <c r="F542" s="72" t="s">
        <v>146</v>
      </c>
      <c r="G542" s="72" t="s">
        <v>1311</v>
      </c>
      <c r="H542" s="72" t="s">
        <v>853</v>
      </c>
      <c r="I542" s="72" t="s">
        <v>854</v>
      </c>
      <c r="J542" s="72" t="s">
        <v>747</v>
      </c>
      <c r="K542" s="72" t="s">
        <v>1311</v>
      </c>
      <c r="L542" s="72" t="s">
        <v>75</v>
      </c>
      <c r="M542" s="72" t="s">
        <v>1312</v>
      </c>
      <c r="N542" s="72" t="s">
        <v>639</v>
      </c>
      <c r="O542" s="72" t="s">
        <v>643</v>
      </c>
      <c r="P542" s="72" t="s">
        <v>79</v>
      </c>
      <c r="Q542" s="72" t="s">
        <v>133</v>
      </c>
      <c r="R542" s="76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</row>
    <row r="543" ht="14.25" customHeight="1">
      <c r="A543" s="72" t="str">
        <f t="shared" si="1"/>
        <v>28/06/2023</v>
      </c>
      <c r="B543" s="82" t="str">
        <f t="shared" si="2"/>
        <v>06-28</v>
      </c>
      <c r="C543" s="82" t="str">
        <f t="shared" si="3"/>
        <v>AUD</v>
      </c>
      <c r="D543" s="72" t="s">
        <v>743</v>
      </c>
      <c r="E543" s="72">
        <v>1230628.0</v>
      </c>
      <c r="F543" s="72" t="s">
        <v>146</v>
      </c>
      <c r="G543" s="72" t="s">
        <v>1313</v>
      </c>
      <c r="H543" s="72" t="s">
        <v>853</v>
      </c>
      <c r="I543" s="72" t="s">
        <v>854</v>
      </c>
      <c r="J543" s="72" t="s">
        <v>747</v>
      </c>
      <c r="K543" s="72" t="s">
        <v>1313</v>
      </c>
      <c r="L543" s="72" t="s">
        <v>75</v>
      </c>
      <c r="M543" s="72" t="s">
        <v>1314</v>
      </c>
      <c r="N543" s="72" t="s">
        <v>639</v>
      </c>
      <c r="O543" s="72" t="s">
        <v>643</v>
      </c>
      <c r="P543" s="72" t="s">
        <v>79</v>
      </c>
      <c r="Q543" s="72" t="s">
        <v>133</v>
      </c>
      <c r="R543" s="76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</row>
    <row r="544" ht="14.25" customHeight="1">
      <c r="A544" s="72" t="str">
        <f t="shared" si="1"/>
        <v>28/06/2023</v>
      </c>
      <c r="B544" s="82" t="str">
        <f t="shared" si="2"/>
        <v>06-28</v>
      </c>
      <c r="C544" s="82" t="str">
        <f t="shared" si="3"/>
        <v>AUD</v>
      </c>
      <c r="D544" s="72" t="s">
        <v>743</v>
      </c>
      <c r="E544" s="72">
        <v>1230628.0</v>
      </c>
      <c r="F544" s="72" t="s">
        <v>146</v>
      </c>
      <c r="G544" s="72" t="s">
        <v>1315</v>
      </c>
      <c r="H544" s="72" t="s">
        <v>853</v>
      </c>
      <c r="I544" s="72" t="s">
        <v>854</v>
      </c>
      <c r="J544" s="72" t="s">
        <v>747</v>
      </c>
      <c r="K544" s="72" t="s">
        <v>1315</v>
      </c>
      <c r="L544" s="72" t="s">
        <v>75</v>
      </c>
      <c r="M544" s="72" t="s">
        <v>1316</v>
      </c>
      <c r="N544" s="72" t="s">
        <v>639</v>
      </c>
      <c r="O544" s="72" t="s">
        <v>643</v>
      </c>
      <c r="P544" s="72" t="s">
        <v>79</v>
      </c>
      <c r="Q544" s="72" t="s">
        <v>133</v>
      </c>
      <c r="R544" s="76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</row>
    <row r="545" ht="14.25" customHeight="1">
      <c r="A545" s="72" t="str">
        <f t="shared" si="1"/>
        <v>28/06/2023</v>
      </c>
      <c r="B545" s="82" t="str">
        <f t="shared" si="2"/>
        <v>06-28</v>
      </c>
      <c r="C545" s="82" t="str">
        <f t="shared" si="3"/>
        <v>AUD</v>
      </c>
      <c r="D545" s="72" t="s">
        <v>743</v>
      </c>
      <c r="E545" s="72">
        <v>1230628.0</v>
      </c>
      <c r="F545" s="72" t="s">
        <v>146</v>
      </c>
      <c r="G545" s="72" t="s">
        <v>1317</v>
      </c>
      <c r="H545" s="72" t="s">
        <v>853</v>
      </c>
      <c r="I545" s="72" t="s">
        <v>854</v>
      </c>
      <c r="J545" s="72" t="s">
        <v>747</v>
      </c>
      <c r="K545" s="72" t="s">
        <v>1317</v>
      </c>
      <c r="L545" s="72" t="s">
        <v>75</v>
      </c>
      <c r="M545" s="72" t="s">
        <v>1318</v>
      </c>
      <c r="N545" s="72" t="s">
        <v>639</v>
      </c>
      <c r="O545" s="72" t="s">
        <v>643</v>
      </c>
      <c r="P545" s="72" t="s">
        <v>79</v>
      </c>
      <c r="Q545" s="72" t="s">
        <v>133</v>
      </c>
      <c r="R545" s="76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</row>
    <row r="546" ht="14.25" customHeight="1">
      <c r="A546" s="72" t="str">
        <f t="shared" si="1"/>
        <v>28/06/2023</v>
      </c>
      <c r="B546" s="82" t="str">
        <f t="shared" si="2"/>
        <v>06-28</v>
      </c>
      <c r="C546" s="82" t="str">
        <f t="shared" si="3"/>
        <v>AUD</v>
      </c>
      <c r="D546" s="72" t="s">
        <v>743</v>
      </c>
      <c r="E546" s="72">
        <v>1230628.0</v>
      </c>
      <c r="F546" s="72" t="s">
        <v>146</v>
      </c>
      <c r="G546" s="72" t="s">
        <v>1319</v>
      </c>
      <c r="H546" s="72" t="s">
        <v>853</v>
      </c>
      <c r="I546" s="72" t="s">
        <v>854</v>
      </c>
      <c r="J546" s="72" t="s">
        <v>747</v>
      </c>
      <c r="K546" s="72" t="s">
        <v>1319</v>
      </c>
      <c r="L546" s="72" t="s">
        <v>75</v>
      </c>
      <c r="M546" s="72" t="s">
        <v>1320</v>
      </c>
      <c r="N546" s="72" t="s">
        <v>639</v>
      </c>
      <c r="O546" s="72" t="s">
        <v>643</v>
      </c>
      <c r="P546" s="72" t="s">
        <v>79</v>
      </c>
      <c r="Q546" s="72" t="s">
        <v>133</v>
      </c>
      <c r="R546" s="76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</row>
    <row r="547" ht="14.25" customHeight="1">
      <c r="A547" s="72" t="str">
        <f t="shared" si="1"/>
        <v>28/06/2023</v>
      </c>
      <c r="B547" s="82" t="str">
        <f t="shared" si="2"/>
        <v>06-28</v>
      </c>
      <c r="C547" s="82" t="str">
        <f t="shared" si="3"/>
        <v>AUD</v>
      </c>
      <c r="D547" s="72" t="s">
        <v>743</v>
      </c>
      <c r="E547" s="72">
        <v>1230628.0</v>
      </c>
      <c r="F547" s="72" t="s">
        <v>146</v>
      </c>
      <c r="G547" s="72" t="s">
        <v>1321</v>
      </c>
      <c r="H547" s="72" t="s">
        <v>853</v>
      </c>
      <c r="I547" s="72" t="s">
        <v>854</v>
      </c>
      <c r="J547" s="72" t="s">
        <v>747</v>
      </c>
      <c r="K547" s="72" t="s">
        <v>1321</v>
      </c>
      <c r="L547" s="72" t="s">
        <v>75</v>
      </c>
      <c r="M547" s="72" t="s">
        <v>1322</v>
      </c>
      <c r="N547" s="72" t="s">
        <v>639</v>
      </c>
      <c r="O547" s="72" t="s">
        <v>643</v>
      </c>
      <c r="P547" s="72" t="s">
        <v>79</v>
      </c>
      <c r="Q547" s="72" t="s">
        <v>133</v>
      </c>
      <c r="R547" s="76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</row>
    <row r="548" ht="14.25" customHeight="1">
      <c r="A548" s="72" t="str">
        <f t="shared" si="1"/>
        <v>28/06/2023</v>
      </c>
      <c r="B548" s="82" t="str">
        <f t="shared" si="2"/>
        <v>06-28</v>
      </c>
      <c r="C548" s="82" t="str">
        <f t="shared" si="3"/>
        <v>AUD</v>
      </c>
      <c r="D548" s="72" t="s">
        <v>743</v>
      </c>
      <c r="E548" s="72">
        <v>1230628.0</v>
      </c>
      <c r="F548" s="72" t="s">
        <v>146</v>
      </c>
      <c r="G548" s="72" t="s">
        <v>1323</v>
      </c>
      <c r="H548" s="72" t="s">
        <v>853</v>
      </c>
      <c r="I548" s="72" t="s">
        <v>854</v>
      </c>
      <c r="J548" s="72" t="s">
        <v>747</v>
      </c>
      <c r="K548" s="72" t="s">
        <v>1323</v>
      </c>
      <c r="L548" s="72" t="s">
        <v>75</v>
      </c>
      <c r="M548" s="72" t="s">
        <v>1324</v>
      </c>
      <c r="N548" s="72" t="s">
        <v>639</v>
      </c>
      <c r="O548" s="72" t="s">
        <v>643</v>
      </c>
      <c r="P548" s="72" t="s">
        <v>79</v>
      </c>
      <c r="Q548" s="72" t="s">
        <v>133</v>
      </c>
      <c r="R548" s="76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</row>
    <row r="549" ht="14.25" customHeight="1">
      <c r="A549" s="72" t="str">
        <f t="shared" si="1"/>
        <v>28/06/2023</v>
      </c>
      <c r="B549" s="82" t="str">
        <f t="shared" si="2"/>
        <v>06-28</v>
      </c>
      <c r="C549" s="82" t="str">
        <f t="shared" si="3"/>
        <v>AUD</v>
      </c>
      <c r="D549" s="72" t="s">
        <v>743</v>
      </c>
      <c r="E549" s="72">
        <v>1230628.0</v>
      </c>
      <c r="F549" s="72" t="s">
        <v>146</v>
      </c>
      <c r="G549" s="72" t="s">
        <v>1325</v>
      </c>
      <c r="H549" s="72" t="s">
        <v>853</v>
      </c>
      <c r="I549" s="72" t="s">
        <v>854</v>
      </c>
      <c r="J549" s="72" t="s">
        <v>747</v>
      </c>
      <c r="K549" s="72" t="s">
        <v>1325</v>
      </c>
      <c r="L549" s="72" t="s">
        <v>75</v>
      </c>
      <c r="M549" s="72" t="s">
        <v>1326</v>
      </c>
      <c r="N549" s="72" t="s">
        <v>639</v>
      </c>
      <c r="O549" s="72" t="s">
        <v>643</v>
      </c>
      <c r="P549" s="72" t="s">
        <v>79</v>
      </c>
      <c r="Q549" s="72" t="s">
        <v>133</v>
      </c>
      <c r="R549" s="76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</row>
    <row r="550" ht="14.25" customHeight="1">
      <c r="A550" s="72" t="str">
        <f t="shared" si="1"/>
        <v>28/06/2023</v>
      </c>
      <c r="B550" s="82" t="str">
        <f t="shared" si="2"/>
        <v>06-28</v>
      </c>
      <c r="C550" s="82" t="str">
        <f t="shared" si="3"/>
        <v>AUD</v>
      </c>
      <c r="D550" s="72" t="s">
        <v>743</v>
      </c>
      <c r="E550" s="72">
        <v>1230628.0</v>
      </c>
      <c r="F550" s="72" t="s">
        <v>146</v>
      </c>
      <c r="G550" s="72" t="s">
        <v>1327</v>
      </c>
      <c r="H550" s="72" t="s">
        <v>853</v>
      </c>
      <c r="I550" s="72" t="s">
        <v>854</v>
      </c>
      <c r="J550" s="72" t="s">
        <v>747</v>
      </c>
      <c r="K550" s="72" t="s">
        <v>1327</v>
      </c>
      <c r="L550" s="72" t="s">
        <v>75</v>
      </c>
      <c r="M550" s="72" t="s">
        <v>1328</v>
      </c>
      <c r="N550" s="72" t="s">
        <v>1329</v>
      </c>
      <c r="O550" s="72" t="s">
        <v>1330</v>
      </c>
      <c r="P550" s="72" t="s">
        <v>79</v>
      </c>
      <c r="Q550" s="72" t="s">
        <v>122</v>
      </c>
      <c r="R550" s="76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</row>
    <row r="551" ht="14.25" customHeight="1">
      <c r="A551" s="72" t="str">
        <f t="shared" si="1"/>
        <v>28/06/2023</v>
      </c>
      <c r="B551" s="82" t="str">
        <f t="shared" si="2"/>
        <v>06-28</v>
      </c>
      <c r="C551" s="82" t="str">
        <f t="shared" si="3"/>
        <v>AUD</v>
      </c>
      <c r="D551" s="72" t="s">
        <v>743</v>
      </c>
      <c r="E551" s="72">
        <v>1230628.0</v>
      </c>
      <c r="F551" s="72" t="s">
        <v>146</v>
      </c>
      <c r="G551" s="72" t="s">
        <v>1331</v>
      </c>
      <c r="H551" s="72" t="s">
        <v>853</v>
      </c>
      <c r="I551" s="72" t="s">
        <v>854</v>
      </c>
      <c r="J551" s="72" t="s">
        <v>747</v>
      </c>
      <c r="K551" s="72" t="s">
        <v>1331</v>
      </c>
      <c r="L551" s="72" t="s">
        <v>75</v>
      </c>
      <c r="M551" s="72" t="s">
        <v>1332</v>
      </c>
      <c r="N551" s="72" t="s">
        <v>1329</v>
      </c>
      <c r="O551" s="72" t="s">
        <v>1330</v>
      </c>
      <c r="P551" s="72" t="s">
        <v>79</v>
      </c>
      <c r="Q551" s="72" t="s">
        <v>122</v>
      </c>
      <c r="R551" s="76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</row>
    <row r="552" ht="14.25" customHeight="1">
      <c r="A552" s="72" t="str">
        <f t="shared" si="1"/>
        <v>28/06/2023</v>
      </c>
      <c r="B552" s="82" t="str">
        <f t="shared" si="2"/>
        <v>06-28</v>
      </c>
      <c r="C552" s="82" t="str">
        <f t="shared" si="3"/>
        <v>AUD</v>
      </c>
      <c r="D552" s="72" t="s">
        <v>743</v>
      </c>
      <c r="E552" s="72">
        <v>1230628.0</v>
      </c>
      <c r="F552" s="72" t="s">
        <v>146</v>
      </c>
      <c r="G552" s="72" t="s">
        <v>1333</v>
      </c>
      <c r="H552" s="72" t="s">
        <v>853</v>
      </c>
      <c r="I552" s="72" t="s">
        <v>854</v>
      </c>
      <c r="J552" s="72" t="s">
        <v>747</v>
      </c>
      <c r="K552" s="72" t="s">
        <v>1333</v>
      </c>
      <c r="L552" s="72" t="s">
        <v>75</v>
      </c>
      <c r="M552" s="72" t="s">
        <v>1334</v>
      </c>
      <c r="N552" s="72" t="s">
        <v>1329</v>
      </c>
      <c r="O552" s="72" t="s">
        <v>1330</v>
      </c>
      <c r="P552" s="72" t="s">
        <v>79</v>
      </c>
      <c r="Q552" s="72" t="s">
        <v>122</v>
      </c>
      <c r="R552" s="76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</row>
    <row r="553" ht="14.25" customHeight="1">
      <c r="A553" s="72" t="str">
        <f t="shared" si="1"/>
        <v>28/06/2023</v>
      </c>
      <c r="B553" s="82" t="str">
        <f t="shared" si="2"/>
        <v>06-28</v>
      </c>
      <c r="C553" s="82" t="str">
        <f t="shared" si="3"/>
        <v>AUD</v>
      </c>
      <c r="D553" s="72" t="s">
        <v>743</v>
      </c>
      <c r="E553" s="72">
        <v>1230628.0</v>
      </c>
      <c r="F553" s="72" t="s">
        <v>146</v>
      </c>
      <c r="G553" s="72" t="s">
        <v>1335</v>
      </c>
      <c r="H553" s="72" t="s">
        <v>853</v>
      </c>
      <c r="I553" s="72" t="s">
        <v>854</v>
      </c>
      <c r="J553" s="72" t="s">
        <v>747</v>
      </c>
      <c r="K553" s="72" t="s">
        <v>1335</v>
      </c>
      <c r="L553" s="72" t="s">
        <v>75</v>
      </c>
      <c r="M553" s="72" t="s">
        <v>1336</v>
      </c>
      <c r="N553" s="72" t="s">
        <v>1329</v>
      </c>
      <c r="O553" s="72" t="s">
        <v>1330</v>
      </c>
      <c r="P553" s="72" t="s">
        <v>79</v>
      </c>
      <c r="Q553" s="72" t="s">
        <v>122</v>
      </c>
      <c r="R553" s="76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</row>
    <row r="554" ht="14.25" customHeight="1">
      <c r="A554" s="72" t="str">
        <f t="shared" si="1"/>
        <v>28/06/2023</v>
      </c>
      <c r="B554" s="82" t="str">
        <f t="shared" si="2"/>
        <v>06-28</v>
      </c>
      <c r="C554" s="82" t="str">
        <f t="shared" si="3"/>
        <v>AUD</v>
      </c>
      <c r="D554" s="72" t="s">
        <v>743</v>
      </c>
      <c r="E554" s="72">
        <v>1230628.0</v>
      </c>
      <c r="F554" s="72" t="s">
        <v>146</v>
      </c>
      <c r="G554" s="72" t="s">
        <v>1337</v>
      </c>
      <c r="H554" s="72" t="s">
        <v>853</v>
      </c>
      <c r="I554" s="72" t="s">
        <v>854</v>
      </c>
      <c r="J554" s="72" t="s">
        <v>747</v>
      </c>
      <c r="K554" s="72" t="s">
        <v>1337</v>
      </c>
      <c r="L554" s="72" t="s">
        <v>75</v>
      </c>
      <c r="M554" s="72" t="s">
        <v>1338</v>
      </c>
      <c r="N554" s="72" t="s">
        <v>1329</v>
      </c>
      <c r="O554" s="72" t="s">
        <v>1330</v>
      </c>
      <c r="P554" s="72" t="s">
        <v>79</v>
      </c>
      <c r="Q554" s="72" t="s">
        <v>122</v>
      </c>
      <c r="R554" s="76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</row>
    <row r="555" ht="14.25" customHeight="1">
      <c r="A555" s="72" t="str">
        <f t="shared" si="1"/>
        <v>28/06/2023</v>
      </c>
      <c r="B555" s="82" t="str">
        <f t="shared" si="2"/>
        <v>06-28</v>
      </c>
      <c r="C555" s="82" t="str">
        <f t="shared" si="3"/>
        <v>AUD</v>
      </c>
      <c r="D555" s="72" t="s">
        <v>743</v>
      </c>
      <c r="E555" s="72">
        <v>1230628.0</v>
      </c>
      <c r="F555" s="72" t="s">
        <v>146</v>
      </c>
      <c r="G555" s="72" t="s">
        <v>1339</v>
      </c>
      <c r="H555" s="72" t="s">
        <v>853</v>
      </c>
      <c r="I555" s="72" t="s">
        <v>854</v>
      </c>
      <c r="J555" s="72" t="s">
        <v>747</v>
      </c>
      <c r="K555" s="72" t="s">
        <v>1339</v>
      </c>
      <c r="L555" s="72" t="s">
        <v>75</v>
      </c>
      <c r="M555" s="72" t="s">
        <v>1340</v>
      </c>
      <c r="N555" s="72" t="s">
        <v>1329</v>
      </c>
      <c r="O555" s="72" t="s">
        <v>1330</v>
      </c>
      <c r="P555" s="72" t="s">
        <v>79</v>
      </c>
      <c r="Q555" s="72" t="s">
        <v>122</v>
      </c>
      <c r="R555" s="76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</row>
    <row r="556" ht="14.25" customHeight="1">
      <c r="A556" s="72" t="str">
        <f t="shared" si="1"/>
        <v>28/06/2023</v>
      </c>
      <c r="B556" s="82" t="str">
        <f t="shared" si="2"/>
        <v>06-28</v>
      </c>
      <c r="C556" s="82" t="str">
        <f t="shared" si="3"/>
        <v>AUD</v>
      </c>
      <c r="D556" s="72" t="s">
        <v>743</v>
      </c>
      <c r="E556" s="72">
        <v>1230628.0</v>
      </c>
      <c r="F556" s="72" t="s">
        <v>146</v>
      </c>
      <c r="G556" s="72" t="s">
        <v>1341</v>
      </c>
      <c r="H556" s="72" t="s">
        <v>853</v>
      </c>
      <c r="I556" s="72" t="s">
        <v>854</v>
      </c>
      <c r="J556" s="72" t="s">
        <v>747</v>
      </c>
      <c r="K556" s="72" t="s">
        <v>1341</v>
      </c>
      <c r="L556" s="72" t="s">
        <v>75</v>
      </c>
      <c r="M556" s="72" t="s">
        <v>1342</v>
      </c>
      <c r="N556" s="72" t="s">
        <v>1329</v>
      </c>
      <c r="O556" s="72" t="s">
        <v>1330</v>
      </c>
      <c r="P556" s="72" t="s">
        <v>79</v>
      </c>
      <c r="Q556" s="72" t="s">
        <v>122</v>
      </c>
      <c r="R556" s="76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</row>
    <row r="557" ht="14.25" customHeight="1">
      <c r="A557" s="72" t="str">
        <f t="shared" si="1"/>
        <v>28/06/2023</v>
      </c>
      <c r="B557" s="82" t="str">
        <f t="shared" si="2"/>
        <v>06-28</v>
      </c>
      <c r="C557" s="82" t="str">
        <f t="shared" si="3"/>
        <v>AUD</v>
      </c>
      <c r="D557" s="72" t="s">
        <v>743</v>
      </c>
      <c r="E557" s="72">
        <v>1230628.0</v>
      </c>
      <c r="F557" s="72" t="s">
        <v>146</v>
      </c>
      <c r="G557" s="72" t="s">
        <v>1343</v>
      </c>
      <c r="H557" s="72" t="s">
        <v>853</v>
      </c>
      <c r="I557" s="72" t="s">
        <v>854</v>
      </c>
      <c r="J557" s="72" t="s">
        <v>747</v>
      </c>
      <c r="K557" s="72" t="s">
        <v>1343</v>
      </c>
      <c r="L557" s="72" t="s">
        <v>75</v>
      </c>
      <c r="M557" s="72" t="s">
        <v>1344</v>
      </c>
      <c r="N557" s="72" t="s">
        <v>1329</v>
      </c>
      <c r="O557" s="72" t="s">
        <v>1330</v>
      </c>
      <c r="P557" s="72" t="s">
        <v>79</v>
      </c>
      <c r="Q557" s="72" t="s">
        <v>122</v>
      </c>
      <c r="R557" s="76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</row>
    <row r="558" ht="14.25" customHeight="1">
      <c r="A558" s="72" t="str">
        <f t="shared" si="1"/>
        <v>28/06/2023</v>
      </c>
      <c r="B558" s="82" t="str">
        <f t="shared" si="2"/>
        <v>06-28</v>
      </c>
      <c r="C558" s="82" t="str">
        <f t="shared" si="3"/>
        <v>AUD</v>
      </c>
      <c r="D558" s="72" t="s">
        <v>743</v>
      </c>
      <c r="E558" s="72">
        <v>1230628.0</v>
      </c>
      <c r="F558" s="72" t="s">
        <v>146</v>
      </c>
      <c r="G558" s="72" t="s">
        <v>1345</v>
      </c>
      <c r="H558" s="72" t="s">
        <v>853</v>
      </c>
      <c r="I558" s="72" t="s">
        <v>854</v>
      </c>
      <c r="J558" s="72" t="s">
        <v>747</v>
      </c>
      <c r="K558" s="72" t="s">
        <v>1345</v>
      </c>
      <c r="L558" s="72" t="s">
        <v>75</v>
      </c>
      <c r="M558" s="72" t="s">
        <v>1346</v>
      </c>
      <c r="N558" s="72" t="s">
        <v>877</v>
      </c>
      <c r="O558" s="72" t="s">
        <v>878</v>
      </c>
      <c r="P558" s="72" t="s">
        <v>79</v>
      </c>
      <c r="Q558" s="72" t="s">
        <v>145</v>
      </c>
      <c r="R558" s="76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</row>
    <row r="559" ht="14.25" customHeight="1">
      <c r="A559" s="72" t="str">
        <f t="shared" si="1"/>
        <v>28/06/2023</v>
      </c>
      <c r="B559" s="82" t="str">
        <f t="shared" si="2"/>
        <v>06-28</v>
      </c>
      <c r="C559" s="82" t="str">
        <f t="shared" si="3"/>
        <v>AUD</v>
      </c>
      <c r="D559" s="72" t="s">
        <v>743</v>
      </c>
      <c r="E559" s="72">
        <v>1230628.0</v>
      </c>
      <c r="F559" s="72" t="s">
        <v>146</v>
      </c>
      <c r="G559" s="72" t="s">
        <v>1347</v>
      </c>
      <c r="H559" s="72" t="s">
        <v>1348</v>
      </c>
      <c r="I559" s="72" t="s">
        <v>1349</v>
      </c>
      <c r="J559" s="72" t="s">
        <v>747</v>
      </c>
      <c r="K559" s="72" t="s">
        <v>1347</v>
      </c>
      <c r="L559" s="72" t="s">
        <v>75</v>
      </c>
      <c r="M559" s="72" t="s">
        <v>1350</v>
      </c>
      <c r="N559" s="72" t="s">
        <v>629</v>
      </c>
      <c r="O559" s="72" t="s">
        <v>630</v>
      </c>
      <c r="P559" s="72" t="s">
        <v>79</v>
      </c>
      <c r="Q559" s="72" t="s">
        <v>122</v>
      </c>
      <c r="R559" s="76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</row>
    <row r="560" ht="14.25" customHeight="1">
      <c r="A560" s="72" t="str">
        <f t="shared" si="1"/>
        <v>28/06/2023</v>
      </c>
      <c r="B560" s="82" t="str">
        <f t="shared" si="2"/>
        <v>06-28</v>
      </c>
      <c r="C560" s="82" t="str">
        <f t="shared" si="3"/>
        <v>AUD</v>
      </c>
      <c r="D560" s="72" t="s">
        <v>743</v>
      </c>
      <c r="E560" s="72">
        <v>1230628.0</v>
      </c>
      <c r="F560" s="72" t="s">
        <v>146</v>
      </c>
      <c r="G560" s="72" t="s">
        <v>1351</v>
      </c>
      <c r="H560" s="72" t="s">
        <v>1348</v>
      </c>
      <c r="I560" s="72" t="s">
        <v>1349</v>
      </c>
      <c r="J560" s="72" t="s">
        <v>747</v>
      </c>
      <c r="K560" s="72" t="s">
        <v>1351</v>
      </c>
      <c r="L560" s="72" t="s">
        <v>75</v>
      </c>
      <c r="M560" s="72" t="s">
        <v>1352</v>
      </c>
      <c r="N560" s="72" t="s">
        <v>629</v>
      </c>
      <c r="O560" s="72" t="s">
        <v>630</v>
      </c>
      <c r="P560" s="72" t="s">
        <v>79</v>
      </c>
      <c r="Q560" s="72" t="s">
        <v>122</v>
      </c>
      <c r="R560" s="76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</row>
    <row r="561" ht="14.25" customHeight="1">
      <c r="A561" s="72" t="str">
        <f t="shared" si="1"/>
        <v>28/06/2023</v>
      </c>
      <c r="B561" s="82" t="str">
        <f t="shared" si="2"/>
        <v>06-28</v>
      </c>
      <c r="C561" s="82" t="str">
        <f t="shared" si="3"/>
        <v>AUD</v>
      </c>
      <c r="D561" s="72" t="s">
        <v>743</v>
      </c>
      <c r="E561" s="72">
        <v>1230628.0</v>
      </c>
      <c r="F561" s="72" t="s">
        <v>146</v>
      </c>
      <c r="G561" s="72" t="s">
        <v>1353</v>
      </c>
      <c r="H561" s="72" t="s">
        <v>1348</v>
      </c>
      <c r="I561" s="72" t="s">
        <v>1349</v>
      </c>
      <c r="J561" s="72" t="s">
        <v>747</v>
      </c>
      <c r="K561" s="72" t="s">
        <v>1353</v>
      </c>
      <c r="L561" s="72" t="s">
        <v>75</v>
      </c>
      <c r="M561" s="72" t="s">
        <v>1354</v>
      </c>
      <c r="N561" s="72" t="s">
        <v>629</v>
      </c>
      <c r="O561" s="72" t="s">
        <v>630</v>
      </c>
      <c r="P561" s="72" t="s">
        <v>79</v>
      </c>
      <c r="Q561" s="72" t="s">
        <v>122</v>
      </c>
      <c r="R561" s="76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</row>
    <row r="562" ht="14.25" customHeight="1">
      <c r="A562" s="72" t="str">
        <f t="shared" si="1"/>
        <v>28/06/2023</v>
      </c>
      <c r="B562" s="82" t="str">
        <f t="shared" si="2"/>
        <v>06-28</v>
      </c>
      <c r="C562" s="82" t="str">
        <f t="shared" si="3"/>
        <v>AUD</v>
      </c>
      <c r="D562" s="72" t="s">
        <v>743</v>
      </c>
      <c r="E562" s="72">
        <v>1230628.0</v>
      </c>
      <c r="F562" s="72" t="s">
        <v>146</v>
      </c>
      <c r="G562" s="72" t="s">
        <v>1355</v>
      </c>
      <c r="H562" s="72" t="s">
        <v>1348</v>
      </c>
      <c r="I562" s="72" t="s">
        <v>1349</v>
      </c>
      <c r="J562" s="72" t="s">
        <v>747</v>
      </c>
      <c r="K562" s="72" t="s">
        <v>1355</v>
      </c>
      <c r="L562" s="72" t="s">
        <v>75</v>
      </c>
      <c r="M562" s="72" t="s">
        <v>1356</v>
      </c>
      <c r="N562" s="72" t="s">
        <v>629</v>
      </c>
      <c r="O562" s="72" t="s">
        <v>630</v>
      </c>
      <c r="P562" s="72" t="s">
        <v>79</v>
      </c>
      <c r="Q562" s="72" t="s">
        <v>122</v>
      </c>
      <c r="R562" s="76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</row>
    <row r="563" ht="14.25" customHeight="1">
      <c r="A563" s="72" t="str">
        <f t="shared" si="1"/>
        <v>28/06/2023</v>
      </c>
      <c r="B563" s="82" t="str">
        <f t="shared" si="2"/>
        <v>06-28</v>
      </c>
      <c r="C563" s="82" t="str">
        <f t="shared" si="3"/>
        <v>AUD</v>
      </c>
      <c r="D563" s="72" t="s">
        <v>743</v>
      </c>
      <c r="E563" s="72">
        <v>1230628.0</v>
      </c>
      <c r="F563" s="72" t="s">
        <v>146</v>
      </c>
      <c r="G563" s="72" t="s">
        <v>1357</v>
      </c>
      <c r="H563" s="72" t="s">
        <v>1348</v>
      </c>
      <c r="I563" s="72" t="s">
        <v>1349</v>
      </c>
      <c r="J563" s="72" t="s">
        <v>747</v>
      </c>
      <c r="K563" s="72" t="s">
        <v>1357</v>
      </c>
      <c r="L563" s="72" t="s">
        <v>75</v>
      </c>
      <c r="M563" s="72" t="s">
        <v>1358</v>
      </c>
      <c r="N563" s="72" t="s">
        <v>629</v>
      </c>
      <c r="O563" s="72" t="s">
        <v>630</v>
      </c>
      <c r="P563" s="72" t="s">
        <v>79</v>
      </c>
      <c r="Q563" s="72" t="s">
        <v>122</v>
      </c>
      <c r="R563" s="76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</row>
    <row r="564" ht="14.25" customHeight="1">
      <c r="A564" s="72" t="str">
        <f t="shared" si="1"/>
        <v>28/06/2023</v>
      </c>
      <c r="B564" s="82" t="str">
        <f t="shared" si="2"/>
        <v>06-28</v>
      </c>
      <c r="C564" s="82" t="str">
        <f t="shared" si="3"/>
        <v>AUD</v>
      </c>
      <c r="D564" s="72" t="s">
        <v>743</v>
      </c>
      <c r="E564" s="72">
        <v>1230628.0</v>
      </c>
      <c r="F564" s="72" t="s">
        <v>146</v>
      </c>
      <c r="G564" s="72" t="s">
        <v>1359</v>
      </c>
      <c r="H564" s="72" t="s">
        <v>1348</v>
      </c>
      <c r="I564" s="72" t="s">
        <v>1349</v>
      </c>
      <c r="J564" s="72" t="s">
        <v>747</v>
      </c>
      <c r="K564" s="72" t="s">
        <v>1359</v>
      </c>
      <c r="L564" s="72" t="s">
        <v>75</v>
      </c>
      <c r="M564" s="72" t="s">
        <v>1360</v>
      </c>
      <c r="N564" s="72" t="s">
        <v>629</v>
      </c>
      <c r="O564" s="72" t="s">
        <v>630</v>
      </c>
      <c r="P564" s="72" t="s">
        <v>79</v>
      </c>
      <c r="Q564" s="72" t="s">
        <v>122</v>
      </c>
      <c r="R564" s="76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</row>
    <row r="565" ht="14.25" customHeight="1">
      <c r="A565" s="72" t="str">
        <f t="shared" si="1"/>
        <v>28/06/2023</v>
      </c>
      <c r="B565" s="82" t="str">
        <f t="shared" si="2"/>
        <v>06-28</v>
      </c>
      <c r="C565" s="82" t="str">
        <f t="shared" si="3"/>
        <v>AUD</v>
      </c>
      <c r="D565" s="72" t="s">
        <v>743</v>
      </c>
      <c r="E565" s="72">
        <v>1230628.0</v>
      </c>
      <c r="F565" s="72" t="s">
        <v>146</v>
      </c>
      <c r="G565" s="72" t="s">
        <v>1361</v>
      </c>
      <c r="H565" s="72" t="s">
        <v>1348</v>
      </c>
      <c r="I565" s="72" t="s">
        <v>1349</v>
      </c>
      <c r="J565" s="72" t="s">
        <v>747</v>
      </c>
      <c r="K565" s="72" t="s">
        <v>1361</v>
      </c>
      <c r="L565" s="72" t="s">
        <v>75</v>
      </c>
      <c r="M565" s="72" t="s">
        <v>1362</v>
      </c>
      <c r="N565" s="72" t="s">
        <v>629</v>
      </c>
      <c r="O565" s="72" t="s">
        <v>630</v>
      </c>
      <c r="P565" s="72" t="s">
        <v>79</v>
      </c>
      <c r="Q565" s="72" t="s">
        <v>122</v>
      </c>
      <c r="R565" s="76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</row>
    <row r="566" ht="14.25" customHeight="1">
      <c r="A566" s="72" t="str">
        <f t="shared" si="1"/>
        <v>28/06/2023</v>
      </c>
      <c r="B566" s="82" t="str">
        <f t="shared" si="2"/>
        <v>06-28</v>
      </c>
      <c r="C566" s="82" t="str">
        <f t="shared" si="3"/>
        <v>AUD</v>
      </c>
      <c r="D566" s="72" t="s">
        <v>743</v>
      </c>
      <c r="E566" s="72">
        <v>1230628.0</v>
      </c>
      <c r="F566" s="72" t="s">
        <v>146</v>
      </c>
      <c r="G566" s="72" t="s">
        <v>1363</v>
      </c>
      <c r="H566" s="72" t="s">
        <v>1348</v>
      </c>
      <c r="I566" s="72" t="s">
        <v>1349</v>
      </c>
      <c r="J566" s="72" t="s">
        <v>747</v>
      </c>
      <c r="K566" s="72" t="s">
        <v>1363</v>
      </c>
      <c r="L566" s="72" t="s">
        <v>75</v>
      </c>
      <c r="M566" s="72" t="s">
        <v>1364</v>
      </c>
      <c r="N566" s="72" t="s">
        <v>629</v>
      </c>
      <c r="O566" s="72" t="s">
        <v>630</v>
      </c>
      <c r="P566" s="72" t="s">
        <v>79</v>
      </c>
      <c r="Q566" s="72" t="s">
        <v>122</v>
      </c>
      <c r="R566" s="76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</row>
    <row r="567" ht="14.25" customHeight="1">
      <c r="A567" s="72" t="str">
        <f t="shared" si="1"/>
        <v>28/06/2023</v>
      </c>
      <c r="B567" s="82" t="str">
        <f t="shared" si="2"/>
        <v>06-28</v>
      </c>
      <c r="C567" s="82" t="str">
        <f t="shared" si="3"/>
        <v>AUD</v>
      </c>
      <c r="D567" s="72" t="s">
        <v>743</v>
      </c>
      <c r="E567" s="72">
        <v>1230628.0</v>
      </c>
      <c r="F567" s="72" t="s">
        <v>146</v>
      </c>
      <c r="G567" s="72" t="s">
        <v>1365</v>
      </c>
      <c r="H567" s="72" t="s">
        <v>1348</v>
      </c>
      <c r="I567" s="72" t="s">
        <v>1349</v>
      </c>
      <c r="J567" s="72" t="s">
        <v>747</v>
      </c>
      <c r="K567" s="72" t="s">
        <v>1365</v>
      </c>
      <c r="L567" s="72" t="s">
        <v>75</v>
      </c>
      <c r="M567" s="72" t="s">
        <v>1366</v>
      </c>
      <c r="N567" s="72" t="s">
        <v>629</v>
      </c>
      <c r="O567" s="72" t="s">
        <v>630</v>
      </c>
      <c r="P567" s="72" t="s">
        <v>79</v>
      </c>
      <c r="Q567" s="72" t="s">
        <v>122</v>
      </c>
      <c r="R567" s="76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</row>
    <row r="568" ht="14.25" customHeight="1">
      <c r="A568" s="72" t="str">
        <f t="shared" si="1"/>
        <v>28/06/2023</v>
      </c>
      <c r="B568" s="82" t="str">
        <f t="shared" si="2"/>
        <v>06-28</v>
      </c>
      <c r="C568" s="82" t="str">
        <f t="shared" si="3"/>
        <v>AUD</v>
      </c>
      <c r="D568" s="72" t="s">
        <v>743</v>
      </c>
      <c r="E568" s="72">
        <v>1230628.0</v>
      </c>
      <c r="F568" s="72" t="s">
        <v>146</v>
      </c>
      <c r="G568" s="72" t="s">
        <v>1367</v>
      </c>
      <c r="H568" s="72" t="s">
        <v>1348</v>
      </c>
      <c r="I568" s="72" t="s">
        <v>1349</v>
      </c>
      <c r="J568" s="72" t="s">
        <v>747</v>
      </c>
      <c r="K568" s="72" t="s">
        <v>1367</v>
      </c>
      <c r="L568" s="72" t="s">
        <v>75</v>
      </c>
      <c r="M568" s="72" t="s">
        <v>1368</v>
      </c>
      <c r="N568" s="72" t="s">
        <v>629</v>
      </c>
      <c r="O568" s="72" t="s">
        <v>630</v>
      </c>
      <c r="P568" s="72" t="s">
        <v>79</v>
      </c>
      <c r="Q568" s="72" t="s">
        <v>122</v>
      </c>
      <c r="R568" s="76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</row>
    <row r="569" ht="14.25" customHeight="1">
      <c r="A569" s="72" t="str">
        <f t="shared" si="1"/>
        <v>28/06/2023</v>
      </c>
      <c r="B569" s="82" t="str">
        <f t="shared" si="2"/>
        <v>06-28</v>
      </c>
      <c r="C569" s="82" t="str">
        <f t="shared" si="3"/>
        <v>AUD</v>
      </c>
      <c r="D569" s="72" t="s">
        <v>743</v>
      </c>
      <c r="E569" s="72">
        <v>1230628.0</v>
      </c>
      <c r="F569" s="72" t="s">
        <v>146</v>
      </c>
      <c r="G569" s="72" t="s">
        <v>1369</v>
      </c>
      <c r="H569" s="72" t="s">
        <v>1348</v>
      </c>
      <c r="I569" s="72" t="s">
        <v>1349</v>
      </c>
      <c r="J569" s="72" t="s">
        <v>747</v>
      </c>
      <c r="K569" s="72" t="s">
        <v>1369</v>
      </c>
      <c r="L569" s="72" t="s">
        <v>75</v>
      </c>
      <c r="M569" s="72" t="s">
        <v>1370</v>
      </c>
      <c r="N569" s="72" t="s">
        <v>629</v>
      </c>
      <c r="O569" s="72" t="s">
        <v>630</v>
      </c>
      <c r="P569" s="72" t="s">
        <v>79</v>
      </c>
      <c r="Q569" s="72" t="s">
        <v>122</v>
      </c>
      <c r="R569" s="76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</row>
    <row r="570" ht="14.25" customHeight="1">
      <c r="A570" s="72" t="str">
        <f t="shared" si="1"/>
        <v>28/06/2023</v>
      </c>
      <c r="B570" s="82" t="str">
        <f t="shared" si="2"/>
        <v>06-28</v>
      </c>
      <c r="C570" s="82" t="str">
        <f t="shared" si="3"/>
        <v>AUD</v>
      </c>
      <c r="D570" s="72" t="s">
        <v>743</v>
      </c>
      <c r="E570" s="72">
        <v>1230628.0</v>
      </c>
      <c r="F570" s="72" t="s">
        <v>146</v>
      </c>
      <c r="G570" s="72" t="s">
        <v>1371</v>
      </c>
      <c r="H570" s="72" t="s">
        <v>1348</v>
      </c>
      <c r="I570" s="72" t="s">
        <v>1349</v>
      </c>
      <c r="J570" s="72" t="s">
        <v>747</v>
      </c>
      <c r="K570" s="72" t="s">
        <v>1371</v>
      </c>
      <c r="L570" s="72" t="s">
        <v>75</v>
      </c>
      <c r="M570" s="72" t="s">
        <v>1372</v>
      </c>
      <c r="N570" s="72" t="s">
        <v>629</v>
      </c>
      <c r="O570" s="72" t="s">
        <v>630</v>
      </c>
      <c r="P570" s="72" t="s">
        <v>79</v>
      </c>
      <c r="Q570" s="72" t="s">
        <v>122</v>
      </c>
      <c r="R570" s="76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</row>
    <row r="571" ht="14.25" customHeight="1">
      <c r="A571" s="72" t="str">
        <f t="shared" si="1"/>
        <v>28/06/2023</v>
      </c>
      <c r="B571" s="82" t="str">
        <f t="shared" si="2"/>
        <v>06-28</v>
      </c>
      <c r="C571" s="82" t="str">
        <f t="shared" si="3"/>
        <v>AUD</v>
      </c>
      <c r="D571" s="72" t="s">
        <v>743</v>
      </c>
      <c r="E571" s="72">
        <v>1230628.0</v>
      </c>
      <c r="F571" s="72" t="s">
        <v>146</v>
      </c>
      <c r="G571" s="72" t="s">
        <v>1373</v>
      </c>
      <c r="H571" s="72" t="s">
        <v>1348</v>
      </c>
      <c r="I571" s="72" t="s">
        <v>1349</v>
      </c>
      <c r="J571" s="72" t="s">
        <v>747</v>
      </c>
      <c r="K571" s="72" t="s">
        <v>1373</v>
      </c>
      <c r="L571" s="72" t="s">
        <v>75</v>
      </c>
      <c r="M571" s="72" t="s">
        <v>1374</v>
      </c>
      <c r="N571" s="72" t="s">
        <v>629</v>
      </c>
      <c r="O571" s="72" t="s">
        <v>630</v>
      </c>
      <c r="P571" s="72" t="s">
        <v>79</v>
      </c>
      <c r="Q571" s="72" t="s">
        <v>122</v>
      </c>
      <c r="R571" s="76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</row>
    <row r="572" ht="14.25" customHeight="1">
      <c r="A572" s="72" t="str">
        <f t="shared" si="1"/>
        <v>28/06/2023</v>
      </c>
      <c r="B572" s="82" t="str">
        <f t="shared" si="2"/>
        <v>06-28</v>
      </c>
      <c r="C572" s="82" t="str">
        <f t="shared" si="3"/>
        <v>AUD</v>
      </c>
      <c r="D572" s="72" t="s">
        <v>743</v>
      </c>
      <c r="E572" s="72">
        <v>1230628.0</v>
      </c>
      <c r="F572" s="72" t="s">
        <v>146</v>
      </c>
      <c r="G572" s="72" t="s">
        <v>1375</v>
      </c>
      <c r="H572" s="72" t="s">
        <v>1348</v>
      </c>
      <c r="I572" s="72" t="s">
        <v>1349</v>
      </c>
      <c r="J572" s="72" t="s">
        <v>747</v>
      </c>
      <c r="K572" s="72" t="s">
        <v>1375</v>
      </c>
      <c r="L572" s="72" t="s">
        <v>75</v>
      </c>
      <c r="M572" s="72" t="s">
        <v>1376</v>
      </c>
      <c r="N572" s="72" t="s">
        <v>629</v>
      </c>
      <c r="O572" s="72" t="s">
        <v>630</v>
      </c>
      <c r="P572" s="72" t="s">
        <v>79</v>
      </c>
      <c r="Q572" s="72" t="s">
        <v>122</v>
      </c>
      <c r="R572" s="76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</row>
    <row r="573" ht="14.25" customHeight="1">
      <c r="A573" s="72" t="str">
        <f t="shared" si="1"/>
        <v>28/06/2023</v>
      </c>
      <c r="B573" s="82" t="str">
        <f t="shared" si="2"/>
        <v>06-28</v>
      </c>
      <c r="C573" s="82" t="str">
        <f t="shared" si="3"/>
        <v>AUD</v>
      </c>
      <c r="D573" s="72" t="s">
        <v>743</v>
      </c>
      <c r="E573" s="72">
        <v>1230628.0</v>
      </c>
      <c r="F573" s="72" t="s">
        <v>146</v>
      </c>
      <c r="G573" s="72" t="s">
        <v>1377</v>
      </c>
      <c r="H573" s="72" t="s">
        <v>1348</v>
      </c>
      <c r="I573" s="72" t="s">
        <v>1349</v>
      </c>
      <c r="J573" s="72" t="s">
        <v>747</v>
      </c>
      <c r="K573" s="72" t="s">
        <v>1377</v>
      </c>
      <c r="L573" s="72" t="s">
        <v>75</v>
      </c>
      <c r="M573" s="72" t="s">
        <v>1378</v>
      </c>
      <c r="N573" s="72" t="s">
        <v>629</v>
      </c>
      <c r="O573" s="72" t="s">
        <v>630</v>
      </c>
      <c r="P573" s="72" t="s">
        <v>79</v>
      </c>
      <c r="Q573" s="72" t="s">
        <v>122</v>
      </c>
      <c r="R573" s="76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</row>
    <row r="574" ht="14.25" customHeight="1">
      <c r="A574" s="72" t="str">
        <f t="shared" si="1"/>
        <v>28/06/2023</v>
      </c>
      <c r="B574" s="82" t="str">
        <f t="shared" si="2"/>
        <v>06-28</v>
      </c>
      <c r="C574" s="82" t="str">
        <f t="shared" si="3"/>
        <v>AUD</v>
      </c>
      <c r="D574" s="72" t="s">
        <v>743</v>
      </c>
      <c r="E574" s="72">
        <v>1230628.0</v>
      </c>
      <c r="F574" s="72" t="s">
        <v>146</v>
      </c>
      <c r="G574" s="72" t="s">
        <v>1379</v>
      </c>
      <c r="H574" s="72" t="s">
        <v>1348</v>
      </c>
      <c r="I574" s="72" t="s">
        <v>1349</v>
      </c>
      <c r="J574" s="72" t="s">
        <v>747</v>
      </c>
      <c r="K574" s="72" t="s">
        <v>1379</v>
      </c>
      <c r="L574" s="72" t="s">
        <v>75</v>
      </c>
      <c r="M574" s="72" t="s">
        <v>1380</v>
      </c>
      <c r="N574" s="72" t="s">
        <v>629</v>
      </c>
      <c r="O574" s="72" t="s">
        <v>630</v>
      </c>
      <c r="P574" s="72" t="s">
        <v>79</v>
      </c>
      <c r="Q574" s="72" t="s">
        <v>122</v>
      </c>
      <c r="R574" s="76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</row>
    <row r="575" ht="14.25" customHeight="1">
      <c r="A575" s="72" t="str">
        <f t="shared" si="1"/>
        <v>28/06/2023</v>
      </c>
      <c r="B575" s="82" t="str">
        <f t="shared" si="2"/>
        <v>06-28</v>
      </c>
      <c r="C575" s="82" t="str">
        <f t="shared" si="3"/>
        <v>AUD</v>
      </c>
      <c r="D575" s="72" t="s">
        <v>743</v>
      </c>
      <c r="E575" s="72">
        <v>1230628.0</v>
      </c>
      <c r="F575" s="72" t="s">
        <v>146</v>
      </c>
      <c r="G575" s="72" t="s">
        <v>1381</v>
      </c>
      <c r="H575" s="72" t="s">
        <v>1348</v>
      </c>
      <c r="I575" s="72" t="s">
        <v>1349</v>
      </c>
      <c r="J575" s="72" t="s">
        <v>747</v>
      </c>
      <c r="K575" s="72" t="s">
        <v>1381</v>
      </c>
      <c r="L575" s="72" t="s">
        <v>75</v>
      </c>
      <c r="M575" s="72" t="s">
        <v>1382</v>
      </c>
      <c r="N575" s="72" t="s">
        <v>629</v>
      </c>
      <c r="O575" s="72" t="s">
        <v>630</v>
      </c>
      <c r="P575" s="72" t="s">
        <v>79</v>
      </c>
      <c r="Q575" s="72" t="s">
        <v>122</v>
      </c>
      <c r="R575" s="76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</row>
    <row r="576" ht="14.25" customHeight="1">
      <c r="A576" s="72" t="str">
        <f t="shared" si="1"/>
        <v>28/06/2023</v>
      </c>
      <c r="B576" s="82" t="str">
        <f t="shared" si="2"/>
        <v>06-28</v>
      </c>
      <c r="C576" s="82" t="str">
        <f t="shared" si="3"/>
        <v>AUD</v>
      </c>
      <c r="D576" s="72" t="s">
        <v>743</v>
      </c>
      <c r="E576" s="72">
        <v>1230628.0</v>
      </c>
      <c r="F576" s="72" t="s">
        <v>146</v>
      </c>
      <c r="G576" s="72" t="s">
        <v>1383</v>
      </c>
      <c r="H576" s="72" t="s">
        <v>1348</v>
      </c>
      <c r="I576" s="72" t="s">
        <v>1349</v>
      </c>
      <c r="J576" s="72" t="s">
        <v>747</v>
      </c>
      <c r="K576" s="72" t="s">
        <v>1383</v>
      </c>
      <c r="L576" s="72" t="s">
        <v>75</v>
      </c>
      <c r="M576" s="72" t="s">
        <v>1384</v>
      </c>
      <c r="N576" s="72" t="s">
        <v>629</v>
      </c>
      <c r="O576" s="72" t="s">
        <v>630</v>
      </c>
      <c r="P576" s="72" t="s">
        <v>79</v>
      </c>
      <c r="Q576" s="72" t="s">
        <v>122</v>
      </c>
      <c r="R576" s="76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</row>
    <row r="577" ht="14.25" customHeight="1">
      <c r="A577" s="72" t="str">
        <f t="shared" si="1"/>
        <v>28/06/2023</v>
      </c>
      <c r="B577" s="82" t="str">
        <f t="shared" si="2"/>
        <v>06-28</v>
      </c>
      <c r="C577" s="82" t="str">
        <f t="shared" si="3"/>
        <v>AUD</v>
      </c>
      <c r="D577" s="72" t="s">
        <v>743</v>
      </c>
      <c r="E577" s="72">
        <v>1230628.0</v>
      </c>
      <c r="F577" s="72" t="s">
        <v>146</v>
      </c>
      <c r="G577" s="72" t="s">
        <v>1385</v>
      </c>
      <c r="H577" s="72" t="s">
        <v>1348</v>
      </c>
      <c r="I577" s="72" t="s">
        <v>1349</v>
      </c>
      <c r="J577" s="72" t="s">
        <v>747</v>
      </c>
      <c r="K577" s="72" t="s">
        <v>1385</v>
      </c>
      <c r="L577" s="72" t="s">
        <v>75</v>
      </c>
      <c r="M577" s="72" t="s">
        <v>1386</v>
      </c>
      <c r="N577" s="72" t="s">
        <v>629</v>
      </c>
      <c r="O577" s="72" t="s">
        <v>630</v>
      </c>
      <c r="P577" s="72" t="s">
        <v>79</v>
      </c>
      <c r="Q577" s="72" t="s">
        <v>122</v>
      </c>
      <c r="R577" s="76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</row>
    <row r="578" ht="14.25" customHeight="1">
      <c r="A578" s="72" t="str">
        <f t="shared" si="1"/>
        <v>28/06/2023</v>
      </c>
      <c r="B578" s="82" t="str">
        <f t="shared" si="2"/>
        <v>06-28</v>
      </c>
      <c r="C578" s="82" t="str">
        <f t="shared" si="3"/>
        <v>AUD</v>
      </c>
      <c r="D578" s="72" t="s">
        <v>743</v>
      </c>
      <c r="E578" s="72">
        <v>1230628.0</v>
      </c>
      <c r="F578" s="72" t="s">
        <v>146</v>
      </c>
      <c r="G578" s="72" t="s">
        <v>1387</v>
      </c>
      <c r="H578" s="72" t="s">
        <v>1348</v>
      </c>
      <c r="I578" s="72" t="s">
        <v>1349</v>
      </c>
      <c r="J578" s="72" t="s">
        <v>747</v>
      </c>
      <c r="K578" s="72" t="s">
        <v>1387</v>
      </c>
      <c r="L578" s="72" t="s">
        <v>75</v>
      </c>
      <c r="M578" s="72" t="s">
        <v>1388</v>
      </c>
      <c r="N578" s="72" t="s">
        <v>629</v>
      </c>
      <c r="O578" s="72" t="s">
        <v>630</v>
      </c>
      <c r="P578" s="72" t="s">
        <v>79</v>
      </c>
      <c r="Q578" s="72" t="s">
        <v>122</v>
      </c>
      <c r="R578" s="76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</row>
    <row r="579" ht="14.25" customHeight="1">
      <c r="A579" s="72" t="str">
        <f t="shared" si="1"/>
        <v>28/06/2023</v>
      </c>
      <c r="B579" s="82" t="str">
        <f t="shared" si="2"/>
        <v>06-28</v>
      </c>
      <c r="C579" s="82" t="str">
        <f t="shared" si="3"/>
        <v>AUD</v>
      </c>
      <c r="D579" s="72" t="s">
        <v>743</v>
      </c>
      <c r="E579" s="72">
        <v>1230628.0</v>
      </c>
      <c r="F579" s="72" t="s">
        <v>146</v>
      </c>
      <c r="G579" s="72" t="s">
        <v>1389</v>
      </c>
      <c r="H579" s="72" t="s">
        <v>1348</v>
      </c>
      <c r="I579" s="72" t="s">
        <v>1349</v>
      </c>
      <c r="J579" s="72" t="s">
        <v>747</v>
      </c>
      <c r="K579" s="72" t="s">
        <v>1389</v>
      </c>
      <c r="L579" s="72" t="s">
        <v>75</v>
      </c>
      <c r="M579" s="72" t="s">
        <v>1390</v>
      </c>
      <c r="N579" s="72" t="s">
        <v>629</v>
      </c>
      <c r="O579" s="72" t="s">
        <v>630</v>
      </c>
      <c r="P579" s="72" t="s">
        <v>79</v>
      </c>
      <c r="Q579" s="72" t="s">
        <v>122</v>
      </c>
      <c r="R579" s="76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</row>
    <row r="580" ht="14.25" customHeight="1">
      <c r="A580" s="72" t="str">
        <f t="shared" si="1"/>
        <v>28/06/2023</v>
      </c>
      <c r="B580" s="82" t="str">
        <f t="shared" si="2"/>
        <v>06-28</v>
      </c>
      <c r="C580" s="82" t="str">
        <f t="shared" si="3"/>
        <v>AUD</v>
      </c>
      <c r="D580" s="72" t="s">
        <v>743</v>
      </c>
      <c r="E580" s="72">
        <v>1230628.0</v>
      </c>
      <c r="F580" s="72" t="s">
        <v>146</v>
      </c>
      <c r="G580" s="72" t="s">
        <v>1391</v>
      </c>
      <c r="H580" s="72" t="s">
        <v>1348</v>
      </c>
      <c r="I580" s="72" t="s">
        <v>1349</v>
      </c>
      <c r="J580" s="72" t="s">
        <v>747</v>
      </c>
      <c r="K580" s="72" t="s">
        <v>1391</v>
      </c>
      <c r="L580" s="72" t="s">
        <v>75</v>
      </c>
      <c r="M580" s="72" t="s">
        <v>1392</v>
      </c>
      <c r="N580" s="72" t="s">
        <v>629</v>
      </c>
      <c r="O580" s="72" t="s">
        <v>630</v>
      </c>
      <c r="P580" s="72" t="s">
        <v>79</v>
      </c>
      <c r="Q580" s="72" t="s">
        <v>122</v>
      </c>
      <c r="R580" s="76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</row>
    <row r="581" ht="14.25" customHeight="1">
      <c r="A581" s="72" t="str">
        <f t="shared" si="1"/>
        <v>28/06/2023</v>
      </c>
      <c r="B581" s="82" t="str">
        <f t="shared" si="2"/>
        <v>06-28</v>
      </c>
      <c r="C581" s="82" t="str">
        <f t="shared" si="3"/>
        <v>AUD</v>
      </c>
      <c r="D581" s="72" t="s">
        <v>743</v>
      </c>
      <c r="E581" s="72">
        <v>1230628.0</v>
      </c>
      <c r="F581" s="72" t="s">
        <v>146</v>
      </c>
      <c r="G581" s="72" t="s">
        <v>1393</v>
      </c>
      <c r="H581" s="72" t="s">
        <v>1348</v>
      </c>
      <c r="I581" s="72" t="s">
        <v>1349</v>
      </c>
      <c r="J581" s="72" t="s">
        <v>747</v>
      </c>
      <c r="K581" s="72" t="s">
        <v>1393</v>
      </c>
      <c r="L581" s="72" t="s">
        <v>75</v>
      </c>
      <c r="M581" s="72" t="s">
        <v>1394</v>
      </c>
      <c r="N581" s="72" t="s">
        <v>629</v>
      </c>
      <c r="O581" s="72" t="s">
        <v>630</v>
      </c>
      <c r="P581" s="72" t="s">
        <v>79</v>
      </c>
      <c r="Q581" s="72" t="s">
        <v>122</v>
      </c>
      <c r="R581" s="76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</row>
    <row r="582" ht="14.25" customHeight="1">
      <c r="A582" s="72" t="str">
        <f t="shared" si="1"/>
        <v>28/06/2023</v>
      </c>
      <c r="B582" s="82" t="str">
        <f t="shared" si="2"/>
        <v>06-28</v>
      </c>
      <c r="C582" s="82" t="str">
        <f t="shared" si="3"/>
        <v>AUD</v>
      </c>
      <c r="D582" s="72" t="s">
        <v>743</v>
      </c>
      <c r="E582" s="72">
        <v>1230628.0</v>
      </c>
      <c r="F582" s="72" t="s">
        <v>146</v>
      </c>
      <c r="G582" s="72" t="s">
        <v>1395</v>
      </c>
      <c r="H582" s="72" t="s">
        <v>1348</v>
      </c>
      <c r="I582" s="72" t="s">
        <v>1349</v>
      </c>
      <c r="J582" s="72" t="s">
        <v>747</v>
      </c>
      <c r="K582" s="72" t="s">
        <v>1395</v>
      </c>
      <c r="L582" s="72" t="s">
        <v>75</v>
      </c>
      <c r="M582" s="72" t="s">
        <v>1396</v>
      </c>
      <c r="N582" s="72" t="s">
        <v>629</v>
      </c>
      <c r="O582" s="72" t="s">
        <v>630</v>
      </c>
      <c r="P582" s="72" t="s">
        <v>79</v>
      </c>
      <c r="Q582" s="72" t="s">
        <v>122</v>
      </c>
      <c r="R582" s="76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</row>
    <row r="583" ht="14.25" customHeight="1">
      <c r="A583" s="72" t="str">
        <f t="shared" si="1"/>
        <v>28/06/2023</v>
      </c>
      <c r="B583" s="82" t="str">
        <f t="shared" si="2"/>
        <v>06-28</v>
      </c>
      <c r="C583" s="82" t="str">
        <f t="shared" si="3"/>
        <v>AUD</v>
      </c>
      <c r="D583" s="72" t="s">
        <v>743</v>
      </c>
      <c r="E583" s="72">
        <v>1230628.0</v>
      </c>
      <c r="F583" s="72" t="s">
        <v>146</v>
      </c>
      <c r="G583" s="72" t="s">
        <v>1397</v>
      </c>
      <c r="H583" s="72" t="s">
        <v>1348</v>
      </c>
      <c r="I583" s="72" t="s">
        <v>1349</v>
      </c>
      <c r="J583" s="72" t="s">
        <v>747</v>
      </c>
      <c r="K583" s="72" t="s">
        <v>1397</v>
      </c>
      <c r="L583" s="72" t="s">
        <v>75</v>
      </c>
      <c r="M583" s="72" t="s">
        <v>1398</v>
      </c>
      <c r="N583" s="72" t="s">
        <v>629</v>
      </c>
      <c r="O583" s="72" t="s">
        <v>630</v>
      </c>
      <c r="P583" s="72" t="s">
        <v>79</v>
      </c>
      <c r="Q583" s="72" t="s">
        <v>122</v>
      </c>
      <c r="R583" s="76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</row>
    <row r="584" ht="14.25" customHeight="1">
      <c r="A584" s="72" t="str">
        <f t="shared" si="1"/>
        <v>28/06/2023</v>
      </c>
      <c r="B584" s="82" t="str">
        <f t="shared" si="2"/>
        <v>06-28</v>
      </c>
      <c r="C584" s="82" t="str">
        <f t="shared" si="3"/>
        <v>AUD</v>
      </c>
      <c r="D584" s="72" t="s">
        <v>743</v>
      </c>
      <c r="E584" s="72">
        <v>1230628.0</v>
      </c>
      <c r="F584" s="72" t="s">
        <v>146</v>
      </c>
      <c r="G584" s="72" t="s">
        <v>1399</v>
      </c>
      <c r="H584" s="72" t="s">
        <v>1348</v>
      </c>
      <c r="I584" s="72" t="s">
        <v>1349</v>
      </c>
      <c r="J584" s="72" t="s">
        <v>747</v>
      </c>
      <c r="K584" s="72" t="s">
        <v>1399</v>
      </c>
      <c r="L584" s="72" t="s">
        <v>75</v>
      </c>
      <c r="M584" s="72" t="s">
        <v>1400</v>
      </c>
      <c r="N584" s="72" t="s">
        <v>629</v>
      </c>
      <c r="O584" s="72" t="s">
        <v>630</v>
      </c>
      <c r="P584" s="72" t="s">
        <v>79</v>
      </c>
      <c r="Q584" s="72" t="s">
        <v>122</v>
      </c>
      <c r="R584" s="76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</row>
    <row r="585" ht="14.25" customHeight="1">
      <c r="A585" s="72" t="str">
        <f t="shared" si="1"/>
        <v>28/06/2023</v>
      </c>
      <c r="B585" s="82" t="str">
        <f t="shared" si="2"/>
        <v>06-28</v>
      </c>
      <c r="C585" s="82" t="str">
        <f t="shared" si="3"/>
        <v>AUD</v>
      </c>
      <c r="D585" s="72" t="s">
        <v>743</v>
      </c>
      <c r="E585" s="72">
        <v>1230628.0</v>
      </c>
      <c r="F585" s="72" t="s">
        <v>146</v>
      </c>
      <c r="G585" s="72" t="s">
        <v>1401</v>
      </c>
      <c r="H585" s="72" t="s">
        <v>1348</v>
      </c>
      <c r="I585" s="72" t="s">
        <v>1349</v>
      </c>
      <c r="J585" s="72" t="s">
        <v>747</v>
      </c>
      <c r="K585" s="72" t="s">
        <v>1401</v>
      </c>
      <c r="L585" s="72" t="s">
        <v>75</v>
      </c>
      <c r="M585" s="72" t="s">
        <v>1402</v>
      </c>
      <c r="N585" s="72" t="s">
        <v>629</v>
      </c>
      <c r="O585" s="72" t="s">
        <v>630</v>
      </c>
      <c r="P585" s="72" t="s">
        <v>79</v>
      </c>
      <c r="Q585" s="72" t="s">
        <v>122</v>
      </c>
      <c r="R585" s="76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</row>
    <row r="586" ht="14.25" customHeight="1">
      <c r="A586" s="72" t="str">
        <f t="shared" si="1"/>
        <v>28/06/2023</v>
      </c>
      <c r="B586" s="82" t="str">
        <f t="shared" si="2"/>
        <v>06-28</v>
      </c>
      <c r="C586" s="82" t="str">
        <f t="shared" si="3"/>
        <v>AUD</v>
      </c>
      <c r="D586" s="72" t="s">
        <v>743</v>
      </c>
      <c r="E586" s="72">
        <v>1230628.0</v>
      </c>
      <c r="F586" s="72" t="s">
        <v>146</v>
      </c>
      <c r="G586" s="72" t="s">
        <v>1403</v>
      </c>
      <c r="H586" s="72" t="s">
        <v>1348</v>
      </c>
      <c r="I586" s="72" t="s">
        <v>1349</v>
      </c>
      <c r="J586" s="72" t="s">
        <v>747</v>
      </c>
      <c r="K586" s="72" t="s">
        <v>1403</v>
      </c>
      <c r="L586" s="72" t="s">
        <v>75</v>
      </c>
      <c r="M586" s="72" t="s">
        <v>1404</v>
      </c>
      <c r="N586" s="72" t="s">
        <v>629</v>
      </c>
      <c r="O586" s="72" t="s">
        <v>630</v>
      </c>
      <c r="P586" s="72" t="s">
        <v>79</v>
      </c>
      <c r="Q586" s="72" t="s">
        <v>122</v>
      </c>
      <c r="R586" s="76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</row>
    <row r="587" ht="14.25" customHeight="1">
      <c r="A587" s="72" t="str">
        <f t="shared" si="1"/>
        <v>28/06/2023</v>
      </c>
      <c r="B587" s="82" t="str">
        <f t="shared" si="2"/>
        <v>06-28</v>
      </c>
      <c r="C587" s="82" t="str">
        <f t="shared" si="3"/>
        <v>AUD</v>
      </c>
      <c r="D587" s="72" t="s">
        <v>743</v>
      </c>
      <c r="E587" s="72">
        <v>1230628.0</v>
      </c>
      <c r="F587" s="72" t="s">
        <v>146</v>
      </c>
      <c r="G587" s="72" t="s">
        <v>1405</v>
      </c>
      <c r="H587" s="72" t="s">
        <v>1348</v>
      </c>
      <c r="I587" s="72" t="s">
        <v>1349</v>
      </c>
      <c r="J587" s="72" t="s">
        <v>747</v>
      </c>
      <c r="K587" s="72" t="s">
        <v>1405</v>
      </c>
      <c r="L587" s="72" t="s">
        <v>75</v>
      </c>
      <c r="M587" s="72" t="s">
        <v>1406</v>
      </c>
      <c r="N587" s="72" t="s">
        <v>629</v>
      </c>
      <c r="O587" s="72" t="s">
        <v>630</v>
      </c>
      <c r="P587" s="72" t="s">
        <v>79</v>
      </c>
      <c r="Q587" s="72" t="s">
        <v>122</v>
      </c>
      <c r="R587" s="76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</row>
    <row r="588" ht="14.25" customHeight="1">
      <c r="A588" s="72" t="str">
        <f t="shared" si="1"/>
        <v>28/06/2023</v>
      </c>
      <c r="B588" s="82" t="str">
        <f t="shared" si="2"/>
        <v>06-28</v>
      </c>
      <c r="C588" s="82" t="str">
        <f t="shared" si="3"/>
        <v>AUD</v>
      </c>
      <c r="D588" s="72" t="s">
        <v>743</v>
      </c>
      <c r="E588" s="72">
        <v>1230628.0</v>
      </c>
      <c r="F588" s="72" t="s">
        <v>146</v>
      </c>
      <c r="G588" s="72" t="s">
        <v>1407</v>
      </c>
      <c r="H588" s="72" t="s">
        <v>1348</v>
      </c>
      <c r="I588" s="72" t="s">
        <v>1349</v>
      </c>
      <c r="J588" s="72" t="s">
        <v>747</v>
      </c>
      <c r="K588" s="72" t="s">
        <v>1407</v>
      </c>
      <c r="L588" s="72" t="s">
        <v>75</v>
      </c>
      <c r="M588" s="72" t="s">
        <v>1408</v>
      </c>
      <c r="N588" s="72" t="s">
        <v>629</v>
      </c>
      <c r="O588" s="72" t="s">
        <v>630</v>
      </c>
      <c r="P588" s="72" t="s">
        <v>79</v>
      </c>
      <c r="Q588" s="72" t="s">
        <v>122</v>
      </c>
      <c r="R588" s="76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</row>
    <row r="589" ht="14.25" customHeight="1">
      <c r="A589" s="72" t="str">
        <f t="shared" si="1"/>
        <v>28/06/2023</v>
      </c>
      <c r="B589" s="82" t="str">
        <f t="shared" si="2"/>
        <v>06-28</v>
      </c>
      <c r="C589" s="82" t="str">
        <f t="shared" si="3"/>
        <v>AUD</v>
      </c>
      <c r="D589" s="72" t="s">
        <v>743</v>
      </c>
      <c r="E589" s="72">
        <v>1230628.0</v>
      </c>
      <c r="F589" s="72" t="s">
        <v>146</v>
      </c>
      <c r="G589" s="72" t="s">
        <v>1409</v>
      </c>
      <c r="H589" s="72" t="s">
        <v>1348</v>
      </c>
      <c r="I589" s="72" t="s">
        <v>1349</v>
      </c>
      <c r="J589" s="72" t="s">
        <v>747</v>
      </c>
      <c r="K589" s="72" t="s">
        <v>1409</v>
      </c>
      <c r="L589" s="72" t="s">
        <v>75</v>
      </c>
      <c r="M589" s="72" t="s">
        <v>1410</v>
      </c>
      <c r="N589" s="72" t="s">
        <v>629</v>
      </c>
      <c r="O589" s="72" t="s">
        <v>630</v>
      </c>
      <c r="P589" s="72" t="s">
        <v>79</v>
      </c>
      <c r="Q589" s="72" t="s">
        <v>122</v>
      </c>
      <c r="R589" s="76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</row>
    <row r="590" ht="14.25" customHeight="1">
      <c r="A590" s="72" t="str">
        <f t="shared" si="1"/>
        <v>28/06/2023</v>
      </c>
      <c r="B590" s="82" t="str">
        <f t="shared" si="2"/>
        <v>06-28</v>
      </c>
      <c r="C590" s="82" t="str">
        <f t="shared" si="3"/>
        <v>AUD</v>
      </c>
      <c r="D590" s="72" t="s">
        <v>743</v>
      </c>
      <c r="E590" s="72">
        <v>1230628.0</v>
      </c>
      <c r="F590" s="72" t="s">
        <v>146</v>
      </c>
      <c r="G590" s="72" t="s">
        <v>1411</v>
      </c>
      <c r="H590" s="72" t="s">
        <v>1348</v>
      </c>
      <c r="I590" s="72" t="s">
        <v>1349</v>
      </c>
      <c r="J590" s="72" t="s">
        <v>747</v>
      </c>
      <c r="K590" s="72" t="s">
        <v>1411</v>
      </c>
      <c r="L590" s="72" t="s">
        <v>75</v>
      </c>
      <c r="M590" s="72" t="s">
        <v>1412</v>
      </c>
      <c r="N590" s="72" t="s">
        <v>629</v>
      </c>
      <c r="O590" s="72" t="s">
        <v>630</v>
      </c>
      <c r="P590" s="72" t="s">
        <v>79</v>
      </c>
      <c r="Q590" s="72" t="s">
        <v>122</v>
      </c>
      <c r="R590" s="76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</row>
    <row r="591" ht="14.25" customHeight="1">
      <c r="A591" s="72" t="str">
        <f t="shared" si="1"/>
        <v>28/06/2023</v>
      </c>
      <c r="B591" s="82" t="str">
        <f t="shared" si="2"/>
        <v>06-28</v>
      </c>
      <c r="C591" s="82" t="str">
        <f t="shared" si="3"/>
        <v>AUD</v>
      </c>
      <c r="D591" s="72" t="s">
        <v>743</v>
      </c>
      <c r="E591" s="72">
        <v>1230628.0</v>
      </c>
      <c r="F591" s="72" t="s">
        <v>146</v>
      </c>
      <c r="G591" s="72" t="s">
        <v>1413</v>
      </c>
      <c r="H591" s="72" t="s">
        <v>1348</v>
      </c>
      <c r="I591" s="72" t="s">
        <v>1349</v>
      </c>
      <c r="J591" s="72" t="s">
        <v>747</v>
      </c>
      <c r="K591" s="72" t="s">
        <v>1413</v>
      </c>
      <c r="L591" s="72" t="s">
        <v>75</v>
      </c>
      <c r="M591" s="72" t="s">
        <v>1414</v>
      </c>
      <c r="N591" s="72" t="s">
        <v>629</v>
      </c>
      <c r="O591" s="72" t="s">
        <v>630</v>
      </c>
      <c r="P591" s="72" t="s">
        <v>79</v>
      </c>
      <c r="Q591" s="72" t="s">
        <v>122</v>
      </c>
      <c r="R591" s="76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</row>
    <row r="592" ht="14.25" customHeight="1">
      <c r="A592" s="72" t="str">
        <f t="shared" si="1"/>
        <v>28/06/2023</v>
      </c>
      <c r="B592" s="82" t="str">
        <f t="shared" si="2"/>
        <v>06-28</v>
      </c>
      <c r="C592" s="82" t="str">
        <f t="shared" si="3"/>
        <v>AUD</v>
      </c>
      <c r="D592" s="72" t="s">
        <v>743</v>
      </c>
      <c r="E592" s="72">
        <v>1230628.0</v>
      </c>
      <c r="F592" s="72" t="s">
        <v>146</v>
      </c>
      <c r="G592" s="72" t="s">
        <v>1415</v>
      </c>
      <c r="H592" s="72" t="s">
        <v>1348</v>
      </c>
      <c r="I592" s="72" t="s">
        <v>1349</v>
      </c>
      <c r="J592" s="72" t="s">
        <v>747</v>
      </c>
      <c r="K592" s="72" t="s">
        <v>1415</v>
      </c>
      <c r="L592" s="72" t="s">
        <v>75</v>
      </c>
      <c r="M592" s="72" t="s">
        <v>1416</v>
      </c>
      <c r="N592" s="72" t="s">
        <v>629</v>
      </c>
      <c r="O592" s="72" t="s">
        <v>630</v>
      </c>
      <c r="P592" s="72" t="s">
        <v>79</v>
      </c>
      <c r="Q592" s="72" t="s">
        <v>122</v>
      </c>
      <c r="R592" s="76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</row>
    <row r="593" ht="14.25" customHeight="1">
      <c r="A593" s="72" t="str">
        <f t="shared" si="1"/>
        <v>28/06/2023</v>
      </c>
      <c r="B593" s="82" t="str">
        <f t="shared" si="2"/>
        <v>06-28</v>
      </c>
      <c r="C593" s="82" t="str">
        <f t="shared" si="3"/>
        <v>AUD</v>
      </c>
      <c r="D593" s="72" t="s">
        <v>743</v>
      </c>
      <c r="E593" s="72">
        <v>1230628.0</v>
      </c>
      <c r="F593" s="72" t="s">
        <v>146</v>
      </c>
      <c r="G593" s="72" t="s">
        <v>1417</v>
      </c>
      <c r="H593" s="72" t="s">
        <v>1348</v>
      </c>
      <c r="I593" s="72" t="s">
        <v>1349</v>
      </c>
      <c r="J593" s="72" t="s">
        <v>747</v>
      </c>
      <c r="K593" s="72" t="s">
        <v>1417</v>
      </c>
      <c r="L593" s="72" t="s">
        <v>75</v>
      </c>
      <c r="M593" s="72" t="s">
        <v>1418</v>
      </c>
      <c r="N593" s="72" t="s">
        <v>629</v>
      </c>
      <c r="O593" s="72" t="s">
        <v>630</v>
      </c>
      <c r="P593" s="72" t="s">
        <v>79</v>
      </c>
      <c r="Q593" s="72" t="s">
        <v>122</v>
      </c>
      <c r="R593" s="76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</row>
    <row r="594" ht="14.25" customHeight="1">
      <c r="A594" s="72" t="str">
        <f t="shared" si="1"/>
        <v>28/06/2023</v>
      </c>
      <c r="B594" s="82" t="str">
        <f t="shared" si="2"/>
        <v>06-28</v>
      </c>
      <c r="C594" s="82" t="str">
        <f t="shared" si="3"/>
        <v>AUD</v>
      </c>
      <c r="D594" s="72" t="s">
        <v>743</v>
      </c>
      <c r="E594" s="72">
        <v>1230628.0</v>
      </c>
      <c r="F594" s="72" t="s">
        <v>146</v>
      </c>
      <c r="G594" s="72" t="s">
        <v>1419</v>
      </c>
      <c r="H594" s="72" t="s">
        <v>1348</v>
      </c>
      <c r="I594" s="72" t="s">
        <v>1349</v>
      </c>
      <c r="J594" s="72" t="s">
        <v>747</v>
      </c>
      <c r="K594" s="72" t="s">
        <v>1419</v>
      </c>
      <c r="L594" s="72" t="s">
        <v>75</v>
      </c>
      <c r="M594" s="72" t="s">
        <v>1420</v>
      </c>
      <c r="N594" s="72" t="s">
        <v>629</v>
      </c>
      <c r="O594" s="72" t="s">
        <v>630</v>
      </c>
      <c r="P594" s="72" t="s">
        <v>79</v>
      </c>
      <c r="Q594" s="72" t="s">
        <v>122</v>
      </c>
      <c r="R594" s="76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</row>
    <row r="595" ht="14.25" customHeight="1">
      <c r="A595" s="72" t="str">
        <f t="shared" si="1"/>
        <v>28/06/2023</v>
      </c>
      <c r="B595" s="82" t="str">
        <f t="shared" si="2"/>
        <v>06-28</v>
      </c>
      <c r="C595" s="82" t="str">
        <f t="shared" si="3"/>
        <v>AUD</v>
      </c>
      <c r="D595" s="72" t="s">
        <v>743</v>
      </c>
      <c r="E595" s="72">
        <v>1230628.0</v>
      </c>
      <c r="F595" s="72" t="s">
        <v>146</v>
      </c>
      <c r="G595" s="72" t="s">
        <v>1421</v>
      </c>
      <c r="H595" s="72" t="s">
        <v>1348</v>
      </c>
      <c r="I595" s="72" t="s">
        <v>1349</v>
      </c>
      <c r="J595" s="72" t="s">
        <v>747</v>
      </c>
      <c r="K595" s="72" t="s">
        <v>1421</v>
      </c>
      <c r="L595" s="72" t="s">
        <v>75</v>
      </c>
      <c r="M595" s="72" t="s">
        <v>1422</v>
      </c>
      <c r="N595" s="72" t="s">
        <v>629</v>
      </c>
      <c r="O595" s="72" t="s">
        <v>630</v>
      </c>
      <c r="P595" s="72" t="s">
        <v>79</v>
      </c>
      <c r="Q595" s="72" t="s">
        <v>122</v>
      </c>
      <c r="R595" s="76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</row>
    <row r="596" ht="14.25" customHeight="1">
      <c r="A596" s="72" t="str">
        <f t="shared" si="1"/>
        <v>28/06/2023</v>
      </c>
      <c r="B596" s="82" t="str">
        <f t="shared" si="2"/>
        <v>06-28</v>
      </c>
      <c r="C596" s="82" t="str">
        <f t="shared" si="3"/>
        <v>AUD</v>
      </c>
      <c r="D596" s="72" t="s">
        <v>743</v>
      </c>
      <c r="E596" s="72">
        <v>1230628.0</v>
      </c>
      <c r="F596" s="72" t="s">
        <v>146</v>
      </c>
      <c r="G596" s="72" t="s">
        <v>1423</v>
      </c>
      <c r="H596" s="72" t="s">
        <v>1348</v>
      </c>
      <c r="I596" s="72" t="s">
        <v>1349</v>
      </c>
      <c r="J596" s="72" t="s">
        <v>747</v>
      </c>
      <c r="K596" s="72" t="s">
        <v>1423</v>
      </c>
      <c r="L596" s="72" t="s">
        <v>75</v>
      </c>
      <c r="M596" s="72" t="s">
        <v>1424</v>
      </c>
      <c r="N596" s="72" t="s">
        <v>629</v>
      </c>
      <c r="O596" s="72" t="s">
        <v>630</v>
      </c>
      <c r="P596" s="72" t="s">
        <v>79</v>
      </c>
      <c r="Q596" s="72" t="s">
        <v>122</v>
      </c>
      <c r="R596" s="76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</row>
    <row r="597" ht="14.25" customHeight="1">
      <c r="A597" s="72" t="str">
        <f t="shared" si="1"/>
        <v>28/06/2023</v>
      </c>
      <c r="B597" s="82" t="str">
        <f t="shared" si="2"/>
        <v>06-28</v>
      </c>
      <c r="C597" s="82" t="str">
        <f t="shared" si="3"/>
        <v>AUD</v>
      </c>
      <c r="D597" s="72" t="s">
        <v>743</v>
      </c>
      <c r="E597" s="72">
        <v>1230628.0</v>
      </c>
      <c r="F597" s="72" t="s">
        <v>146</v>
      </c>
      <c r="G597" s="72" t="s">
        <v>1425</v>
      </c>
      <c r="H597" s="72" t="s">
        <v>1348</v>
      </c>
      <c r="I597" s="72" t="s">
        <v>1349</v>
      </c>
      <c r="J597" s="72" t="s">
        <v>747</v>
      </c>
      <c r="K597" s="72" t="s">
        <v>1425</v>
      </c>
      <c r="L597" s="72" t="s">
        <v>75</v>
      </c>
      <c r="M597" s="72" t="s">
        <v>1426</v>
      </c>
      <c r="N597" s="72" t="s">
        <v>629</v>
      </c>
      <c r="O597" s="72" t="s">
        <v>630</v>
      </c>
      <c r="P597" s="72" t="s">
        <v>79</v>
      </c>
      <c r="Q597" s="72" t="s">
        <v>122</v>
      </c>
      <c r="R597" s="76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</row>
    <row r="598" ht="14.25" customHeight="1">
      <c r="A598" s="72" t="str">
        <f t="shared" si="1"/>
        <v>28/06/2023</v>
      </c>
      <c r="B598" s="82" t="str">
        <f t="shared" si="2"/>
        <v>06-28</v>
      </c>
      <c r="C598" s="82" t="str">
        <f t="shared" si="3"/>
        <v>AUD</v>
      </c>
      <c r="D598" s="72" t="s">
        <v>743</v>
      </c>
      <c r="E598" s="72">
        <v>1230628.0</v>
      </c>
      <c r="F598" s="72" t="s">
        <v>146</v>
      </c>
      <c r="G598" s="72" t="s">
        <v>1427</v>
      </c>
      <c r="H598" s="72" t="s">
        <v>1348</v>
      </c>
      <c r="I598" s="72" t="s">
        <v>1349</v>
      </c>
      <c r="J598" s="72" t="s">
        <v>747</v>
      </c>
      <c r="K598" s="72" t="s">
        <v>1427</v>
      </c>
      <c r="L598" s="72" t="s">
        <v>75</v>
      </c>
      <c r="M598" s="72" t="s">
        <v>1428</v>
      </c>
      <c r="N598" s="72" t="s">
        <v>629</v>
      </c>
      <c r="O598" s="72" t="s">
        <v>630</v>
      </c>
      <c r="P598" s="72" t="s">
        <v>79</v>
      </c>
      <c r="Q598" s="72" t="s">
        <v>122</v>
      </c>
      <c r="R598" s="76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</row>
    <row r="599" ht="14.25" customHeight="1">
      <c r="A599" s="72" t="str">
        <f t="shared" si="1"/>
        <v>29/06/2023</v>
      </c>
      <c r="B599" s="82" t="str">
        <f t="shared" si="2"/>
        <v>06-29</v>
      </c>
      <c r="C599" s="82" t="str">
        <f t="shared" si="3"/>
        <v>AUD</v>
      </c>
      <c r="D599" s="72" t="s">
        <v>743</v>
      </c>
      <c r="E599" s="72">
        <v>1230629.0</v>
      </c>
      <c r="F599" s="72" t="s">
        <v>146</v>
      </c>
      <c r="G599" s="72" t="s">
        <v>1429</v>
      </c>
      <c r="H599" s="72" t="s">
        <v>745</v>
      </c>
      <c r="I599" s="72" t="s">
        <v>746</v>
      </c>
      <c r="J599" s="72" t="s">
        <v>747</v>
      </c>
      <c r="K599" s="72" t="s">
        <v>1429</v>
      </c>
      <c r="L599" s="72" t="s">
        <v>75</v>
      </c>
      <c r="M599" s="72" t="s">
        <v>1430</v>
      </c>
      <c r="N599" s="72" t="s">
        <v>158</v>
      </c>
      <c r="O599" s="72" t="s">
        <v>184</v>
      </c>
      <c r="P599" s="72" t="s">
        <v>79</v>
      </c>
      <c r="Q599" s="72" t="s">
        <v>80</v>
      </c>
      <c r="R599" s="76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</row>
    <row r="600" ht="14.25" customHeight="1">
      <c r="A600" s="72" t="str">
        <f t="shared" si="1"/>
        <v>29/06/2023</v>
      </c>
      <c r="B600" s="82" t="str">
        <f t="shared" si="2"/>
        <v>06-29</v>
      </c>
      <c r="C600" s="82" t="str">
        <f t="shared" si="3"/>
        <v>AUD</v>
      </c>
      <c r="D600" s="72" t="s">
        <v>743</v>
      </c>
      <c r="E600" s="72">
        <v>1230629.0</v>
      </c>
      <c r="F600" s="72" t="s">
        <v>146</v>
      </c>
      <c r="G600" s="72" t="s">
        <v>1431</v>
      </c>
      <c r="H600" s="72" t="s">
        <v>862</v>
      </c>
      <c r="I600" s="72" t="s">
        <v>863</v>
      </c>
      <c r="J600" s="72" t="s">
        <v>747</v>
      </c>
      <c r="K600" s="72" t="s">
        <v>1431</v>
      </c>
      <c r="L600" s="72" t="s">
        <v>75</v>
      </c>
      <c r="M600" s="72" t="s">
        <v>1432</v>
      </c>
      <c r="N600" s="72" t="s">
        <v>1433</v>
      </c>
      <c r="O600" s="72" t="s">
        <v>1434</v>
      </c>
      <c r="P600" s="72" t="s">
        <v>79</v>
      </c>
      <c r="Q600" s="72" t="s">
        <v>145</v>
      </c>
      <c r="R600" s="76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</row>
    <row r="601" ht="14.25" customHeight="1">
      <c r="A601" s="72" t="str">
        <f t="shared" si="1"/>
        <v>29/06/2023</v>
      </c>
      <c r="B601" s="82" t="str">
        <f t="shared" si="2"/>
        <v>06-29</v>
      </c>
      <c r="C601" s="82" t="str">
        <f t="shared" si="3"/>
        <v>AUD</v>
      </c>
      <c r="D601" s="72" t="s">
        <v>743</v>
      </c>
      <c r="E601" s="72">
        <v>1230629.0</v>
      </c>
      <c r="F601" s="72" t="s">
        <v>146</v>
      </c>
      <c r="G601" s="72" t="s">
        <v>1435</v>
      </c>
      <c r="H601" s="72" t="s">
        <v>862</v>
      </c>
      <c r="I601" s="72" t="s">
        <v>863</v>
      </c>
      <c r="J601" s="72" t="s">
        <v>747</v>
      </c>
      <c r="K601" s="72" t="s">
        <v>1435</v>
      </c>
      <c r="L601" s="72" t="s">
        <v>75</v>
      </c>
      <c r="M601" s="72" t="s">
        <v>1436</v>
      </c>
      <c r="N601" s="72" t="s">
        <v>1433</v>
      </c>
      <c r="O601" s="72" t="s">
        <v>1434</v>
      </c>
      <c r="P601" s="72" t="s">
        <v>79</v>
      </c>
      <c r="Q601" s="72" t="s">
        <v>145</v>
      </c>
      <c r="R601" s="76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</row>
    <row r="602" ht="14.25" customHeight="1">
      <c r="A602" s="72" t="str">
        <f t="shared" si="1"/>
        <v>29/06/2023</v>
      </c>
      <c r="B602" s="82" t="str">
        <f t="shared" si="2"/>
        <v>06-29</v>
      </c>
      <c r="C602" s="82" t="str">
        <f t="shared" si="3"/>
        <v>AUD</v>
      </c>
      <c r="D602" s="72" t="s">
        <v>743</v>
      </c>
      <c r="E602" s="72">
        <v>1230629.0</v>
      </c>
      <c r="F602" s="72" t="s">
        <v>146</v>
      </c>
      <c r="G602" s="72" t="s">
        <v>1437</v>
      </c>
      <c r="H602" s="72" t="s">
        <v>754</v>
      </c>
      <c r="I602" s="72" t="s">
        <v>755</v>
      </c>
      <c r="J602" s="72" t="s">
        <v>747</v>
      </c>
      <c r="K602" s="72" t="s">
        <v>1437</v>
      </c>
      <c r="L602" s="72" t="s">
        <v>75</v>
      </c>
      <c r="M602" s="72" t="s">
        <v>1438</v>
      </c>
      <c r="N602" s="72" t="s">
        <v>260</v>
      </c>
      <c r="O602" s="72" t="s">
        <v>1439</v>
      </c>
      <c r="P602" s="72" t="s">
        <v>79</v>
      </c>
      <c r="Q602" s="72" t="s">
        <v>133</v>
      </c>
      <c r="R602" s="76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</row>
    <row r="603" ht="14.25" customHeight="1">
      <c r="A603" s="72" t="str">
        <f t="shared" si="1"/>
        <v>29/06/2023</v>
      </c>
      <c r="B603" s="82" t="str">
        <f t="shared" si="2"/>
        <v>06-29</v>
      </c>
      <c r="C603" s="82" t="str">
        <f t="shared" si="3"/>
        <v>AUD</v>
      </c>
      <c r="D603" s="72" t="s">
        <v>743</v>
      </c>
      <c r="E603" s="72">
        <v>1230629.0</v>
      </c>
      <c r="F603" s="72" t="s">
        <v>146</v>
      </c>
      <c r="G603" s="72" t="s">
        <v>1440</v>
      </c>
      <c r="H603" s="72" t="s">
        <v>853</v>
      </c>
      <c r="I603" s="72" t="s">
        <v>854</v>
      </c>
      <c r="J603" s="72" t="s">
        <v>747</v>
      </c>
      <c r="K603" s="72" t="s">
        <v>1440</v>
      </c>
      <c r="L603" s="72" t="s">
        <v>75</v>
      </c>
      <c r="M603" s="72" t="s">
        <v>1441</v>
      </c>
      <c r="N603" s="72" t="s">
        <v>885</v>
      </c>
      <c r="O603" s="72" t="s">
        <v>898</v>
      </c>
      <c r="P603" s="72" t="s">
        <v>79</v>
      </c>
      <c r="Q603" s="72" t="s">
        <v>145</v>
      </c>
      <c r="R603" s="76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</row>
    <row r="604" ht="14.25" customHeight="1">
      <c r="A604" s="72" t="str">
        <f t="shared" si="1"/>
        <v>29/06/2023</v>
      </c>
      <c r="B604" s="82" t="str">
        <f t="shared" si="2"/>
        <v>06-29</v>
      </c>
      <c r="C604" s="82" t="str">
        <f t="shared" si="3"/>
        <v>AUD</v>
      </c>
      <c r="D604" s="72" t="s">
        <v>743</v>
      </c>
      <c r="E604" s="72">
        <v>1230629.0</v>
      </c>
      <c r="F604" s="72" t="s">
        <v>146</v>
      </c>
      <c r="G604" s="72" t="s">
        <v>1442</v>
      </c>
      <c r="H604" s="72" t="s">
        <v>853</v>
      </c>
      <c r="I604" s="72" t="s">
        <v>854</v>
      </c>
      <c r="J604" s="72" t="s">
        <v>747</v>
      </c>
      <c r="K604" s="72" t="s">
        <v>1442</v>
      </c>
      <c r="L604" s="72" t="s">
        <v>75</v>
      </c>
      <c r="M604" s="72" t="s">
        <v>1443</v>
      </c>
      <c r="N604" s="72" t="s">
        <v>885</v>
      </c>
      <c r="O604" s="72" t="s">
        <v>898</v>
      </c>
      <c r="P604" s="72" t="s">
        <v>79</v>
      </c>
      <c r="Q604" s="72" t="s">
        <v>145</v>
      </c>
      <c r="R604" s="76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</row>
    <row r="605" ht="14.25" customHeight="1">
      <c r="A605" s="72" t="str">
        <f t="shared" si="1"/>
        <v>29/06/2023</v>
      </c>
      <c r="B605" s="82" t="str">
        <f t="shared" si="2"/>
        <v>06-29</v>
      </c>
      <c r="C605" s="82" t="str">
        <f t="shared" si="3"/>
        <v>AUD</v>
      </c>
      <c r="D605" s="72" t="s">
        <v>743</v>
      </c>
      <c r="E605" s="72">
        <v>1230629.0</v>
      </c>
      <c r="F605" s="72" t="s">
        <v>146</v>
      </c>
      <c r="G605" s="72" t="s">
        <v>1444</v>
      </c>
      <c r="H605" s="72" t="s">
        <v>853</v>
      </c>
      <c r="I605" s="72" t="s">
        <v>854</v>
      </c>
      <c r="J605" s="72" t="s">
        <v>747</v>
      </c>
      <c r="K605" s="72" t="s">
        <v>1444</v>
      </c>
      <c r="L605" s="72" t="s">
        <v>75</v>
      </c>
      <c r="M605" s="72" t="s">
        <v>1445</v>
      </c>
      <c r="N605" s="72" t="s">
        <v>850</v>
      </c>
      <c r="O605" s="72" t="s">
        <v>851</v>
      </c>
      <c r="P605" s="72" t="s">
        <v>79</v>
      </c>
      <c r="Q605" s="72" t="s">
        <v>145</v>
      </c>
      <c r="R605" s="76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</row>
    <row r="606" ht="14.25" customHeight="1">
      <c r="A606" s="72" t="str">
        <f t="shared" si="1"/>
        <v>29/06/2023</v>
      </c>
      <c r="B606" s="82" t="str">
        <f t="shared" si="2"/>
        <v>06-29</v>
      </c>
      <c r="C606" s="82" t="str">
        <f t="shared" si="3"/>
        <v>AUD</v>
      </c>
      <c r="D606" s="72" t="s">
        <v>743</v>
      </c>
      <c r="E606" s="72">
        <v>1230629.0</v>
      </c>
      <c r="F606" s="72" t="s">
        <v>70</v>
      </c>
      <c r="G606" s="72" t="s">
        <v>1446</v>
      </c>
      <c r="H606" s="72" t="s">
        <v>1447</v>
      </c>
      <c r="I606" s="72" t="s">
        <v>863</v>
      </c>
      <c r="J606" s="72" t="s">
        <v>747</v>
      </c>
      <c r="K606" s="72" t="s">
        <v>1446</v>
      </c>
      <c r="L606" s="72" t="s">
        <v>75</v>
      </c>
      <c r="M606" s="72" t="s">
        <v>1448</v>
      </c>
      <c r="N606" s="72" t="s">
        <v>482</v>
      </c>
      <c r="O606" s="72" t="s">
        <v>483</v>
      </c>
      <c r="P606" s="72" t="s">
        <v>79</v>
      </c>
      <c r="Q606" s="72" t="s">
        <v>145</v>
      </c>
      <c r="R606" s="76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</row>
    <row r="607" ht="14.25" customHeight="1">
      <c r="A607" s="72" t="str">
        <f t="shared" si="1"/>
        <v>29/06/2023</v>
      </c>
      <c r="B607" s="82" t="str">
        <f t="shared" si="2"/>
        <v>06-29</v>
      </c>
      <c r="C607" s="82" t="str">
        <f t="shared" si="3"/>
        <v>AUD</v>
      </c>
      <c r="D607" s="72" t="s">
        <v>743</v>
      </c>
      <c r="E607" s="72">
        <v>1230629.0</v>
      </c>
      <c r="F607" s="72" t="s">
        <v>70</v>
      </c>
      <c r="G607" s="72" t="s">
        <v>1449</v>
      </c>
      <c r="H607" s="72" t="s">
        <v>1447</v>
      </c>
      <c r="I607" s="72" t="s">
        <v>863</v>
      </c>
      <c r="J607" s="72" t="s">
        <v>747</v>
      </c>
      <c r="K607" s="72" t="s">
        <v>1449</v>
      </c>
      <c r="L607" s="72" t="s">
        <v>75</v>
      </c>
      <c r="M607" s="72" t="s">
        <v>1450</v>
      </c>
      <c r="N607" s="72" t="s">
        <v>482</v>
      </c>
      <c r="O607" s="72" t="s">
        <v>483</v>
      </c>
      <c r="P607" s="72" t="s">
        <v>79</v>
      </c>
      <c r="Q607" s="72" t="s">
        <v>145</v>
      </c>
      <c r="R607" s="76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</row>
    <row r="608" ht="14.25" customHeight="1">
      <c r="A608" s="72" t="str">
        <f t="shared" si="1"/>
        <v>29/06/2023</v>
      </c>
      <c r="B608" s="82" t="str">
        <f t="shared" si="2"/>
        <v>06-29</v>
      </c>
      <c r="C608" s="82" t="str">
        <f t="shared" si="3"/>
        <v>USD</v>
      </c>
      <c r="D608" s="72" t="s">
        <v>743</v>
      </c>
      <c r="E608" s="72">
        <v>1230629.0</v>
      </c>
      <c r="F608" s="72" t="s">
        <v>70</v>
      </c>
      <c r="G608" s="72" t="s">
        <v>1451</v>
      </c>
      <c r="H608" s="72" t="s">
        <v>834</v>
      </c>
      <c r="I608" s="72" t="s">
        <v>835</v>
      </c>
      <c r="J608" s="72" t="s">
        <v>836</v>
      </c>
      <c r="K608" s="72" t="s">
        <v>1451</v>
      </c>
      <c r="L608" s="72" t="s">
        <v>75</v>
      </c>
      <c r="M608" s="72" t="s">
        <v>1452</v>
      </c>
      <c r="N608" s="72" t="s">
        <v>693</v>
      </c>
      <c r="O608" s="72" t="s">
        <v>1453</v>
      </c>
      <c r="P608" s="72" t="s">
        <v>79</v>
      </c>
      <c r="Q608" s="72" t="s">
        <v>80</v>
      </c>
      <c r="R608" s="76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</row>
    <row r="609" ht="14.25" customHeight="1">
      <c r="A609" s="72" t="str">
        <f t="shared" si="1"/>
        <v>29/06/2023</v>
      </c>
      <c r="B609" s="82" t="str">
        <f t="shared" si="2"/>
        <v>06-29</v>
      </c>
      <c r="C609" s="82" t="str">
        <f t="shared" si="3"/>
        <v>USD</v>
      </c>
      <c r="D609" s="72" t="s">
        <v>743</v>
      </c>
      <c r="E609" s="72">
        <v>1230629.0</v>
      </c>
      <c r="F609" s="72" t="s">
        <v>70</v>
      </c>
      <c r="G609" s="72" t="s">
        <v>1454</v>
      </c>
      <c r="H609" s="72" t="s">
        <v>834</v>
      </c>
      <c r="I609" s="72" t="s">
        <v>835</v>
      </c>
      <c r="J609" s="72" t="s">
        <v>836</v>
      </c>
      <c r="K609" s="72" t="s">
        <v>1454</v>
      </c>
      <c r="L609" s="72" t="s">
        <v>75</v>
      </c>
      <c r="M609" s="72" t="s">
        <v>1455</v>
      </c>
      <c r="N609" s="72" t="s">
        <v>693</v>
      </c>
      <c r="O609" s="72" t="s">
        <v>1453</v>
      </c>
      <c r="P609" s="72" t="s">
        <v>79</v>
      </c>
      <c r="Q609" s="72" t="s">
        <v>80</v>
      </c>
      <c r="R609" s="76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</row>
    <row r="610" ht="14.25" customHeight="1">
      <c r="A610" s="72" t="str">
        <f t="shared" si="1"/>
        <v>29/06/2023</v>
      </c>
      <c r="B610" s="82" t="str">
        <f t="shared" si="2"/>
        <v>06-29</v>
      </c>
      <c r="C610" s="82" t="str">
        <f t="shared" si="3"/>
        <v>USD</v>
      </c>
      <c r="D610" s="72" t="s">
        <v>743</v>
      </c>
      <c r="E610" s="72">
        <v>1230629.0</v>
      </c>
      <c r="F610" s="72" t="s">
        <v>70</v>
      </c>
      <c r="G610" s="72" t="s">
        <v>1456</v>
      </c>
      <c r="H610" s="72" t="s">
        <v>834</v>
      </c>
      <c r="I610" s="72" t="s">
        <v>835</v>
      </c>
      <c r="J610" s="72" t="s">
        <v>836</v>
      </c>
      <c r="K610" s="72" t="s">
        <v>1456</v>
      </c>
      <c r="L610" s="72" t="s">
        <v>75</v>
      </c>
      <c r="M610" s="72" t="s">
        <v>1457</v>
      </c>
      <c r="N610" s="72" t="s">
        <v>1458</v>
      </c>
      <c r="O610" s="72" t="s">
        <v>1459</v>
      </c>
      <c r="P610" s="72" t="s">
        <v>79</v>
      </c>
      <c r="Q610" s="72" t="s">
        <v>133</v>
      </c>
      <c r="R610" s="76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</row>
    <row r="611" ht="14.25" customHeight="1">
      <c r="A611" s="72" t="str">
        <f t="shared" si="1"/>
        <v>30/06/2023</v>
      </c>
      <c r="B611" s="82" t="str">
        <f t="shared" si="2"/>
        <v>06-30</v>
      </c>
      <c r="C611" s="82" t="str">
        <f t="shared" si="3"/>
        <v>AUD</v>
      </c>
      <c r="D611" s="72" t="s">
        <v>743</v>
      </c>
      <c r="E611" s="72">
        <v>1230630.0</v>
      </c>
      <c r="F611" s="72" t="s">
        <v>146</v>
      </c>
      <c r="G611" s="72" t="s">
        <v>1460</v>
      </c>
      <c r="H611" s="72" t="s">
        <v>862</v>
      </c>
      <c r="I611" s="72" t="s">
        <v>863</v>
      </c>
      <c r="J611" s="72" t="s">
        <v>747</v>
      </c>
      <c r="K611" s="72" t="s">
        <v>1460</v>
      </c>
      <c r="L611" s="72" t="s">
        <v>75</v>
      </c>
      <c r="M611" s="72" t="s">
        <v>1461</v>
      </c>
      <c r="N611" s="72" t="s">
        <v>757</v>
      </c>
      <c r="O611" s="72" t="s">
        <v>758</v>
      </c>
      <c r="P611" s="72" t="s">
        <v>79</v>
      </c>
      <c r="Q611" s="72" t="s">
        <v>133</v>
      </c>
      <c r="R611" s="76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</row>
    <row r="612" ht="14.2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6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</row>
    <row r="613" ht="14.2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6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</row>
    <row r="614" ht="14.2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6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</row>
    <row r="615" ht="14.2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6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</row>
    <row r="616" ht="14.2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6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</row>
    <row r="617" ht="14.2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6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</row>
    <row r="618" ht="14.2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6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</row>
    <row r="619" ht="14.2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6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</row>
    <row r="620" ht="14.2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6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</row>
    <row r="621" ht="14.2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6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</row>
    <row r="622" ht="14.2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6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</row>
    <row r="623" ht="14.2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6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</row>
    <row r="624" ht="14.2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6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</row>
    <row r="625" ht="14.2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6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</row>
    <row r="626" ht="14.2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6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</row>
    <row r="627" ht="14.2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6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</row>
    <row r="628" ht="14.2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6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</row>
    <row r="629" ht="14.2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6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</row>
    <row r="630" ht="14.2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6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</row>
    <row r="631" ht="14.2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6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</row>
    <row r="632" ht="14.2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6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</row>
    <row r="633" ht="14.2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6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</row>
    <row r="634" ht="14.2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6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</row>
    <row r="635" ht="14.2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6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</row>
    <row r="636" ht="14.2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6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</row>
    <row r="637" ht="14.2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6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</row>
    <row r="638" ht="14.2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6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</row>
    <row r="639" ht="14.2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6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</row>
    <row r="640" ht="14.2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86"/>
      <c r="Q640" s="72"/>
      <c r="R640" s="76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</row>
    <row r="641" ht="14.2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6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</row>
    <row r="642" ht="14.2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6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</row>
    <row r="643" ht="14.2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6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</row>
    <row r="644" ht="14.2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6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</row>
    <row r="645" ht="14.2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6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</row>
    <row r="646" ht="14.2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6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</row>
    <row r="647" ht="14.2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6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</row>
    <row r="648" ht="14.2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6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</row>
    <row r="649" ht="14.2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6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</row>
    <row r="650" ht="14.2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6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</row>
    <row r="651" ht="14.2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6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</row>
    <row r="652" ht="14.2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6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</row>
    <row r="653" ht="14.2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6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</row>
    <row r="654" ht="14.2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6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</row>
    <row r="655" ht="14.2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6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</row>
    <row r="656" ht="14.2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6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</row>
    <row r="657" ht="14.2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6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</row>
    <row r="658" ht="14.2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6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</row>
    <row r="659" ht="14.2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6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</row>
    <row r="660" ht="14.2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6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</row>
    <row r="661" ht="14.2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6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</row>
    <row r="662" ht="14.2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6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</row>
    <row r="663" ht="14.2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6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</row>
    <row r="664" ht="14.2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6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</row>
    <row r="665" ht="14.2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6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</row>
    <row r="666" ht="14.2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6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</row>
    <row r="667" ht="14.2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6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</row>
    <row r="668" ht="14.2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6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</row>
    <row r="669" ht="14.2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6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</row>
    <row r="670" ht="14.2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6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</row>
    <row r="671" ht="14.2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6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</row>
    <row r="672" ht="14.2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6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</row>
    <row r="673" ht="14.2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6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</row>
    <row r="674" ht="14.2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6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</row>
    <row r="675" ht="14.2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6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</row>
    <row r="676" ht="14.2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6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</row>
    <row r="677" ht="14.2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6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</row>
    <row r="678" ht="14.2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6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</row>
    <row r="679" ht="14.2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6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</row>
    <row r="680" ht="14.2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6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</row>
    <row r="681" ht="14.2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6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</row>
    <row r="682" ht="14.2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6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</row>
    <row r="683" ht="14.2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6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</row>
    <row r="684" ht="14.2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6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</row>
    <row r="685" ht="14.2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6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</row>
    <row r="686" ht="14.2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6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</row>
    <row r="687" ht="14.2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6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</row>
    <row r="688" ht="14.2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6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</row>
    <row r="689" ht="14.2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6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</row>
    <row r="690" ht="14.2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6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</row>
    <row r="691" ht="14.2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6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</row>
    <row r="692" ht="14.2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6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</row>
    <row r="693" ht="14.2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6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</row>
    <row r="694" ht="14.2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6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</row>
    <row r="695" ht="14.2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6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</row>
    <row r="696" ht="14.2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6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</row>
    <row r="697" ht="14.2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6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</row>
    <row r="698" ht="14.2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6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</row>
    <row r="699" ht="14.2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6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</row>
    <row r="700" ht="14.2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6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</row>
    <row r="701" ht="14.2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6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</row>
    <row r="702" ht="14.2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6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</row>
    <row r="703" ht="14.2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6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</row>
    <row r="704" ht="14.2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6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</row>
    <row r="705" ht="14.2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6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</row>
    <row r="706" ht="14.2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6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</row>
    <row r="707" ht="14.2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6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</row>
    <row r="708" ht="14.2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6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</row>
    <row r="709" ht="14.2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6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</row>
    <row r="710" ht="14.2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6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</row>
    <row r="711" ht="14.2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6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</row>
    <row r="712" ht="14.2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6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</row>
    <row r="713" ht="14.2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6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</row>
    <row r="714" ht="14.2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6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</row>
    <row r="715" ht="14.2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6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</row>
    <row r="716" ht="14.2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6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</row>
    <row r="717" ht="14.2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6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</row>
    <row r="718" ht="14.2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6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</row>
    <row r="719" ht="14.2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6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</row>
    <row r="720" ht="14.2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6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</row>
    <row r="721" ht="14.2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6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</row>
    <row r="722" ht="14.2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6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</row>
    <row r="723" ht="14.2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6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</row>
    <row r="724" ht="14.2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6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</row>
    <row r="725" ht="14.2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6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</row>
    <row r="726" ht="14.2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6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</row>
    <row r="727" ht="14.2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6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</row>
    <row r="728" ht="14.2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6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</row>
    <row r="729" ht="14.2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6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</row>
    <row r="730" ht="14.2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6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</row>
    <row r="731" ht="14.2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6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</row>
    <row r="732" ht="14.2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6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</row>
    <row r="733" ht="14.2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6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</row>
    <row r="734" ht="14.2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6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</row>
    <row r="735" ht="14.2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6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</row>
    <row r="736" ht="14.2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6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</row>
    <row r="737" ht="14.2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6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</row>
    <row r="738" ht="14.2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6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</row>
    <row r="739" ht="14.2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6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</row>
    <row r="740" ht="14.2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6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</row>
    <row r="741" ht="14.2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6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</row>
    <row r="742" ht="14.2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6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</row>
    <row r="743" ht="14.2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6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</row>
    <row r="744" ht="14.2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6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</row>
    <row r="745" ht="14.2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6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</row>
    <row r="746" ht="14.2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6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</row>
    <row r="747" ht="14.2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6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</row>
    <row r="748" ht="14.2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6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</row>
    <row r="749" ht="14.2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6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</row>
    <row r="750" ht="14.2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6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</row>
    <row r="751" ht="14.2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6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</row>
    <row r="752" ht="14.2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6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</row>
    <row r="753" ht="14.2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6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</row>
    <row r="754" ht="14.2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6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</row>
    <row r="755" ht="14.2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6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</row>
    <row r="756" ht="14.2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6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</row>
    <row r="757" ht="14.2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6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</row>
    <row r="758" ht="14.2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6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</row>
    <row r="759" ht="14.2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6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</row>
    <row r="760" ht="14.2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6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</row>
    <row r="761" ht="14.2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6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</row>
    <row r="762" ht="14.2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6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</row>
    <row r="763" ht="14.2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6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</row>
    <row r="764" ht="14.2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6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</row>
    <row r="765" ht="14.2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6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</row>
    <row r="766" ht="14.2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6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</row>
    <row r="767" ht="14.2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6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</row>
    <row r="768" ht="14.2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6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</row>
    <row r="769" ht="14.2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6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</row>
    <row r="770" ht="14.2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6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</row>
    <row r="771" ht="14.2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6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</row>
    <row r="772" ht="14.2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6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</row>
    <row r="773" ht="14.2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6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</row>
    <row r="774" ht="14.2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6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</row>
    <row r="775" ht="14.2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6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</row>
    <row r="776" ht="14.2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6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</row>
    <row r="777" ht="14.2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6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</row>
    <row r="778" ht="14.2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6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</row>
    <row r="779" ht="14.2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6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</row>
    <row r="780" ht="14.2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6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</row>
    <row r="781" ht="14.2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6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</row>
    <row r="782" ht="14.2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6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</row>
    <row r="783" ht="14.2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6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</row>
    <row r="784" ht="14.2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6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</row>
    <row r="785" ht="14.2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6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</row>
    <row r="786" ht="14.2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6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</row>
    <row r="787" ht="14.2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6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</row>
    <row r="788" ht="14.2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6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</row>
    <row r="789" ht="14.2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6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</row>
    <row r="790" ht="14.2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6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</row>
    <row r="791" ht="14.2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6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</row>
    <row r="792" ht="14.2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6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</row>
    <row r="793" ht="14.2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6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</row>
    <row r="794" ht="14.2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6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</row>
    <row r="795" ht="14.2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6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</row>
    <row r="796" ht="14.2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6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</row>
    <row r="797" ht="14.2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6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</row>
    <row r="798" ht="14.2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6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</row>
    <row r="799" ht="14.2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6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</row>
    <row r="800" ht="14.2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6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</row>
    <row r="801" ht="14.2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6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</row>
    <row r="802" ht="14.2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6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</row>
    <row r="803" ht="14.2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6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</row>
    <row r="804" ht="14.2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6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</row>
    <row r="805" ht="14.2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6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</row>
    <row r="806" ht="14.2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6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</row>
    <row r="807" ht="14.2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6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</row>
    <row r="808" ht="14.2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6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</row>
    <row r="809" ht="14.2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6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</row>
    <row r="810" ht="14.2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6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</row>
    <row r="811" ht="14.2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6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</row>
    <row r="812" ht="14.25" customHeight="1">
      <c r="A812" s="72"/>
      <c r="B812" s="72"/>
      <c r="C812" s="72"/>
      <c r="D812" s="87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88"/>
      <c r="R812" s="76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</row>
    <row r="813" ht="14.25" customHeight="1">
      <c r="A813" s="72"/>
      <c r="B813" s="72"/>
      <c r="C813" s="72"/>
      <c r="D813" s="87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88"/>
      <c r="R813" s="76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</row>
    <row r="814" ht="14.25" customHeight="1">
      <c r="A814" s="72"/>
      <c r="B814" s="72"/>
      <c r="C814" s="72"/>
      <c r="D814" s="87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88"/>
      <c r="R814" s="76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</row>
    <row r="815" ht="14.25" customHeight="1">
      <c r="A815" s="72"/>
      <c r="B815" s="72"/>
      <c r="C815" s="72"/>
      <c r="D815" s="87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88"/>
      <c r="R815" s="76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</row>
    <row r="816" ht="14.25" customHeight="1">
      <c r="A816" s="72"/>
      <c r="B816" s="72"/>
      <c r="C816" s="72"/>
      <c r="D816" s="87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88"/>
      <c r="R816" s="76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</row>
    <row r="817" ht="14.25" customHeight="1">
      <c r="A817" s="72"/>
      <c r="B817" s="72"/>
      <c r="C817" s="72"/>
      <c r="D817" s="87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88"/>
      <c r="R817" s="76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</row>
    <row r="818" ht="14.25" customHeight="1">
      <c r="A818" s="72"/>
      <c r="B818" s="72"/>
      <c r="C818" s="72"/>
      <c r="D818" s="87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88"/>
      <c r="R818" s="76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</row>
    <row r="819" ht="14.25" customHeight="1">
      <c r="A819" s="72"/>
      <c r="B819" s="72"/>
      <c r="C819" s="72"/>
      <c r="D819" s="87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88"/>
      <c r="R819" s="76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</row>
    <row r="820" ht="14.25" customHeight="1">
      <c r="A820" s="72"/>
      <c r="B820" s="72"/>
      <c r="C820" s="72"/>
      <c r="D820" s="87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88"/>
      <c r="R820" s="76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</row>
    <row r="821" ht="14.25" customHeight="1">
      <c r="A821" s="72"/>
      <c r="B821" s="72"/>
      <c r="C821" s="72"/>
      <c r="D821" s="87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88"/>
      <c r="R821" s="76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</row>
    <row r="822" ht="14.25" customHeight="1">
      <c r="A822" s="72"/>
      <c r="B822" s="72"/>
      <c r="C822" s="72"/>
      <c r="D822" s="87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88"/>
      <c r="R822" s="76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</row>
    <row r="823" ht="14.25" customHeight="1">
      <c r="A823" s="72"/>
      <c r="B823" s="72"/>
      <c r="C823" s="72"/>
      <c r="D823" s="87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88"/>
      <c r="R823" s="76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</row>
    <row r="824" ht="14.25" customHeight="1">
      <c r="A824" s="72"/>
      <c r="B824" s="72"/>
      <c r="C824" s="72"/>
      <c r="D824" s="87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88"/>
      <c r="R824" s="76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</row>
    <row r="825" ht="14.25" customHeight="1">
      <c r="A825" s="72"/>
      <c r="B825" s="72"/>
      <c r="C825" s="72"/>
      <c r="D825" s="87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88"/>
      <c r="R825" s="76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</row>
    <row r="826" ht="14.25" customHeight="1">
      <c r="A826" s="72"/>
      <c r="B826" s="72"/>
      <c r="C826" s="72"/>
      <c r="D826" s="87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88"/>
      <c r="R826" s="76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</row>
    <row r="827" ht="14.25" customHeight="1">
      <c r="A827" s="72"/>
      <c r="B827" s="72"/>
      <c r="C827" s="72"/>
      <c r="D827" s="87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88"/>
      <c r="R827" s="76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</row>
    <row r="828" ht="14.25" customHeight="1">
      <c r="A828" s="72"/>
      <c r="B828" s="72"/>
      <c r="C828" s="72"/>
      <c r="D828" s="87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88"/>
      <c r="R828" s="76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</row>
    <row r="829" ht="14.25" customHeight="1">
      <c r="A829" s="72"/>
      <c r="B829" s="72"/>
      <c r="C829" s="72"/>
      <c r="D829" s="87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88"/>
      <c r="R829" s="76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</row>
    <row r="830" ht="14.25" customHeight="1">
      <c r="A830" s="72"/>
      <c r="B830" s="72"/>
      <c r="C830" s="72"/>
      <c r="D830" s="87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88"/>
      <c r="R830" s="76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</row>
    <row r="831" ht="14.25" customHeight="1">
      <c r="A831" s="72"/>
      <c r="B831" s="72"/>
      <c r="C831" s="72"/>
      <c r="D831" s="87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88"/>
      <c r="R831" s="76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</row>
    <row r="832" ht="14.25" customHeight="1">
      <c r="A832" s="72"/>
      <c r="B832" s="72"/>
      <c r="C832" s="72"/>
      <c r="D832" s="87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88"/>
      <c r="R832" s="76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</row>
    <row r="833" ht="14.25" customHeight="1">
      <c r="A833" s="72"/>
      <c r="B833" s="72"/>
      <c r="C833" s="72"/>
      <c r="D833" s="87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88"/>
      <c r="R833" s="76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</row>
    <row r="834" ht="14.25" customHeight="1">
      <c r="A834" s="72"/>
      <c r="B834" s="72"/>
      <c r="C834" s="72"/>
      <c r="D834" s="87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88"/>
      <c r="R834" s="76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</row>
    <row r="835" ht="14.25" customHeight="1">
      <c r="A835" s="72"/>
      <c r="B835" s="72"/>
      <c r="C835" s="72"/>
      <c r="D835" s="87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88"/>
      <c r="R835" s="76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</row>
    <row r="836" ht="14.25" customHeight="1">
      <c r="A836" s="72"/>
      <c r="B836" s="72"/>
      <c r="C836" s="72"/>
      <c r="D836" s="87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88"/>
      <c r="R836" s="76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</row>
    <row r="837" ht="14.25" customHeight="1">
      <c r="A837" s="72"/>
      <c r="B837" s="72"/>
      <c r="C837" s="72"/>
      <c r="D837" s="87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88"/>
      <c r="R837" s="76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</row>
    <row r="838" ht="14.25" customHeight="1">
      <c r="A838" s="72"/>
      <c r="B838" s="72"/>
      <c r="C838" s="72"/>
      <c r="D838" s="87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88"/>
      <c r="R838" s="76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</row>
    <row r="839" ht="14.25" customHeight="1">
      <c r="A839" s="72"/>
      <c r="B839" s="72"/>
      <c r="C839" s="72"/>
      <c r="D839" s="87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88"/>
      <c r="R839" s="76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</row>
    <row r="840" ht="14.25" customHeight="1">
      <c r="A840" s="72"/>
      <c r="B840" s="72"/>
      <c r="C840" s="72"/>
      <c r="D840" s="87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88"/>
      <c r="R840" s="76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</row>
    <row r="841" ht="14.25" customHeight="1">
      <c r="A841" s="72"/>
      <c r="B841" s="72"/>
      <c r="C841" s="72"/>
      <c r="D841" s="87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88"/>
      <c r="R841" s="76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</row>
    <row r="842" ht="14.25" customHeight="1">
      <c r="A842" s="72"/>
      <c r="B842" s="72"/>
      <c r="C842" s="72"/>
      <c r="D842" s="87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88"/>
      <c r="R842" s="76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</row>
    <row r="843" ht="14.25" customHeight="1">
      <c r="A843" s="72"/>
      <c r="B843" s="72"/>
      <c r="C843" s="72"/>
      <c r="D843" s="87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88"/>
      <c r="R843" s="76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</row>
    <row r="844" ht="14.25" customHeight="1">
      <c r="A844" s="72"/>
      <c r="B844" s="72"/>
      <c r="C844" s="72"/>
      <c r="D844" s="87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88"/>
      <c r="R844" s="76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</row>
    <row r="845" ht="14.25" customHeight="1">
      <c r="A845" s="72"/>
      <c r="B845" s="72"/>
      <c r="C845" s="72"/>
      <c r="D845" s="87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88"/>
      <c r="R845" s="76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</row>
    <row r="846" ht="14.25" customHeight="1">
      <c r="A846" s="72"/>
      <c r="B846" s="72"/>
      <c r="C846" s="72"/>
      <c r="D846" s="87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88"/>
      <c r="R846" s="76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</row>
    <row r="847" ht="14.25" customHeight="1">
      <c r="A847" s="72"/>
      <c r="B847" s="72"/>
      <c r="C847" s="72"/>
      <c r="D847" s="87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88"/>
      <c r="R847" s="76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</row>
    <row r="848" ht="14.25" customHeight="1">
      <c r="A848" s="72"/>
      <c r="B848" s="72"/>
      <c r="C848" s="72"/>
      <c r="D848" s="87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88"/>
      <c r="R848" s="76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</row>
    <row r="849" ht="14.25" customHeight="1">
      <c r="A849" s="72"/>
      <c r="B849" s="72"/>
      <c r="C849" s="72"/>
      <c r="D849" s="87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88"/>
      <c r="R849" s="76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</row>
    <row r="850" ht="14.25" customHeight="1">
      <c r="A850" s="72"/>
      <c r="B850" s="72"/>
      <c r="C850" s="72"/>
      <c r="D850" s="87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88"/>
      <c r="R850" s="76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</row>
    <row r="851" ht="14.25" customHeight="1">
      <c r="A851" s="72"/>
      <c r="B851" s="72"/>
      <c r="C851" s="72"/>
      <c r="D851" s="87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88"/>
      <c r="R851" s="76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</row>
    <row r="852" ht="14.25" customHeight="1">
      <c r="A852" s="72"/>
      <c r="B852" s="72"/>
      <c r="C852" s="72"/>
      <c r="D852" s="87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88"/>
      <c r="R852" s="76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</row>
    <row r="853" ht="14.25" customHeight="1">
      <c r="A853" s="72"/>
      <c r="B853" s="72"/>
      <c r="C853" s="72"/>
      <c r="D853" s="87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88"/>
      <c r="R853" s="76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</row>
    <row r="854" ht="14.25" customHeight="1">
      <c r="A854" s="72"/>
      <c r="B854" s="72"/>
      <c r="C854" s="72"/>
      <c r="D854" s="87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88"/>
      <c r="R854" s="76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</row>
    <row r="855" ht="14.25" customHeight="1">
      <c r="A855" s="72"/>
      <c r="B855" s="72"/>
      <c r="C855" s="72"/>
      <c r="D855" s="87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88"/>
      <c r="R855" s="76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</row>
    <row r="856" ht="14.25" customHeight="1">
      <c r="A856" s="72"/>
      <c r="B856" s="72"/>
      <c r="C856" s="72"/>
      <c r="D856" s="87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88"/>
      <c r="R856" s="76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</row>
    <row r="857" ht="14.25" customHeight="1">
      <c r="A857" s="72"/>
      <c r="B857" s="72"/>
      <c r="C857" s="72"/>
      <c r="D857" s="87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88"/>
      <c r="R857" s="76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</row>
    <row r="858" ht="14.25" customHeight="1">
      <c r="A858" s="72"/>
      <c r="B858" s="72"/>
      <c r="C858" s="72"/>
      <c r="D858" s="87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88"/>
      <c r="R858" s="76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</row>
    <row r="859" ht="14.25" customHeight="1">
      <c r="A859" s="72"/>
      <c r="B859" s="72"/>
      <c r="C859" s="72"/>
      <c r="D859" s="87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88"/>
      <c r="R859" s="76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</row>
    <row r="860" ht="14.25" customHeight="1">
      <c r="A860" s="72"/>
      <c r="B860" s="72"/>
      <c r="C860" s="72"/>
      <c r="D860" s="87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88"/>
      <c r="R860" s="76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</row>
    <row r="861" ht="14.25" customHeight="1">
      <c r="A861" s="72"/>
      <c r="B861" s="72"/>
      <c r="C861" s="72"/>
      <c r="D861" s="87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88"/>
      <c r="R861" s="76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</row>
    <row r="862" ht="14.25" customHeight="1">
      <c r="A862" s="72"/>
      <c r="B862" s="72"/>
      <c r="C862" s="72"/>
      <c r="D862" s="87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88"/>
      <c r="R862" s="76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</row>
    <row r="863" ht="14.25" customHeight="1">
      <c r="A863" s="72"/>
      <c r="B863" s="72"/>
      <c r="C863" s="72"/>
      <c r="D863" s="87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88"/>
      <c r="R863" s="76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</row>
    <row r="864" ht="14.25" customHeight="1">
      <c r="A864" s="72"/>
      <c r="B864" s="72"/>
      <c r="C864" s="72"/>
      <c r="D864" s="87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88"/>
      <c r="R864" s="76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</row>
    <row r="865" ht="14.25" customHeight="1">
      <c r="A865" s="72"/>
      <c r="B865" s="72"/>
      <c r="C865" s="72"/>
      <c r="D865" s="87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88"/>
      <c r="R865" s="76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</row>
    <row r="866" ht="14.25" customHeight="1">
      <c r="A866" s="72"/>
      <c r="B866" s="72"/>
      <c r="C866" s="72"/>
      <c r="D866" s="87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88"/>
      <c r="R866" s="76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</row>
    <row r="867" ht="14.25" customHeight="1">
      <c r="A867" s="72"/>
      <c r="B867" s="72"/>
      <c r="C867" s="72"/>
      <c r="D867" s="87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88"/>
      <c r="R867" s="76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</row>
    <row r="868" ht="14.25" customHeight="1">
      <c r="A868" s="72"/>
      <c r="B868" s="72"/>
      <c r="C868" s="72"/>
      <c r="D868" s="87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88"/>
      <c r="R868" s="76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</row>
    <row r="869" ht="14.25" customHeight="1">
      <c r="A869" s="72"/>
      <c r="B869" s="72"/>
      <c r="C869" s="72"/>
      <c r="D869" s="87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88"/>
      <c r="R869" s="76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</row>
    <row r="870" ht="14.25" customHeight="1">
      <c r="A870" s="72"/>
      <c r="B870" s="72"/>
      <c r="C870" s="72"/>
      <c r="D870" s="87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88"/>
      <c r="R870" s="76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</row>
    <row r="871" ht="14.25" customHeight="1">
      <c r="A871" s="72"/>
      <c r="B871" s="72"/>
      <c r="C871" s="72"/>
      <c r="D871" s="87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88"/>
      <c r="R871" s="76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</row>
    <row r="872" ht="14.25" customHeight="1">
      <c r="A872" s="72"/>
      <c r="B872" s="72"/>
      <c r="C872" s="72"/>
      <c r="D872" s="87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88"/>
      <c r="R872" s="76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</row>
    <row r="873" ht="14.25" customHeight="1">
      <c r="A873" s="72"/>
      <c r="B873" s="72"/>
      <c r="C873" s="72"/>
      <c r="D873" s="87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88"/>
      <c r="R873" s="76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</row>
    <row r="874" ht="14.25" customHeight="1">
      <c r="A874" s="72"/>
      <c r="B874" s="72"/>
      <c r="C874" s="72"/>
      <c r="D874" s="87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88"/>
      <c r="R874" s="76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</row>
    <row r="875" ht="14.25" customHeight="1">
      <c r="A875" s="72"/>
      <c r="B875" s="72"/>
      <c r="C875" s="72"/>
      <c r="D875" s="87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88"/>
      <c r="R875" s="76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</row>
    <row r="876" ht="14.25" customHeight="1">
      <c r="A876" s="72"/>
      <c r="B876" s="72"/>
      <c r="C876" s="72"/>
      <c r="D876" s="87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88"/>
      <c r="R876" s="76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</row>
    <row r="877" ht="14.25" customHeight="1">
      <c r="A877" s="72"/>
      <c r="B877" s="72"/>
      <c r="C877" s="72"/>
      <c r="D877" s="87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88"/>
      <c r="R877" s="76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</row>
    <row r="878" ht="14.25" customHeight="1">
      <c r="A878" s="72"/>
      <c r="B878" s="72"/>
      <c r="C878" s="72"/>
      <c r="D878" s="87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88"/>
      <c r="R878" s="76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</row>
    <row r="879" ht="14.25" customHeight="1">
      <c r="A879" s="72"/>
      <c r="B879" s="72"/>
      <c r="C879" s="72"/>
      <c r="D879" s="87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88"/>
      <c r="R879" s="76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</row>
    <row r="880" ht="14.25" customHeight="1">
      <c r="A880" s="72"/>
      <c r="B880" s="72"/>
      <c r="C880" s="72"/>
      <c r="D880" s="87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88"/>
      <c r="R880" s="76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</row>
    <row r="881" ht="14.25" customHeight="1">
      <c r="A881" s="72"/>
      <c r="B881" s="72"/>
      <c r="C881" s="72"/>
      <c r="D881" s="87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88"/>
      <c r="R881" s="76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</row>
    <row r="882" ht="14.25" customHeight="1">
      <c r="A882" s="72"/>
      <c r="B882" s="72"/>
      <c r="C882" s="72"/>
      <c r="D882" s="87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88"/>
      <c r="R882" s="76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</row>
    <row r="883" ht="14.25" customHeight="1">
      <c r="A883" s="72"/>
      <c r="B883" s="72"/>
      <c r="C883" s="72"/>
      <c r="D883" s="87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88"/>
      <c r="R883" s="76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</row>
    <row r="884" ht="14.25" customHeight="1">
      <c r="A884" s="72"/>
      <c r="B884" s="72"/>
      <c r="C884" s="72"/>
      <c r="D884" s="87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88"/>
      <c r="R884" s="76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</row>
    <row r="885" ht="14.25" customHeight="1">
      <c r="A885" s="72"/>
      <c r="B885" s="72"/>
      <c r="C885" s="72"/>
      <c r="D885" s="87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88"/>
      <c r="R885" s="76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</row>
    <row r="886" ht="14.25" customHeight="1">
      <c r="A886" s="72"/>
      <c r="B886" s="72"/>
      <c r="C886" s="72"/>
      <c r="D886" s="87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88"/>
      <c r="R886" s="76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</row>
    <row r="887" ht="14.25" customHeight="1">
      <c r="A887" s="72"/>
      <c r="B887" s="72"/>
      <c r="C887" s="72"/>
      <c r="D887" s="87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88"/>
      <c r="R887" s="76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</row>
    <row r="888" ht="14.25" customHeight="1">
      <c r="A888" s="72"/>
      <c r="B888" s="72"/>
      <c r="C888" s="72"/>
      <c r="D888" s="87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88"/>
      <c r="R888" s="76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</row>
    <row r="889" ht="14.25" customHeight="1">
      <c r="A889" s="72"/>
      <c r="B889" s="72"/>
      <c r="C889" s="72"/>
      <c r="D889" s="87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88"/>
      <c r="R889" s="76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</row>
    <row r="890" ht="14.25" customHeight="1">
      <c r="A890" s="72"/>
      <c r="B890" s="72"/>
      <c r="C890" s="72"/>
      <c r="D890" s="87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88"/>
      <c r="R890" s="76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</row>
    <row r="891" ht="14.25" customHeight="1">
      <c r="A891" s="72"/>
      <c r="B891" s="72"/>
      <c r="C891" s="72"/>
      <c r="D891" s="87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88"/>
      <c r="R891" s="76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</row>
    <row r="892" ht="14.25" customHeight="1">
      <c r="A892" s="72"/>
      <c r="B892" s="72"/>
      <c r="C892" s="72"/>
      <c r="D892" s="87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88"/>
      <c r="R892" s="76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</row>
    <row r="893" ht="14.25" customHeight="1">
      <c r="A893" s="72"/>
      <c r="B893" s="72"/>
      <c r="C893" s="72"/>
      <c r="D893" s="87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88"/>
      <c r="R893" s="76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</row>
    <row r="894" ht="14.25" customHeight="1">
      <c r="A894" s="72"/>
      <c r="B894" s="72"/>
      <c r="C894" s="72"/>
      <c r="D894" s="87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88"/>
      <c r="R894" s="76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</row>
    <row r="895" ht="14.25" customHeight="1">
      <c r="A895" s="72"/>
      <c r="B895" s="72"/>
      <c r="C895" s="72"/>
      <c r="D895" s="87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88"/>
      <c r="R895" s="76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</row>
    <row r="896" ht="14.25" customHeight="1">
      <c r="A896" s="72"/>
      <c r="B896" s="72"/>
      <c r="C896" s="72"/>
      <c r="D896" s="87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88"/>
      <c r="R896" s="76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</row>
    <row r="897" ht="14.25" customHeight="1">
      <c r="A897" s="72"/>
      <c r="B897" s="72"/>
      <c r="C897" s="72"/>
      <c r="D897" s="87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88"/>
      <c r="R897" s="76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</row>
    <row r="898" ht="14.25" customHeight="1">
      <c r="A898" s="72"/>
      <c r="B898" s="72"/>
      <c r="C898" s="72"/>
      <c r="D898" s="87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88"/>
      <c r="R898" s="76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</row>
    <row r="899" ht="14.25" customHeight="1">
      <c r="A899" s="72"/>
      <c r="B899" s="72"/>
      <c r="C899" s="72"/>
      <c r="D899" s="87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88"/>
      <c r="R899" s="76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</row>
    <row r="900" ht="14.25" customHeight="1">
      <c r="A900" s="72"/>
      <c r="B900" s="72"/>
      <c r="C900" s="72"/>
      <c r="D900" s="87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88"/>
      <c r="R900" s="76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</row>
    <row r="901" ht="14.25" customHeight="1">
      <c r="A901" s="72"/>
      <c r="B901" s="72"/>
      <c r="C901" s="72"/>
      <c r="D901" s="87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88"/>
      <c r="R901" s="76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</row>
    <row r="902" ht="14.25" customHeight="1">
      <c r="A902" s="72"/>
      <c r="B902" s="72"/>
      <c r="C902" s="72"/>
      <c r="D902" s="87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88"/>
      <c r="R902" s="76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</row>
    <row r="903" ht="14.25" customHeight="1">
      <c r="A903" s="72"/>
      <c r="B903" s="72"/>
      <c r="C903" s="72"/>
      <c r="D903" s="87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88"/>
      <c r="R903" s="76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</row>
    <row r="904" ht="14.25" customHeight="1">
      <c r="A904" s="72"/>
      <c r="B904" s="72"/>
      <c r="C904" s="72"/>
      <c r="D904" s="87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88"/>
      <c r="R904" s="76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</row>
    <row r="905" ht="14.25" customHeight="1">
      <c r="A905" s="72"/>
      <c r="B905" s="72"/>
      <c r="C905" s="72"/>
      <c r="D905" s="87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88"/>
      <c r="R905" s="76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</row>
    <row r="906" ht="14.25" customHeight="1">
      <c r="A906" s="72"/>
      <c r="B906" s="72"/>
      <c r="C906" s="72"/>
      <c r="D906" s="87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88"/>
      <c r="R906" s="76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</row>
    <row r="907" ht="14.25" customHeight="1">
      <c r="A907" s="72"/>
      <c r="B907" s="72"/>
      <c r="C907" s="72"/>
      <c r="D907" s="87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88"/>
      <c r="R907" s="76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</row>
    <row r="908" ht="14.25" customHeight="1">
      <c r="A908" s="72"/>
      <c r="B908" s="72"/>
      <c r="C908" s="72"/>
      <c r="D908" s="87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88"/>
      <c r="R908" s="76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</row>
    <row r="909" ht="14.25" customHeight="1">
      <c r="A909" s="72"/>
      <c r="B909" s="72"/>
      <c r="C909" s="72"/>
      <c r="D909" s="87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88"/>
      <c r="R909" s="76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</row>
    <row r="910" ht="14.25" customHeight="1">
      <c r="A910" s="72"/>
      <c r="B910" s="72"/>
      <c r="C910" s="72"/>
      <c r="D910" s="87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88"/>
      <c r="R910" s="76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</row>
    <row r="911" ht="14.25" customHeight="1">
      <c r="A911" s="72"/>
      <c r="B911" s="72"/>
      <c r="C911" s="72"/>
      <c r="D911" s="87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88"/>
      <c r="R911" s="76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</row>
    <row r="912" ht="14.25" customHeight="1">
      <c r="A912" s="72"/>
      <c r="B912" s="72"/>
      <c r="C912" s="72"/>
      <c r="D912" s="87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88"/>
      <c r="R912" s="76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</row>
    <row r="913" ht="14.25" customHeight="1">
      <c r="A913" s="72"/>
      <c r="B913" s="72"/>
      <c r="C913" s="72"/>
      <c r="D913" s="87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88"/>
      <c r="R913" s="76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</row>
    <row r="914" ht="14.25" customHeight="1">
      <c r="A914" s="72"/>
      <c r="B914" s="72"/>
      <c r="C914" s="72"/>
      <c r="D914" s="87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88"/>
      <c r="R914" s="76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</row>
    <row r="915" ht="14.25" customHeight="1">
      <c r="A915" s="72"/>
      <c r="B915" s="72"/>
      <c r="C915" s="72"/>
      <c r="D915" s="87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88"/>
      <c r="R915" s="76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</row>
    <row r="916" ht="14.25" customHeight="1">
      <c r="A916" s="72"/>
      <c r="B916" s="72"/>
      <c r="C916" s="72"/>
      <c r="D916" s="87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88"/>
      <c r="R916" s="76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</row>
    <row r="917" ht="14.25" customHeight="1">
      <c r="A917" s="72"/>
      <c r="B917" s="72"/>
      <c r="C917" s="72"/>
      <c r="D917" s="87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88"/>
      <c r="R917" s="76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</row>
    <row r="918" ht="14.25" customHeight="1">
      <c r="A918" s="72"/>
      <c r="B918" s="72"/>
      <c r="C918" s="72"/>
      <c r="D918" s="87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88"/>
      <c r="R918" s="76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</row>
    <row r="919" ht="14.25" customHeight="1">
      <c r="A919" s="72"/>
      <c r="B919" s="72"/>
      <c r="C919" s="72"/>
      <c r="D919" s="87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88"/>
      <c r="R919" s="76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</row>
    <row r="920" ht="14.25" customHeight="1">
      <c r="A920" s="72"/>
      <c r="B920" s="72"/>
      <c r="C920" s="72"/>
      <c r="D920" s="87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88"/>
      <c r="R920" s="76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</row>
    <row r="921" ht="14.25" customHeight="1">
      <c r="A921" s="72"/>
      <c r="B921" s="72"/>
      <c r="C921" s="72"/>
      <c r="D921" s="87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88"/>
      <c r="R921" s="76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</row>
    <row r="922" ht="14.25" customHeight="1">
      <c r="A922" s="72"/>
      <c r="B922" s="72"/>
      <c r="C922" s="72"/>
      <c r="D922" s="87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88"/>
      <c r="R922" s="76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</row>
    <row r="923" ht="14.25" customHeight="1">
      <c r="A923" s="72"/>
      <c r="B923" s="72"/>
      <c r="C923" s="72"/>
      <c r="D923" s="87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88"/>
      <c r="R923" s="76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</row>
    <row r="924" ht="14.25" customHeight="1">
      <c r="A924" s="72"/>
      <c r="B924" s="72"/>
      <c r="C924" s="72"/>
      <c r="D924" s="87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88"/>
      <c r="R924" s="76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</row>
    <row r="925" ht="14.25" customHeight="1">
      <c r="A925" s="72"/>
      <c r="B925" s="72"/>
      <c r="C925" s="72"/>
      <c r="D925" s="87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88"/>
      <c r="R925" s="76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</row>
    <row r="926" ht="14.25" customHeight="1">
      <c r="A926" s="72"/>
      <c r="B926" s="72"/>
      <c r="C926" s="72"/>
      <c r="D926" s="87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88"/>
      <c r="R926" s="76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</row>
    <row r="927" ht="14.25" customHeight="1">
      <c r="A927" s="72"/>
      <c r="B927" s="72"/>
      <c r="C927" s="72"/>
      <c r="D927" s="87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88"/>
      <c r="R927" s="76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</row>
    <row r="928" ht="14.25" customHeight="1">
      <c r="A928" s="72"/>
      <c r="B928" s="72"/>
      <c r="C928" s="72"/>
      <c r="D928" s="87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88"/>
      <c r="R928" s="76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</row>
    <row r="929" ht="14.25" customHeight="1">
      <c r="A929" s="72"/>
      <c r="B929" s="72"/>
      <c r="C929" s="72"/>
      <c r="D929" s="87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88"/>
      <c r="R929" s="76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</row>
    <row r="930" ht="14.25" customHeight="1">
      <c r="A930" s="72"/>
      <c r="B930" s="72"/>
      <c r="C930" s="72"/>
      <c r="D930" s="87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88"/>
      <c r="R930" s="76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</row>
    <row r="931" ht="14.25" customHeight="1">
      <c r="A931" s="72"/>
      <c r="B931" s="72"/>
      <c r="C931" s="72"/>
      <c r="D931" s="87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88"/>
      <c r="R931" s="76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</row>
    <row r="932" ht="14.25" customHeight="1">
      <c r="A932" s="72"/>
      <c r="B932" s="72"/>
      <c r="C932" s="72"/>
      <c r="D932" s="87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88"/>
      <c r="R932" s="76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</row>
    <row r="933" ht="14.25" customHeight="1">
      <c r="A933" s="72"/>
      <c r="B933" s="72"/>
      <c r="C933" s="72"/>
      <c r="D933" s="87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88"/>
      <c r="R933" s="76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</row>
    <row r="934" ht="14.25" customHeight="1">
      <c r="A934" s="72"/>
      <c r="B934" s="72"/>
      <c r="C934" s="72"/>
      <c r="D934" s="87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88"/>
      <c r="R934" s="76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</row>
    <row r="935" ht="14.25" customHeight="1">
      <c r="A935" s="72"/>
      <c r="B935" s="72"/>
      <c r="C935" s="72"/>
      <c r="D935" s="87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88"/>
      <c r="R935" s="76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</row>
    <row r="936" ht="14.25" customHeight="1">
      <c r="A936" s="72"/>
      <c r="B936" s="72"/>
      <c r="C936" s="72"/>
      <c r="D936" s="87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88"/>
      <c r="R936" s="76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</row>
    <row r="937" ht="14.25" customHeight="1">
      <c r="A937" s="72"/>
      <c r="B937" s="72"/>
      <c r="C937" s="72"/>
      <c r="D937" s="87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88"/>
      <c r="R937" s="76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</row>
    <row r="938" ht="14.25" customHeight="1">
      <c r="A938" s="72"/>
      <c r="B938" s="72"/>
      <c r="C938" s="72"/>
      <c r="D938" s="87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88"/>
      <c r="R938" s="76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</row>
    <row r="939" ht="14.25" customHeight="1">
      <c r="A939" s="72"/>
      <c r="B939" s="72"/>
      <c r="C939" s="72"/>
      <c r="D939" s="87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88"/>
      <c r="R939" s="76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</row>
    <row r="940" ht="14.25" customHeight="1">
      <c r="A940" s="72"/>
      <c r="B940" s="72"/>
      <c r="C940" s="72"/>
      <c r="D940" s="87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88"/>
      <c r="R940" s="76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</row>
    <row r="941" ht="14.25" customHeight="1">
      <c r="A941" s="72"/>
      <c r="B941" s="72"/>
      <c r="C941" s="72"/>
      <c r="D941" s="87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88"/>
      <c r="R941" s="76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</row>
    <row r="942" ht="14.25" customHeight="1">
      <c r="A942" s="72"/>
      <c r="B942" s="72"/>
      <c r="C942" s="72"/>
      <c r="D942" s="87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88"/>
      <c r="R942" s="76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</row>
    <row r="943" ht="14.25" customHeight="1">
      <c r="A943" s="72"/>
      <c r="B943" s="72"/>
      <c r="C943" s="72"/>
      <c r="D943" s="87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88"/>
      <c r="R943" s="76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</row>
    <row r="944" ht="14.25" customHeight="1">
      <c r="A944" s="72"/>
      <c r="B944" s="72"/>
      <c r="C944" s="72"/>
      <c r="D944" s="87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88"/>
      <c r="R944" s="76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</row>
    <row r="945" ht="14.25" customHeight="1">
      <c r="A945" s="72"/>
      <c r="B945" s="72"/>
      <c r="C945" s="72"/>
      <c r="D945" s="87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88"/>
      <c r="R945" s="76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</row>
    <row r="946" ht="14.25" customHeight="1">
      <c r="A946" s="72"/>
      <c r="B946" s="72"/>
      <c r="C946" s="72"/>
      <c r="D946" s="87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88"/>
      <c r="R946" s="76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</row>
    <row r="947" ht="14.25" customHeight="1">
      <c r="A947" s="72"/>
      <c r="B947" s="72"/>
      <c r="C947" s="72"/>
      <c r="D947" s="87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88"/>
      <c r="R947" s="76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</row>
    <row r="948" ht="14.25" customHeight="1">
      <c r="A948" s="72"/>
      <c r="B948" s="72"/>
      <c r="C948" s="72"/>
      <c r="D948" s="87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88"/>
      <c r="R948" s="76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</row>
    <row r="949" ht="14.25" customHeight="1">
      <c r="A949" s="72"/>
      <c r="B949" s="72"/>
      <c r="C949" s="72"/>
      <c r="D949" s="87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88"/>
      <c r="R949" s="76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</row>
    <row r="950" ht="14.25" customHeight="1">
      <c r="A950" s="72"/>
      <c r="B950" s="72"/>
      <c r="C950" s="72"/>
      <c r="D950" s="87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88"/>
      <c r="R950" s="76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</row>
    <row r="951" ht="14.25" customHeight="1">
      <c r="A951" s="72"/>
      <c r="B951" s="72"/>
      <c r="C951" s="72"/>
      <c r="D951" s="87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88"/>
      <c r="R951" s="76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</row>
    <row r="952" ht="14.25" customHeight="1">
      <c r="A952" s="72"/>
      <c r="B952" s="72"/>
      <c r="C952" s="72"/>
      <c r="D952" s="87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88"/>
      <c r="R952" s="76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</row>
    <row r="953" ht="14.25" customHeight="1">
      <c r="A953" s="72"/>
      <c r="B953" s="72"/>
      <c r="C953" s="72"/>
      <c r="D953" s="87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88"/>
      <c r="R953" s="76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</row>
    <row r="954" ht="14.25" customHeight="1">
      <c r="A954" s="72"/>
      <c r="B954" s="72"/>
      <c r="C954" s="72"/>
      <c r="D954" s="87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88"/>
      <c r="R954" s="76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</row>
    <row r="955" ht="14.25" customHeight="1">
      <c r="A955" s="72"/>
      <c r="B955" s="72"/>
      <c r="C955" s="72"/>
      <c r="D955" s="87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88"/>
      <c r="R955" s="76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</row>
    <row r="956" ht="14.25" customHeight="1">
      <c r="A956" s="72"/>
      <c r="B956" s="72"/>
      <c r="C956" s="72"/>
      <c r="D956" s="87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88"/>
      <c r="R956" s="76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</row>
    <row r="957" ht="14.25" customHeight="1">
      <c r="A957" s="72"/>
      <c r="B957" s="72"/>
      <c r="C957" s="72"/>
      <c r="D957" s="87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88"/>
      <c r="R957" s="76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</row>
    <row r="958" ht="14.25" customHeight="1">
      <c r="A958" s="72"/>
      <c r="B958" s="72"/>
      <c r="C958" s="72"/>
      <c r="D958" s="87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88"/>
      <c r="R958" s="76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</row>
    <row r="959" ht="14.25" customHeight="1">
      <c r="A959" s="72"/>
      <c r="B959" s="72"/>
      <c r="C959" s="72"/>
      <c r="D959" s="87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88"/>
      <c r="R959" s="76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</row>
    <row r="960" ht="14.25" customHeight="1">
      <c r="A960" s="72"/>
      <c r="B960" s="72"/>
      <c r="C960" s="72"/>
      <c r="D960" s="87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88"/>
      <c r="R960" s="76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</row>
    <row r="961" ht="14.25" customHeight="1">
      <c r="A961" s="72"/>
      <c r="B961" s="72"/>
      <c r="C961" s="72"/>
      <c r="D961" s="87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88"/>
      <c r="R961" s="76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</row>
    <row r="962" ht="14.25" customHeight="1">
      <c r="A962" s="72"/>
      <c r="B962" s="72"/>
      <c r="C962" s="72"/>
      <c r="D962" s="87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88"/>
      <c r="R962" s="76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</row>
    <row r="963" ht="14.25" customHeight="1">
      <c r="A963" s="72"/>
      <c r="B963" s="72"/>
      <c r="C963" s="72"/>
      <c r="D963" s="87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88"/>
      <c r="R963" s="76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</row>
    <row r="964" ht="14.25" customHeight="1">
      <c r="A964" s="72"/>
      <c r="B964" s="72"/>
      <c r="C964" s="72"/>
      <c r="D964" s="87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88"/>
      <c r="R964" s="76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</row>
    <row r="965" ht="14.25" customHeight="1">
      <c r="A965" s="72"/>
      <c r="B965" s="72"/>
      <c r="C965" s="72"/>
      <c r="D965" s="87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88"/>
      <c r="R965" s="76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</row>
    <row r="966" ht="14.25" customHeight="1">
      <c r="A966" s="72"/>
      <c r="B966" s="72"/>
      <c r="C966" s="72"/>
      <c r="D966" s="87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88"/>
      <c r="R966" s="76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</row>
    <row r="967" ht="14.25" customHeight="1">
      <c r="A967" s="72"/>
      <c r="B967" s="72"/>
      <c r="C967" s="72"/>
      <c r="D967" s="87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88"/>
      <c r="R967" s="76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</row>
    <row r="968" ht="14.25" customHeight="1">
      <c r="A968" s="72"/>
      <c r="B968" s="72"/>
      <c r="C968" s="72"/>
      <c r="D968" s="87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88"/>
      <c r="R968" s="76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</row>
    <row r="969" ht="14.25" customHeight="1">
      <c r="A969" s="72"/>
      <c r="B969" s="72"/>
      <c r="C969" s="72"/>
      <c r="D969" s="87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88"/>
      <c r="R969" s="76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</row>
    <row r="970" ht="14.25" customHeight="1">
      <c r="A970" s="72"/>
      <c r="B970" s="72"/>
      <c r="C970" s="72"/>
      <c r="D970" s="87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88"/>
      <c r="R970" s="76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</row>
    <row r="971" ht="14.25" customHeight="1">
      <c r="A971" s="72"/>
      <c r="B971" s="72"/>
      <c r="C971" s="72"/>
      <c r="D971" s="87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88"/>
      <c r="R971" s="76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</row>
    <row r="972" ht="14.25" customHeight="1">
      <c r="A972" s="72"/>
      <c r="B972" s="72"/>
      <c r="C972" s="72"/>
      <c r="D972" s="87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88"/>
      <c r="R972" s="76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</row>
    <row r="973" ht="14.25" customHeight="1">
      <c r="A973" s="72"/>
      <c r="B973" s="72"/>
      <c r="C973" s="72"/>
      <c r="D973" s="87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88"/>
      <c r="R973" s="76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</row>
    <row r="974" ht="14.25" customHeight="1">
      <c r="A974" s="72"/>
      <c r="B974" s="72"/>
      <c r="C974" s="72"/>
      <c r="D974" s="87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88"/>
      <c r="R974" s="76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</row>
    <row r="975" ht="14.25" customHeight="1">
      <c r="A975" s="72"/>
      <c r="B975" s="72"/>
      <c r="C975" s="72"/>
      <c r="D975" s="87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88"/>
      <c r="R975" s="76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</row>
    <row r="976" ht="14.25" customHeight="1">
      <c r="A976" s="72"/>
      <c r="B976" s="72"/>
      <c r="C976" s="72"/>
      <c r="D976" s="87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88"/>
      <c r="R976" s="76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</row>
    <row r="977" ht="14.25" customHeight="1">
      <c r="A977" s="72"/>
      <c r="B977" s="72"/>
      <c r="C977" s="72"/>
      <c r="D977" s="87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88"/>
      <c r="R977" s="76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</row>
    <row r="978" ht="14.25" customHeight="1">
      <c r="A978" s="72"/>
      <c r="B978" s="72"/>
      <c r="C978" s="72"/>
      <c r="D978" s="87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88"/>
      <c r="R978" s="76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</row>
    <row r="979" ht="14.25" customHeight="1">
      <c r="A979" s="72"/>
      <c r="B979" s="72"/>
      <c r="C979" s="72"/>
      <c r="D979" s="87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88"/>
      <c r="R979" s="76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</row>
    <row r="980" ht="14.25" customHeight="1">
      <c r="A980" s="72"/>
      <c r="B980" s="72"/>
      <c r="C980" s="72"/>
      <c r="D980" s="87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88"/>
      <c r="R980" s="76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</row>
    <row r="981" ht="14.25" customHeight="1">
      <c r="A981" s="72"/>
      <c r="B981" s="72"/>
      <c r="C981" s="72"/>
      <c r="D981" s="87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88"/>
      <c r="R981" s="76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</row>
    <row r="982" ht="14.25" customHeight="1">
      <c r="A982" s="72"/>
      <c r="B982" s="72"/>
      <c r="C982" s="72"/>
      <c r="D982" s="87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88"/>
      <c r="R982" s="76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</row>
    <row r="983" ht="14.25" customHeight="1">
      <c r="A983" s="72"/>
      <c r="B983" s="72"/>
      <c r="C983" s="72"/>
      <c r="D983" s="87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88"/>
      <c r="R983" s="76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</row>
    <row r="984" ht="14.25" customHeight="1">
      <c r="A984" s="72"/>
      <c r="B984" s="72"/>
      <c r="C984" s="72"/>
      <c r="D984" s="87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88"/>
      <c r="R984" s="76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</row>
    <row r="985" ht="14.25" customHeight="1">
      <c r="A985" s="72"/>
      <c r="B985" s="72"/>
      <c r="C985" s="72"/>
      <c r="D985" s="87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88"/>
      <c r="R985" s="76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</row>
    <row r="986" ht="14.25" customHeight="1">
      <c r="A986" s="72"/>
      <c r="B986" s="72"/>
      <c r="C986" s="72"/>
      <c r="D986" s="87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88"/>
      <c r="R986" s="76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</row>
    <row r="987" ht="14.25" customHeight="1">
      <c r="A987" s="72"/>
      <c r="B987" s="72"/>
      <c r="C987" s="72"/>
      <c r="D987" s="87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88"/>
      <c r="R987" s="76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</row>
    <row r="988" ht="14.25" customHeight="1">
      <c r="A988" s="72"/>
      <c r="B988" s="72"/>
      <c r="C988" s="72"/>
      <c r="D988" s="87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88"/>
      <c r="R988" s="76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</row>
    <row r="989" ht="14.25" customHeight="1">
      <c r="A989" s="72"/>
      <c r="B989" s="72"/>
      <c r="C989" s="72"/>
      <c r="D989" s="87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88"/>
      <c r="R989" s="76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</row>
    <row r="990" ht="14.25" customHeight="1">
      <c r="A990" s="72"/>
      <c r="B990" s="72"/>
      <c r="C990" s="72"/>
      <c r="D990" s="87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88"/>
      <c r="R990" s="76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</row>
    <row r="991" ht="14.25" customHeight="1">
      <c r="A991" s="72"/>
      <c r="B991" s="72"/>
      <c r="C991" s="72"/>
      <c r="D991" s="87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88"/>
      <c r="R991" s="76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</row>
    <row r="992" ht="14.25" customHeight="1">
      <c r="A992" s="72"/>
      <c r="B992" s="72"/>
      <c r="C992" s="72"/>
      <c r="D992" s="87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88"/>
      <c r="R992" s="76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</row>
    <row r="993" ht="14.25" customHeight="1">
      <c r="A993" s="72"/>
      <c r="B993" s="72"/>
      <c r="C993" s="72"/>
      <c r="D993" s="87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88"/>
      <c r="R993" s="76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</row>
    <row r="994" ht="14.25" customHeight="1">
      <c r="A994" s="72"/>
      <c r="B994" s="72"/>
      <c r="C994" s="72"/>
      <c r="D994" s="87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88"/>
      <c r="R994" s="76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</row>
    <row r="995" ht="14.25" customHeight="1">
      <c r="A995" s="72"/>
      <c r="B995" s="72"/>
      <c r="C995" s="72"/>
      <c r="D995" s="87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88"/>
      <c r="R995" s="76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</row>
    <row r="996" ht="14.25" customHeight="1">
      <c r="A996" s="72"/>
      <c r="B996" s="72"/>
      <c r="C996" s="72"/>
      <c r="D996" s="87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88"/>
      <c r="R996" s="76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</row>
    <row r="997" ht="14.25" customHeight="1">
      <c r="A997" s="72"/>
      <c r="B997" s="72"/>
      <c r="C997" s="72"/>
      <c r="D997" s="87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88"/>
      <c r="R997" s="76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</row>
    <row r="998" ht="14.25" customHeight="1">
      <c r="A998" s="72"/>
      <c r="B998" s="72"/>
      <c r="C998" s="72"/>
      <c r="D998" s="87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88"/>
      <c r="R998" s="76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</row>
    <row r="999" ht="14.25" customHeight="1">
      <c r="A999" s="72"/>
      <c r="B999" s="72"/>
      <c r="C999" s="72"/>
      <c r="D999" s="87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88"/>
      <c r="R999" s="76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</row>
    <row r="1000" ht="14.25" customHeight="1">
      <c r="A1000" s="72"/>
      <c r="B1000" s="72"/>
      <c r="C1000" s="72"/>
      <c r="D1000" s="87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88"/>
      <c r="R1000" s="76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</row>
  </sheetData>
  <autoFilter ref="$B$2:$AF$433"/>
  <mergeCells count="2">
    <mergeCell ref="B1:C1"/>
    <mergeCell ref="D1:Q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61"/>
      <c r="C2" s="61"/>
      <c r="D2" s="61"/>
      <c r="E2" s="61"/>
      <c r="F2" s="89" t="s">
        <v>1462</v>
      </c>
      <c r="G2" s="61"/>
      <c r="H2" s="61"/>
      <c r="K2" s="82">
        <v>2022.0</v>
      </c>
      <c r="L2" s="82">
        <v>2023.0</v>
      </c>
    </row>
    <row r="3" ht="14.25" customHeight="1">
      <c r="B3" s="90" t="s">
        <v>10</v>
      </c>
      <c r="C3" s="91" t="s">
        <v>1463</v>
      </c>
      <c r="D3" s="92" t="s">
        <v>17</v>
      </c>
      <c r="E3" s="61"/>
      <c r="F3" s="93" t="s">
        <v>1463</v>
      </c>
      <c r="G3" s="93" t="s">
        <v>1462</v>
      </c>
      <c r="H3" s="61"/>
      <c r="J3" s="94" t="s">
        <v>1464</v>
      </c>
      <c r="K3" s="95">
        <v>1.1334</v>
      </c>
      <c r="L3" s="96">
        <v>1.0649</v>
      </c>
      <c r="M3" s="84"/>
      <c r="N3" s="97"/>
    </row>
    <row r="4" ht="14.25" customHeight="1">
      <c r="B4" s="98" t="s">
        <v>1465</v>
      </c>
      <c r="C4" s="61" t="s">
        <v>1466</v>
      </c>
      <c r="D4" s="53" t="s">
        <v>36</v>
      </c>
      <c r="E4" s="61"/>
      <c r="F4" s="99" t="s">
        <v>1467</v>
      </c>
      <c r="G4" s="100">
        <v>0.02</v>
      </c>
      <c r="H4" s="61"/>
      <c r="J4" s="94" t="s">
        <v>1468</v>
      </c>
      <c r="K4" s="95">
        <v>1.5594</v>
      </c>
      <c r="L4" s="96">
        <v>1.5859</v>
      </c>
      <c r="M4" s="84"/>
      <c r="N4" s="97"/>
    </row>
    <row r="5" ht="14.25" customHeight="1">
      <c r="B5" s="98" t="s">
        <v>1465</v>
      </c>
      <c r="C5" s="61" t="s">
        <v>1467</v>
      </c>
      <c r="D5" s="53" t="s">
        <v>36</v>
      </c>
      <c r="E5" s="61"/>
      <c r="F5" s="101" t="s">
        <v>1466</v>
      </c>
      <c r="G5" s="102">
        <v>0.01</v>
      </c>
      <c r="H5" s="61"/>
      <c r="J5" s="94"/>
      <c r="K5" s="95"/>
      <c r="L5" s="96"/>
      <c r="M5" s="84"/>
      <c r="N5" s="97"/>
    </row>
    <row r="6" ht="14.25" customHeight="1">
      <c r="B6" s="98" t="s">
        <v>1465</v>
      </c>
      <c r="C6" s="61" t="s">
        <v>1469</v>
      </c>
      <c r="D6" s="53" t="s">
        <v>36</v>
      </c>
      <c r="E6" s="61"/>
      <c r="F6" s="101" t="s">
        <v>1469</v>
      </c>
      <c r="G6" s="102">
        <v>0.04</v>
      </c>
      <c r="H6" s="61"/>
      <c r="J6" s="94" t="s">
        <v>1470</v>
      </c>
      <c r="K6" s="95">
        <v>1.3758602435150873</v>
      </c>
      <c r="L6" s="95">
        <v>1.4892</v>
      </c>
      <c r="M6" s="84"/>
      <c r="N6" s="97"/>
    </row>
    <row r="7" ht="14.25" customHeight="1">
      <c r="B7" s="98" t="s">
        <v>1471</v>
      </c>
      <c r="C7" s="61" t="s">
        <v>1472</v>
      </c>
      <c r="D7" s="53" t="s">
        <v>37</v>
      </c>
      <c r="E7" s="61"/>
      <c r="F7" s="101" t="s">
        <v>1472</v>
      </c>
      <c r="G7" s="102">
        <v>0.11</v>
      </c>
      <c r="H7" s="61"/>
      <c r="J7" s="94" t="s">
        <v>1473</v>
      </c>
      <c r="K7" s="95">
        <v>0.7268180069257407</v>
      </c>
      <c r="L7" s="96">
        <v>0.6714799167665048</v>
      </c>
      <c r="M7" s="84"/>
      <c r="N7" s="97"/>
    </row>
    <row r="8" ht="14.25" customHeight="1">
      <c r="B8" s="98" t="s">
        <v>1474</v>
      </c>
      <c r="C8" s="61" t="s">
        <v>1475</v>
      </c>
      <c r="D8" s="53" t="s">
        <v>37</v>
      </c>
      <c r="E8" s="61"/>
      <c r="F8" s="101" t="s">
        <v>1476</v>
      </c>
      <c r="G8" s="102">
        <v>0.05</v>
      </c>
      <c r="H8" s="61"/>
    </row>
    <row r="9" ht="14.25" customHeight="1">
      <c r="B9" s="103" t="s">
        <v>1477</v>
      </c>
      <c r="C9" s="104" t="s">
        <v>1476</v>
      </c>
      <c r="D9" s="105" t="s">
        <v>37</v>
      </c>
      <c r="E9" s="61"/>
      <c r="F9" s="106" t="s">
        <v>1475</v>
      </c>
      <c r="G9" s="107">
        <v>0.07</v>
      </c>
      <c r="H9" s="61"/>
      <c r="K9" s="72"/>
    </row>
    <row r="10" ht="14.25" customHeight="1"/>
    <row r="11" ht="14.25" customHeight="1"/>
    <row r="12" ht="14.25" customHeight="1">
      <c r="G12" s="108">
        <v>45078.0</v>
      </c>
      <c r="H12" s="108">
        <v>44835.0</v>
      </c>
      <c r="I12" s="108">
        <v>44713.0</v>
      </c>
      <c r="J12" s="108">
        <v>44682.0</v>
      </c>
    </row>
    <row r="13" ht="14.25" customHeight="1">
      <c r="F13" s="109" t="s">
        <v>1463</v>
      </c>
      <c r="G13" s="110" t="s">
        <v>1478</v>
      </c>
      <c r="H13" s="110" t="s">
        <v>1478</v>
      </c>
      <c r="I13" s="110" t="s">
        <v>1478</v>
      </c>
      <c r="J13" s="110" t="s">
        <v>1478</v>
      </c>
    </row>
    <row r="14" ht="14.25" customHeight="1">
      <c r="F14" s="111" t="s">
        <v>1467</v>
      </c>
      <c r="G14" s="112">
        <v>-0.0153</v>
      </c>
      <c r="H14" s="113">
        <v>0.012</v>
      </c>
      <c r="I14" s="113">
        <v>0.012</v>
      </c>
      <c r="J14" s="113">
        <v>0.095</v>
      </c>
    </row>
    <row r="15" ht="14.25" customHeight="1">
      <c r="F15" s="111" t="s">
        <v>1466</v>
      </c>
      <c r="G15" s="113">
        <v>9.0E-4</v>
      </c>
      <c r="H15" s="113">
        <v>0.012</v>
      </c>
      <c r="I15" s="113">
        <v>0.012</v>
      </c>
      <c r="J15" s="113">
        <v>0.085</v>
      </c>
    </row>
    <row r="16" ht="14.25" customHeight="1">
      <c r="F16" s="111" t="s">
        <v>1469</v>
      </c>
      <c r="G16" s="112">
        <v>-0.0483</v>
      </c>
      <c r="H16" s="113">
        <v>0.012</v>
      </c>
      <c r="I16" s="113">
        <v>0.012</v>
      </c>
      <c r="J16" s="113">
        <v>0.03</v>
      </c>
    </row>
    <row r="17" ht="14.25" customHeight="1">
      <c r="F17" s="111" t="s">
        <v>1476</v>
      </c>
      <c r="G17" s="113">
        <v>0.002</v>
      </c>
      <c r="H17" s="113">
        <v>0.01</v>
      </c>
      <c r="I17" s="113">
        <v>0.07</v>
      </c>
      <c r="J17" s="113">
        <v>0.07</v>
      </c>
    </row>
    <row r="18" ht="14.25" customHeight="1">
      <c r="F18" s="111" t="s">
        <v>1472</v>
      </c>
      <c r="G18" s="113">
        <v>0.014</v>
      </c>
      <c r="H18" s="113">
        <v>0.01</v>
      </c>
      <c r="I18" s="113">
        <v>0.115</v>
      </c>
      <c r="J18" s="113">
        <v>0.115</v>
      </c>
    </row>
    <row r="19" ht="14.25" customHeight="1">
      <c r="F19" s="111" t="s">
        <v>1475</v>
      </c>
      <c r="G19" s="113">
        <v>0.001</v>
      </c>
      <c r="H19" s="113">
        <v>0.01</v>
      </c>
      <c r="I19" s="113">
        <v>0.08</v>
      </c>
      <c r="J19" s="113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4" t="s">
        <v>1479</v>
      </c>
      <c r="B1" s="114"/>
      <c r="C1" s="114"/>
      <c r="D1" s="115"/>
      <c r="E1" s="114"/>
      <c r="F1" s="114"/>
      <c r="G1" s="116" t="s">
        <v>1480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4.25" customHeight="1">
      <c r="A2" s="114"/>
      <c r="B2" s="114"/>
      <c r="C2" s="114"/>
      <c r="D2" s="115"/>
      <c r="E2" s="117" t="s">
        <v>1481</v>
      </c>
      <c r="F2" s="117" t="s">
        <v>1482</v>
      </c>
      <c r="G2" s="116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4.25" customHeight="1">
      <c r="A3" s="116" t="s">
        <v>1483</v>
      </c>
      <c r="B3" s="116" t="s">
        <v>1484</v>
      </c>
      <c r="C3" s="116" t="s">
        <v>1485</v>
      </c>
      <c r="D3" s="118" t="s">
        <v>1486</v>
      </c>
      <c r="E3" s="116" t="s">
        <v>1487</v>
      </c>
      <c r="F3" s="116" t="s">
        <v>1488</v>
      </c>
      <c r="G3" s="116" t="s">
        <v>1489</v>
      </c>
      <c r="H3" s="119"/>
      <c r="I3" s="119" t="s">
        <v>1490</v>
      </c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 ht="14.25" customHeight="1">
      <c r="A4" s="114" t="s">
        <v>747</v>
      </c>
      <c r="B4" s="114" t="s">
        <v>1491</v>
      </c>
      <c r="C4" s="120" t="s">
        <v>1492</v>
      </c>
      <c r="D4" s="121">
        <v>2305.0</v>
      </c>
      <c r="E4" s="121">
        <v>190.0</v>
      </c>
      <c r="F4" s="121">
        <v>390.0</v>
      </c>
      <c r="G4" s="121">
        <v>2885.0</v>
      </c>
      <c r="H4" s="122">
        <v>1385.0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114" t="s">
        <v>747</v>
      </c>
      <c r="B5" s="114" t="s">
        <v>1491</v>
      </c>
      <c r="C5" s="120" t="s">
        <v>1493</v>
      </c>
      <c r="D5" s="121">
        <v>4400.0</v>
      </c>
      <c r="E5" s="121">
        <v>500.0</v>
      </c>
      <c r="F5" s="121">
        <v>1250.0</v>
      </c>
      <c r="G5" s="121">
        <v>6150.0</v>
      </c>
      <c r="H5" s="122">
        <v>1150.0</v>
      </c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114" t="s">
        <v>747</v>
      </c>
      <c r="B6" s="114" t="s">
        <v>1491</v>
      </c>
      <c r="C6" s="120" t="s">
        <v>1494</v>
      </c>
      <c r="D6" s="121">
        <v>2485.0</v>
      </c>
      <c r="E6" s="121">
        <v>375.0</v>
      </c>
      <c r="F6" s="121">
        <v>1000.0</v>
      </c>
      <c r="G6" s="121">
        <v>3860.0</v>
      </c>
      <c r="H6" s="122">
        <v>360.0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4.25" customHeight="1">
      <c r="A7" s="114" t="s">
        <v>747</v>
      </c>
      <c r="B7" s="114" t="s">
        <v>1491</v>
      </c>
      <c r="C7" s="120" t="s">
        <v>1495</v>
      </c>
      <c r="D7" s="121">
        <v>4495.0</v>
      </c>
      <c r="E7" s="121">
        <v>600.0</v>
      </c>
      <c r="F7" s="121">
        <v>1500.0</v>
      </c>
      <c r="G7" s="121">
        <v>6595.0</v>
      </c>
      <c r="H7" s="122">
        <v>595.0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114" t="s">
        <v>747</v>
      </c>
      <c r="B8" s="114" t="s">
        <v>1491</v>
      </c>
      <c r="C8" s="120" t="s">
        <v>1496</v>
      </c>
      <c r="D8" s="121">
        <v>8000.0</v>
      </c>
      <c r="E8" s="121">
        <v>1500.0</v>
      </c>
      <c r="F8" s="121">
        <v>1500.0</v>
      </c>
      <c r="G8" s="121">
        <v>11000.0</v>
      </c>
      <c r="H8" s="122">
        <v>0.0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4.25" customHeight="1">
      <c r="A9" s="114" t="s">
        <v>747</v>
      </c>
      <c r="B9" s="114" t="s">
        <v>1491</v>
      </c>
      <c r="C9" s="120" t="s">
        <v>1497</v>
      </c>
      <c r="D9" s="121">
        <v>16000.0</v>
      </c>
      <c r="E9" s="121">
        <v>2000.0</v>
      </c>
      <c r="F9" s="121">
        <v>2000.0</v>
      </c>
      <c r="G9" s="121">
        <v>20000.0</v>
      </c>
      <c r="H9" s="122">
        <v>0.0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4.25" customHeight="1">
      <c r="A10" s="114" t="s">
        <v>747</v>
      </c>
      <c r="B10" s="114" t="s">
        <v>1491</v>
      </c>
      <c r="C10" s="123" t="s">
        <v>1498</v>
      </c>
      <c r="D10" s="121">
        <v>2490.0</v>
      </c>
      <c r="E10" s="121">
        <v>200.0</v>
      </c>
      <c r="F10" s="121">
        <v>500.0</v>
      </c>
      <c r="G10" s="121">
        <v>3190.0</v>
      </c>
      <c r="H10" s="122">
        <v>1500.0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114" t="s">
        <v>747</v>
      </c>
      <c r="B11" s="114" t="s">
        <v>1491</v>
      </c>
      <c r="C11" s="120" t="s">
        <v>1499</v>
      </c>
      <c r="D11" s="121">
        <v>9500.0</v>
      </c>
      <c r="E11" s="121">
        <v>1500.0</v>
      </c>
      <c r="F11" s="121">
        <v>1500.0</v>
      </c>
      <c r="G11" s="121">
        <v>12500.0</v>
      </c>
      <c r="H11" s="122">
        <v>0.0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114" t="s">
        <v>747</v>
      </c>
      <c r="B12" s="114" t="s">
        <v>1491</v>
      </c>
      <c r="C12" s="120" t="s">
        <v>1500</v>
      </c>
      <c r="D12" s="121">
        <v>4330.0</v>
      </c>
      <c r="E12" s="121">
        <v>490.0</v>
      </c>
      <c r="F12" s="121">
        <v>1510.0</v>
      </c>
      <c r="G12" s="121">
        <v>6330.0</v>
      </c>
      <c r="H12" s="122">
        <v>1530.0</v>
      </c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114" t="s">
        <v>747</v>
      </c>
      <c r="B13" s="114" t="s">
        <v>1491</v>
      </c>
      <c r="C13" s="123" t="s">
        <v>1501</v>
      </c>
      <c r="D13" s="121">
        <v>2715.0</v>
      </c>
      <c r="E13" s="121">
        <v>200.0</v>
      </c>
      <c r="F13" s="121">
        <v>500.0</v>
      </c>
      <c r="G13" s="121">
        <v>3415.0</v>
      </c>
      <c r="H13" s="122">
        <v>1500.0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4.25" customHeight="1">
      <c r="A14" s="114" t="s">
        <v>747</v>
      </c>
      <c r="B14" s="114" t="s">
        <v>1491</v>
      </c>
      <c r="C14" s="120" t="s">
        <v>1502</v>
      </c>
      <c r="D14" s="121">
        <v>3375.0</v>
      </c>
      <c r="E14" s="121">
        <v>200.0</v>
      </c>
      <c r="F14" s="121">
        <v>500.0</v>
      </c>
      <c r="G14" s="121">
        <v>4075.0</v>
      </c>
      <c r="H14" s="122">
        <v>425.0</v>
      </c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4.25" customHeight="1">
      <c r="A15" s="114" t="s">
        <v>747</v>
      </c>
      <c r="B15" s="114" t="s">
        <v>1491</v>
      </c>
      <c r="C15" s="123" t="s">
        <v>1503</v>
      </c>
      <c r="D15" s="121">
        <v>2910.0</v>
      </c>
      <c r="E15" s="121">
        <v>200.0</v>
      </c>
      <c r="F15" s="121">
        <v>295.0</v>
      </c>
      <c r="G15" s="121">
        <v>3405.0</v>
      </c>
      <c r="H15" s="122">
        <v>1500.0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4.25" customHeight="1">
      <c r="A16" s="114" t="s">
        <v>747</v>
      </c>
      <c r="B16" s="114" t="s">
        <v>1491</v>
      </c>
      <c r="C16" s="123" t="s">
        <v>1504</v>
      </c>
      <c r="D16" s="121">
        <v>2250.0</v>
      </c>
      <c r="E16" s="121">
        <v>120.0</v>
      </c>
      <c r="F16" s="121">
        <v>295.0</v>
      </c>
      <c r="G16" s="121">
        <v>2665.0</v>
      </c>
      <c r="H16" s="122">
        <v>1500.0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4.25" customHeight="1">
      <c r="A17" s="114" t="s">
        <v>747</v>
      </c>
      <c r="B17" s="114" t="s">
        <v>1491</v>
      </c>
      <c r="C17" s="120" t="s">
        <v>1505</v>
      </c>
      <c r="D17" s="121">
        <v>27600.0</v>
      </c>
      <c r="E17" s="121">
        <v>3000.0</v>
      </c>
      <c r="F17" s="121">
        <v>3000.0</v>
      </c>
      <c r="G17" s="121">
        <v>33600.0</v>
      </c>
      <c r="H17" s="122">
        <v>0.0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4.25" customHeight="1">
      <c r="A18" s="114" t="s">
        <v>747</v>
      </c>
      <c r="B18" s="114" t="s">
        <v>1491</v>
      </c>
      <c r="C18" s="120" t="s">
        <v>1506</v>
      </c>
      <c r="D18" s="121">
        <v>3235.0</v>
      </c>
      <c r="E18" s="121">
        <v>200.0</v>
      </c>
      <c r="F18" s="121">
        <v>800.0</v>
      </c>
      <c r="G18" s="121">
        <v>4235.0</v>
      </c>
      <c r="H18" s="122">
        <v>1235.0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4.25" customHeight="1">
      <c r="A19" s="114" t="s">
        <v>747</v>
      </c>
      <c r="B19" s="114" t="s">
        <v>1491</v>
      </c>
      <c r="C19" s="123" t="s">
        <v>1507</v>
      </c>
      <c r="D19" s="121">
        <v>3350.0</v>
      </c>
      <c r="E19" s="121">
        <v>280.0</v>
      </c>
      <c r="F19" s="121">
        <v>705.0</v>
      </c>
      <c r="G19" s="121">
        <v>4335.0</v>
      </c>
      <c r="H19" s="122">
        <v>1500.0</v>
      </c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4.25" customHeight="1">
      <c r="A20" s="114" t="s">
        <v>747</v>
      </c>
      <c r="B20" s="114" t="s">
        <v>1491</v>
      </c>
      <c r="C20" s="120" t="s">
        <v>1508</v>
      </c>
      <c r="D20" s="121">
        <v>2290.0</v>
      </c>
      <c r="E20" s="121">
        <v>185.0</v>
      </c>
      <c r="F20" s="121">
        <v>500.0</v>
      </c>
      <c r="G20" s="121">
        <v>2975.0</v>
      </c>
      <c r="H20" s="122">
        <v>1475.0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4.25" customHeight="1">
      <c r="A21" s="114" t="s">
        <v>747</v>
      </c>
      <c r="B21" s="114" t="s">
        <v>1491</v>
      </c>
      <c r="C21" s="120" t="s">
        <v>1509</v>
      </c>
      <c r="D21" s="121">
        <v>3190.0</v>
      </c>
      <c r="E21" s="121">
        <v>500.0</v>
      </c>
      <c r="F21" s="121">
        <v>1000.0</v>
      </c>
      <c r="G21" s="121">
        <v>4690.0</v>
      </c>
      <c r="H21" s="122">
        <v>1490.0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114" t="s">
        <v>747</v>
      </c>
      <c r="B22" s="114" t="s">
        <v>1491</v>
      </c>
      <c r="C22" s="123" t="s">
        <v>1510</v>
      </c>
      <c r="D22" s="121">
        <v>2500.0</v>
      </c>
      <c r="E22" s="121">
        <v>200.0</v>
      </c>
      <c r="F22" s="121">
        <v>500.0</v>
      </c>
      <c r="G22" s="121">
        <v>3200.0</v>
      </c>
      <c r="H22" s="122">
        <v>1500.0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4.25" customHeight="1">
      <c r="A23" s="114" t="s">
        <v>747</v>
      </c>
      <c r="B23" s="114" t="s">
        <v>1491</v>
      </c>
      <c r="C23" s="123" t="s">
        <v>1511</v>
      </c>
      <c r="D23" s="121">
        <v>2500.0</v>
      </c>
      <c r="E23" s="121">
        <v>200.0</v>
      </c>
      <c r="F23" s="121">
        <v>500.0</v>
      </c>
      <c r="G23" s="121">
        <v>3200.0</v>
      </c>
      <c r="H23" s="122">
        <v>1500.0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4.25" customHeight="1">
      <c r="A24" s="114" t="s">
        <v>747</v>
      </c>
      <c r="B24" s="114" t="s">
        <v>1491</v>
      </c>
      <c r="C24" s="123" t="s">
        <v>1512</v>
      </c>
      <c r="D24" s="121">
        <v>2500.0</v>
      </c>
      <c r="E24" s="121">
        <v>200.0</v>
      </c>
      <c r="F24" s="121">
        <v>500.0</v>
      </c>
      <c r="G24" s="121">
        <v>3200.0</v>
      </c>
      <c r="H24" s="122">
        <v>1500.0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4.25" customHeight="1">
      <c r="A25" s="114" t="s">
        <v>747</v>
      </c>
      <c r="B25" s="114" t="s">
        <v>1491</v>
      </c>
      <c r="C25" s="120" t="s">
        <v>1513</v>
      </c>
      <c r="D25" s="121">
        <v>3235.0</v>
      </c>
      <c r="E25" s="121">
        <v>300.0</v>
      </c>
      <c r="F25" s="121">
        <v>700.0</v>
      </c>
      <c r="G25" s="121">
        <v>4235.0</v>
      </c>
      <c r="H25" s="122">
        <v>1235.0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4.25" customHeight="1">
      <c r="A26" s="114" t="s">
        <v>747</v>
      </c>
      <c r="B26" s="114" t="s">
        <v>1491</v>
      </c>
      <c r="C26" s="120" t="s">
        <v>1514</v>
      </c>
      <c r="D26" s="121">
        <v>2260.0</v>
      </c>
      <c r="E26" s="121">
        <v>230.0</v>
      </c>
      <c r="F26" s="121">
        <v>655.0</v>
      </c>
      <c r="G26" s="121">
        <v>3145.0</v>
      </c>
      <c r="H26" s="122">
        <v>1645.0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4.25" customHeight="1">
      <c r="A27" s="114" t="s">
        <v>747</v>
      </c>
      <c r="B27" s="114" t="s">
        <v>1491</v>
      </c>
      <c r="C27" s="120" t="s">
        <v>1515</v>
      </c>
      <c r="D27" s="121">
        <v>2775.0</v>
      </c>
      <c r="E27" s="121">
        <v>200.0</v>
      </c>
      <c r="F27" s="121">
        <v>600.0</v>
      </c>
      <c r="G27" s="121">
        <v>3575.0</v>
      </c>
      <c r="H27" s="122">
        <v>1575.0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4.25" customHeight="1">
      <c r="A28" s="114" t="s">
        <v>747</v>
      </c>
      <c r="B28" s="114" t="s">
        <v>1491</v>
      </c>
      <c r="C28" s="120" t="s">
        <v>1516</v>
      </c>
      <c r="D28" s="121">
        <v>3805.0</v>
      </c>
      <c r="E28" s="121">
        <v>300.0</v>
      </c>
      <c r="F28" s="121">
        <v>750.0</v>
      </c>
      <c r="G28" s="121">
        <v>4855.0</v>
      </c>
      <c r="H28" s="122">
        <v>1855.0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4.25" customHeight="1">
      <c r="A29" s="114" t="s">
        <v>747</v>
      </c>
      <c r="B29" s="114" t="s">
        <v>1491</v>
      </c>
      <c r="C29" s="123" t="s">
        <v>1517</v>
      </c>
      <c r="D29" s="121">
        <v>2380.0</v>
      </c>
      <c r="E29" s="121">
        <v>180.0</v>
      </c>
      <c r="F29" s="121">
        <v>440.0</v>
      </c>
      <c r="G29" s="121">
        <v>3000.0</v>
      </c>
      <c r="H29" s="122">
        <v>1500.0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4.25" customHeight="1">
      <c r="A30" s="114" t="s">
        <v>747</v>
      </c>
      <c r="B30" s="114" t="s">
        <v>1491</v>
      </c>
      <c r="C30" s="123" t="s">
        <v>1518</v>
      </c>
      <c r="D30" s="121">
        <v>2550.0</v>
      </c>
      <c r="E30" s="121">
        <v>175.0</v>
      </c>
      <c r="F30" s="121">
        <v>440.0</v>
      </c>
      <c r="G30" s="121">
        <v>3165.0</v>
      </c>
      <c r="H30" s="122">
        <v>1500.0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4.25" customHeight="1">
      <c r="A31" s="114" t="s">
        <v>747</v>
      </c>
      <c r="B31" s="114" t="s">
        <v>1491</v>
      </c>
      <c r="C31" s="120" t="s">
        <v>1519</v>
      </c>
      <c r="D31" s="121">
        <v>20000.0</v>
      </c>
      <c r="E31" s="121">
        <v>3000.0</v>
      </c>
      <c r="F31" s="121">
        <v>3000.0</v>
      </c>
      <c r="G31" s="121">
        <v>26000.0</v>
      </c>
      <c r="H31" s="122">
        <v>0.0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4.25" customHeight="1">
      <c r="A32" s="114" t="s">
        <v>747</v>
      </c>
      <c r="B32" s="114" t="s">
        <v>1491</v>
      </c>
      <c r="C32" s="123" t="s">
        <v>1520</v>
      </c>
      <c r="D32" s="121">
        <v>2050.0</v>
      </c>
      <c r="E32" s="121">
        <v>100.0</v>
      </c>
      <c r="F32" s="121">
        <v>200.0</v>
      </c>
      <c r="G32" s="121">
        <v>2350.0</v>
      </c>
      <c r="H32" s="122">
        <v>1500.0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4.25" customHeight="1">
      <c r="A33" s="114" t="s">
        <v>747</v>
      </c>
      <c r="B33" s="114" t="s">
        <v>1491</v>
      </c>
      <c r="C33" s="123" t="s">
        <v>1521</v>
      </c>
      <c r="D33" s="121">
        <v>2000.0</v>
      </c>
      <c r="E33" s="121">
        <v>200.0</v>
      </c>
      <c r="F33" s="121">
        <v>300.0</v>
      </c>
      <c r="G33" s="121">
        <v>2500.0</v>
      </c>
      <c r="H33" s="122">
        <v>1500.0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4.25" customHeight="1">
      <c r="A34" s="114" t="s">
        <v>747</v>
      </c>
      <c r="B34" s="114" t="s">
        <v>1491</v>
      </c>
      <c r="C34" s="123" t="s">
        <v>1522</v>
      </c>
      <c r="D34" s="121">
        <v>2175.0</v>
      </c>
      <c r="E34" s="121">
        <v>200.0</v>
      </c>
      <c r="F34" s="121">
        <v>300.0</v>
      </c>
      <c r="G34" s="121">
        <v>2675.0</v>
      </c>
      <c r="H34" s="122">
        <v>1500.0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4.25" customHeight="1">
      <c r="A35" s="114" t="s">
        <v>747</v>
      </c>
      <c r="B35" s="114" t="s">
        <v>1491</v>
      </c>
      <c r="C35" s="123" t="s">
        <v>1523</v>
      </c>
      <c r="D35" s="121">
        <v>2065.0</v>
      </c>
      <c r="E35" s="121">
        <v>100.0</v>
      </c>
      <c r="F35" s="121">
        <v>300.0</v>
      </c>
      <c r="G35" s="121">
        <v>2465.0</v>
      </c>
      <c r="H35" s="122">
        <v>1500.0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4.25" customHeight="1">
      <c r="A36" s="114" t="s">
        <v>747</v>
      </c>
      <c r="B36" s="114" t="s">
        <v>1491</v>
      </c>
      <c r="C36" s="120" t="s">
        <v>1524</v>
      </c>
      <c r="D36" s="121">
        <v>2845.0</v>
      </c>
      <c r="E36" s="121">
        <v>165.0</v>
      </c>
      <c r="F36" s="121">
        <v>400.0</v>
      </c>
      <c r="G36" s="121">
        <v>3410.0</v>
      </c>
      <c r="H36" s="122">
        <v>1410.0</v>
      </c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4.25" customHeight="1">
      <c r="A37" s="114" t="s">
        <v>747</v>
      </c>
      <c r="B37" s="114" t="s">
        <v>1491</v>
      </c>
      <c r="C37" s="120" t="s">
        <v>1525</v>
      </c>
      <c r="D37" s="121">
        <v>31500.0</v>
      </c>
      <c r="E37" s="121">
        <v>3500.0</v>
      </c>
      <c r="F37" s="121">
        <v>3000.0</v>
      </c>
      <c r="G37" s="121">
        <v>38000.0</v>
      </c>
      <c r="H37" s="122">
        <v>0.0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4.25" customHeight="1">
      <c r="A38" s="114" t="s">
        <v>747</v>
      </c>
      <c r="B38" s="114" t="s">
        <v>1491</v>
      </c>
      <c r="C38" s="120" t="s">
        <v>1526</v>
      </c>
      <c r="D38" s="121">
        <v>990.0</v>
      </c>
      <c r="E38" s="121">
        <v>125.0</v>
      </c>
      <c r="F38" s="121">
        <v>300.0</v>
      </c>
      <c r="G38" s="121">
        <v>1415.0</v>
      </c>
      <c r="H38" s="122">
        <v>405.0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4.25" customHeight="1">
      <c r="A39" s="114" t="s">
        <v>747</v>
      </c>
      <c r="B39" s="114" t="s">
        <v>1491</v>
      </c>
      <c r="C39" s="120" t="s">
        <v>1527</v>
      </c>
      <c r="D39" s="121">
        <v>1720.0</v>
      </c>
      <c r="E39" s="121">
        <v>125.0</v>
      </c>
      <c r="F39" s="121">
        <v>300.0</v>
      </c>
      <c r="G39" s="121">
        <v>2145.0</v>
      </c>
      <c r="H39" s="122">
        <v>145.0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4.25" customHeight="1">
      <c r="A40" s="114" t="s">
        <v>747</v>
      </c>
      <c r="B40" s="114" t="s">
        <v>1491</v>
      </c>
      <c r="C40" s="123" t="s">
        <v>1528</v>
      </c>
      <c r="D40" s="121">
        <v>2060.0</v>
      </c>
      <c r="E40" s="121">
        <v>120.0</v>
      </c>
      <c r="F40" s="121">
        <v>300.0</v>
      </c>
      <c r="G40" s="121">
        <v>2480.0</v>
      </c>
      <c r="H40" s="122">
        <v>1500.0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4.25" customHeight="1">
      <c r="A41" s="114" t="s">
        <v>747</v>
      </c>
      <c r="B41" s="114" t="s">
        <v>1491</v>
      </c>
      <c r="C41" s="123" t="s">
        <v>1529</v>
      </c>
      <c r="D41" s="121">
        <v>3290.0</v>
      </c>
      <c r="E41" s="121">
        <v>120.0</v>
      </c>
      <c r="F41" s="121">
        <v>295.0</v>
      </c>
      <c r="G41" s="121">
        <v>3705.0</v>
      </c>
      <c r="H41" s="122">
        <v>2540.0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4.25" customHeight="1">
      <c r="A42" s="114" t="s">
        <v>747</v>
      </c>
      <c r="B42" s="114" t="s">
        <v>1491</v>
      </c>
      <c r="C42" s="120" t="s">
        <v>1530</v>
      </c>
      <c r="D42" s="121">
        <v>2775.0</v>
      </c>
      <c r="E42" s="121">
        <v>215.0</v>
      </c>
      <c r="F42" s="121">
        <v>530.0</v>
      </c>
      <c r="G42" s="121">
        <v>3520.0</v>
      </c>
      <c r="H42" s="122">
        <v>1580.0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4.25" customHeight="1">
      <c r="A43" s="114" t="s">
        <v>747</v>
      </c>
      <c r="B43" s="114" t="s">
        <v>1491</v>
      </c>
      <c r="C43" s="120" t="s">
        <v>1531</v>
      </c>
      <c r="D43" s="121">
        <v>2640.0</v>
      </c>
      <c r="E43" s="121">
        <v>140.0</v>
      </c>
      <c r="F43" s="121">
        <v>285.0</v>
      </c>
      <c r="G43" s="121">
        <v>3065.0</v>
      </c>
      <c r="H43" s="122">
        <v>1900.0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4.25" customHeight="1">
      <c r="A44" s="114" t="s">
        <v>747</v>
      </c>
      <c r="B44" s="114" t="s">
        <v>1491</v>
      </c>
      <c r="C44" s="123" t="s">
        <v>1532</v>
      </c>
      <c r="D44" s="121">
        <v>2060.0</v>
      </c>
      <c r="E44" s="121">
        <v>120.0</v>
      </c>
      <c r="F44" s="121">
        <v>300.0</v>
      </c>
      <c r="G44" s="121">
        <v>2480.0</v>
      </c>
      <c r="H44" s="122">
        <v>1500.0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4.25" customHeight="1">
      <c r="A45" s="114" t="s">
        <v>747</v>
      </c>
      <c r="B45" s="114" t="s">
        <v>1491</v>
      </c>
      <c r="C45" s="123" t="s">
        <v>1533</v>
      </c>
      <c r="D45" s="121">
        <v>2180.0</v>
      </c>
      <c r="E45" s="121">
        <v>150.0</v>
      </c>
      <c r="F45" s="121">
        <v>500.0</v>
      </c>
      <c r="G45" s="121">
        <v>2830.0</v>
      </c>
      <c r="H45" s="122">
        <v>1500.0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4.25" customHeight="1">
      <c r="A46" s="114" t="s">
        <v>747</v>
      </c>
      <c r="B46" s="114" t="s">
        <v>1491</v>
      </c>
      <c r="C46" s="120" t="s">
        <v>1534</v>
      </c>
      <c r="D46" s="121">
        <v>2605.0</v>
      </c>
      <c r="E46" s="121">
        <v>100.0</v>
      </c>
      <c r="F46" s="121">
        <v>240.0</v>
      </c>
      <c r="G46" s="121">
        <v>2945.0</v>
      </c>
      <c r="H46" s="122">
        <v>1970.0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4.25" customHeight="1">
      <c r="A47" s="114" t="s">
        <v>747</v>
      </c>
      <c r="B47" s="114" t="s">
        <v>1491</v>
      </c>
      <c r="C47" s="120" t="s">
        <v>1535</v>
      </c>
      <c r="D47" s="121">
        <v>11700.0</v>
      </c>
      <c r="E47" s="121">
        <v>1700.0</v>
      </c>
      <c r="F47" s="121">
        <v>2600.0</v>
      </c>
      <c r="G47" s="121">
        <v>16000.0</v>
      </c>
      <c r="H47" s="122">
        <v>0.0</v>
      </c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4.25" customHeight="1">
      <c r="A48" s="114" t="s">
        <v>747</v>
      </c>
      <c r="B48" s="114" t="s">
        <v>1491</v>
      </c>
      <c r="C48" s="120" t="s">
        <v>1536</v>
      </c>
      <c r="D48" s="121">
        <v>9900.0</v>
      </c>
      <c r="E48" s="121">
        <v>1700.0</v>
      </c>
      <c r="F48" s="121">
        <v>2400.0</v>
      </c>
      <c r="G48" s="121">
        <v>14000.0</v>
      </c>
      <c r="H48" s="122">
        <v>0.0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4.25" customHeight="1">
      <c r="A49" s="114" t="s">
        <v>747</v>
      </c>
      <c r="B49" s="114" t="s">
        <v>1491</v>
      </c>
      <c r="C49" s="123" t="s">
        <v>1537</v>
      </c>
      <c r="D49" s="121">
        <v>2500.0</v>
      </c>
      <c r="E49" s="121">
        <v>200.0</v>
      </c>
      <c r="F49" s="121">
        <v>500.0</v>
      </c>
      <c r="G49" s="121">
        <v>3200.0</v>
      </c>
      <c r="H49" s="122">
        <v>1500.0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4.25" customHeight="1">
      <c r="A50" s="114" t="s">
        <v>747</v>
      </c>
      <c r="B50" s="114" t="s">
        <v>1491</v>
      </c>
      <c r="C50" s="123" t="s">
        <v>1538</v>
      </c>
      <c r="D50" s="121">
        <v>2500.0</v>
      </c>
      <c r="E50" s="121">
        <v>200.0</v>
      </c>
      <c r="F50" s="121">
        <v>500.0</v>
      </c>
      <c r="G50" s="121">
        <v>3200.0</v>
      </c>
      <c r="H50" s="122">
        <v>1500.0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4.25" customHeight="1">
      <c r="A51" s="114" t="s">
        <v>747</v>
      </c>
      <c r="B51" s="114" t="s">
        <v>1491</v>
      </c>
      <c r="C51" s="120" t="s">
        <v>1539</v>
      </c>
      <c r="D51" s="121">
        <v>2705.0</v>
      </c>
      <c r="E51" s="121">
        <v>200.0</v>
      </c>
      <c r="F51" s="121">
        <v>500.0</v>
      </c>
      <c r="G51" s="121">
        <v>3405.0</v>
      </c>
      <c r="H51" s="122">
        <v>1735.0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4.25" customHeight="1">
      <c r="A52" s="114" t="s">
        <v>747</v>
      </c>
      <c r="B52" s="114" t="s">
        <v>1491</v>
      </c>
      <c r="C52" s="120" t="s">
        <v>1540</v>
      </c>
      <c r="D52" s="121">
        <v>2875.0</v>
      </c>
      <c r="E52" s="121">
        <v>200.0</v>
      </c>
      <c r="F52" s="121">
        <v>500.0</v>
      </c>
      <c r="G52" s="121">
        <v>3575.0</v>
      </c>
      <c r="H52" s="122">
        <v>1935.0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4.25" customHeight="1">
      <c r="A53" s="114" t="s">
        <v>747</v>
      </c>
      <c r="B53" s="114" t="s">
        <v>1491</v>
      </c>
      <c r="C53" s="123" t="s">
        <v>1541</v>
      </c>
      <c r="D53" s="121">
        <v>1760.0</v>
      </c>
      <c r="E53" s="121">
        <v>120.0</v>
      </c>
      <c r="F53" s="121">
        <v>120.0</v>
      </c>
      <c r="G53" s="121">
        <v>2000.0</v>
      </c>
      <c r="H53" s="122">
        <v>1500.0</v>
      </c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4.25" customHeight="1">
      <c r="A54" s="114" t="s">
        <v>747</v>
      </c>
      <c r="B54" s="114" t="s">
        <v>1491</v>
      </c>
      <c r="C54" s="120"/>
      <c r="D54" s="121"/>
      <c r="E54" s="121"/>
      <c r="F54" s="121"/>
      <c r="G54" s="121"/>
      <c r="H54" s="122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4.25" customHeight="1">
      <c r="A55" s="114" t="s">
        <v>747</v>
      </c>
      <c r="B55" s="114" t="s">
        <v>1491</v>
      </c>
      <c r="C55" s="123" t="s">
        <v>1542</v>
      </c>
      <c r="D55" s="121">
        <v>3675.0</v>
      </c>
      <c r="E55" s="121">
        <v>235.0</v>
      </c>
      <c r="F55" s="121">
        <v>590.0</v>
      </c>
      <c r="G55" s="121">
        <v>4500.0</v>
      </c>
      <c r="H55" s="122">
        <v>1500.0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4.25" customHeight="1">
      <c r="A56" s="114" t="s">
        <v>747</v>
      </c>
      <c r="B56" s="114" t="s">
        <v>1491</v>
      </c>
      <c r="C56" s="123" t="s">
        <v>1543</v>
      </c>
      <c r="D56" s="121">
        <v>2470.0</v>
      </c>
      <c r="E56" s="121">
        <v>200.0</v>
      </c>
      <c r="F56" s="121">
        <v>500.0</v>
      </c>
      <c r="G56" s="121">
        <v>3170.0</v>
      </c>
      <c r="H56" s="122">
        <v>1500.0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4.25" customHeight="1">
      <c r="A57" s="114" t="s">
        <v>747</v>
      </c>
      <c r="B57" s="114" t="s">
        <v>1491</v>
      </c>
      <c r="C57" s="120" t="s">
        <v>1544</v>
      </c>
      <c r="D57" s="121">
        <v>2820.0</v>
      </c>
      <c r="E57" s="121">
        <v>150.0</v>
      </c>
      <c r="F57" s="121">
        <v>500.0</v>
      </c>
      <c r="G57" s="121">
        <v>3470.0</v>
      </c>
      <c r="H57" s="122">
        <v>1470.0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4.25" customHeight="1">
      <c r="A58" s="114" t="s">
        <v>747</v>
      </c>
      <c r="B58" s="114" t="s">
        <v>1491</v>
      </c>
      <c r="C58" s="123" t="s">
        <v>1545</v>
      </c>
      <c r="D58" s="121">
        <v>1970.0</v>
      </c>
      <c r="E58" s="121">
        <v>150.0</v>
      </c>
      <c r="F58" s="121">
        <v>180.0</v>
      </c>
      <c r="G58" s="121">
        <v>2300.0</v>
      </c>
      <c r="H58" s="122">
        <v>1500.0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4.25" customHeight="1">
      <c r="A59" s="114" t="s">
        <v>747</v>
      </c>
      <c r="B59" s="114" t="s">
        <v>1491</v>
      </c>
      <c r="C59" s="120" t="s">
        <v>1546</v>
      </c>
      <c r="D59" s="121">
        <v>4445.0</v>
      </c>
      <c r="E59" s="121">
        <v>155.0</v>
      </c>
      <c r="F59" s="121">
        <v>400.0</v>
      </c>
      <c r="G59" s="121">
        <v>5000.0</v>
      </c>
      <c r="H59" s="122">
        <v>0.0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4.25" customHeight="1">
      <c r="A60" s="114" t="s">
        <v>747</v>
      </c>
      <c r="B60" s="114" t="s">
        <v>1491</v>
      </c>
      <c r="C60" s="120" t="s">
        <v>1547</v>
      </c>
      <c r="D60" s="121">
        <v>3255.0</v>
      </c>
      <c r="E60" s="121">
        <v>350.0</v>
      </c>
      <c r="F60" s="121">
        <v>1000.0</v>
      </c>
      <c r="G60" s="121">
        <v>4605.0</v>
      </c>
      <c r="H60" s="122">
        <v>1105.0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4.25" customHeight="1">
      <c r="A61" s="114" t="s">
        <v>747</v>
      </c>
      <c r="B61" s="114" t="s">
        <v>1491</v>
      </c>
      <c r="C61" s="120" t="s">
        <v>1548</v>
      </c>
      <c r="D61" s="121">
        <v>3175.0</v>
      </c>
      <c r="E61" s="121">
        <v>300.0</v>
      </c>
      <c r="F61" s="121">
        <v>600.0</v>
      </c>
      <c r="G61" s="121">
        <v>4075.0</v>
      </c>
      <c r="H61" s="122">
        <v>1575.0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4.25" customHeight="1">
      <c r="A62" s="114" t="s">
        <v>747</v>
      </c>
      <c r="B62" s="114" t="s">
        <v>1491</v>
      </c>
      <c r="C62" s="123" t="s">
        <v>1549</v>
      </c>
      <c r="D62" s="121">
        <v>2055.0</v>
      </c>
      <c r="E62" s="121">
        <v>70.0</v>
      </c>
      <c r="F62" s="121">
        <v>175.0</v>
      </c>
      <c r="G62" s="121">
        <v>2300.0</v>
      </c>
      <c r="H62" s="122">
        <v>1500.0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4.25" customHeight="1">
      <c r="A63" s="114" t="s">
        <v>747</v>
      </c>
      <c r="B63" s="114" t="s">
        <v>1491</v>
      </c>
      <c r="C63" s="123" t="s">
        <v>1550</v>
      </c>
      <c r="D63" s="121">
        <v>4040.0</v>
      </c>
      <c r="E63" s="121">
        <v>500.0</v>
      </c>
      <c r="F63" s="121">
        <v>700.0</v>
      </c>
      <c r="G63" s="121">
        <v>5240.0</v>
      </c>
      <c r="H63" s="122">
        <v>2615.0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4.25" customHeight="1">
      <c r="A64" s="114" t="s">
        <v>747</v>
      </c>
      <c r="B64" s="114" t="s">
        <v>1491</v>
      </c>
      <c r="C64" s="120" t="s">
        <v>1551</v>
      </c>
      <c r="D64" s="121">
        <v>4055.0</v>
      </c>
      <c r="E64" s="121">
        <v>330.0</v>
      </c>
      <c r="F64" s="121">
        <v>615.0</v>
      </c>
      <c r="G64" s="121">
        <v>5000.0</v>
      </c>
      <c r="H64" s="122">
        <v>0.0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4.25" customHeight="1">
      <c r="A65" s="114" t="s">
        <v>747</v>
      </c>
      <c r="B65" s="114" t="s">
        <v>1491</v>
      </c>
      <c r="C65" s="123" t="s">
        <v>1552</v>
      </c>
      <c r="D65" s="121">
        <v>2500.0</v>
      </c>
      <c r="E65" s="121">
        <v>200.0</v>
      </c>
      <c r="F65" s="121">
        <v>500.0</v>
      </c>
      <c r="G65" s="121">
        <v>3200.0</v>
      </c>
      <c r="H65" s="122">
        <v>1500.0</v>
      </c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4.25" customHeight="1">
      <c r="A66" s="114" t="s">
        <v>747</v>
      </c>
      <c r="B66" s="114" t="s">
        <v>1491</v>
      </c>
      <c r="C66" s="123" t="s">
        <v>1553</v>
      </c>
      <c r="D66" s="121">
        <v>1850.0</v>
      </c>
      <c r="E66" s="121">
        <v>70.0</v>
      </c>
      <c r="F66" s="121">
        <v>180.0</v>
      </c>
      <c r="G66" s="121">
        <v>2100.0</v>
      </c>
      <c r="H66" s="122">
        <v>1500.0</v>
      </c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4.25" customHeight="1">
      <c r="A67" s="114" t="s">
        <v>747</v>
      </c>
      <c r="B67" s="114" t="s">
        <v>1491</v>
      </c>
      <c r="C67" s="123" t="s">
        <v>1554</v>
      </c>
      <c r="D67" s="121">
        <v>2180.0</v>
      </c>
      <c r="E67" s="121">
        <v>200.0</v>
      </c>
      <c r="F67" s="121">
        <v>390.0</v>
      </c>
      <c r="G67" s="121">
        <v>2770.0</v>
      </c>
      <c r="H67" s="122">
        <v>1500.0</v>
      </c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4.25" customHeight="1">
      <c r="A68" s="114" t="s">
        <v>747</v>
      </c>
      <c r="B68" s="114" t="s">
        <v>1491</v>
      </c>
      <c r="C68" s="120" t="s">
        <v>1555</v>
      </c>
      <c r="D68" s="121">
        <v>2300.0</v>
      </c>
      <c r="E68" s="121">
        <v>250.0</v>
      </c>
      <c r="F68" s="121">
        <v>460.0</v>
      </c>
      <c r="G68" s="121">
        <v>3010.0</v>
      </c>
      <c r="H68" s="122">
        <v>1410.0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4.25" customHeight="1">
      <c r="A69" s="114" t="s">
        <v>747</v>
      </c>
      <c r="B69" s="114" t="s">
        <v>1491</v>
      </c>
      <c r="C69" s="123" t="s">
        <v>1556</v>
      </c>
      <c r="D69" s="121">
        <v>2500.0</v>
      </c>
      <c r="E69" s="121">
        <v>200.0</v>
      </c>
      <c r="F69" s="121">
        <v>500.0</v>
      </c>
      <c r="G69" s="121">
        <v>3200.0</v>
      </c>
      <c r="H69" s="122">
        <v>1500.0</v>
      </c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4.25" customHeight="1">
      <c r="A70" s="114" t="s">
        <v>747</v>
      </c>
      <c r="B70" s="114" t="s">
        <v>1491</v>
      </c>
      <c r="C70" s="123" t="s">
        <v>1557</v>
      </c>
      <c r="D70" s="121">
        <v>1770.0</v>
      </c>
      <c r="E70" s="121">
        <v>150.0</v>
      </c>
      <c r="F70" s="121">
        <v>180.0</v>
      </c>
      <c r="G70" s="121">
        <v>2100.0</v>
      </c>
      <c r="H70" s="122">
        <v>1500.0</v>
      </c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4.25" customHeight="1">
      <c r="A71" s="114" t="s">
        <v>747</v>
      </c>
      <c r="B71" s="114" t="s">
        <v>1491</v>
      </c>
      <c r="C71" s="123" t="s">
        <v>1558</v>
      </c>
      <c r="D71" s="121">
        <v>2070.0</v>
      </c>
      <c r="E71" s="121">
        <v>200.0</v>
      </c>
      <c r="F71" s="121">
        <v>280.0</v>
      </c>
      <c r="G71" s="121">
        <v>2550.0</v>
      </c>
      <c r="H71" s="122">
        <v>1500.0</v>
      </c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4.25" customHeight="1">
      <c r="A72" s="114" t="s">
        <v>747</v>
      </c>
      <c r="B72" s="114" t="s">
        <v>1491</v>
      </c>
      <c r="C72" s="123" t="s">
        <v>1559</v>
      </c>
      <c r="D72" s="121">
        <v>3540.0</v>
      </c>
      <c r="E72" s="121">
        <v>200.0</v>
      </c>
      <c r="F72" s="121">
        <v>500.0</v>
      </c>
      <c r="G72" s="121">
        <v>4240.0</v>
      </c>
      <c r="H72" s="122">
        <v>2540.0</v>
      </c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4.25" customHeight="1">
      <c r="A73" s="114" t="s">
        <v>747</v>
      </c>
      <c r="B73" s="114" t="s">
        <v>1491</v>
      </c>
      <c r="C73" s="123" t="s">
        <v>1560</v>
      </c>
      <c r="D73" s="121">
        <v>3220.0</v>
      </c>
      <c r="E73" s="121">
        <v>150.0</v>
      </c>
      <c r="F73" s="121">
        <v>500.0</v>
      </c>
      <c r="G73" s="121">
        <v>3870.0</v>
      </c>
      <c r="H73" s="122">
        <v>2540.0</v>
      </c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4.25" customHeight="1">
      <c r="A74" s="114" t="s">
        <v>747</v>
      </c>
      <c r="B74" s="114" t="s">
        <v>1491</v>
      </c>
      <c r="C74" s="120" t="s">
        <v>1561</v>
      </c>
      <c r="D74" s="121">
        <v>2705.0</v>
      </c>
      <c r="E74" s="121">
        <v>200.0</v>
      </c>
      <c r="F74" s="121">
        <v>500.0</v>
      </c>
      <c r="G74" s="121">
        <v>3405.0</v>
      </c>
      <c r="H74" s="122">
        <v>1735.0</v>
      </c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4.25" customHeight="1">
      <c r="A75" s="114" t="s">
        <v>747</v>
      </c>
      <c r="B75" s="114" t="s">
        <v>1491</v>
      </c>
      <c r="C75" s="123" t="s">
        <v>1562</v>
      </c>
      <c r="D75" s="121">
        <v>2070.0</v>
      </c>
      <c r="E75" s="121">
        <v>200.0</v>
      </c>
      <c r="F75" s="121">
        <v>280.0</v>
      </c>
      <c r="G75" s="121">
        <v>2550.0</v>
      </c>
      <c r="H75" s="122">
        <v>1500.0</v>
      </c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4.25" customHeight="1">
      <c r="A76" s="114" t="s">
        <v>747</v>
      </c>
      <c r="B76" s="114" t="s">
        <v>1491</v>
      </c>
      <c r="C76" s="120" t="s">
        <v>1563</v>
      </c>
      <c r="D76" s="121">
        <v>2820.0</v>
      </c>
      <c r="E76" s="121">
        <v>150.0</v>
      </c>
      <c r="F76" s="121">
        <v>500.0</v>
      </c>
      <c r="G76" s="121">
        <v>3470.0</v>
      </c>
      <c r="H76" s="122">
        <v>1470.0</v>
      </c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4.25" customHeight="1">
      <c r="A77" s="114" t="s">
        <v>747</v>
      </c>
      <c r="B77" s="114" t="s">
        <v>1491</v>
      </c>
      <c r="C77" s="123" t="s">
        <v>1564</v>
      </c>
      <c r="D77" s="121">
        <v>2500.0</v>
      </c>
      <c r="E77" s="121">
        <v>200.0</v>
      </c>
      <c r="F77" s="121">
        <v>500.0</v>
      </c>
      <c r="G77" s="121">
        <v>3200.0</v>
      </c>
      <c r="H77" s="122">
        <v>1500.0</v>
      </c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4.25" customHeight="1">
      <c r="A78" s="114" t="s">
        <v>747</v>
      </c>
      <c r="B78" s="114" t="s">
        <v>1491</v>
      </c>
      <c r="C78" s="123" t="s">
        <v>1565</v>
      </c>
      <c r="D78" s="121">
        <v>14700.0</v>
      </c>
      <c r="E78" s="121">
        <v>2950.0</v>
      </c>
      <c r="F78" s="121">
        <v>7350.0</v>
      </c>
      <c r="G78" s="121">
        <v>25000.0</v>
      </c>
      <c r="H78" s="122">
        <v>0.0</v>
      </c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4.25" customHeight="1">
      <c r="A79" s="114" t="s">
        <v>747</v>
      </c>
      <c r="B79" s="114" t="s">
        <v>1491</v>
      </c>
      <c r="C79" s="123" t="s">
        <v>1566</v>
      </c>
      <c r="D79" s="121">
        <v>1760.0</v>
      </c>
      <c r="E79" s="121">
        <v>120.0</v>
      </c>
      <c r="F79" s="121">
        <v>120.0</v>
      </c>
      <c r="G79" s="121">
        <v>2000.0</v>
      </c>
      <c r="H79" s="122">
        <v>1500.0</v>
      </c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4.25" customHeight="1">
      <c r="A80" s="114" t="s">
        <v>747</v>
      </c>
      <c r="B80" s="114" t="s">
        <v>1491</v>
      </c>
      <c r="C80" s="120" t="s">
        <v>1567</v>
      </c>
      <c r="D80" s="121">
        <v>4445.0</v>
      </c>
      <c r="E80" s="121">
        <v>155.0</v>
      </c>
      <c r="F80" s="121">
        <v>400.0</v>
      </c>
      <c r="G80" s="121">
        <v>5000.0</v>
      </c>
      <c r="H80" s="122">
        <v>0.0</v>
      </c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4.25" customHeight="1">
      <c r="A81" s="114" t="s">
        <v>747</v>
      </c>
      <c r="B81" s="114" t="s">
        <v>1491</v>
      </c>
      <c r="C81" s="120" t="s">
        <v>1568</v>
      </c>
      <c r="D81" s="121">
        <v>3175.0</v>
      </c>
      <c r="E81" s="121">
        <v>300.0</v>
      </c>
      <c r="F81" s="121">
        <v>600.0</v>
      </c>
      <c r="G81" s="121">
        <v>4075.0</v>
      </c>
      <c r="H81" s="122">
        <v>1575.0</v>
      </c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4.25" customHeight="1">
      <c r="A82" s="114" t="s">
        <v>747</v>
      </c>
      <c r="B82" s="114" t="s">
        <v>1491</v>
      </c>
      <c r="C82" s="120" t="s">
        <v>1569</v>
      </c>
      <c r="D82" s="121">
        <v>5000.0</v>
      </c>
      <c r="E82" s="121">
        <v>800.0</v>
      </c>
      <c r="F82" s="121">
        <v>1200.0</v>
      </c>
      <c r="G82" s="121">
        <v>7000.0</v>
      </c>
      <c r="H82" s="122">
        <v>0.0</v>
      </c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4.25" customHeight="1">
      <c r="A83" s="114" t="s">
        <v>747</v>
      </c>
      <c r="B83" s="114" t="s">
        <v>1491</v>
      </c>
      <c r="C83" s="123" t="s">
        <v>1570</v>
      </c>
      <c r="D83" s="121">
        <v>27500.0</v>
      </c>
      <c r="E83" s="121">
        <v>3500.0</v>
      </c>
      <c r="F83" s="121">
        <v>3000.0</v>
      </c>
      <c r="G83" s="121">
        <v>34000.0</v>
      </c>
      <c r="H83" s="122">
        <v>0.0</v>
      </c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4.25" customHeight="1">
      <c r="A84" s="114" t="s">
        <v>747</v>
      </c>
      <c r="B84" s="114" t="s">
        <v>1491</v>
      </c>
      <c r="C84" s="123" t="s">
        <v>1571</v>
      </c>
      <c r="D84" s="121">
        <v>1754.0</v>
      </c>
      <c r="E84" s="121">
        <v>116.0</v>
      </c>
      <c r="F84" s="121">
        <v>230.0</v>
      </c>
      <c r="G84" s="121">
        <v>2100.0</v>
      </c>
      <c r="H84" s="122">
        <v>1500.0</v>
      </c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4.25" customHeight="1">
      <c r="A85" s="114" t="s">
        <v>747</v>
      </c>
      <c r="B85" s="114" t="s">
        <v>1491</v>
      </c>
      <c r="C85" s="123" t="s">
        <v>1572</v>
      </c>
      <c r="D85" s="121">
        <v>3540.0</v>
      </c>
      <c r="E85" s="121">
        <v>200.0</v>
      </c>
      <c r="F85" s="121">
        <v>500.0</v>
      </c>
      <c r="G85" s="121">
        <v>4240.0</v>
      </c>
      <c r="H85" s="122">
        <v>2540.0</v>
      </c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4.25" customHeight="1">
      <c r="A86" s="114" t="s">
        <v>747</v>
      </c>
      <c r="B86" s="114" t="s">
        <v>1491</v>
      </c>
      <c r="C86" s="123" t="s">
        <v>1573</v>
      </c>
      <c r="D86" s="121">
        <v>3540.0</v>
      </c>
      <c r="E86" s="121">
        <v>200.0</v>
      </c>
      <c r="F86" s="121">
        <v>500.0</v>
      </c>
      <c r="G86" s="121">
        <v>4240.0</v>
      </c>
      <c r="H86" s="122">
        <v>2540.0</v>
      </c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4.25" customHeight="1">
      <c r="A87" s="114" t="s">
        <v>747</v>
      </c>
      <c r="B87" s="114" t="s">
        <v>1491</v>
      </c>
      <c r="C87" s="123" t="s">
        <v>1574</v>
      </c>
      <c r="D87" s="121">
        <v>1770.0</v>
      </c>
      <c r="E87" s="121">
        <v>150.0</v>
      </c>
      <c r="F87" s="121">
        <v>180.0</v>
      </c>
      <c r="G87" s="121">
        <v>2100.0</v>
      </c>
      <c r="H87" s="122">
        <v>1500.0</v>
      </c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4.25" customHeight="1">
      <c r="A88" s="114" t="s">
        <v>747</v>
      </c>
      <c r="B88" s="114" t="s">
        <v>1491</v>
      </c>
      <c r="C88" s="123" t="s">
        <v>1575</v>
      </c>
      <c r="D88" s="121">
        <v>1754.0</v>
      </c>
      <c r="E88" s="121">
        <v>116.0</v>
      </c>
      <c r="F88" s="121">
        <v>230.0</v>
      </c>
      <c r="G88" s="121">
        <v>2100.0</v>
      </c>
      <c r="H88" s="122">
        <v>1500.0</v>
      </c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4.25" customHeight="1">
      <c r="A89" s="114" t="s">
        <v>747</v>
      </c>
      <c r="B89" s="114" t="s">
        <v>1491</v>
      </c>
      <c r="C89" s="123" t="s">
        <v>1576</v>
      </c>
      <c r="D89" s="121">
        <v>1970.0</v>
      </c>
      <c r="E89" s="121">
        <v>150.0</v>
      </c>
      <c r="F89" s="121">
        <v>180.0</v>
      </c>
      <c r="G89" s="121">
        <v>2300.0</v>
      </c>
      <c r="H89" s="122">
        <v>1500.0</v>
      </c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4.25" customHeight="1">
      <c r="A90" s="114" t="s">
        <v>747</v>
      </c>
      <c r="B90" s="114" t="s">
        <v>1491</v>
      </c>
      <c r="C90" s="123" t="s">
        <v>1577</v>
      </c>
      <c r="D90" s="121">
        <v>1770.0</v>
      </c>
      <c r="E90" s="121">
        <v>150.0</v>
      </c>
      <c r="F90" s="121">
        <v>180.0</v>
      </c>
      <c r="G90" s="121">
        <v>2100.0</v>
      </c>
      <c r="H90" s="122">
        <v>1500.0</v>
      </c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4.25" customHeight="1">
      <c r="A91" s="114" t="s">
        <v>747</v>
      </c>
      <c r="B91" s="114" t="s">
        <v>1491</v>
      </c>
      <c r="C91" s="123" t="s">
        <v>1578</v>
      </c>
      <c r="D91" s="121">
        <v>240.0</v>
      </c>
      <c r="E91" s="121">
        <v>180.0</v>
      </c>
      <c r="F91" s="121">
        <v>180.0</v>
      </c>
      <c r="G91" s="121">
        <v>600.0</v>
      </c>
      <c r="H91" s="122">
        <v>0.0</v>
      </c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4.25" customHeight="1">
      <c r="A92" s="114" t="s">
        <v>747</v>
      </c>
      <c r="B92" s="114" t="s">
        <v>1491</v>
      </c>
      <c r="C92" s="120" t="s">
        <v>1579</v>
      </c>
      <c r="D92" s="121">
        <v>440.0</v>
      </c>
      <c r="E92" s="121">
        <v>180.0</v>
      </c>
      <c r="F92" s="121">
        <v>180.0</v>
      </c>
      <c r="G92" s="121">
        <v>800.0</v>
      </c>
      <c r="H92" s="122">
        <v>0.0</v>
      </c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4.25" customHeight="1">
      <c r="A93" s="114" t="s">
        <v>747</v>
      </c>
      <c r="B93" s="114" t="s">
        <v>1491</v>
      </c>
      <c r="C93" s="120" t="s">
        <v>1580</v>
      </c>
      <c r="D93" s="121">
        <v>440.0</v>
      </c>
      <c r="E93" s="121">
        <v>180.0</v>
      </c>
      <c r="F93" s="121">
        <v>180.0</v>
      </c>
      <c r="G93" s="121">
        <v>800.0</v>
      </c>
      <c r="H93" s="122">
        <v>0.0</v>
      </c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4.25" customHeight="1">
      <c r="A94" s="114" t="s">
        <v>747</v>
      </c>
      <c r="B94" s="114" t="s">
        <v>1491</v>
      </c>
      <c r="C94" s="120" t="s">
        <v>1581</v>
      </c>
      <c r="D94" s="121">
        <v>440.0</v>
      </c>
      <c r="E94" s="121">
        <v>180.0</v>
      </c>
      <c r="F94" s="121">
        <v>180.0</v>
      </c>
      <c r="G94" s="121">
        <v>800.0</v>
      </c>
      <c r="H94" s="122">
        <v>0.0</v>
      </c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4.25" customHeight="1">
      <c r="A95" s="114"/>
      <c r="B95" s="114"/>
      <c r="C95" s="120" t="s">
        <v>1582</v>
      </c>
      <c r="D95" s="121">
        <v>1520.0</v>
      </c>
      <c r="E95" s="121">
        <v>200.0</v>
      </c>
      <c r="F95" s="121">
        <v>280.0</v>
      </c>
      <c r="G95" s="121">
        <v>2000.0</v>
      </c>
      <c r="H95" s="122">
        <v>0.0</v>
      </c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4.25" customHeight="1">
      <c r="A96" s="114" t="s">
        <v>747</v>
      </c>
      <c r="B96" s="114" t="s">
        <v>1491</v>
      </c>
      <c r="C96" s="120" t="s">
        <v>1583</v>
      </c>
      <c r="D96" s="121">
        <v>440.0</v>
      </c>
      <c r="E96" s="121">
        <v>180.0</v>
      </c>
      <c r="F96" s="121">
        <v>180.0</v>
      </c>
      <c r="G96" s="121">
        <v>800.0</v>
      </c>
      <c r="H96" s="122">
        <v>0.0</v>
      </c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4.25" customHeight="1">
      <c r="A97" s="114" t="s">
        <v>747</v>
      </c>
      <c r="B97" s="114" t="s">
        <v>1491</v>
      </c>
      <c r="C97" s="120" t="s">
        <v>1584</v>
      </c>
      <c r="D97" s="121">
        <v>440.0</v>
      </c>
      <c r="E97" s="121">
        <v>180.0</v>
      </c>
      <c r="F97" s="121">
        <v>180.0</v>
      </c>
      <c r="G97" s="121">
        <v>800.0</v>
      </c>
      <c r="H97" s="122">
        <v>0.0</v>
      </c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4.25" customHeight="1">
      <c r="A98" s="114" t="s">
        <v>747</v>
      </c>
      <c r="B98" s="114" t="s">
        <v>1491</v>
      </c>
      <c r="C98" s="120" t="s">
        <v>1585</v>
      </c>
      <c r="D98" s="121">
        <v>440.0</v>
      </c>
      <c r="E98" s="121">
        <v>180.0</v>
      </c>
      <c r="F98" s="121">
        <v>180.0</v>
      </c>
      <c r="G98" s="121">
        <v>800.0</v>
      </c>
      <c r="H98" s="122">
        <v>0.0</v>
      </c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4.25" customHeight="1">
      <c r="A99" s="114"/>
      <c r="B99" s="114"/>
      <c r="C99" s="120" t="s">
        <v>1586</v>
      </c>
      <c r="D99" s="121">
        <v>1520.0</v>
      </c>
      <c r="E99" s="121">
        <v>200.0</v>
      </c>
      <c r="F99" s="121">
        <v>280.0</v>
      </c>
      <c r="G99" s="121">
        <v>2000.0</v>
      </c>
      <c r="H99" s="122">
        <v>0.0</v>
      </c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4.25" customHeight="1">
      <c r="A100" s="114" t="s">
        <v>747</v>
      </c>
      <c r="B100" s="114" t="s">
        <v>1491</v>
      </c>
      <c r="C100" s="120" t="s">
        <v>1587</v>
      </c>
      <c r="D100" s="121">
        <v>14700.0</v>
      </c>
      <c r="E100" s="121">
        <v>2950.0</v>
      </c>
      <c r="F100" s="121">
        <v>7350.0</v>
      </c>
      <c r="G100" s="121">
        <v>25000.0</v>
      </c>
      <c r="H100" s="122">
        <v>0.0</v>
      </c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4.25" customHeight="1">
      <c r="A101" s="114" t="s">
        <v>747</v>
      </c>
      <c r="B101" s="114" t="s">
        <v>1491</v>
      </c>
      <c r="C101" s="120" t="s">
        <v>1588</v>
      </c>
      <c r="D101" s="121">
        <v>1520.0</v>
      </c>
      <c r="E101" s="121">
        <v>200.0</v>
      </c>
      <c r="F101" s="121">
        <v>280.0</v>
      </c>
      <c r="G101" s="121">
        <v>2000.0</v>
      </c>
      <c r="H101" s="122">
        <v>0.0</v>
      </c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4.25" customHeight="1">
      <c r="A102" s="114" t="s">
        <v>747</v>
      </c>
      <c r="B102" s="114" t="s">
        <v>1491</v>
      </c>
      <c r="C102" s="123" t="s">
        <v>1589</v>
      </c>
      <c r="D102" s="121">
        <v>1940.0</v>
      </c>
      <c r="E102" s="121">
        <v>180.0</v>
      </c>
      <c r="F102" s="121">
        <v>180.0</v>
      </c>
      <c r="G102" s="121">
        <v>2300.0</v>
      </c>
      <c r="H102" s="122">
        <v>1500.0</v>
      </c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4.25" customHeight="1">
      <c r="A103" s="114" t="s">
        <v>747</v>
      </c>
      <c r="B103" s="114" t="s">
        <v>1491</v>
      </c>
      <c r="C103" s="120" t="s">
        <v>1590</v>
      </c>
      <c r="D103" s="121">
        <v>440.0</v>
      </c>
      <c r="E103" s="121">
        <v>180.0</v>
      </c>
      <c r="F103" s="121">
        <v>180.0</v>
      </c>
      <c r="G103" s="121">
        <v>800.0</v>
      </c>
      <c r="H103" s="122">
        <v>0.0</v>
      </c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4.25" customHeight="1">
      <c r="A104" s="114" t="s">
        <v>747</v>
      </c>
      <c r="B104" s="114" t="s">
        <v>1491</v>
      </c>
      <c r="C104" s="120" t="s">
        <v>1591</v>
      </c>
      <c r="D104" s="121">
        <v>1520.0</v>
      </c>
      <c r="E104" s="121">
        <v>200.0</v>
      </c>
      <c r="F104" s="121">
        <v>280.0</v>
      </c>
      <c r="G104" s="121">
        <v>2000.0</v>
      </c>
      <c r="H104" s="122">
        <v>0.0</v>
      </c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4.25" customHeight="1">
      <c r="A105" s="114" t="s">
        <v>747</v>
      </c>
      <c r="B105" s="114" t="s">
        <v>1491</v>
      </c>
      <c r="C105" s="120" t="s">
        <v>1592</v>
      </c>
      <c r="D105" s="121">
        <v>1520.0</v>
      </c>
      <c r="E105" s="121">
        <v>200.0</v>
      </c>
      <c r="F105" s="121">
        <v>280.0</v>
      </c>
      <c r="G105" s="121">
        <v>2000.0</v>
      </c>
      <c r="H105" s="122">
        <v>0.0</v>
      </c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4.25" customHeight="1">
      <c r="A106" s="124" t="s">
        <v>747</v>
      </c>
      <c r="B106" s="124" t="s">
        <v>1491</v>
      </c>
      <c r="C106" s="120" t="s">
        <v>1593</v>
      </c>
      <c r="D106" s="121">
        <v>1520.0</v>
      </c>
      <c r="E106" s="121">
        <v>200.0</v>
      </c>
      <c r="F106" s="121">
        <v>280.0</v>
      </c>
      <c r="G106" s="121">
        <v>2000.0</v>
      </c>
      <c r="H106" s="122">
        <v>0.0</v>
      </c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4.25" customHeight="1">
      <c r="A107" s="83"/>
      <c r="B107" s="83"/>
      <c r="C107" s="120" t="s">
        <v>1594</v>
      </c>
      <c r="D107" s="121">
        <v>440.0</v>
      </c>
      <c r="E107" s="121">
        <v>180.0</v>
      </c>
      <c r="F107" s="121">
        <v>180.0</v>
      </c>
      <c r="G107" s="121">
        <v>800.0</v>
      </c>
      <c r="H107" s="122">
        <v>0.0</v>
      </c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4.25" customHeight="1">
      <c r="A108" s="83"/>
      <c r="B108" s="83"/>
      <c r="C108" s="120" t="s">
        <v>1595</v>
      </c>
      <c r="D108" s="121">
        <v>440.0</v>
      </c>
      <c r="E108" s="121">
        <v>180.0</v>
      </c>
      <c r="F108" s="121">
        <v>180.0</v>
      </c>
      <c r="G108" s="121">
        <v>800.0</v>
      </c>
      <c r="H108" s="122">
        <v>0.0</v>
      </c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4.25" customHeight="1">
      <c r="A109" s="83"/>
      <c r="B109" s="83"/>
      <c r="C109" s="120" t="s">
        <v>1596</v>
      </c>
      <c r="D109" s="121">
        <v>440.0</v>
      </c>
      <c r="E109" s="121">
        <v>180.0</v>
      </c>
      <c r="F109" s="121">
        <v>180.0</v>
      </c>
      <c r="G109" s="121">
        <v>800.0</v>
      </c>
      <c r="H109" s="122">
        <v>0.0</v>
      </c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4.25" customHeight="1">
      <c r="A110" s="114" t="s">
        <v>747</v>
      </c>
      <c r="B110" s="114" t="s">
        <v>1491</v>
      </c>
      <c r="C110" s="120" t="s">
        <v>1597</v>
      </c>
      <c r="D110" s="121">
        <v>1520.0</v>
      </c>
      <c r="E110" s="121">
        <v>200.0</v>
      </c>
      <c r="F110" s="121">
        <v>280.0</v>
      </c>
      <c r="G110" s="121">
        <v>2000.0</v>
      </c>
      <c r="H110" s="122">
        <v>0.0</v>
      </c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4.25" customHeight="1">
      <c r="A111" s="114" t="s">
        <v>747</v>
      </c>
      <c r="B111" s="114" t="s">
        <v>1491</v>
      </c>
      <c r="C111" s="120" t="s">
        <v>1598</v>
      </c>
      <c r="D111" s="121">
        <v>440.0</v>
      </c>
      <c r="E111" s="121">
        <v>180.0</v>
      </c>
      <c r="F111" s="121">
        <v>180.0</v>
      </c>
      <c r="G111" s="121">
        <v>800.0</v>
      </c>
      <c r="H111" s="122">
        <v>0.0</v>
      </c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4.25" customHeight="1">
      <c r="A112" s="114" t="s">
        <v>747</v>
      </c>
      <c r="B112" s="114" t="s">
        <v>1491</v>
      </c>
      <c r="C112" s="120" t="s">
        <v>1599</v>
      </c>
      <c r="D112" s="121">
        <v>100.0</v>
      </c>
      <c r="E112" s="121">
        <v>0.0</v>
      </c>
      <c r="F112" s="121">
        <v>0.0</v>
      </c>
      <c r="G112" s="121">
        <v>100.0</v>
      </c>
      <c r="H112" s="122">
        <v>0.0</v>
      </c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4.25" customHeight="1">
      <c r="A113" s="114" t="s">
        <v>747</v>
      </c>
      <c r="B113" s="114" t="s">
        <v>1491</v>
      </c>
      <c r="C113" s="123" t="s">
        <v>1600</v>
      </c>
      <c r="D113" s="121">
        <v>1970.0</v>
      </c>
      <c r="E113" s="121">
        <v>150.0</v>
      </c>
      <c r="F113" s="121">
        <v>180.0</v>
      </c>
      <c r="G113" s="121">
        <v>2300.0</v>
      </c>
      <c r="H113" s="122">
        <v>1500.0</v>
      </c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4.25" customHeight="1">
      <c r="A114" s="114" t="s">
        <v>747</v>
      </c>
      <c r="B114" s="114" t="s">
        <v>1491</v>
      </c>
      <c r="C114" s="120" t="s">
        <v>1601</v>
      </c>
      <c r="D114" s="121">
        <v>31500.0</v>
      </c>
      <c r="E114" s="121">
        <v>3500.0</v>
      </c>
      <c r="F114" s="121">
        <v>3000.0</v>
      </c>
      <c r="G114" s="121">
        <v>38000.0</v>
      </c>
      <c r="H114" s="122">
        <v>0.0</v>
      </c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4.25" customHeight="1">
      <c r="A115" s="124" t="s">
        <v>747</v>
      </c>
      <c r="B115" s="124" t="s">
        <v>1491</v>
      </c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4.25" customHeight="1">
      <c r="A116" s="114" t="s">
        <v>747</v>
      </c>
      <c r="B116" s="114" t="s">
        <v>1491</v>
      </c>
      <c r="C116" s="120" t="s">
        <v>1602</v>
      </c>
      <c r="D116" s="121">
        <v>1520.0</v>
      </c>
      <c r="E116" s="121">
        <v>200.0</v>
      </c>
      <c r="F116" s="121">
        <v>280.0</v>
      </c>
      <c r="G116" s="121">
        <v>2000.0</v>
      </c>
      <c r="H116" s="122">
        <v>0.0</v>
      </c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4.25" customHeight="1">
      <c r="A117" s="114" t="s">
        <v>747</v>
      </c>
      <c r="B117" s="114" t="s">
        <v>1491</v>
      </c>
      <c r="C117" s="123" t="s">
        <v>1603</v>
      </c>
      <c r="D117" s="121">
        <v>3250.0</v>
      </c>
      <c r="E117" s="121">
        <v>70.0</v>
      </c>
      <c r="F117" s="121">
        <v>180.0</v>
      </c>
      <c r="G117" s="121">
        <v>3500.0</v>
      </c>
      <c r="H117" s="122">
        <v>1500.0</v>
      </c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4.25" customHeight="1">
      <c r="A118" s="114" t="s">
        <v>747</v>
      </c>
      <c r="B118" s="114" t="s">
        <v>1491</v>
      </c>
      <c r="C118" s="123" t="s">
        <v>1604</v>
      </c>
      <c r="D118" s="121">
        <v>2840.0</v>
      </c>
      <c r="E118" s="121">
        <v>190.0</v>
      </c>
      <c r="F118" s="121">
        <v>470.0</v>
      </c>
      <c r="G118" s="121">
        <v>3500.0</v>
      </c>
      <c r="H118" s="122">
        <v>1500.0</v>
      </c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4.25" customHeight="1">
      <c r="A119" s="114" t="s">
        <v>747</v>
      </c>
      <c r="B119" s="114" t="s">
        <v>1491</v>
      </c>
      <c r="C119" s="123" t="s">
        <v>1605</v>
      </c>
      <c r="D119" s="121">
        <v>2800.0</v>
      </c>
      <c r="E119" s="121">
        <v>200.0</v>
      </c>
      <c r="F119" s="121">
        <v>500.0</v>
      </c>
      <c r="G119" s="121">
        <v>3500.0</v>
      </c>
      <c r="H119" s="122">
        <v>1500.0</v>
      </c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4.25" customHeight="1">
      <c r="A120" s="114" t="s">
        <v>747</v>
      </c>
      <c r="B120" s="114" t="s">
        <v>1491</v>
      </c>
      <c r="C120" s="123" t="s">
        <v>1606</v>
      </c>
      <c r="D120" s="121">
        <v>2500.0</v>
      </c>
      <c r="E120" s="121">
        <v>200.0</v>
      </c>
      <c r="F120" s="121">
        <v>500.0</v>
      </c>
      <c r="G120" s="121">
        <v>3200.0</v>
      </c>
      <c r="H120" s="122">
        <v>1500.0</v>
      </c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4.25" customHeight="1">
      <c r="A121" s="114" t="s">
        <v>747</v>
      </c>
      <c r="B121" s="114" t="s">
        <v>1491</v>
      </c>
      <c r="C121" s="123" t="s">
        <v>1607</v>
      </c>
      <c r="D121" s="121">
        <v>2800.0</v>
      </c>
      <c r="E121" s="121">
        <v>200.0</v>
      </c>
      <c r="F121" s="121">
        <v>500.0</v>
      </c>
      <c r="G121" s="121">
        <v>3500.0</v>
      </c>
      <c r="H121" s="122">
        <v>1500.0</v>
      </c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4.25" customHeight="1">
      <c r="A122" s="114" t="s">
        <v>747</v>
      </c>
      <c r="B122" s="114" t="s">
        <v>1491</v>
      </c>
      <c r="C122" s="120" t="s">
        <v>1608</v>
      </c>
      <c r="D122" s="121">
        <v>2425.0</v>
      </c>
      <c r="E122" s="121">
        <v>200.0</v>
      </c>
      <c r="F122" s="121">
        <v>500.0</v>
      </c>
      <c r="G122" s="121">
        <v>3125.0</v>
      </c>
      <c r="H122" s="122">
        <v>1425.0</v>
      </c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4.25" customHeight="1">
      <c r="A123" s="114" t="s">
        <v>747</v>
      </c>
      <c r="B123" s="114" t="s">
        <v>1491</v>
      </c>
      <c r="C123" s="120" t="s">
        <v>1609</v>
      </c>
      <c r="D123" s="121">
        <v>3175.0</v>
      </c>
      <c r="E123" s="121">
        <v>200.0</v>
      </c>
      <c r="F123" s="121">
        <v>200.0</v>
      </c>
      <c r="G123" s="121">
        <v>3575.0</v>
      </c>
      <c r="H123" s="122">
        <v>1575.0</v>
      </c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4.25" customHeight="1">
      <c r="A124" s="114" t="s">
        <v>747</v>
      </c>
      <c r="B124" s="114" t="s">
        <v>1491</v>
      </c>
      <c r="C124" s="120" t="s">
        <v>1610</v>
      </c>
      <c r="D124" s="121">
        <v>2825.0</v>
      </c>
      <c r="E124" s="121">
        <v>100.0</v>
      </c>
      <c r="F124" s="121">
        <v>200.0</v>
      </c>
      <c r="G124" s="121">
        <v>3125.0</v>
      </c>
      <c r="H124" s="122">
        <v>2225.0</v>
      </c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4.25" customHeight="1">
      <c r="A125" s="114" t="s">
        <v>747</v>
      </c>
      <c r="B125" s="114" t="s">
        <v>1491</v>
      </c>
      <c r="C125" s="120" t="s">
        <v>1611</v>
      </c>
      <c r="D125" s="121">
        <v>2380.0</v>
      </c>
      <c r="E125" s="121">
        <v>200.0</v>
      </c>
      <c r="F125" s="121">
        <v>500.0</v>
      </c>
      <c r="G125" s="121">
        <v>3080.0</v>
      </c>
      <c r="H125" s="122">
        <v>1530.0</v>
      </c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4.25" customHeight="1">
      <c r="A126" s="114" t="s">
        <v>747</v>
      </c>
      <c r="B126" s="114" t="s">
        <v>1491</v>
      </c>
      <c r="C126" s="123" t="s">
        <v>1612</v>
      </c>
      <c r="D126" s="121">
        <v>2030.0</v>
      </c>
      <c r="E126" s="121">
        <v>120.0</v>
      </c>
      <c r="F126" s="121">
        <v>300.0</v>
      </c>
      <c r="G126" s="121">
        <v>2450.0</v>
      </c>
      <c r="H126" s="122">
        <v>1500.0</v>
      </c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4.25" customHeight="1">
      <c r="A127" s="114" t="s">
        <v>747</v>
      </c>
      <c r="B127" s="114" t="s">
        <v>1491</v>
      </c>
      <c r="C127" s="120" t="s">
        <v>1613</v>
      </c>
      <c r="D127" s="121">
        <v>2860.0</v>
      </c>
      <c r="E127" s="121">
        <v>340.0</v>
      </c>
      <c r="F127" s="121">
        <v>280.0</v>
      </c>
      <c r="G127" s="121">
        <v>3480.0</v>
      </c>
      <c r="H127" s="122">
        <v>980.0</v>
      </c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4.25" customHeight="1">
      <c r="A128" s="114" t="s">
        <v>747</v>
      </c>
      <c r="B128" s="114" t="s">
        <v>1491</v>
      </c>
      <c r="C128" s="123" t="s">
        <v>1614</v>
      </c>
      <c r="D128" s="121">
        <v>2500.0</v>
      </c>
      <c r="E128" s="121">
        <v>200.0</v>
      </c>
      <c r="F128" s="121">
        <v>500.0</v>
      </c>
      <c r="G128" s="121">
        <v>3200.0</v>
      </c>
      <c r="H128" s="122">
        <v>1500.0</v>
      </c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4.25" customHeight="1">
      <c r="A129" s="114" t="s">
        <v>747</v>
      </c>
      <c r="B129" s="114" t="s">
        <v>1491</v>
      </c>
      <c r="C129" s="123" t="s">
        <v>1615</v>
      </c>
      <c r="D129" s="121">
        <v>1930.0</v>
      </c>
      <c r="E129" s="121">
        <v>90.0</v>
      </c>
      <c r="F129" s="121">
        <v>220.0</v>
      </c>
      <c r="G129" s="121">
        <v>2240.0</v>
      </c>
      <c r="H129" s="122">
        <v>1500.0</v>
      </c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4.25" customHeight="1">
      <c r="A130" s="114" t="s">
        <v>747</v>
      </c>
      <c r="B130" s="114" t="s">
        <v>1491</v>
      </c>
      <c r="C130" s="120" t="s">
        <v>1616</v>
      </c>
      <c r="D130" s="121">
        <v>2770.0</v>
      </c>
      <c r="E130" s="121">
        <v>120.0</v>
      </c>
      <c r="F130" s="121">
        <v>300.0</v>
      </c>
      <c r="G130" s="121">
        <v>3190.0</v>
      </c>
      <c r="H130" s="122">
        <v>1490.0</v>
      </c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4.25" customHeight="1">
      <c r="A131" s="114" t="s">
        <v>747</v>
      </c>
      <c r="B131" s="114" t="s">
        <v>1491</v>
      </c>
      <c r="C131" s="123" t="s">
        <v>1617</v>
      </c>
      <c r="D131" s="121">
        <v>2500.0</v>
      </c>
      <c r="E131" s="121">
        <v>200.0</v>
      </c>
      <c r="F131" s="121">
        <v>500.0</v>
      </c>
      <c r="G131" s="121">
        <v>3200.0</v>
      </c>
      <c r="H131" s="122">
        <v>1500.0</v>
      </c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4.25" customHeight="1">
      <c r="A132" s="114" t="s">
        <v>747</v>
      </c>
      <c r="B132" s="114" t="s">
        <v>1491</v>
      </c>
      <c r="C132" s="123" t="s">
        <v>1618</v>
      </c>
      <c r="D132" s="121">
        <v>1930.0</v>
      </c>
      <c r="E132" s="121">
        <v>90.0</v>
      </c>
      <c r="F132" s="121">
        <v>220.0</v>
      </c>
      <c r="G132" s="121">
        <v>2240.0</v>
      </c>
      <c r="H132" s="122">
        <v>1500.0</v>
      </c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4.25" customHeight="1">
      <c r="A133" s="114" t="s">
        <v>747</v>
      </c>
      <c r="B133" s="114" t="s">
        <v>1491</v>
      </c>
      <c r="C133" s="120" t="s">
        <v>1619</v>
      </c>
      <c r="D133" s="121">
        <v>2250.0</v>
      </c>
      <c r="E133" s="121">
        <v>90.0</v>
      </c>
      <c r="F133" s="121">
        <v>220.0</v>
      </c>
      <c r="G133" s="121">
        <v>2560.0</v>
      </c>
      <c r="H133" s="122">
        <v>1820.0</v>
      </c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4.25" customHeight="1">
      <c r="A134" s="114" t="s">
        <v>747</v>
      </c>
      <c r="B134" s="114" t="s">
        <v>1491</v>
      </c>
      <c r="C134" s="123" t="s">
        <v>1620</v>
      </c>
      <c r="D134" s="121">
        <v>2500.0</v>
      </c>
      <c r="E134" s="121">
        <v>200.0</v>
      </c>
      <c r="F134" s="121">
        <v>500.0</v>
      </c>
      <c r="G134" s="121">
        <v>3200.0</v>
      </c>
      <c r="H134" s="122">
        <v>1500.0</v>
      </c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4.25" customHeight="1">
      <c r="A135" s="114" t="s">
        <v>747</v>
      </c>
      <c r="B135" s="114" t="s">
        <v>1491</v>
      </c>
      <c r="C135" s="120" t="s">
        <v>1621</v>
      </c>
      <c r="D135" s="121">
        <v>2805.0</v>
      </c>
      <c r="E135" s="121">
        <v>140.0</v>
      </c>
      <c r="F135" s="121">
        <v>250.0</v>
      </c>
      <c r="G135" s="121">
        <v>3195.0</v>
      </c>
      <c r="H135" s="122">
        <v>1295.0</v>
      </c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4.25" customHeight="1">
      <c r="A136" s="114" t="s">
        <v>747</v>
      </c>
      <c r="B136" s="114" t="s">
        <v>1491</v>
      </c>
      <c r="C136" s="123" t="s">
        <v>1622</v>
      </c>
      <c r="D136" s="121">
        <v>2030.0</v>
      </c>
      <c r="E136" s="121">
        <v>120.0</v>
      </c>
      <c r="F136" s="121">
        <v>300.0</v>
      </c>
      <c r="G136" s="121">
        <v>2450.0</v>
      </c>
      <c r="H136" s="122">
        <v>1500.0</v>
      </c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4.25" customHeight="1">
      <c r="A137" s="114" t="s">
        <v>747</v>
      </c>
      <c r="B137" s="114" t="s">
        <v>1491</v>
      </c>
      <c r="C137" s="120" t="s">
        <v>1623</v>
      </c>
      <c r="D137" s="121">
        <v>2500.0</v>
      </c>
      <c r="E137" s="121">
        <v>200.0</v>
      </c>
      <c r="F137" s="121">
        <v>500.0</v>
      </c>
      <c r="G137" s="121">
        <v>3200.0</v>
      </c>
      <c r="H137" s="122">
        <v>1500.0</v>
      </c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4.25" customHeight="1">
      <c r="A138" s="114" t="s">
        <v>747</v>
      </c>
      <c r="B138" s="114" t="s">
        <v>1491</v>
      </c>
      <c r="C138" s="123" t="s">
        <v>1624</v>
      </c>
      <c r="D138" s="121">
        <v>2030.0</v>
      </c>
      <c r="E138" s="121">
        <v>120.0</v>
      </c>
      <c r="F138" s="121">
        <v>300.0</v>
      </c>
      <c r="G138" s="121">
        <v>2450.0</v>
      </c>
      <c r="H138" s="122">
        <v>1500.0</v>
      </c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4.25" customHeight="1">
      <c r="A139" s="114" t="s">
        <v>747</v>
      </c>
      <c r="B139" s="114" t="s">
        <v>1491</v>
      </c>
      <c r="C139" s="120" t="s">
        <v>1625</v>
      </c>
      <c r="D139" s="121">
        <v>2290.0</v>
      </c>
      <c r="E139" s="121">
        <v>100.0</v>
      </c>
      <c r="F139" s="121">
        <v>300.0</v>
      </c>
      <c r="G139" s="121">
        <v>2690.0</v>
      </c>
      <c r="H139" s="122">
        <v>1740.0</v>
      </c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4.25" customHeight="1">
      <c r="A140" s="114" t="s">
        <v>747</v>
      </c>
      <c r="B140" s="114" t="s">
        <v>1491</v>
      </c>
      <c r="C140" s="123" t="s">
        <v>1626</v>
      </c>
      <c r="D140" s="121">
        <v>2350.0</v>
      </c>
      <c r="E140" s="121">
        <v>200.0</v>
      </c>
      <c r="F140" s="121">
        <v>500.0</v>
      </c>
      <c r="G140" s="121">
        <v>3050.0</v>
      </c>
      <c r="H140" s="122">
        <v>1500.0</v>
      </c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4.25" customHeight="1">
      <c r="A141" s="114" t="s">
        <v>747</v>
      </c>
      <c r="B141" s="114" t="s">
        <v>1491</v>
      </c>
      <c r="C141" s="120" t="s">
        <v>1627</v>
      </c>
      <c r="D141" s="121">
        <v>3450.0</v>
      </c>
      <c r="E141" s="121">
        <v>150.0</v>
      </c>
      <c r="F141" s="121">
        <v>400.0</v>
      </c>
      <c r="G141" s="121">
        <v>4000.0</v>
      </c>
      <c r="H141" s="122">
        <v>0.0</v>
      </c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4.25" customHeight="1">
      <c r="A142" s="114" t="s">
        <v>747</v>
      </c>
      <c r="B142" s="114" t="s">
        <v>1491</v>
      </c>
      <c r="C142" s="120" t="s">
        <v>1628</v>
      </c>
      <c r="D142" s="121">
        <v>2655.0</v>
      </c>
      <c r="E142" s="121">
        <v>150.0</v>
      </c>
      <c r="F142" s="121">
        <v>250.0</v>
      </c>
      <c r="G142" s="121">
        <v>3055.0</v>
      </c>
      <c r="H142" s="122">
        <v>1890.0</v>
      </c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4.25" customHeight="1">
      <c r="A143" s="114" t="s">
        <v>747</v>
      </c>
      <c r="B143" s="114" t="s">
        <v>1491</v>
      </c>
      <c r="C143" s="120" t="s">
        <v>1629</v>
      </c>
      <c r="D143" s="121">
        <v>2800.0</v>
      </c>
      <c r="E143" s="121">
        <v>170.0</v>
      </c>
      <c r="F143" s="121">
        <v>550.0</v>
      </c>
      <c r="G143" s="121">
        <v>3520.0</v>
      </c>
      <c r="H143" s="122">
        <v>1520.0</v>
      </c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4.25" customHeight="1">
      <c r="A144" s="114" t="s">
        <v>747</v>
      </c>
      <c r="B144" s="114" t="s">
        <v>1491</v>
      </c>
      <c r="C144" s="120" t="s">
        <v>1630</v>
      </c>
      <c r="D144" s="121">
        <v>2250.0</v>
      </c>
      <c r="E144" s="121">
        <v>90.0</v>
      </c>
      <c r="F144" s="121">
        <v>220.0</v>
      </c>
      <c r="G144" s="121">
        <v>2560.0</v>
      </c>
      <c r="H144" s="122">
        <v>1820.0</v>
      </c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4.25" customHeight="1">
      <c r="A145" s="114" t="s">
        <v>747</v>
      </c>
      <c r="B145" s="114" t="s">
        <v>1491</v>
      </c>
      <c r="C145" s="120" t="s">
        <v>1631</v>
      </c>
      <c r="D145" s="121">
        <v>2740.0</v>
      </c>
      <c r="E145" s="121">
        <v>210.0</v>
      </c>
      <c r="F145" s="121">
        <v>200.0</v>
      </c>
      <c r="G145" s="121">
        <v>3150.0</v>
      </c>
      <c r="H145" s="122">
        <v>1650.0</v>
      </c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4.25" customHeight="1">
      <c r="A146" s="114" t="s">
        <v>747</v>
      </c>
      <c r="B146" s="114" t="s">
        <v>1491</v>
      </c>
      <c r="C146" s="120" t="s">
        <v>1632</v>
      </c>
      <c r="D146" s="121">
        <v>2840.0</v>
      </c>
      <c r="E146" s="121">
        <v>470.0</v>
      </c>
      <c r="F146" s="121">
        <v>1180.0</v>
      </c>
      <c r="G146" s="121">
        <v>4490.0</v>
      </c>
      <c r="H146" s="122">
        <v>1080.0</v>
      </c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4.25" customHeight="1">
      <c r="A147" s="114" t="s">
        <v>747</v>
      </c>
      <c r="B147" s="114" t="s">
        <v>1491</v>
      </c>
      <c r="C147" s="123" t="s">
        <v>1633</v>
      </c>
      <c r="D147" s="121">
        <v>2500.0</v>
      </c>
      <c r="E147" s="121">
        <v>200.0</v>
      </c>
      <c r="F147" s="121">
        <v>500.0</v>
      </c>
      <c r="G147" s="121">
        <v>3200.0</v>
      </c>
      <c r="H147" s="122">
        <v>1500.0</v>
      </c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4.25" customHeight="1">
      <c r="A148" s="114" t="s">
        <v>747</v>
      </c>
      <c r="B148" s="114" t="s">
        <v>1491</v>
      </c>
      <c r="C148" s="120" t="s">
        <v>1634</v>
      </c>
      <c r="D148" s="121">
        <v>2750.0</v>
      </c>
      <c r="E148" s="121">
        <v>260.0</v>
      </c>
      <c r="F148" s="121">
        <v>640.0</v>
      </c>
      <c r="G148" s="121">
        <v>3650.0</v>
      </c>
      <c r="H148" s="122">
        <v>1670.0</v>
      </c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4.25" customHeight="1">
      <c r="A149" s="114" t="s">
        <v>747</v>
      </c>
      <c r="B149" s="114" t="s">
        <v>1491</v>
      </c>
      <c r="C149" s="120" t="s">
        <v>1635</v>
      </c>
      <c r="D149" s="121">
        <v>3600.0</v>
      </c>
      <c r="E149" s="121">
        <v>260.0</v>
      </c>
      <c r="F149" s="121">
        <v>640.0</v>
      </c>
      <c r="G149" s="121">
        <v>4500.0</v>
      </c>
      <c r="H149" s="122">
        <v>0.0</v>
      </c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4.25" customHeight="1">
      <c r="A150" s="114" t="s">
        <v>747</v>
      </c>
      <c r="B150" s="114" t="s">
        <v>1491</v>
      </c>
      <c r="C150" s="120" t="s">
        <v>1636</v>
      </c>
      <c r="D150" s="121">
        <v>1530.0</v>
      </c>
      <c r="E150" s="121">
        <v>200.0</v>
      </c>
      <c r="F150" s="121">
        <v>400.0</v>
      </c>
      <c r="G150" s="121">
        <v>2130.0</v>
      </c>
      <c r="H150" s="122">
        <v>130.0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4.25" customHeight="1">
      <c r="A151" s="114" t="s">
        <v>747</v>
      </c>
      <c r="B151" s="114" t="s">
        <v>1491</v>
      </c>
      <c r="C151" s="123" t="s">
        <v>1637</v>
      </c>
      <c r="D151" s="121">
        <v>5540.0</v>
      </c>
      <c r="E151" s="121">
        <v>300.0</v>
      </c>
      <c r="F151" s="121">
        <v>700.0</v>
      </c>
      <c r="G151" s="121">
        <v>6540.0</v>
      </c>
      <c r="H151" s="122">
        <v>2540.0</v>
      </c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4.25" customHeight="1">
      <c r="A152" s="114" t="s">
        <v>747</v>
      </c>
      <c r="B152" s="114" t="s">
        <v>1491</v>
      </c>
      <c r="C152" s="123" t="s">
        <v>1638</v>
      </c>
      <c r="D152" s="121">
        <v>3090.0</v>
      </c>
      <c r="E152" s="121">
        <v>280.0</v>
      </c>
      <c r="F152" s="121">
        <v>700.0</v>
      </c>
      <c r="G152" s="121">
        <v>4070.0</v>
      </c>
      <c r="H152" s="122">
        <v>1500.0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4.25" customHeight="1">
      <c r="A153" s="114" t="s">
        <v>747</v>
      </c>
      <c r="B153" s="114" t="s">
        <v>1491</v>
      </c>
      <c r="C153" s="123" t="s">
        <v>1639</v>
      </c>
      <c r="D153" s="121">
        <v>2500.0</v>
      </c>
      <c r="E153" s="121">
        <v>200.0</v>
      </c>
      <c r="F153" s="121">
        <v>500.0</v>
      </c>
      <c r="G153" s="121">
        <v>3200.0</v>
      </c>
      <c r="H153" s="122">
        <v>1500.0</v>
      </c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4.25" customHeight="1">
      <c r="A154" s="114" t="s">
        <v>747</v>
      </c>
      <c r="B154" s="114" t="s">
        <v>1491</v>
      </c>
      <c r="C154" s="123" t="s">
        <v>1640</v>
      </c>
      <c r="D154" s="121">
        <v>2500.0</v>
      </c>
      <c r="E154" s="121">
        <v>200.0</v>
      </c>
      <c r="F154" s="121">
        <v>500.0</v>
      </c>
      <c r="G154" s="121">
        <v>3200.0</v>
      </c>
      <c r="H154" s="122">
        <v>1500.0</v>
      </c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4.25" customHeight="1">
      <c r="A155" s="114" t="s">
        <v>747</v>
      </c>
      <c r="B155" s="114" t="s">
        <v>1491</v>
      </c>
      <c r="C155" s="120" t="s">
        <v>1641</v>
      </c>
      <c r="D155" s="121">
        <v>2975.0</v>
      </c>
      <c r="E155" s="121">
        <v>200.0</v>
      </c>
      <c r="F155" s="121">
        <v>400.0</v>
      </c>
      <c r="G155" s="121">
        <v>3575.0</v>
      </c>
      <c r="H155" s="122">
        <v>1575.0</v>
      </c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4.25" customHeight="1">
      <c r="A156" s="114" t="s">
        <v>747</v>
      </c>
      <c r="B156" s="114" t="s">
        <v>1491</v>
      </c>
      <c r="C156" s="120" t="s">
        <v>1642</v>
      </c>
      <c r="D156" s="121">
        <v>1615.0</v>
      </c>
      <c r="E156" s="121">
        <v>200.0</v>
      </c>
      <c r="F156" s="121">
        <v>310.0</v>
      </c>
      <c r="G156" s="121">
        <v>2125.0</v>
      </c>
      <c r="H156" s="122">
        <v>125.0</v>
      </c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4.25" customHeight="1">
      <c r="A157" s="114" t="s">
        <v>747</v>
      </c>
      <c r="B157" s="114" t="s">
        <v>1491</v>
      </c>
      <c r="C157" s="120" t="s">
        <v>1643</v>
      </c>
      <c r="D157" s="121">
        <v>2575.0</v>
      </c>
      <c r="E157" s="121">
        <v>70.0</v>
      </c>
      <c r="F157" s="121">
        <v>175.0</v>
      </c>
      <c r="G157" s="121">
        <v>2820.0</v>
      </c>
      <c r="H157" s="122">
        <v>2045.0</v>
      </c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4.25" customHeight="1">
      <c r="A158" s="114" t="s">
        <v>747</v>
      </c>
      <c r="B158" s="114" t="s">
        <v>1491</v>
      </c>
      <c r="C158" s="120" t="s">
        <v>1644</v>
      </c>
      <c r="D158" s="121">
        <v>2575.0</v>
      </c>
      <c r="E158" s="121">
        <v>70.0</v>
      </c>
      <c r="F158" s="121">
        <v>175.0</v>
      </c>
      <c r="G158" s="121">
        <v>2820.0</v>
      </c>
      <c r="H158" s="122">
        <v>2045.0</v>
      </c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4.25" customHeight="1">
      <c r="A159" s="114" t="s">
        <v>747</v>
      </c>
      <c r="B159" s="114" t="s">
        <v>1491</v>
      </c>
      <c r="C159" s="123" t="s">
        <v>1645</v>
      </c>
      <c r="D159" s="121">
        <v>2210.0</v>
      </c>
      <c r="E159" s="121">
        <v>155.0</v>
      </c>
      <c r="F159" s="121">
        <v>400.0</v>
      </c>
      <c r="G159" s="121">
        <v>2765.0</v>
      </c>
      <c r="H159" s="122">
        <v>1500.0</v>
      </c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4.25" customHeight="1">
      <c r="A160" s="114" t="s">
        <v>747</v>
      </c>
      <c r="B160" s="114" t="s">
        <v>1491</v>
      </c>
      <c r="C160" s="123" t="s">
        <v>1646</v>
      </c>
      <c r="D160" s="121">
        <v>1740.0</v>
      </c>
      <c r="E160" s="121">
        <v>180.0</v>
      </c>
      <c r="F160" s="121">
        <v>180.0</v>
      </c>
      <c r="G160" s="121">
        <v>2100.0</v>
      </c>
      <c r="H160" s="122">
        <v>1500.0</v>
      </c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4.25" customHeight="1">
      <c r="A161" s="114" t="s">
        <v>747</v>
      </c>
      <c r="B161" s="114" t="s">
        <v>1491</v>
      </c>
      <c r="C161" s="120" t="s">
        <v>1647</v>
      </c>
      <c r="D161" s="121">
        <v>3175.0</v>
      </c>
      <c r="E161" s="121">
        <v>100.0</v>
      </c>
      <c r="F161" s="121">
        <v>300.0</v>
      </c>
      <c r="G161" s="121">
        <v>3575.0</v>
      </c>
      <c r="H161" s="122">
        <v>1575.0</v>
      </c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4.25" customHeight="1">
      <c r="A162" s="114" t="s">
        <v>747</v>
      </c>
      <c r="B162" s="114" t="s">
        <v>1491</v>
      </c>
      <c r="C162" s="120" t="s">
        <v>1648</v>
      </c>
      <c r="D162" s="121">
        <v>3190.0</v>
      </c>
      <c r="E162" s="121">
        <v>500.0</v>
      </c>
      <c r="F162" s="121">
        <v>1000.0</v>
      </c>
      <c r="G162" s="121">
        <v>4690.0</v>
      </c>
      <c r="H162" s="122">
        <v>1490.0</v>
      </c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4.25" customHeight="1">
      <c r="A163" s="83" t="s">
        <v>747</v>
      </c>
      <c r="B163" s="83" t="s">
        <v>1491</v>
      </c>
      <c r="C163" s="125" t="s">
        <v>1649</v>
      </c>
      <c r="D163" s="121">
        <v>9900.0</v>
      </c>
      <c r="E163" s="121">
        <v>1700.0</v>
      </c>
      <c r="F163" s="121">
        <v>2400.0</v>
      </c>
      <c r="G163" s="121">
        <v>14000.0</v>
      </c>
      <c r="H163" s="122">
        <v>0.0</v>
      </c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4.25" customHeight="1">
      <c r="A164" s="114" t="s">
        <v>747</v>
      </c>
      <c r="B164" s="114" t="s">
        <v>1491</v>
      </c>
      <c r="C164" s="120" t="s">
        <v>1650</v>
      </c>
      <c r="D164" s="121">
        <v>100.0</v>
      </c>
      <c r="E164" s="121">
        <v>0.0</v>
      </c>
      <c r="F164" s="121">
        <v>0.0</v>
      </c>
      <c r="G164" s="121">
        <v>100.0</v>
      </c>
      <c r="H164" s="122">
        <v>0.0</v>
      </c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4.25" customHeight="1">
      <c r="A165" s="114" t="s">
        <v>747</v>
      </c>
      <c r="B165" s="114" t="s">
        <v>1491</v>
      </c>
      <c r="C165" s="120" t="s">
        <v>1651</v>
      </c>
      <c r="D165" s="121">
        <v>440.0</v>
      </c>
      <c r="E165" s="121">
        <v>180.0</v>
      </c>
      <c r="F165" s="121">
        <v>180.0</v>
      </c>
      <c r="G165" s="121">
        <v>800.0</v>
      </c>
      <c r="H165" s="122">
        <v>0.0</v>
      </c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4.25" customHeight="1">
      <c r="A166" s="114" t="s">
        <v>747</v>
      </c>
      <c r="B166" s="114" t="s">
        <v>1491</v>
      </c>
      <c r="C166" s="120" t="s">
        <v>1652</v>
      </c>
      <c r="D166" s="121">
        <v>440.0</v>
      </c>
      <c r="E166" s="121">
        <v>180.0</v>
      </c>
      <c r="F166" s="121">
        <v>180.0</v>
      </c>
      <c r="G166" s="121">
        <v>800.0</v>
      </c>
      <c r="H166" s="122">
        <v>0.0</v>
      </c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4.25" customHeight="1">
      <c r="A167" s="114" t="s">
        <v>747</v>
      </c>
      <c r="B167" s="114" t="s">
        <v>1491</v>
      </c>
      <c r="C167" s="120" t="s">
        <v>1653</v>
      </c>
      <c r="D167" s="121">
        <v>440.0</v>
      </c>
      <c r="E167" s="121">
        <v>180.0</v>
      </c>
      <c r="F167" s="121">
        <v>180.0</v>
      </c>
      <c r="G167" s="121">
        <v>800.0</v>
      </c>
      <c r="H167" s="122">
        <v>0.0</v>
      </c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4.25" customHeight="1">
      <c r="A168" s="114" t="s">
        <v>747</v>
      </c>
      <c r="B168" s="114" t="s">
        <v>1491</v>
      </c>
      <c r="C168" s="120" t="s">
        <v>1654</v>
      </c>
      <c r="D168" s="121">
        <v>440.0</v>
      </c>
      <c r="E168" s="121">
        <v>180.0</v>
      </c>
      <c r="F168" s="121">
        <v>180.0</v>
      </c>
      <c r="G168" s="121">
        <v>800.0</v>
      </c>
      <c r="H168" s="122">
        <v>0.0</v>
      </c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4.25" customHeight="1">
      <c r="A169" s="114" t="s">
        <v>747</v>
      </c>
      <c r="B169" s="114" t="s">
        <v>1491</v>
      </c>
      <c r="C169" s="120" t="s">
        <v>1655</v>
      </c>
      <c r="D169" s="121">
        <v>440.0</v>
      </c>
      <c r="E169" s="121">
        <v>180.0</v>
      </c>
      <c r="F169" s="121">
        <v>180.0</v>
      </c>
      <c r="G169" s="121">
        <v>800.0</v>
      </c>
      <c r="H169" s="122">
        <v>0.0</v>
      </c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4.25" customHeight="1">
      <c r="A170" s="114" t="s">
        <v>747</v>
      </c>
      <c r="B170" s="114" t="s">
        <v>1491</v>
      </c>
      <c r="C170" s="120" t="s">
        <v>1656</v>
      </c>
      <c r="D170" s="121">
        <v>440.0</v>
      </c>
      <c r="E170" s="121">
        <v>180.0</v>
      </c>
      <c r="F170" s="121">
        <v>180.0</v>
      </c>
      <c r="G170" s="121">
        <v>800.0</v>
      </c>
      <c r="H170" s="122">
        <v>0.0</v>
      </c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4.25" customHeight="1">
      <c r="A171" s="114"/>
      <c r="B171" s="114"/>
      <c r="C171" s="120" t="s">
        <v>1657</v>
      </c>
      <c r="D171" s="121">
        <v>1520.0</v>
      </c>
      <c r="E171" s="121">
        <v>200.0</v>
      </c>
      <c r="F171" s="121">
        <v>280.0</v>
      </c>
      <c r="G171" s="121">
        <v>2000.0</v>
      </c>
      <c r="H171" s="122">
        <v>0.0</v>
      </c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4.25" customHeight="1">
      <c r="A172" s="114"/>
      <c r="B172" s="114"/>
      <c r="C172" s="120" t="s">
        <v>1658</v>
      </c>
      <c r="D172" s="121">
        <v>1520.0</v>
      </c>
      <c r="E172" s="121">
        <v>200.0</v>
      </c>
      <c r="F172" s="121">
        <v>280.0</v>
      </c>
      <c r="G172" s="121">
        <v>2000.0</v>
      </c>
      <c r="H172" s="122">
        <v>0.0</v>
      </c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4.25" customHeight="1">
      <c r="A173" s="114" t="s">
        <v>747</v>
      </c>
      <c r="B173" s="114" t="s">
        <v>1491</v>
      </c>
      <c r="C173" s="120" t="s">
        <v>1659</v>
      </c>
      <c r="D173" s="121">
        <v>1520.0</v>
      </c>
      <c r="E173" s="121">
        <v>200.0</v>
      </c>
      <c r="F173" s="121">
        <v>280.0</v>
      </c>
      <c r="G173" s="121">
        <v>2000.0</v>
      </c>
      <c r="H173" s="122">
        <v>0.0</v>
      </c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4.25" customHeight="1">
      <c r="A174" s="114" t="s">
        <v>747</v>
      </c>
      <c r="B174" s="114" t="s">
        <v>1491</v>
      </c>
      <c r="C174" s="123" t="s">
        <v>1660</v>
      </c>
      <c r="D174" s="121">
        <v>1940.0</v>
      </c>
      <c r="E174" s="121">
        <v>180.0</v>
      </c>
      <c r="F174" s="121">
        <v>180.0</v>
      </c>
      <c r="G174" s="121">
        <v>2300.0</v>
      </c>
      <c r="H174" s="122">
        <v>1500.0</v>
      </c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4.25" customHeight="1">
      <c r="A175" s="114" t="s">
        <v>747</v>
      </c>
      <c r="B175" s="114" t="s">
        <v>1491</v>
      </c>
      <c r="C175" s="120" t="s">
        <v>1661</v>
      </c>
      <c r="D175" s="121">
        <v>440.0</v>
      </c>
      <c r="E175" s="121">
        <v>180.0</v>
      </c>
      <c r="F175" s="121">
        <v>180.0</v>
      </c>
      <c r="G175" s="121">
        <v>800.0</v>
      </c>
      <c r="H175" s="122">
        <v>0.0</v>
      </c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4.25" customHeight="1">
      <c r="A176" s="114" t="s">
        <v>747</v>
      </c>
      <c r="B176" s="114" t="s">
        <v>1491</v>
      </c>
      <c r="C176" s="120" t="s">
        <v>1662</v>
      </c>
      <c r="D176" s="121">
        <v>1520.0</v>
      </c>
      <c r="E176" s="121">
        <v>200.0</v>
      </c>
      <c r="F176" s="121">
        <v>280.0</v>
      </c>
      <c r="G176" s="121">
        <v>2000.0</v>
      </c>
      <c r="H176" s="122">
        <v>0.0</v>
      </c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4.25" customHeight="1">
      <c r="A177" s="114" t="s">
        <v>747</v>
      </c>
      <c r="B177" s="114" t="s">
        <v>1491</v>
      </c>
      <c r="C177" s="120" t="s">
        <v>1663</v>
      </c>
      <c r="D177" s="121">
        <v>1520.0</v>
      </c>
      <c r="E177" s="121">
        <v>200.0</v>
      </c>
      <c r="F177" s="121">
        <v>280.0</v>
      </c>
      <c r="G177" s="121">
        <v>2000.0</v>
      </c>
      <c r="H177" s="122">
        <v>0.0</v>
      </c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4.25" customHeight="1">
      <c r="A178" s="124" t="s">
        <v>747</v>
      </c>
      <c r="B178" s="124" t="s">
        <v>1491</v>
      </c>
      <c r="C178" s="120" t="s">
        <v>1664</v>
      </c>
      <c r="D178" s="121">
        <v>1520.0</v>
      </c>
      <c r="E178" s="121">
        <v>200.0</v>
      </c>
      <c r="F178" s="121">
        <v>280.0</v>
      </c>
      <c r="G178" s="121">
        <v>2000.0</v>
      </c>
      <c r="H178" s="122">
        <v>0.0</v>
      </c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4.25" customHeight="1">
      <c r="A179" s="114" t="s">
        <v>747</v>
      </c>
      <c r="B179" s="114" t="s">
        <v>1491</v>
      </c>
      <c r="C179" s="120" t="s">
        <v>1665</v>
      </c>
      <c r="D179" s="121">
        <v>1520.0</v>
      </c>
      <c r="E179" s="121">
        <v>200.0</v>
      </c>
      <c r="F179" s="121">
        <v>280.0</v>
      </c>
      <c r="G179" s="121">
        <v>2000.0</v>
      </c>
      <c r="H179" s="122">
        <v>0.0</v>
      </c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4.25" customHeight="1">
      <c r="A180" s="114" t="s">
        <v>747</v>
      </c>
      <c r="B180" s="114" t="s">
        <v>1491</v>
      </c>
      <c r="C180" s="120" t="s">
        <v>1666</v>
      </c>
      <c r="D180" s="121">
        <v>440.0</v>
      </c>
      <c r="E180" s="121">
        <v>180.0</v>
      </c>
      <c r="F180" s="121">
        <v>180.0</v>
      </c>
      <c r="G180" s="121">
        <v>800.0</v>
      </c>
      <c r="H180" s="122">
        <v>0.0</v>
      </c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4.25" customHeight="1">
      <c r="A181" s="114" t="s">
        <v>747</v>
      </c>
      <c r="B181" s="114" t="s">
        <v>1491</v>
      </c>
      <c r="C181" s="120" t="s">
        <v>1667</v>
      </c>
      <c r="D181" s="121">
        <v>3435.0</v>
      </c>
      <c r="E181" s="121">
        <v>300.0</v>
      </c>
      <c r="F181" s="121">
        <v>500.0</v>
      </c>
      <c r="G181" s="121">
        <v>4235.0</v>
      </c>
      <c r="H181" s="122">
        <v>1235.0</v>
      </c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4.25" customHeight="1">
      <c r="A182" s="114" t="s">
        <v>747</v>
      </c>
      <c r="B182" s="114" t="s">
        <v>1491</v>
      </c>
      <c r="C182" s="123" t="s">
        <v>1668</v>
      </c>
      <c r="D182" s="121">
        <v>2050.0</v>
      </c>
      <c r="E182" s="121">
        <v>100.0</v>
      </c>
      <c r="F182" s="121">
        <v>200.0</v>
      </c>
      <c r="G182" s="121">
        <v>2350.0</v>
      </c>
      <c r="H182" s="122">
        <v>1500.0</v>
      </c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4.25" customHeight="1">
      <c r="A183" s="114" t="s">
        <v>747</v>
      </c>
      <c r="B183" s="114" t="s">
        <v>1491</v>
      </c>
      <c r="C183" s="120" t="s">
        <v>1669</v>
      </c>
      <c r="D183" s="121">
        <v>2425.0</v>
      </c>
      <c r="E183" s="121">
        <v>185.0</v>
      </c>
      <c r="F183" s="121">
        <v>365.0</v>
      </c>
      <c r="G183" s="121">
        <v>2975.0</v>
      </c>
      <c r="H183" s="122">
        <v>1475.0</v>
      </c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4.25" customHeight="1">
      <c r="A184" s="114" t="s">
        <v>747</v>
      </c>
      <c r="B184" s="114" t="s">
        <v>1491</v>
      </c>
      <c r="C184" s="123" t="s">
        <v>1670</v>
      </c>
      <c r="D184" s="121">
        <v>2490.0</v>
      </c>
      <c r="E184" s="121">
        <v>200.0</v>
      </c>
      <c r="F184" s="121">
        <v>500.0</v>
      </c>
      <c r="G184" s="121">
        <v>3190.0</v>
      </c>
      <c r="H184" s="122">
        <v>1500.0</v>
      </c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4.25" customHeight="1">
      <c r="A185" s="114" t="s">
        <v>747</v>
      </c>
      <c r="B185" s="114" t="s">
        <v>1491</v>
      </c>
      <c r="C185" s="120" t="s">
        <v>1671</v>
      </c>
      <c r="D185" s="121">
        <v>2260.0</v>
      </c>
      <c r="E185" s="121">
        <v>260.0</v>
      </c>
      <c r="F185" s="121">
        <v>570.0</v>
      </c>
      <c r="G185" s="121">
        <v>3090.0</v>
      </c>
      <c r="H185" s="122">
        <v>1620.0</v>
      </c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4.25" customHeight="1">
      <c r="A186" s="114" t="s">
        <v>747</v>
      </c>
      <c r="B186" s="114" t="s">
        <v>1491</v>
      </c>
      <c r="C186" s="120" t="s">
        <v>1672</v>
      </c>
      <c r="D186" s="121">
        <v>1615.0</v>
      </c>
      <c r="E186" s="121">
        <v>200.0</v>
      </c>
      <c r="F186" s="121">
        <v>310.0</v>
      </c>
      <c r="G186" s="121">
        <v>2125.0</v>
      </c>
      <c r="H186" s="122">
        <v>125.0</v>
      </c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4.25" customHeight="1">
      <c r="A187" s="114" t="s">
        <v>747</v>
      </c>
      <c r="B187" s="114" t="s">
        <v>1491</v>
      </c>
      <c r="C187" s="120" t="s">
        <v>1673</v>
      </c>
      <c r="D187" s="121">
        <v>2880.0</v>
      </c>
      <c r="E187" s="121">
        <v>375.0</v>
      </c>
      <c r="F187" s="121">
        <v>605.0</v>
      </c>
      <c r="G187" s="121">
        <v>3860.0</v>
      </c>
      <c r="H187" s="122">
        <v>360.0</v>
      </c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4.25" customHeight="1">
      <c r="A188" s="114" t="s">
        <v>747</v>
      </c>
      <c r="B188" s="114" t="s">
        <v>1491</v>
      </c>
      <c r="C188" s="123" t="s">
        <v>1674</v>
      </c>
      <c r="D188" s="121">
        <v>2250.0</v>
      </c>
      <c r="E188" s="121">
        <v>120.0</v>
      </c>
      <c r="F188" s="121">
        <v>295.0</v>
      </c>
      <c r="G188" s="121">
        <v>2665.0</v>
      </c>
      <c r="H188" s="122">
        <v>1500.0</v>
      </c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4.25" customHeight="1">
      <c r="A189" s="114" t="s">
        <v>747</v>
      </c>
      <c r="B189" s="114" t="s">
        <v>1491</v>
      </c>
      <c r="C189" s="123" t="s">
        <v>1675</v>
      </c>
      <c r="D189" s="121">
        <v>5540.0</v>
      </c>
      <c r="E189" s="121">
        <v>300.0</v>
      </c>
      <c r="F189" s="121">
        <v>700.0</v>
      </c>
      <c r="G189" s="121">
        <v>6540.0</v>
      </c>
      <c r="H189" s="122">
        <v>2540.0</v>
      </c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4.25" customHeight="1">
      <c r="A190" s="114" t="s">
        <v>747</v>
      </c>
      <c r="B190" s="114" t="s">
        <v>1491</v>
      </c>
      <c r="C190" s="120" t="s">
        <v>1676</v>
      </c>
      <c r="D190" s="121">
        <v>4750.0</v>
      </c>
      <c r="E190" s="121">
        <v>500.0</v>
      </c>
      <c r="F190" s="121">
        <v>900.0</v>
      </c>
      <c r="G190" s="121">
        <v>6150.0</v>
      </c>
      <c r="H190" s="122">
        <v>1150.0</v>
      </c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4.25" customHeight="1">
      <c r="A191" s="114" t="s">
        <v>747</v>
      </c>
      <c r="B191" s="114" t="s">
        <v>1491</v>
      </c>
      <c r="C191" s="120" t="s">
        <v>1677</v>
      </c>
      <c r="D191" s="121">
        <v>2640.0</v>
      </c>
      <c r="E191" s="121">
        <v>120.0</v>
      </c>
      <c r="F191" s="121">
        <v>295.0</v>
      </c>
      <c r="G191" s="121">
        <v>3055.0</v>
      </c>
      <c r="H191" s="122">
        <v>1890.0</v>
      </c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4.25" customHeight="1">
      <c r="A192" s="114" t="s">
        <v>747</v>
      </c>
      <c r="B192" s="114" t="s">
        <v>1491</v>
      </c>
      <c r="C192" s="120" t="s">
        <v>1678</v>
      </c>
      <c r="D192" s="121">
        <v>3450.0</v>
      </c>
      <c r="E192" s="121">
        <v>150.0</v>
      </c>
      <c r="F192" s="121">
        <v>400.0</v>
      </c>
      <c r="G192" s="121">
        <v>4000.0</v>
      </c>
      <c r="H192" s="122">
        <v>0.0</v>
      </c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4.25" customHeight="1">
      <c r="A193" s="114" t="s">
        <v>747</v>
      </c>
      <c r="B193" s="114" t="s">
        <v>1491</v>
      </c>
      <c r="C193" s="120" t="s">
        <v>1679</v>
      </c>
      <c r="D193" s="121">
        <v>2800.0</v>
      </c>
      <c r="E193" s="121">
        <v>170.0</v>
      </c>
      <c r="F193" s="121">
        <v>550.0</v>
      </c>
      <c r="G193" s="121">
        <v>3520.0</v>
      </c>
      <c r="H193" s="122">
        <v>1520.0</v>
      </c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4.25" customHeight="1">
      <c r="A194" s="114" t="s">
        <v>747</v>
      </c>
      <c r="B194" s="114" t="s">
        <v>1491</v>
      </c>
      <c r="C194" s="120" t="s">
        <v>1680</v>
      </c>
      <c r="D194" s="121">
        <v>3535.0</v>
      </c>
      <c r="E194" s="121">
        <v>200.0</v>
      </c>
      <c r="F194" s="121">
        <v>500.0</v>
      </c>
      <c r="G194" s="121">
        <v>4235.0</v>
      </c>
      <c r="H194" s="122">
        <v>1235.0</v>
      </c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4.25" customHeight="1">
      <c r="A195" s="114" t="s">
        <v>747</v>
      </c>
      <c r="B195" s="114" t="s">
        <v>1491</v>
      </c>
      <c r="C195" s="123" t="s">
        <v>1681</v>
      </c>
      <c r="D195" s="121">
        <v>2065.0</v>
      </c>
      <c r="E195" s="121">
        <v>100.0</v>
      </c>
      <c r="F195" s="121">
        <v>300.0</v>
      </c>
      <c r="G195" s="121">
        <v>2465.0</v>
      </c>
      <c r="H195" s="122">
        <v>1500.0</v>
      </c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4.25" customHeight="1">
      <c r="A196" s="114" t="s">
        <v>747</v>
      </c>
      <c r="B196" s="114" t="s">
        <v>1491</v>
      </c>
      <c r="C196" s="123" t="s">
        <v>1682</v>
      </c>
      <c r="D196" s="121">
        <v>3350.0</v>
      </c>
      <c r="E196" s="121">
        <v>280.0</v>
      </c>
      <c r="F196" s="121">
        <v>705.0</v>
      </c>
      <c r="G196" s="121">
        <v>4335.0</v>
      </c>
      <c r="H196" s="122">
        <v>1500.0</v>
      </c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4.25" customHeight="1">
      <c r="A197" s="114" t="s">
        <v>747</v>
      </c>
      <c r="B197" s="114" t="s">
        <v>1491</v>
      </c>
      <c r="C197" s="123" t="s">
        <v>1683</v>
      </c>
      <c r="D197" s="121">
        <v>2715.0</v>
      </c>
      <c r="E197" s="121">
        <v>200.0</v>
      </c>
      <c r="F197" s="121">
        <v>500.0</v>
      </c>
      <c r="G197" s="121">
        <v>3415.0</v>
      </c>
      <c r="H197" s="122">
        <v>1500.0</v>
      </c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4.25" customHeight="1">
      <c r="A198" s="114" t="s">
        <v>747</v>
      </c>
      <c r="B198" s="114" t="s">
        <v>1491</v>
      </c>
      <c r="C198" s="123" t="s">
        <v>1684</v>
      </c>
      <c r="D198" s="121">
        <v>2500.0</v>
      </c>
      <c r="E198" s="121">
        <v>200.0</v>
      </c>
      <c r="F198" s="121">
        <v>500.0</v>
      </c>
      <c r="G198" s="121">
        <v>3200.0</v>
      </c>
      <c r="H198" s="122">
        <v>1500.0</v>
      </c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4.25" customHeight="1">
      <c r="A199" s="114" t="s">
        <v>747</v>
      </c>
      <c r="B199" s="114" t="s">
        <v>1491</v>
      </c>
      <c r="C199" s="123" t="s">
        <v>1685</v>
      </c>
      <c r="D199" s="121">
        <v>2500.0</v>
      </c>
      <c r="E199" s="121">
        <v>200.0</v>
      </c>
      <c r="F199" s="121">
        <v>500.0</v>
      </c>
      <c r="G199" s="121">
        <v>3200.0</v>
      </c>
      <c r="H199" s="122">
        <v>1500.0</v>
      </c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4.25" customHeight="1">
      <c r="A200" s="114" t="s">
        <v>747</v>
      </c>
      <c r="B200" s="114" t="s">
        <v>1491</v>
      </c>
      <c r="C200" s="120" t="s">
        <v>1686</v>
      </c>
      <c r="D200" s="121">
        <v>2770.0</v>
      </c>
      <c r="E200" s="121">
        <v>120.0</v>
      </c>
      <c r="F200" s="121">
        <v>300.0</v>
      </c>
      <c r="G200" s="121">
        <v>3190.0</v>
      </c>
      <c r="H200" s="122">
        <v>1490.0</v>
      </c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4.25" customHeight="1">
      <c r="A201" s="114" t="s">
        <v>747</v>
      </c>
      <c r="B201" s="114" t="s">
        <v>1491</v>
      </c>
      <c r="C201" s="123" t="s">
        <v>1687</v>
      </c>
      <c r="D201" s="121">
        <v>2500.0</v>
      </c>
      <c r="E201" s="121">
        <v>200.0</v>
      </c>
      <c r="F201" s="121">
        <v>500.0</v>
      </c>
      <c r="G201" s="121">
        <v>3200.0</v>
      </c>
      <c r="H201" s="122">
        <v>1500.0</v>
      </c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4.25" customHeight="1">
      <c r="A202" s="114" t="s">
        <v>747</v>
      </c>
      <c r="B202" s="114" t="s">
        <v>1491</v>
      </c>
      <c r="C202" s="123" t="s">
        <v>1688</v>
      </c>
      <c r="D202" s="121">
        <v>1930.0</v>
      </c>
      <c r="E202" s="121">
        <v>90.0</v>
      </c>
      <c r="F202" s="121">
        <v>220.0</v>
      </c>
      <c r="G202" s="121">
        <v>2240.0</v>
      </c>
      <c r="H202" s="122">
        <v>1500.0</v>
      </c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4.25" customHeight="1">
      <c r="A203" s="114" t="s">
        <v>747</v>
      </c>
      <c r="B203" s="114" t="s">
        <v>1491</v>
      </c>
      <c r="C203" s="120" t="s">
        <v>1689</v>
      </c>
      <c r="D203" s="121">
        <v>2250.0</v>
      </c>
      <c r="E203" s="121">
        <v>90.0</v>
      </c>
      <c r="F203" s="121">
        <v>220.0</v>
      </c>
      <c r="G203" s="121">
        <v>2560.0</v>
      </c>
      <c r="H203" s="122">
        <v>1820.0</v>
      </c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4.25" customHeight="1">
      <c r="A204" s="114" t="s">
        <v>747</v>
      </c>
      <c r="B204" s="114" t="s">
        <v>1491</v>
      </c>
      <c r="C204" s="120" t="s">
        <v>1690</v>
      </c>
      <c r="D204" s="121">
        <v>2860.0</v>
      </c>
      <c r="E204" s="121">
        <v>340.0</v>
      </c>
      <c r="F204" s="121">
        <v>280.0</v>
      </c>
      <c r="G204" s="121">
        <v>3480.0</v>
      </c>
      <c r="H204" s="122">
        <v>980.0</v>
      </c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4.25" customHeight="1">
      <c r="A205" s="114" t="s">
        <v>747</v>
      </c>
      <c r="B205" s="114" t="s">
        <v>1491</v>
      </c>
      <c r="C205" s="120" t="s">
        <v>1691</v>
      </c>
      <c r="D205" s="121">
        <v>2250.0</v>
      </c>
      <c r="E205" s="121">
        <v>90.0</v>
      </c>
      <c r="F205" s="121">
        <v>220.0</v>
      </c>
      <c r="G205" s="121">
        <v>2560.0</v>
      </c>
      <c r="H205" s="122">
        <v>1820.0</v>
      </c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4.25" customHeight="1">
      <c r="A206" s="114" t="s">
        <v>747</v>
      </c>
      <c r="B206" s="114" t="s">
        <v>1491</v>
      </c>
      <c r="C206" s="123" t="s">
        <v>1692</v>
      </c>
      <c r="D206" s="121">
        <v>2500.0</v>
      </c>
      <c r="E206" s="121">
        <v>200.0</v>
      </c>
      <c r="F206" s="121">
        <v>500.0</v>
      </c>
      <c r="G206" s="121">
        <v>3200.0</v>
      </c>
      <c r="H206" s="122">
        <v>1500.0</v>
      </c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4.25" customHeight="1">
      <c r="A207" s="114" t="s">
        <v>747</v>
      </c>
      <c r="B207" s="114" t="s">
        <v>1491</v>
      </c>
      <c r="C207" s="120" t="s">
        <v>1693</v>
      </c>
      <c r="D207" s="121">
        <v>2290.0</v>
      </c>
      <c r="E207" s="121">
        <v>100.0</v>
      </c>
      <c r="F207" s="121">
        <v>300.0</v>
      </c>
      <c r="G207" s="121">
        <v>2690.0</v>
      </c>
      <c r="H207" s="122">
        <v>1740.0</v>
      </c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4.25" customHeight="1">
      <c r="A208" s="114" t="s">
        <v>747</v>
      </c>
      <c r="B208" s="114" t="s">
        <v>1491</v>
      </c>
      <c r="C208" s="123" t="s">
        <v>1694</v>
      </c>
      <c r="D208" s="121">
        <v>2500.0</v>
      </c>
      <c r="E208" s="121">
        <v>200.0</v>
      </c>
      <c r="F208" s="121">
        <v>500.0</v>
      </c>
      <c r="G208" s="121">
        <v>3200.0</v>
      </c>
      <c r="H208" s="122">
        <v>1500.0</v>
      </c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4.25" customHeight="1">
      <c r="A209" s="114" t="s">
        <v>747</v>
      </c>
      <c r="B209" s="114" t="s">
        <v>1491</v>
      </c>
      <c r="C209" s="123" t="s">
        <v>1695</v>
      </c>
      <c r="D209" s="121">
        <v>2500.0</v>
      </c>
      <c r="E209" s="121">
        <v>200.0</v>
      </c>
      <c r="F209" s="121">
        <v>500.0</v>
      </c>
      <c r="G209" s="121">
        <v>3200.0</v>
      </c>
      <c r="H209" s="122">
        <v>1500.0</v>
      </c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4.25" customHeight="1">
      <c r="A210" s="114" t="s">
        <v>747</v>
      </c>
      <c r="B210" s="114" t="s">
        <v>1491</v>
      </c>
      <c r="C210" s="120" t="s">
        <v>1696</v>
      </c>
      <c r="D210" s="121">
        <v>2805.0</v>
      </c>
      <c r="E210" s="121">
        <v>140.0</v>
      </c>
      <c r="F210" s="121">
        <v>250.0</v>
      </c>
      <c r="G210" s="121">
        <v>3195.0</v>
      </c>
      <c r="H210" s="122">
        <v>1295.0</v>
      </c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4.25" customHeight="1">
      <c r="A211" s="114" t="s">
        <v>747</v>
      </c>
      <c r="B211" s="114" t="s">
        <v>1491</v>
      </c>
      <c r="C211" s="120" t="s">
        <v>1697</v>
      </c>
      <c r="D211" s="121">
        <v>2305.0</v>
      </c>
      <c r="E211" s="121">
        <v>100.0</v>
      </c>
      <c r="F211" s="121">
        <v>200.0</v>
      </c>
      <c r="G211" s="121">
        <v>2605.0</v>
      </c>
      <c r="H211" s="122">
        <v>1705.0</v>
      </c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4.25" customHeight="1">
      <c r="A212" s="114" t="s">
        <v>747</v>
      </c>
      <c r="B212" s="114" t="s">
        <v>1491</v>
      </c>
      <c r="C212" s="120" t="s">
        <v>1698</v>
      </c>
      <c r="D212" s="121">
        <v>3255.0</v>
      </c>
      <c r="E212" s="121">
        <v>350.0</v>
      </c>
      <c r="F212" s="121">
        <v>1000.0</v>
      </c>
      <c r="G212" s="121">
        <v>4605.0</v>
      </c>
      <c r="H212" s="122">
        <v>1105.0</v>
      </c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4.25" customHeight="1">
      <c r="A213" s="114" t="s">
        <v>747</v>
      </c>
      <c r="B213" s="114" t="s">
        <v>1491</v>
      </c>
      <c r="C213" s="120" t="s">
        <v>1699</v>
      </c>
      <c r="D213" s="121">
        <v>2740.0</v>
      </c>
      <c r="E213" s="121">
        <v>210.0</v>
      </c>
      <c r="F213" s="121">
        <v>200.0</v>
      </c>
      <c r="G213" s="121">
        <v>3150.0</v>
      </c>
      <c r="H213" s="122">
        <v>1650.0</v>
      </c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4.25" customHeight="1">
      <c r="A214" s="114" t="s">
        <v>747</v>
      </c>
      <c r="B214" s="114" t="s">
        <v>1491</v>
      </c>
      <c r="C214" s="120" t="s">
        <v>1700</v>
      </c>
      <c r="D214" s="121">
        <v>2840.0</v>
      </c>
      <c r="E214" s="121">
        <v>470.0</v>
      </c>
      <c r="F214" s="121">
        <v>1180.0</v>
      </c>
      <c r="G214" s="121">
        <v>4490.0</v>
      </c>
      <c r="H214" s="122">
        <v>1080.0</v>
      </c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4.25" customHeight="1">
      <c r="A215" s="114" t="s">
        <v>747</v>
      </c>
      <c r="B215" s="114" t="s">
        <v>1491</v>
      </c>
      <c r="C215" s="123" t="s">
        <v>1701</v>
      </c>
      <c r="D215" s="121">
        <v>2500.0</v>
      </c>
      <c r="E215" s="121">
        <v>200.0</v>
      </c>
      <c r="F215" s="121">
        <v>500.0</v>
      </c>
      <c r="G215" s="121">
        <v>3200.0</v>
      </c>
      <c r="H215" s="122">
        <v>1500.0</v>
      </c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4.25" customHeight="1">
      <c r="A216" s="114" t="s">
        <v>747</v>
      </c>
      <c r="B216" s="114" t="s">
        <v>1491</v>
      </c>
      <c r="C216" s="120" t="s">
        <v>1702</v>
      </c>
      <c r="D216" s="121">
        <v>2740.0</v>
      </c>
      <c r="E216" s="121">
        <v>260.0</v>
      </c>
      <c r="F216" s="121">
        <v>650.0</v>
      </c>
      <c r="G216" s="121">
        <v>3650.0</v>
      </c>
      <c r="H216" s="122">
        <v>1670.0</v>
      </c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4.25" customHeight="1">
      <c r="A217" s="114" t="s">
        <v>747</v>
      </c>
      <c r="B217" s="114" t="s">
        <v>1491</v>
      </c>
      <c r="C217" s="120" t="s">
        <v>1703</v>
      </c>
      <c r="D217" s="121">
        <v>3590.0</v>
      </c>
      <c r="E217" s="121">
        <v>260.0</v>
      </c>
      <c r="F217" s="121">
        <v>650.0</v>
      </c>
      <c r="G217" s="121">
        <v>4500.0</v>
      </c>
      <c r="H217" s="122">
        <v>0.0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4.25" customHeight="1">
      <c r="A218" s="114" t="s">
        <v>747</v>
      </c>
      <c r="B218" s="114" t="s">
        <v>1491</v>
      </c>
      <c r="C218" s="120" t="s">
        <v>1704</v>
      </c>
      <c r="D218" s="121">
        <v>1630.0</v>
      </c>
      <c r="E218" s="121">
        <v>200.0</v>
      </c>
      <c r="F218" s="121">
        <v>300.0</v>
      </c>
      <c r="G218" s="121">
        <v>2130.0</v>
      </c>
      <c r="H218" s="122">
        <v>130.0</v>
      </c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4.25" customHeight="1">
      <c r="A219" s="114" t="s">
        <v>747</v>
      </c>
      <c r="B219" s="114" t="s">
        <v>1491</v>
      </c>
      <c r="C219" s="120" t="s">
        <v>1705</v>
      </c>
      <c r="D219" s="121">
        <v>2460.0</v>
      </c>
      <c r="E219" s="121">
        <v>230.0</v>
      </c>
      <c r="F219" s="121">
        <v>455.0</v>
      </c>
      <c r="G219" s="121">
        <v>3145.0</v>
      </c>
      <c r="H219" s="122">
        <v>1645.0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4.25" customHeight="1">
      <c r="A220" s="114" t="s">
        <v>747</v>
      </c>
      <c r="B220" s="114" t="s">
        <v>1491</v>
      </c>
      <c r="C220" s="120" t="s">
        <v>1706</v>
      </c>
      <c r="D220" s="121">
        <v>8000.0</v>
      </c>
      <c r="E220" s="121">
        <v>1500.0</v>
      </c>
      <c r="F220" s="121">
        <v>1500.0</v>
      </c>
      <c r="G220" s="121">
        <v>11000.0</v>
      </c>
      <c r="H220" s="122">
        <v>0.0</v>
      </c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4.25" customHeight="1">
      <c r="A221" s="114" t="s">
        <v>747</v>
      </c>
      <c r="B221" s="114" t="s">
        <v>1491</v>
      </c>
      <c r="C221" s="120" t="s">
        <v>1707</v>
      </c>
      <c r="D221" s="121">
        <v>9500.0</v>
      </c>
      <c r="E221" s="121">
        <v>1500.0</v>
      </c>
      <c r="F221" s="121">
        <v>1500.0</v>
      </c>
      <c r="G221" s="121">
        <v>12500.0</v>
      </c>
      <c r="H221" s="122">
        <v>0.0</v>
      </c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4.25" customHeight="1">
      <c r="A222" s="114" t="s">
        <v>747</v>
      </c>
      <c r="B222" s="114" t="s">
        <v>1491</v>
      </c>
      <c r="C222" s="120" t="s">
        <v>1708</v>
      </c>
      <c r="D222" s="121">
        <v>4995.0</v>
      </c>
      <c r="E222" s="121">
        <v>600.0</v>
      </c>
      <c r="F222" s="121">
        <v>1000.0</v>
      </c>
      <c r="G222" s="121">
        <v>6595.0</v>
      </c>
      <c r="H222" s="122">
        <v>595.0</v>
      </c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4.25" customHeight="1">
      <c r="A223" s="114" t="s">
        <v>747</v>
      </c>
      <c r="B223" s="114" t="s">
        <v>1491</v>
      </c>
      <c r="C223" s="120" t="s">
        <v>1709</v>
      </c>
      <c r="D223" s="121">
        <v>4630.0</v>
      </c>
      <c r="E223" s="121">
        <v>490.0</v>
      </c>
      <c r="F223" s="121">
        <v>1210.0</v>
      </c>
      <c r="G223" s="121">
        <v>6330.0</v>
      </c>
      <c r="H223" s="122">
        <v>1530.0</v>
      </c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4.25" customHeight="1">
      <c r="A224" s="114" t="s">
        <v>747</v>
      </c>
      <c r="B224" s="114" t="s">
        <v>1491</v>
      </c>
      <c r="C224" s="120" t="s">
        <v>1710</v>
      </c>
      <c r="D224" s="121">
        <v>1720.0</v>
      </c>
      <c r="E224" s="121">
        <v>125.0</v>
      </c>
      <c r="F224" s="121">
        <v>300.0</v>
      </c>
      <c r="G224" s="121">
        <v>2145.0</v>
      </c>
      <c r="H224" s="122">
        <v>145.0</v>
      </c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4.25" customHeight="1">
      <c r="A225" s="114" t="s">
        <v>747</v>
      </c>
      <c r="B225" s="114" t="s">
        <v>1491</v>
      </c>
      <c r="C225" s="123" t="s">
        <v>1711</v>
      </c>
      <c r="D225" s="121">
        <v>2060.0</v>
      </c>
      <c r="E225" s="121">
        <v>120.0</v>
      </c>
      <c r="F225" s="121">
        <v>300.0</v>
      </c>
      <c r="G225" s="121">
        <v>2480.0</v>
      </c>
      <c r="H225" s="122">
        <v>1500.0</v>
      </c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4.25" customHeight="1">
      <c r="A226" s="114" t="s">
        <v>747</v>
      </c>
      <c r="B226" s="114" t="s">
        <v>1491</v>
      </c>
      <c r="C226" s="120" t="s">
        <v>1712</v>
      </c>
      <c r="D226" s="121">
        <v>2845.0</v>
      </c>
      <c r="E226" s="121">
        <v>165.0</v>
      </c>
      <c r="F226" s="121">
        <v>400.0</v>
      </c>
      <c r="G226" s="121">
        <v>3410.0</v>
      </c>
      <c r="H226" s="122">
        <v>1410.0</v>
      </c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4.25" customHeight="1">
      <c r="A227" s="114" t="s">
        <v>747</v>
      </c>
      <c r="B227" s="114" t="s">
        <v>1491</v>
      </c>
      <c r="C227" s="123" t="s">
        <v>1713</v>
      </c>
      <c r="D227" s="121">
        <v>2380.0</v>
      </c>
      <c r="E227" s="121">
        <v>180.0</v>
      </c>
      <c r="F227" s="121">
        <v>440.0</v>
      </c>
      <c r="G227" s="121">
        <v>3000.0</v>
      </c>
      <c r="H227" s="122">
        <v>1500.0</v>
      </c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4.25" customHeight="1">
      <c r="A228" s="114" t="s">
        <v>747</v>
      </c>
      <c r="B228" s="114" t="s">
        <v>1491</v>
      </c>
      <c r="C228" s="123" t="s">
        <v>1714</v>
      </c>
      <c r="D228" s="121">
        <v>2060.0</v>
      </c>
      <c r="E228" s="121">
        <v>120.0</v>
      </c>
      <c r="F228" s="121">
        <v>300.0</v>
      </c>
      <c r="G228" s="121">
        <v>2480.0</v>
      </c>
      <c r="H228" s="122">
        <v>1500.0</v>
      </c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4.25" customHeight="1">
      <c r="A229" s="114" t="s">
        <v>747</v>
      </c>
      <c r="B229" s="114" t="s">
        <v>1491</v>
      </c>
      <c r="C229" s="123" t="s">
        <v>1715</v>
      </c>
      <c r="D229" s="121">
        <v>2180.0</v>
      </c>
      <c r="E229" s="121">
        <v>150.0</v>
      </c>
      <c r="F229" s="121">
        <v>500.0</v>
      </c>
      <c r="G229" s="121">
        <v>2830.0</v>
      </c>
      <c r="H229" s="122">
        <v>1500.0</v>
      </c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4.25" customHeight="1">
      <c r="A230" s="114" t="s">
        <v>747</v>
      </c>
      <c r="B230" s="114" t="s">
        <v>1491</v>
      </c>
      <c r="C230" s="120" t="s">
        <v>1716</v>
      </c>
      <c r="D230" s="121">
        <v>2615.0</v>
      </c>
      <c r="E230" s="121">
        <v>120.0</v>
      </c>
      <c r="F230" s="121">
        <v>210.0</v>
      </c>
      <c r="G230" s="121">
        <v>2945.0</v>
      </c>
      <c r="H230" s="122">
        <v>1970.0</v>
      </c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4.25" customHeight="1">
      <c r="A231" s="114" t="s">
        <v>747</v>
      </c>
      <c r="B231" s="114" t="s">
        <v>1491</v>
      </c>
      <c r="C231" s="123" t="s">
        <v>1717</v>
      </c>
      <c r="D231" s="121">
        <v>2030.0</v>
      </c>
      <c r="E231" s="121">
        <v>120.0</v>
      </c>
      <c r="F231" s="121">
        <v>300.0</v>
      </c>
      <c r="G231" s="121">
        <v>2450.0</v>
      </c>
      <c r="H231" s="122">
        <v>1500.0</v>
      </c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4.25" customHeight="1">
      <c r="A232" s="114" t="s">
        <v>747</v>
      </c>
      <c r="B232" s="114" t="s">
        <v>1491</v>
      </c>
      <c r="C232" s="123" t="s">
        <v>1718</v>
      </c>
      <c r="D232" s="121">
        <v>2500.0</v>
      </c>
      <c r="E232" s="121">
        <v>200.0</v>
      </c>
      <c r="F232" s="121">
        <v>500.0</v>
      </c>
      <c r="G232" s="121">
        <v>3200.0</v>
      </c>
      <c r="H232" s="122">
        <v>1500.0</v>
      </c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4.25" customHeight="1">
      <c r="A233" s="114" t="s">
        <v>747</v>
      </c>
      <c r="B233" s="114" t="s">
        <v>1491</v>
      </c>
      <c r="C233" s="123" t="s">
        <v>1719</v>
      </c>
      <c r="D233" s="121">
        <v>3293.0</v>
      </c>
      <c r="E233" s="121">
        <v>118.0</v>
      </c>
      <c r="F233" s="121">
        <v>294.0</v>
      </c>
      <c r="G233" s="121">
        <v>3705.0</v>
      </c>
      <c r="H233" s="122">
        <v>2540.0</v>
      </c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4.25" customHeight="1">
      <c r="A234" s="114" t="s">
        <v>747</v>
      </c>
      <c r="B234" s="114" t="s">
        <v>1491</v>
      </c>
      <c r="C234" s="120" t="s">
        <v>1720</v>
      </c>
      <c r="D234" s="121">
        <v>3175.0</v>
      </c>
      <c r="E234" s="121">
        <v>100.0</v>
      </c>
      <c r="F234" s="121">
        <v>300.0</v>
      </c>
      <c r="G234" s="121">
        <v>3575.0</v>
      </c>
      <c r="H234" s="122">
        <v>1575.0</v>
      </c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4.25" customHeight="1">
      <c r="A235" s="114" t="s">
        <v>747</v>
      </c>
      <c r="B235" s="114" t="s">
        <v>1491</v>
      </c>
      <c r="C235" s="120" t="s">
        <v>1721</v>
      </c>
      <c r="D235" s="121">
        <v>2780.0</v>
      </c>
      <c r="E235" s="121">
        <v>210.0</v>
      </c>
      <c r="F235" s="121">
        <v>530.0</v>
      </c>
      <c r="G235" s="121">
        <v>3520.0</v>
      </c>
      <c r="H235" s="122">
        <v>1580.0</v>
      </c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4.25" customHeight="1">
      <c r="A236" s="114" t="s">
        <v>747</v>
      </c>
      <c r="B236" s="114" t="s">
        <v>1491</v>
      </c>
      <c r="C236" s="120" t="s">
        <v>1722</v>
      </c>
      <c r="D236" s="121">
        <v>2650.0</v>
      </c>
      <c r="E236" s="121">
        <v>120.0</v>
      </c>
      <c r="F236" s="121">
        <v>295.0</v>
      </c>
      <c r="G236" s="121">
        <v>3065.0</v>
      </c>
      <c r="H236" s="122">
        <v>1900.0</v>
      </c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4.25" customHeight="1">
      <c r="A237" s="114" t="s">
        <v>747</v>
      </c>
      <c r="B237" s="114" t="s">
        <v>1491</v>
      </c>
      <c r="C237" s="123" t="s">
        <v>1723</v>
      </c>
      <c r="D237" s="121">
        <v>2360.0</v>
      </c>
      <c r="E237" s="121">
        <v>140.0</v>
      </c>
      <c r="F237" s="121">
        <v>355.0</v>
      </c>
      <c r="G237" s="121">
        <v>2855.0</v>
      </c>
      <c r="H237" s="122">
        <v>1500.0</v>
      </c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4.25" customHeight="1">
      <c r="A238" s="114" t="s">
        <v>747</v>
      </c>
      <c r="B238" s="114" t="s">
        <v>1491</v>
      </c>
      <c r="C238" s="120" t="s">
        <v>1724</v>
      </c>
      <c r="D238" s="121">
        <v>1005.0</v>
      </c>
      <c r="E238" s="121">
        <v>120.0</v>
      </c>
      <c r="F238" s="121">
        <v>300.0</v>
      </c>
      <c r="G238" s="121">
        <v>1425.0</v>
      </c>
      <c r="H238" s="122">
        <v>445.0</v>
      </c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4.25" customHeight="1">
      <c r="A239" s="114" t="s">
        <v>747</v>
      </c>
      <c r="B239" s="114" t="s">
        <v>1491</v>
      </c>
      <c r="C239" s="120" t="s">
        <v>1725</v>
      </c>
      <c r="D239" s="121">
        <v>1005.0</v>
      </c>
      <c r="E239" s="121">
        <v>120.0</v>
      </c>
      <c r="F239" s="121">
        <v>300.0</v>
      </c>
      <c r="G239" s="121">
        <v>1425.0</v>
      </c>
      <c r="H239" s="122">
        <v>445.0</v>
      </c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4.25" customHeight="1">
      <c r="A240" s="114" t="s">
        <v>747</v>
      </c>
      <c r="B240" s="114" t="s">
        <v>1491</v>
      </c>
      <c r="C240" s="120" t="s">
        <v>1726</v>
      </c>
      <c r="D240" s="121">
        <v>2575.0</v>
      </c>
      <c r="E240" s="121">
        <v>70.0</v>
      </c>
      <c r="F240" s="121">
        <v>175.0</v>
      </c>
      <c r="G240" s="121">
        <v>2820.0</v>
      </c>
      <c r="H240" s="122">
        <v>2045.0</v>
      </c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4.25" customHeight="1">
      <c r="A241" s="114" t="s">
        <v>747</v>
      </c>
      <c r="B241" s="114" t="s">
        <v>1491</v>
      </c>
      <c r="C241" s="120" t="s">
        <v>1727</v>
      </c>
      <c r="D241" s="121">
        <v>2575.0</v>
      </c>
      <c r="E241" s="121">
        <v>70.0</v>
      </c>
      <c r="F241" s="121">
        <v>175.0</v>
      </c>
      <c r="G241" s="121">
        <v>2820.0</v>
      </c>
      <c r="H241" s="122">
        <v>2045.0</v>
      </c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4.25" customHeight="1">
      <c r="A242" s="114" t="s">
        <v>747</v>
      </c>
      <c r="B242" s="114" t="s">
        <v>1491</v>
      </c>
      <c r="C242" s="123" t="s">
        <v>1728</v>
      </c>
      <c r="D242" s="121">
        <v>2180.0</v>
      </c>
      <c r="E242" s="121">
        <v>150.0</v>
      </c>
      <c r="F242" s="121">
        <v>500.0</v>
      </c>
      <c r="G242" s="121">
        <v>2830.0</v>
      </c>
      <c r="H242" s="122">
        <v>1500.0</v>
      </c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4.25" customHeight="1">
      <c r="A243" s="114" t="s">
        <v>747</v>
      </c>
      <c r="B243" s="114" t="s">
        <v>1491</v>
      </c>
      <c r="C243" s="123" t="s">
        <v>1729</v>
      </c>
      <c r="D243" s="121">
        <v>2800.0</v>
      </c>
      <c r="E243" s="121">
        <v>300.0</v>
      </c>
      <c r="F243" s="121">
        <v>305.0</v>
      </c>
      <c r="G243" s="121">
        <v>3405.0</v>
      </c>
      <c r="H243" s="122">
        <v>1500.0</v>
      </c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4.25" customHeight="1">
      <c r="A244" s="114" t="s">
        <v>747</v>
      </c>
      <c r="B244" s="114" t="s">
        <v>1491</v>
      </c>
      <c r="C244" s="120" t="s">
        <v>1730</v>
      </c>
      <c r="D244" s="121">
        <v>5000.0</v>
      </c>
      <c r="E244" s="121">
        <v>800.0</v>
      </c>
      <c r="F244" s="121">
        <v>1200.0</v>
      </c>
      <c r="G244" s="121">
        <v>7000.0</v>
      </c>
      <c r="H244" s="122">
        <v>0.0</v>
      </c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4.25" customHeight="1">
      <c r="A245" s="114" t="s">
        <v>747</v>
      </c>
      <c r="B245" s="114" t="s">
        <v>1491</v>
      </c>
      <c r="C245" s="120" t="s">
        <v>1731</v>
      </c>
      <c r="D245" s="121">
        <v>4055.0</v>
      </c>
      <c r="E245" s="121">
        <v>300.0</v>
      </c>
      <c r="F245" s="121">
        <v>500.0</v>
      </c>
      <c r="G245" s="121">
        <v>4855.0</v>
      </c>
      <c r="H245" s="122">
        <v>1855.0</v>
      </c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4.25" customHeight="1">
      <c r="A246" s="114" t="s">
        <v>747</v>
      </c>
      <c r="B246" s="114" t="s">
        <v>1491</v>
      </c>
      <c r="C246" s="120" t="s">
        <v>1732</v>
      </c>
      <c r="D246" s="121">
        <v>1005.0</v>
      </c>
      <c r="E246" s="121">
        <v>120.0</v>
      </c>
      <c r="F246" s="121">
        <v>300.0</v>
      </c>
      <c r="G246" s="121">
        <v>1425.0</v>
      </c>
      <c r="H246" s="122">
        <v>445.0</v>
      </c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4.25" customHeight="1">
      <c r="A247" s="114" t="s">
        <v>747</v>
      </c>
      <c r="B247" s="114" t="s">
        <v>1491</v>
      </c>
      <c r="C247" s="120" t="s">
        <v>1733</v>
      </c>
      <c r="D247" s="121">
        <v>22500.0</v>
      </c>
      <c r="E247" s="121">
        <v>2500.0</v>
      </c>
      <c r="F247" s="121">
        <v>3000.0</v>
      </c>
      <c r="G247" s="121">
        <v>28000.0</v>
      </c>
      <c r="H247" s="122">
        <v>0.0</v>
      </c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4.25" customHeight="1">
      <c r="A248" s="114" t="s">
        <v>747</v>
      </c>
      <c r="B248" s="114" t="s">
        <v>1491</v>
      </c>
      <c r="C248" s="120" t="s">
        <v>1734</v>
      </c>
      <c r="D248" s="121">
        <v>1005.0</v>
      </c>
      <c r="E248" s="121">
        <v>120.0</v>
      </c>
      <c r="F248" s="121">
        <v>300.0</v>
      </c>
      <c r="G248" s="121">
        <v>1425.0</v>
      </c>
      <c r="H248" s="122">
        <v>445.0</v>
      </c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4.25" customHeight="1">
      <c r="A249" s="114" t="s">
        <v>747</v>
      </c>
      <c r="B249" s="114" t="s">
        <v>1491</v>
      </c>
      <c r="C249" s="125" t="s">
        <v>1735</v>
      </c>
      <c r="D249" s="121">
        <v>31500.0</v>
      </c>
      <c r="E249" s="121">
        <v>3500.0</v>
      </c>
      <c r="F249" s="121">
        <v>3000.0</v>
      </c>
      <c r="G249" s="121">
        <v>38000.0</v>
      </c>
      <c r="H249" s="122">
        <v>13000.0</v>
      </c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4.25" customHeight="1">
      <c r="A250" s="114" t="s">
        <v>747</v>
      </c>
      <c r="B250" s="114" t="s">
        <v>1491</v>
      </c>
      <c r="C250" s="120" t="s">
        <v>1736</v>
      </c>
      <c r="D250" s="121">
        <v>990.0</v>
      </c>
      <c r="E250" s="121">
        <v>125.0</v>
      </c>
      <c r="F250" s="121">
        <v>300.0</v>
      </c>
      <c r="G250" s="121">
        <v>1415.0</v>
      </c>
      <c r="H250" s="122">
        <v>405.0</v>
      </c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4.25" customHeight="1">
      <c r="A251" s="114" t="s">
        <v>747</v>
      </c>
      <c r="B251" s="114" t="s">
        <v>1491</v>
      </c>
      <c r="C251" s="120" t="s">
        <v>1737</v>
      </c>
      <c r="D251" s="121">
        <v>2715.0</v>
      </c>
      <c r="E251" s="121">
        <v>190.0</v>
      </c>
      <c r="F251" s="121">
        <v>310.0</v>
      </c>
      <c r="G251" s="121">
        <v>3215.0</v>
      </c>
      <c r="H251" s="122">
        <v>1715.0</v>
      </c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4.25" customHeight="1">
      <c r="A252" s="114" t="s">
        <v>747</v>
      </c>
      <c r="B252" s="114" t="s">
        <v>1491</v>
      </c>
      <c r="C252" s="120" t="s">
        <v>1738</v>
      </c>
      <c r="D252" s="121">
        <v>3375.0</v>
      </c>
      <c r="E252" s="121">
        <v>200.0</v>
      </c>
      <c r="F252" s="121">
        <v>500.0</v>
      </c>
      <c r="G252" s="121">
        <v>4075.0</v>
      </c>
      <c r="H252" s="122">
        <v>425.0</v>
      </c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4.25" customHeight="1">
      <c r="A253" s="114" t="s">
        <v>747</v>
      </c>
      <c r="B253" s="114" t="s">
        <v>1491</v>
      </c>
      <c r="C253" s="123" t="s">
        <v>1739</v>
      </c>
      <c r="D253" s="121">
        <v>2660.0</v>
      </c>
      <c r="E253" s="121">
        <v>280.0</v>
      </c>
      <c r="F253" s="121">
        <v>710.0</v>
      </c>
      <c r="G253" s="121">
        <v>3650.0</v>
      </c>
      <c r="H253" s="122">
        <v>1500.0</v>
      </c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4.25" customHeight="1">
      <c r="A254" s="114" t="s">
        <v>747</v>
      </c>
      <c r="B254" s="114" t="s">
        <v>1491</v>
      </c>
      <c r="C254" s="123" t="s">
        <v>1740</v>
      </c>
      <c r="D254" s="121">
        <v>2660.0</v>
      </c>
      <c r="E254" s="121">
        <v>280.0</v>
      </c>
      <c r="F254" s="121">
        <v>710.0</v>
      </c>
      <c r="G254" s="121">
        <v>3650.0</v>
      </c>
      <c r="H254" s="122">
        <v>1500.0</v>
      </c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4.25" customHeight="1">
      <c r="A255" s="114" t="s">
        <v>747</v>
      </c>
      <c r="B255" s="114" t="s">
        <v>1491</v>
      </c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4.25" customHeight="1">
      <c r="A256" s="114" t="s">
        <v>747</v>
      </c>
      <c r="B256" s="114" t="s">
        <v>1491</v>
      </c>
      <c r="C256" s="120" t="s">
        <v>1741</v>
      </c>
      <c r="D256" s="121">
        <v>2715.0</v>
      </c>
      <c r="E256" s="121">
        <v>190.0</v>
      </c>
      <c r="F256" s="121">
        <v>310.0</v>
      </c>
      <c r="G256" s="121">
        <v>3215.0</v>
      </c>
      <c r="H256" s="122">
        <v>1715.0</v>
      </c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4.25" customHeight="1">
      <c r="A257" s="114" t="s">
        <v>747</v>
      </c>
      <c r="B257" s="114" t="s">
        <v>1491</v>
      </c>
      <c r="C257" s="123" t="s">
        <v>1742</v>
      </c>
      <c r="D257" s="121">
        <v>2055.0</v>
      </c>
      <c r="E257" s="121">
        <v>70.0</v>
      </c>
      <c r="F257" s="121">
        <v>175.0</v>
      </c>
      <c r="G257" s="121">
        <v>2300.0</v>
      </c>
      <c r="H257" s="122">
        <v>1500.0</v>
      </c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4.25" customHeight="1">
      <c r="A258" s="124" t="s">
        <v>747</v>
      </c>
      <c r="B258" s="124" t="s">
        <v>1491</v>
      </c>
      <c r="C258" s="125" t="s">
        <v>1743</v>
      </c>
      <c r="D258" s="121">
        <v>1520.0</v>
      </c>
      <c r="E258" s="121">
        <v>200.0</v>
      </c>
      <c r="F258" s="121">
        <v>280.0</v>
      </c>
      <c r="G258" s="121">
        <v>2000.0</v>
      </c>
      <c r="H258" s="122">
        <v>0.0</v>
      </c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4.25" customHeight="1">
      <c r="A259" s="114" t="s">
        <v>747</v>
      </c>
      <c r="B259" s="114" t="s">
        <v>1491</v>
      </c>
      <c r="C259" s="123" t="s">
        <v>1744</v>
      </c>
      <c r="D259" s="121">
        <v>2000.0</v>
      </c>
      <c r="E259" s="121">
        <v>100.0</v>
      </c>
      <c r="F259" s="121">
        <v>200.0</v>
      </c>
      <c r="G259" s="121">
        <v>2300.0</v>
      </c>
      <c r="H259" s="122">
        <v>1500.0</v>
      </c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4.25" customHeight="1">
      <c r="A260" s="114" t="s">
        <v>747</v>
      </c>
      <c r="B260" s="114" t="s">
        <v>1491</v>
      </c>
      <c r="C260" s="123" t="s">
        <v>1745</v>
      </c>
      <c r="D260" s="121">
        <v>4040.0</v>
      </c>
      <c r="E260" s="121">
        <v>500.0</v>
      </c>
      <c r="F260" s="121">
        <v>700.0</v>
      </c>
      <c r="G260" s="121">
        <v>5240.0</v>
      </c>
      <c r="H260" s="122">
        <v>2615.0</v>
      </c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4.25" customHeight="1">
      <c r="A261" s="114" t="s">
        <v>747</v>
      </c>
      <c r="B261" s="114" t="s">
        <v>1491</v>
      </c>
      <c r="C261" s="120" t="s">
        <v>1746</v>
      </c>
      <c r="D261" s="121">
        <v>3180.0</v>
      </c>
      <c r="E261" s="121">
        <v>330.0</v>
      </c>
      <c r="F261" s="121">
        <v>615.0</v>
      </c>
      <c r="G261" s="121">
        <v>4125.0</v>
      </c>
      <c r="H261" s="122">
        <v>1550.0</v>
      </c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4.25" customHeight="1">
      <c r="A262" s="114" t="s">
        <v>747</v>
      </c>
      <c r="B262" s="114" t="s">
        <v>1491</v>
      </c>
      <c r="C262" s="123" t="s">
        <v>1747</v>
      </c>
      <c r="D262" s="121">
        <v>2500.0</v>
      </c>
      <c r="E262" s="121">
        <v>200.0</v>
      </c>
      <c r="F262" s="121">
        <v>500.0</v>
      </c>
      <c r="G262" s="121">
        <v>3200.0</v>
      </c>
      <c r="H262" s="122">
        <v>1500.0</v>
      </c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4.25" customHeight="1">
      <c r="A263" s="114" t="s">
        <v>747</v>
      </c>
      <c r="B263" s="114" t="s">
        <v>1491</v>
      </c>
      <c r="C263" s="120" t="s">
        <v>1748</v>
      </c>
      <c r="D263" s="121">
        <v>3375.0</v>
      </c>
      <c r="E263" s="121">
        <v>185.0</v>
      </c>
      <c r="F263" s="121">
        <v>440.0</v>
      </c>
      <c r="G263" s="121">
        <v>4000.0</v>
      </c>
      <c r="H263" s="122">
        <v>0.0</v>
      </c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4.25" customHeight="1">
      <c r="A264" s="114" t="s">
        <v>747</v>
      </c>
      <c r="B264" s="114" t="s">
        <v>1491</v>
      </c>
      <c r="C264" s="123" t="s">
        <v>1749</v>
      </c>
      <c r="D264" s="121">
        <v>3600.0</v>
      </c>
      <c r="E264" s="121">
        <v>300.0</v>
      </c>
      <c r="F264" s="121">
        <v>600.0</v>
      </c>
      <c r="G264" s="121">
        <v>4500.0</v>
      </c>
      <c r="H264" s="122">
        <v>1500.0</v>
      </c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4.25" customHeight="1">
      <c r="A265" s="114" t="s">
        <v>747</v>
      </c>
      <c r="B265" s="114" t="s">
        <v>1491</v>
      </c>
      <c r="C265" s="123" t="s">
        <v>1750</v>
      </c>
      <c r="D265" s="121">
        <v>2170.0</v>
      </c>
      <c r="E265" s="121">
        <v>200.0</v>
      </c>
      <c r="F265" s="121">
        <v>400.0</v>
      </c>
      <c r="G265" s="121">
        <v>2770.0</v>
      </c>
      <c r="H265" s="122">
        <v>1500.0</v>
      </c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4.25" customHeight="1">
      <c r="A266" s="114" t="s">
        <v>747</v>
      </c>
      <c r="B266" s="114" t="s">
        <v>1491</v>
      </c>
      <c r="C266" s="120" t="s">
        <v>1751</v>
      </c>
      <c r="D266" s="121">
        <v>2300.0</v>
      </c>
      <c r="E266" s="121">
        <v>250.0</v>
      </c>
      <c r="F266" s="121">
        <v>460.0</v>
      </c>
      <c r="G266" s="121">
        <v>3010.0</v>
      </c>
      <c r="H266" s="122">
        <v>1410.0</v>
      </c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4.25" customHeight="1">
      <c r="A267" s="114" t="s">
        <v>747</v>
      </c>
      <c r="B267" s="114" t="s">
        <v>1491</v>
      </c>
      <c r="C267" s="123" t="s">
        <v>1752</v>
      </c>
      <c r="D267" s="121">
        <v>2038.0</v>
      </c>
      <c r="E267" s="121">
        <v>118.0</v>
      </c>
      <c r="F267" s="121">
        <v>294.0</v>
      </c>
      <c r="G267" s="121">
        <v>2450.0</v>
      </c>
      <c r="H267" s="122">
        <v>1500.0</v>
      </c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4.25" customHeight="1">
      <c r="A268" s="114" t="s">
        <v>747</v>
      </c>
      <c r="B268" s="114" t="s">
        <v>1491</v>
      </c>
      <c r="C268" s="123" t="s">
        <v>1753</v>
      </c>
      <c r="D268" s="121">
        <v>2038.0</v>
      </c>
      <c r="E268" s="121">
        <v>118.0</v>
      </c>
      <c r="F268" s="121">
        <v>294.0</v>
      </c>
      <c r="G268" s="121">
        <v>2450.0</v>
      </c>
      <c r="H268" s="122">
        <v>1500.0</v>
      </c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4.25" customHeight="1">
      <c r="A269" s="114" t="s">
        <v>747</v>
      </c>
      <c r="B269" s="114" t="s">
        <v>1491</v>
      </c>
      <c r="C269" s="120" t="s">
        <v>1754</v>
      </c>
      <c r="D269" s="121">
        <v>3375.0</v>
      </c>
      <c r="E269" s="121">
        <v>185.0</v>
      </c>
      <c r="F269" s="121">
        <v>440.0</v>
      </c>
      <c r="G269" s="121">
        <v>4000.0</v>
      </c>
      <c r="H269" s="122">
        <v>0.0</v>
      </c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4.25" customHeight="1">
      <c r="A270" s="114" t="s">
        <v>747</v>
      </c>
      <c r="B270" s="114" t="s">
        <v>1491</v>
      </c>
      <c r="C270" s="123" t="s">
        <v>1755</v>
      </c>
      <c r="D270" s="121">
        <v>2500.0</v>
      </c>
      <c r="E270" s="121">
        <v>200.0</v>
      </c>
      <c r="F270" s="121">
        <v>500.0</v>
      </c>
      <c r="G270" s="121">
        <v>3200.0</v>
      </c>
      <c r="H270" s="122">
        <v>1500.0</v>
      </c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4.25" customHeight="1">
      <c r="A271" s="83"/>
      <c r="B271" s="83"/>
      <c r="C271" s="83"/>
      <c r="D271" s="126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4.25" customHeight="1">
      <c r="A272" s="83"/>
      <c r="B272" s="83"/>
      <c r="C272" s="83"/>
      <c r="D272" s="126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4.25" customHeight="1">
      <c r="A273" s="83"/>
      <c r="B273" s="83"/>
      <c r="C273" s="83"/>
      <c r="D273" s="126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4.25" customHeight="1">
      <c r="A274" s="83"/>
      <c r="B274" s="83"/>
      <c r="C274" s="83"/>
      <c r="D274" s="126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4.25" customHeight="1">
      <c r="A275" s="83"/>
      <c r="B275" s="83"/>
      <c r="C275" s="83"/>
      <c r="D275" s="126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4.25" customHeight="1">
      <c r="A276" s="83"/>
      <c r="B276" s="83"/>
      <c r="C276" s="83"/>
      <c r="D276" s="126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4.25" customHeight="1">
      <c r="A277" s="83"/>
      <c r="B277" s="83"/>
      <c r="C277" s="83"/>
      <c r="D277" s="126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4.25" customHeight="1">
      <c r="A278" s="83"/>
      <c r="B278" s="83"/>
      <c r="C278" s="83"/>
      <c r="D278" s="126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4.25" customHeight="1">
      <c r="A279" s="83"/>
      <c r="B279" s="83"/>
      <c r="C279" s="83"/>
      <c r="D279" s="126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4.25" customHeight="1">
      <c r="A280" s="83"/>
      <c r="B280" s="83"/>
      <c r="C280" s="83"/>
      <c r="D280" s="126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4.25" customHeight="1">
      <c r="A281" s="83"/>
      <c r="B281" s="83"/>
      <c r="C281" s="83"/>
      <c r="D281" s="126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4.25" customHeight="1">
      <c r="A282" s="83"/>
      <c r="B282" s="83"/>
      <c r="C282" s="83"/>
      <c r="D282" s="126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4.25" customHeight="1">
      <c r="A283" s="83"/>
      <c r="B283" s="83"/>
      <c r="C283" s="83"/>
      <c r="D283" s="126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4.25" customHeight="1">
      <c r="A284" s="83"/>
      <c r="B284" s="83"/>
      <c r="C284" s="83"/>
      <c r="D284" s="126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4.25" customHeight="1">
      <c r="A285" s="83"/>
      <c r="B285" s="83"/>
      <c r="C285" s="83"/>
      <c r="D285" s="126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4.25" customHeight="1">
      <c r="A286" s="83"/>
      <c r="B286" s="83"/>
      <c r="C286" s="83"/>
      <c r="D286" s="126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4.25" customHeight="1">
      <c r="A287" s="83"/>
      <c r="B287" s="83"/>
      <c r="C287" s="83"/>
      <c r="D287" s="126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4.25" customHeight="1">
      <c r="A288" s="83"/>
      <c r="B288" s="83"/>
      <c r="C288" s="83"/>
      <c r="D288" s="126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4.25" customHeight="1">
      <c r="A289" s="83"/>
      <c r="B289" s="83"/>
      <c r="C289" s="83"/>
      <c r="D289" s="126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4.25" customHeight="1">
      <c r="A290" s="83"/>
      <c r="B290" s="83"/>
      <c r="C290" s="83"/>
      <c r="D290" s="126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4.25" customHeight="1">
      <c r="A291" s="83"/>
      <c r="B291" s="83"/>
      <c r="C291" s="83"/>
      <c r="D291" s="126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4.25" customHeight="1">
      <c r="A292" s="83"/>
      <c r="B292" s="83"/>
      <c r="C292" s="83"/>
      <c r="D292" s="126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4.25" customHeight="1">
      <c r="A293" s="83"/>
      <c r="B293" s="83"/>
      <c r="C293" s="83"/>
      <c r="D293" s="126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4.25" customHeight="1">
      <c r="A294" s="83"/>
      <c r="B294" s="83"/>
      <c r="C294" s="83"/>
      <c r="D294" s="126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4.25" customHeight="1">
      <c r="A295" s="83"/>
      <c r="B295" s="83"/>
      <c r="C295" s="83"/>
      <c r="D295" s="126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4.25" customHeight="1">
      <c r="A296" s="83"/>
      <c r="B296" s="83"/>
      <c r="C296" s="83"/>
      <c r="D296" s="126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4.25" customHeight="1">
      <c r="A297" s="83"/>
      <c r="B297" s="83"/>
      <c r="C297" s="83"/>
      <c r="D297" s="126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4.25" customHeight="1">
      <c r="A298" s="83"/>
      <c r="B298" s="83"/>
      <c r="C298" s="83"/>
      <c r="D298" s="126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4.25" customHeight="1">
      <c r="A299" s="83"/>
      <c r="B299" s="83"/>
      <c r="C299" s="83"/>
      <c r="D299" s="126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4.25" customHeight="1">
      <c r="A300" s="83"/>
      <c r="B300" s="83"/>
      <c r="C300" s="83"/>
      <c r="D300" s="126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4.25" customHeight="1">
      <c r="A301" s="83"/>
      <c r="B301" s="83"/>
      <c r="C301" s="83"/>
      <c r="D301" s="126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4.25" customHeight="1">
      <c r="A302" s="83"/>
      <c r="B302" s="83"/>
      <c r="C302" s="83"/>
      <c r="D302" s="126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4.25" customHeight="1">
      <c r="A303" s="83"/>
      <c r="B303" s="83"/>
      <c r="C303" s="83"/>
      <c r="D303" s="126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4.25" customHeight="1">
      <c r="A304" s="83"/>
      <c r="B304" s="83"/>
      <c r="C304" s="83"/>
      <c r="D304" s="126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4.25" customHeight="1">
      <c r="A305" s="83"/>
      <c r="B305" s="83"/>
      <c r="C305" s="83"/>
      <c r="D305" s="126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4.25" customHeight="1">
      <c r="A306" s="83"/>
      <c r="B306" s="83"/>
      <c r="C306" s="83"/>
      <c r="D306" s="126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4.25" customHeight="1">
      <c r="A307" s="83"/>
      <c r="B307" s="83"/>
      <c r="C307" s="83"/>
      <c r="D307" s="126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4.25" customHeight="1">
      <c r="A308" s="83"/>
      <c r="B308" s="83"/>
      <c r="C308" s="83"/>
      <c r="D308" s="126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4.25" customHeight="1">
      <c r="A309" s="83"/>
      <c r="B309" s="83"/>
      <c r="C309" s="83"/>
      <c r="D309" s="126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4.25" customHeight="1">
      <c r="A310" s="83"/>
      <c r="B310" s="83"/>
      <c r="C310" s="83"/>
      <c r="D310" s="126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4.25" customHeight="1">
      <c r="A311" s="83"/>
      <c r="B311" s="83"/>
      <c r="C311" s="83"/>
      <c r="D311" s="126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4.25" customHeight="1">
      <c r="A312" s="83"/>
      <c r="B312" s="83"/>
      <c r="C312" s="83"/>
      <c r="D312" s="126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4.25" customHeight="1">
      <c r="A313" s="83"/>
      <c r="B313" s="83"/>
      <c r="C313" s="83"/>
      <c r="D313" s="126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4.25" customHeight="1">
      <c r="A314" s="83"/>
      <c r="B314" s="83"/>
      <c r="C314" s="83"/>
      <c r="D314" s="126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4.25" customHeight="1">
      <c r="A315" s="83"/>
      <c r="B315" s="83"/>
      <c r="C315" s="83"/>
      <c r="D315" s="126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4.25" customHeight="1">
      <c r="A316" s="83"/>
      <c r="B316" s="83"/>
      <c r="C316" s="83"/>
      <c r="D316" s="126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4.25" customHeight="1">
      <c r="A317" s="83"/>
      <c r="B317" s="83"/>
      <c r="C317" s="83"/>
      <c r="D317" s="126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4.25" customHeight="1">
      <c r="A318" s="83"/>
      <c r="B318" s="83"/>
      <c r="C318" s="83"/>
      <c r="D318" s="126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4.25" customHeight="1">
      <c r="A319" s="83"/>
      <c r="B319" s="83"/>
      <c r="C319" s="83"/>
      <c r="D319" s="126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4.25" customHeight="1">
      <c r="A320" s="83"/>
      <c r="B320" s="83"/>
      <c r="C320" s="83"/>
      <c r="D320" s="126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4.25" customHeight="1">
      <c r="A321" s="83"/>
      <c r="B321" s="83"/>
      <c r="C321" s="83"/>
      <c r="D321" s="126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4.25" customHeight="1">
      <c r="A322" s="83"/>
      <c r="B322" s="83"/>
      <c r="C322" s="83"/>
      <c r="D322" s="126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4.25" customHeight="1">
      <c r="A323" s="83"/>
      <c r="B323" s="83"/>
      <c r="C323" s="83"/>
      <c r="D323" s="126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4.25" customHeight="1">
      <c r="A324" s="83"/>
      <c r="B324" s="83"/>
      <c r="C324" s="83"/>
      <c r="D324" s="126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4.25" customHeight="1">
      <c r="A325" s="83"/>
      <c r="B325" s="83"/>
      <c r="C325" s="83"/>
      <c r="D325" s="126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4.25" customHeight="1">
      <c r="A326" s="83"/>
      <c r="B326" s="83"/>
      <c r="C326" s="83"/>
      <c r="D326" s="126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4.25" customHeight="1">
      <c r="A327" s="83"/>
      <c r="B327" s="83"/>
      <c r="C327" s="83"/>
      <c r="D327" s="126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4.25" customHeight="1">
      <c r="A328" s="83"/>
      <c r="B328" s="83"/>
      <c r="C328" s="83"/>
      <c r="D328" s="126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4.25" customHeight="1">
      <c r="A329" s="83"/>
      <c r="B329" s="83"/>
      <c r="C329" s="83"/>
      <c r="D329" s="126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4.25" customHeight="1">
      <c r="A330" s="83"/>
      <c r="B330" s="83"/>
      <c r="C330" s="83"/>
      <c r="D330" s="126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4.25" customHeight="1">
      <c r="A331" s="83"/>
      <c r="B331" s="83"/>
      <c r="C331" s="83"/>
      <c r="D331" s="126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4.25" customHeight="1">
      <c r="A332" s="83"/>
      <c r="B332" s="83"/>
      <c r="C332" s="83"/>
      <c r="D332" s="126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4.25" customHeight="1">
      <c r="A333" s="83"/>
      <c r="B333" s="83"/>
      <c r="C333" s="83"/>
      <c r="D333" s="126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4.25" customHeight="1">
      <c r="A334" s="83"/>
      <c r="B334" s="83"/>
      <c r="C334" s="83"/>
      <c r="D334" s="126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4.25" customHeight="1">
      <c r="A335" s="83"/>
      <c r="B335" s="83"/>
      <c r="C335" s="83"/>
      <c r="D335" s="126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4.25" customHeight="1">
      <c r="A336" s="83"/>
      <c r="B336" s="83"/>
      <c r="C336" s="83"/>
      <c r="D336" s="126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4.25" customHeight="1">
      <c r="A337" s="83"/>
      <c r="B337" s="83"/>
      <c r="C337" s="83"/>
      <c r="D337" s="126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4.25" customHeight="1">
      <c r="A338" s="83"/>
      <c r="B338" s="83"/>
      <c r="C338" s="83"/>
      <c r="D338" s="126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4.25" customHeight="1">
      <c r="A339" s="83"/>
      <c r="B339" s="83"/>
      <c r="C339" s="83"/>
      <c r="D339" s="126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4.25" customHeight="1">
      <c r="A340" s="83"/>
      <c r="B340" s="83"/>
      <c r="C340" s="83"/>
      <c r="D340" s="126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4.25" customHeight="1">
      <c r="A341" s="83"/>
      <c r="B341" s="83"/>
      <c r="C341" s="83"/>
      <c r="D341" s="126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4.25" customHeight="1">
      <c r="A342" s="83"/>
      <c r="B342" s="83"/>
      <c r="C342" s="83"/>
      <c r="D342" s="126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4.25" customHeight="1">
      <c r="A343" s="83"/>
      <c r="B343" s="83"/>
      <c r="C343" s="83"/>
      <c r="D343" s="126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4.25" customHeight="1">
      <c r="A344" s="83"/>
      <c r="B344" s="83"/>
      <c r="C344" s="83"/>
      <c r="D344" s="126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4.25" customHeight="1">
      <c r="A345" s="83"/>
      <c r="B345" s="83"/>
      <c r="C345" s="83"/>
      <c r="D345" s="126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4.25" customHeight="1">
      <c r="A346" s="83"/>
      <c r="B346" s="83"/>
      <c r="C346" s="83"/>
      <c r="D346" s="126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4.25" customHeight="1">
      <c r="A347" s="83"/>
      <c r="B347" s="83"/>
      <c r="C347" s="83"/>
      <c r="D347" s="126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4.25" customHeight="1">
      <c r="A348" s="83"/>
      <c r="B348" s="83"/>
      <c r="C348" s="83"/>
      <c r="D348" s="126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4.25" customHeight="1">
      <c r="A349" s="83"/>
      <c r="B349" s="83"/>
      <c r="C349" s="83"/>
      <c r="D349" s="126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4.25" customHeight="1">
      <c r="A350" s="83"/>
      <c r="B350" s="83"/>
      <c r="C350" s="83"/>
      <c r="D350" s="126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4.25" customHeight="1">
      <c r="A351" s="83"/>
      <c r="B351" s="83"/>
      <c r="C351" s="83"/>
      <c r="D351" s="126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4.25" customHeight="1">
      <c r="A352" s="83"/>
      <c r="B352" s="83"/>
      <c r="C352" s="83"/>
      <c r="D352" s="126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4.25" customHeight="1">
      <c r="A353" s="83"/>
      <c r="B353" s="83"/>
      <c r="C353" s="83"/>
      <c r="D353" s="126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4.25" customHeight="1">
      <c r="A354" s="83"/>
      <c r="B354" s="83"/>
      <c r="C354" s="83"/>
      <c r="D354" s="126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4.25" customHeight="1">
      <c r="A355" s="83"/>
      <c r="B355" s="83"/>
      <c r="C355" s="83"/>
      <c r="D355" s="126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4.25" customHeight="1">
      <c r="A356" s="83"/>
      <c r="B356" s="83"/>
      <c r="C356" s="83"/>
      <c r="D356" s="126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4.25" customHeight="1">
      <c r="A357" s="83"/>
      <c r="B357" s="83"/>
      <c r="C357" s="83"/>
      <c r="D357" s="126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4.25" customHeight="1">
      <c r="A358" s="83"/>
      <c r="B358" s="83"/>
      <c r="C358" s="83"/>
      <c r="D358" s="126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4.25" customHeight="1">
      <c r="A359" s="83"/>
      <c r="B359" s="83"/>
      <c r="C359" s="83"/>
      <c r="D359" s="126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4.25" customHeight="1">
      <c r="A360" s="83"/>
      <c r="B360" s="83"/>
      <c r="C360" s="83"/>
      <c r="D360" s="126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4.25" customHeight="1">
      <c r="A361" s="83"/>
      <c r="B361" s="83"/>
      <c r="C361" s="83"/>
      <c r="D361" s="126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4.25" customHeight="1">
      <c r="A362" s="83"/>
      <c r="B362" s="83"/>
      <c r="C362" s="83"/>
      <c r="D362" s="126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4.25" customHeight="1">
      <c r="A363" s="83"/>
      <c r="B363" s="83"/>
      <c r="C363" s="83"/>
      <c r="D363" s="126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4.25" customHeight="1">
      <c r="A364" s="83"/>
      <c r="B364" s="83"/>
      <c r="C364" s="83"/>
      <c r="D364" s="126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4.25" customHeight="1">
      <c r="A365" s="83"/>
      <c r="B365" s="83"/>
      <c r="C365" s="83"/>
      <c r="D365" s="126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4.25" customHeight="1">
      <c r="A366" s="83"/>
      <c r="B366" s="83"/>
      <c r="C366" s="83"/>
      <c r="D366" s="126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4.25" customHeight="1">
      <c r="A367" s="83"/>
      <c r="B367" s="83"/>
      <c r="C367" s="83"/>
      <c r="D367" s="126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4.25" customHeight="1">
      <c r="A368" s="83"/>
      <c r="B368" s="83"/>
      <c r="C368" s="83"/>
      <c r="D368" s="126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4.25" customHeight="1">
      <c r="A369" s="83"/>
      <c r="B369" s="83"/>
      <c r="C369" s="83"/>
      <c r="D369" s="126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4.25" customHeight="1">
      <c r="A370" s="83"/>
      <c r="B370" s="83"/>
      <c r="C370" s="83"/>
      <c r="D370" s="126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4.25" customHeight="1">
      <c r="A371" s="83"/>
      <c r="B371" s="83"/>
      <c r="C371" s="83"/>
      <c r="D371" s="126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4.25" customHeight="1">
      <c r="A372" s="83"/>
      <c r="B372" s="83"/>
      <c r="C372" s="83"/>
      <c r="D372" s="126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4.25" customHeight="1">
      <c r="A373" s="83"/>
      <c r="B373" s="83"/>
      <c r="C373" s="83"/>
      <c r="D373" s="126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4.25" customHeight="1">
      <c r="A374" s="83"/>
      <c r="B374" s="83"/>
      <c r="C374" s="83"/>
      <c r="D374" s="126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4.25" customHeight="1">
      <c r="A375" s="83"/>
      <c r="B375" s="83"/>
      <c r="C375" s="83"/>
      <c r="D375" s="126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4.25" customHeight="1">
      <c r="A376" s="83"/>
      <c r="B376" s="83"/>
      <c r="C376" s="83"/>
      <c r="D376" s="126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4.25" customHeight="1">
      <c r="A377" s="83"/>
      <c r="B377" s="83"/>
      <c r="C377" s="83"/>
      <c r="D377" s="126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4.25" customHeight="1">
      <c r="A378" s="83"/>
      <c r="B378" s="83"/>
      <c r="C378" s="83"/>
      <c r="D378" s="126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4.25" customHeight="1">
      <c r="A379" s="83"/>
      <c r="B379" s="83"/>
      <c r="C379" s="83"/>
      <c r="D379" s="126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4.25" customHeight="1">
      <c r="A380" s="83"/>
      <c r="B380" s="83"/>
      <c r="C380" s="83"/>
      <c r="D380" s="126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4.25" customHeight="1">
      <c r="A381" s="83"/>
      <c r="B381" s="83"/>
      <c r="C381" s="83"/>
      <c r="D381" s="126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4.25" customHeight="1">
      <c r="A382" s="83"/>
      <c r="B382" s="83"/>
      <c r="C382" s="83"/>
      <c r="D382" s="126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4.25" customHeight="1">
      <c r="A383" s="83"/>
      <c r="B383" s="83"/>
      <c r="C383" s="83"/>
      <c r="D383" s="126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4.25" customHeight="1">
      <c r="A384" s="83"/>
      <c r="B384" s="83"/>
      <c r="C384" s="83"/>
      <c r="D384" s="126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4.25" customHeight="1">
      <c r="A385" s="83"/>
      <c r="B385" s="83"/>
      <c r="C385" s="83"/>
      <c r="D385" s="126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4.25" customHeight="1">
      <c r="A386" s="83"/>
      <c r="B386" s="83"/>
      <c r="C386" s="83"/>
      <c r="D386" s="126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4.25" customHeight="1">
      <c r="A387" s="83"/>
      <c r="B387" s="83"/>
      <c r="C387" s="83"/>
      <c r="D387" s="126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4.25" customHeight="1">
      <c r="A388" s="83"/>
      <c r="B388" s="83"/>
      <c r="C388" s="83"/>
      <c r="D388" s="126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4.25" customHeight="1">
      <c r="A389" s="83"/>
      <c r="B389" s="83"/>
      <c r="C389" s="83"/>
      <c r="D389" s="126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4.25" customHeight="1">
      <c r="A390" s="83"/>
      <c r="B390" s="83"/>
      <c r="C390" s="83"/>
      <c r="D390" s="126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4.25" customHeight="1">
      <c r="A391" s="83"/>
      <c r="B391" s="83"/>
      <c r="C391" s="83"/>
      <c r="D391" s="126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4.25" customHeight="1">
      <c r="A392" s="83"/>
      <c r="B392" s="83"/>
      <c r="C392" s="83"/>
      <c r="D392" s="126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4.25" customHeight="1">
      <c r="A393" s="83"/>
      <c r="B393" s="83"/>
      <c r="C393" s="83"/>
      <c r="D393" s="126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4.25" customHeight="1">
      <c r="A394" s="83"/>
      <c r="B394" s="83"/>
      <c r="C394" s="83"/>
      <c r="D394" s="126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4.25" customHeight="1">
      <c r="A395" s="83"/>
      <c r="B395" s="83"/>
      <c r="C395" s="83"/>
      <c r="D395" s="126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4.25" customHeight="1">
      <c r="A396" s="83"/>
      <c r="B396" s="83"/>
      <c r="C396" s="83"/>
      <c r="D396" s="126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4.25" customHeight="1">
      <c r="A397" s="83"/>
      <c r="B397" s="83"/>
      <c r="C397" s="83"/>
      <c r="D397" s="126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4.25" customHeight="1">
      <c r="A398" s="83"/>
      <c r="B398" s="83"/>
      <c r="C398" s="83"/>
      <c r="D398" s="126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4.25" customHeight="1">
      <c r="A399" s="83"/>
      <c r="B399" s="83"/>
      <c r="C399" s="83"/>
      <c r="D399" s="126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4.25" customHeight="1">
      <c r="A400" s="83"/>
      <c r="B400" s="83"/>
      <c r="C400" s="83"/>
      <c r="D400" s="126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4.25" customHeight="1">
      <c r="A401" s="83"/>
      <c r="B401" s="83"/>
      <c r="C401" s="83"/>
      <c r="D401" s="126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4.25" customHeight="1">
      <c r="A402" s="83"/>
      <c r="B402" s="83"/>
      <c r="C402" s="83"/>
      <c r="D402" s="126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4.25" customHeight="1">
      <c r="A403" s="83"/>
      <c r="B403" s="83"/>
      <c r="C403" s="83"/>
      <c r="D403" s="126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4.25" customHeight="1">
      <c r="A404" s="83"/>
      <c r="B404" s="83"/>
      <c r="C404" s="83"/>
      <c r="D404" s="126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4.25" customHeight="1">
      <c r="A405" s="83"/>
      <c r="B405" s="83"/>
      <c r="C405" s="83"/>
      <c r="D405" s="126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4.25" customHeight="1">
      <c r="A406" s="83"/>
      <c r="B406" s="83"/>
      <c r="C406" s="83"/>
      <c r="D406" s="126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4.25" customHeight="1">
      <c r="A407" s="83"/>
      <c r="B407" s="83"/>
      <c r="C407" s="83"/>
      <c r="D407" s="126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4.25" customHeight="1">
      <c r="A408" s="83"/>
      <c r="B408" s="83"/>
      <c r="C408" s="83"/>
      <c r="D408" s="126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4.25" customHeight="1">
      <c r="A409" s="83"/>
      <c r="B409" s="83"/>
      <c r="C409" s="83"/>
      <c r="D409" s="126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4.25" customHeight="1">
      <c r="A410" s="83"/>
      <c r="B410" s="83"/>
      <c r="C410" s="83"/>
      <c r="D410" s="126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4.25" customHeight="1">
      <c r="A411" s="83"/>
      <c r="B411" s="83"/>
      <c r="C411" s="83"/>
      <c r="D411" s="126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4.25" customHeight="1">
      <c r="A412" s="83"/>
      <c r="B412" s="83"/>
      <c r="C412" s="83"/>
      <c r="D412" s="126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4.25" customHeight="1">
      <c r="A413" s="83"/>
      <c r="B413" s="83"/>
      <c r="C413" s="83"/>
      <c r="D413" s="126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4.25" customHeight="1">
      <c r="A414" s="83"/>
      <c r="B414" s="83"/>
      <c r="C414" s="83"/>
      <c r="D414" s="126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4.25" customHeight="1">
      <c r="A415" s="83"/>
      <c r="B415" s="83"/>
      <c r="C415" s="83"/>
      <c r="D415" s="126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4.25" customHeight="1">
      <c r="A416" s="83"/>
      <c r="B416" s="83"/>
      <c r="C416" s="83"/>
      <c r="D416" s="126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4.25" customHeight="1">
      <c r="A417" s="83"/>
      <c r="B417" s="83"/>
      <c r="C417" s="83"/>
      <c r="D417" s="126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4.25" customHeight="1">
      <c r="A418" s="83"/>
      <c r="B418" s="83"/>
      <c r="C418" s="83"/>
      <c r="D418" s="126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4.25" customHeight="1">
      <c r="A419" s="83"/>
      <c r="B419" s="83"/>
      <c r="C419" s="83"/>
      <c r="D419" s="126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4.25" customHeight="1">
      <c r="A420" s="83"/>
      <c r="B420" s="83"/>
      <c r="C420" s="83"/>
      <c r="D420" s="126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4.25" customHeight="1">
      <c r="A421" s="83"/>
      <c r="B421" s="83"/>
      <c r="C421" s="83"/>
      <c r="D421" s="126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4.25" customHeight="1">
      <c r="A422" s="83"/>
      <c r="B422" s="83"/>
      <c r="C422" s="83"/>
      <c r="D422" s="126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4.25" customHeight="1">
      <c r="A423" s="83"/>
      <c r="B423" s="83"/>
      <c r="C423" s="83"/>
      <c r="D423" s="126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4.25" customHeight="1">
      <c r="A424" s="83"/>
      <c r="B424" s="83"/>
      <c r="C424" s="83"/>
      <c r="D424" s="126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4.25" customHeight="1">
      <c r="A425" s="83"/>
      <c r="B425" s="83"/>
      <c r="C425" s="83"/>
      <c r="D425" s="126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4.25" customHeight="1">
      <c r="A426" s="83"/>
      <c r="B426" s="83"/>
      <c r="C426" s="83"/>
      <c r="D426" s="126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4.25" customHeight="1">
      <c r="A427" s="83"/>
      <c r="B427" s="83"/>
      <c r="C427" s="83"/>
      <c r="D427" s="126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4.25" customHeight="1">
      <c r="A428" s="83"/>
      <c r="B428" s="83"/>
      <c r="C428" s="83"/>
      <c r="D428" s="126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4.25" customHeight="1">
      <c r="A429" s="83"/>
      <c r="B429" s="83"/>
      <c r="C429" s="83"/>
      <c r="D429" s="126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4.25" customHeight="1">
      <c r="A430" s="83"/>
      <c r="B430" s="83"/>
      <c r="C430" s="83"/>
      <c r="D430" s="126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4.25" customHeight="1">
      <c r="A431" s="83"/>
      <c r="B431" s="83"/>
      <c r="C431" s="83"/>
      <c r="D431" s="126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4.25" customHeight="1">
      <c r="A432" s="83"/>
      <c r="B432" s="83"/>
      <c r="C432" s="83"/>
      <c r="D432" s="126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4.25" customHeight="1">
      <c r="A433" s="83"/>
      <c r="B433" s="83"/>
      <c r="C433" s="83"/>
      <c r="D433" s="126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4.25" customHeight="1">
      <c r="A434" s="83"/>
      <c r="B434" s="83"/>
      <c r="C434" s="83"/>
      <c r="D434" s="126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4.25" customHeight="1">
      <c r="A435" s="83"/>
      <c r="B435" s="83"/>
      <c r="C435" s="83"/>
      <c r="D435" s="126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4.25" customHeight="1">
      <c r="A436" s="83"/>
      <c r="B436" s="83"/>
      <c r="C436" s="83"/>
      <c r="D436" s="126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4.25" customHeight="1">
      <c r="A437" s="83"/>
      <c r="B437" s="83"/>
      <c r="C437" s="83"/>
      <c r="D437" s="126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4.25" customHeight="1">
      <c r="A438" s="83"/>
      <c r="B438" s="83"/>
      <c r="C438" s="83"/>
      <c r="D438" s="126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4.25" customHeight="1">
      <c r="A439" s="83"/>
      <c r="B439" s="83"/>
      <c r="C439" s="83"/>
      <c r="D439" s="126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4.25" customHeight="1">
      <c r="A440" s="83"/>
      <c r="B440" s="83"/>
      <c r="C440" s="83"/>
      <c r="D440" s="126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4.25" customHeight="1">
      <c r="A441" s="83"/>
      <c r="B441" s="83"/>
      <c r="C441" s="83"/>
      <c r="D441" s="126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4.25" customHeight="1">
      <c r="A442" s="83"/>
      <c r="B442" s="83"/>
      <c r="C442" s="83"/>
      <c r="D442" s="126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4.25" customHeight="1">
      <c r="A443" s="83"/>
      <c r="B443" s="83"/>
      <c r="C443" s="83"/>
      <c r="D443" s="126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4.25" customHeight="1">
      <c r="A444" s="83"/>
      <c r="B444" s="83"/>
      <c r="C444" s="83"/>
      <c r="D444" s="126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4.25" customHeight="1">
      <c r="A445" s="83"/>
      <c r="B445" s="83"/>
      <c r="C445" s="83"/>
      <c r="D445" s="126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4.25" customHeight="1">
      <c r="A446" s="83"/>
      <c r="B446" s="83"/>
      <c r="C446" s="83"/>
      <c r="D446" s="126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4.25" customHeight="1">
      <c r="A447" s="83"/>
      <c r="B447" s="83"/>
      <c r="C447" s="83"/>
      <c r="D447" s="126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4.25" customHeight="1">
      <c r="A448" s="83"/>
      <c r="B448" s="83"/>
      <c r="C448" s="83"/>
      <c r="D448" s="126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4.25" customHeight="1">
      <c r="A449" s="83"/>
      <c r="B449" s="83"/>
      <c r="C449" s="83"/>
      <c r="D449" s="126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4.25" customHeight="1">
      <c r="A450" s="83"/>
      <c r="B450" s="83"/>
      <c r="C450" s="83"/>
      <c r="D450" s="126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4.25" customHeight="1">
      <c r="A451" s="83"/>
      <c r="B451" s="83"/>
      <c r="C451" s="83"/>
      <c r="D451" s="126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4.25" customHeight="1">
      <c r="A452" s="83"/>
      <c r="B452" s="83"/>
      <c r="C452" s="83"/>
      <c r="D452" s="126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4.25" customHeight="1">
      <c r="A453" s="83"/>
      <c r="B453" s="83"/>
      <c r="C453" s="83"/>
      <c r="D453" s="126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4.25" customHeight="1">
      <c r="A454" s="83"/>
      <c r="B454" s="83"/>
      <c r="C454" s="83"/>
      <c r="D454" s="126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4.25" customHeight="1">
      <c r="A455" s="83"/>
      <c r="B455" s="83"/>
      <c r="C455" s="83"/>
      <c r="D455" s="126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4.25" customHeight="1">
      <c r="A456" s="83"/>
      <c r="B456" s="83"/>
      <c r="C456" s="83"/>
      <c r="D456" s="126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4.25" customHeight="1">
      <c r="A457" s="83"/>
      <c r="B457" s="83"/>
      <c r="C457" s="83"/>
      <c r="D457" s="126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4.25" customHeight="1">
      <c r="A458" s="83"/>
      <c r="B458" s="83"/>
      <c r="C458" s="83"/>
      <c r="D458" s="126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4.25" customHeight="1">
      <c r="A459" s="83"/>
      <c r="B459" s="83"/>
      <c r="C459" s="83"/>
      <c r="D459" s="126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4.25" customHeight="1">
      <c r="A460" s="83"/>
      <c r="B460" s="83"/>
      <c r="C460" s="83"/>
      <c r="D460" s="126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4.25" customHeight="1">
      <c r="A461" s="83"/>
      <c r="B461" s="83"/>
      <c r="C461" s="83"/>
      <c r="D461" s="126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4.25" customHeight="1">
      <c r="A462" s="83"/>
      <c r="B462" s="83"/>
      <c r="C462" s="83"/>
      <c r="D462" s="126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4.25" customHeight="1">
      <c r="A463" s="83"/>
      <c r="B463" s="83"/>
      <c r="C463" s="83"/>
      <c r="D463" s="126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4.25" customHeight="1">
      <c r="A464" s="83"/>
      <c r="B464" s="83"/>
      <c r="C464" s="83"/>
      <c r="D464" s="126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4.25" customHeight="1">
      <c r="A465" s="83"/>
      <c r="B465" s="83"/>
      <c r="C465" s="83"/>
      <c r="D465" s="126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4.25" customHeight="1">
      <c r="A466" s="83"/>
      <c r="B466" s="83"/>
      <c r="C466" s="83"/>
      <c r="D466" s="126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4.25" customHeight="1">
      <c r="A467" s="83"/>
      <c r="B467" s="83"/>
      <c r="C467" s="83"/>
      <c r="D467" s="126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4.25" customHeight="1">
      <c r="A468" s="83"/>
      <c r="B468" s="83"/>
      <c r="C468" s="83"/>
      <c r="D468" s="126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4.25" customHeight="1">
      <c r="A469" s="83"/>
      <c r="B469" s="83"/>
      <c r="C469" s="83"/>
      <c r="D469" s="126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4.25" customHeight="1">
      <c r="A470" s="83"/>
      <c r="B470" s="83"/>
      <c r="C470" s="83"/>
      <c r="D470" s="126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4.25" customHeight="1">
      <c r="A471" s="83"/>
      <c r="B471" s="83"/>
      <c r="C471" s="83"/>
      <c r="D471" s="126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4.25" customHeight="1">
      <c r="A472" s="83"/>
      <c r="B472" s="83"/>
      <c r="C472" s="83"/>
      <c r="D472" s="126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4.25" customHeight="1">
      <c r="A473" s="83"/>
      <c r="B473" s="83"/>
      <c r="C473" s="83"/>
      <c r="D473" s="126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4.25" customHeight="1">
      <c r="A474" s="83"/>
      <c r="B474" s="83"/>
      <c r="C474" s="83"/>
      <c r="D474" s="126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4.25" customHeight="1">
      <c r="A475" s="83"/>
      <c r="B475" s="83"/>
      <c r="C475" s="83"/>
      <c r="D475" s="126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4.25" customHeight="1">
      <c r="A476" s="83"/>
      <c r="B476" s="83"/>
      <c r="C476" s="83"/>
      <c r="D476" s="126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4.25" customHeight="1">
      <c r="A477" s="83"/>
      <c r="B477" s="83"/>
      <c r="C477" s="83"/>
      <c r="D477" s="126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4.25" customHeight="1">
      <c r="A478" s="83"/>
      <c r="B478" s="83"/>
      <c r="C478" s="83"/>
      <c r="D478" s="126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4.25" customHeight="1">
      <c r="A479" s="83"/>
      <c r="B479" s="83"/>
      <c r="C479" s="83"/>
      <c r="D479" s="126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4.25" customHeight="1">
      <c r="A480" s="83"/>
      <c r="B480" s="83"/>
      <c r="C480" s="83"/>
      <c r="D480" s="126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4.25" customHeight="1">
      <c r="A481" s="83"/>
      <c r="B481" s="83"/>
      <c r="C481" s="83"/>
      <c r="D481" s="126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4.25" customHeight="1">
      <c r="A482" s="83"/>
      <c r="B482" s="83"/>
      <c r="C482" s="83"/>
      <c r="D482" s="126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4.25" customHeight="1">
      <c r="A483" s="83"/>
      <c r="B483" s="83"/>
      <c r="C483" s="83"/>
      <c r="D483" s="126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4.25" customHeight="1">
      <c r="A484" s="83"/>
      <c r="B484" s="83"/>
      <c r="C484" s="83"/>
      <c r="D484" s="126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4.25" customHeight="1">
      <c r="A485" s="83"/>
      <c r="B485" s="83"/>
      <c r="C485" s="83"/>
      <c r="D485" s="126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4.25" customHeight="1">
      <c r="A486" s="83"/>
      <c r="B486" s="83"/>
      <c r="C486" s="83"/>
      <c r="D486" s="126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4.25" customHeight="1">
      <c r="A487" s="83"/>
      <c r="B487" s="83"/>
      <c r="C487" s="83"/>
      <c r="D487" s="126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4.25" customHeight="1">
      <c r="A488" s="83"/>
      <c r="B488" s="83"/>
      <c r="C488" s="83"/>
      <c r="D488" s="126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4.25" customHeight="1">
      <c r="A489" s="83"/>
      <c r="B489" s="83"/>
      <c r="C489" s="83"/>
      <c r="D489" s="126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4.25" customHeight="1">
      <c r="A490" s="83"/>
      <c r="B490" s="83"/>
      <c r="C490" s="83"/>
      <c r="D490" s="126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4.25" customHeight="1">
      <c r="A491" s="83"/>
      <c r="B491" s="83"/>
      <c r="C491" s="83"/>
      <c r="D491" s="126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4.25" customHeight="1">
      <c r="A492" s="83"/>
      <c r="B492" s="83"/>
      <c r="C492" s="83"/>
      <c r="D492" s="126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4.25" customHeight="1">
      <c r="A493" s="83"/>
      <c r="B493" s="83"/>
      <c r="C493" s="83"/>
      <c r="D493" s="126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4.25" customHeight="1">
      <c r="A494" s="83"/>
      <c r="B494" s="83"/>
      <c r="C494" s="83"/>
      <c r="D494" s="126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4.25" customHeight="1">
      <c r="A495" s="83"/>
      <c r="B495" s="83"/>
      <c r="C495" s="83"/>
      <c r="D495" s="126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4.25" customHeight="1">
      <c r="A496" s="83"/>
      <c r="B496" s="83"/>
      <c r="C496" s="83"/>
      <c r="D496" s="126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4.25" customHeight="1">
      <c r="A497" s="83"/>
      <c r="B497" s="83"/>
      <c r="C497" s="83"/>
      <c r="D497" s="126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4.25" customHeight="1">
      <c r="A498" s="83"/>
      <c r="B498" s="83"/>
      <c r="C498" s="83"/>
      <c r="D498" s="126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4.25" customHeight="1">
      <c r="A499" s="83"/>
      <c r="B499" s="83"/>
      <c r="C499" s="83"/>
      <c r="D499" s="126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4.25" customHeight="1">
      <c r="A500" s="83"/>
      <c r="B500" s="83"/>
      <c r="C500" s="83"/>
      <c r="D500" s="126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4.25" customHeight="1">
      <c r="A501" s="83"/>
      <c r="B501" s="83"/>
      <c r="C501" s="83"/>
      <c r="D501" s="126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4.25" customHeight="1">
      <c r="A502" s="83"/>
      <c r="B502" s="83"/>
      <c r="C502" s="83"/>
      <c r="D502" s="126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4.25" customHeight="1">
      <c r="A503" s="83"/>
      <c r="B503" s="83"/>
      <c r="C503" s="83"/>
      <c r="D503" s="126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4.25" customHeight="1">
      <c r="A504" s="83"/>
      <c r="B504" s="83"/>
      <c r="C504" s="83"/>
      <c r="D504" s="126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4.25" customHeight="1">
      <c r="A505" s="83"/>
      <c r="B505" s="83"/>
      <c r="C505" s="83"/>
      <c r="D505" s="126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4.25" customHeight="1">
      <c r="A506" s="83"/>
      <c r="B506" s="83"/>
      <c r="C506" s="83"/>
      <c r="D506" s="126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4.25" customHeight="1">
      <c r="A507" s="83"/>
      <c r="B507" s="83"/>
      <c r="C507" s="83"/>
      <c r="D507" s="126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4.25" customHeight="1">
      <c r="A508" s="83"/>
      <c r="B508" s="83"/>
      <c r="C508" s="83"/>
      <c r="D508" s="126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4.25" customHeight="1">
      <c r="A509" s="83"/>
      <c r="B509" s="83"/>
      <c r="C509" s="83"/>
      <c r="D509" s="126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4.25" customHeight="1">
      <c r="A510" s="83"/>
      <c r="B510" s="83"/>
      <c r="C510" s="83"/>
      <c r="D510" s="126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4.25" customHeight="1">
      <c r="A511" s="83"/>
      <c r="B511" s="83"/>
      <c r="C511" s="83"/>
      <c r="D511" s="126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4.25" customHeight="1">
      <c r="A512" s="83"/>
      <c r="B512" s="83"/>
      <c r="C512" s="83"/>
      <c r="D512" s="126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4.25" customHeight="1">
      <c r="A513" s="83"/>
      <c r="B513" s="83"/>
      <c r="C513" s="83"/>
      <c r="D513" s="126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4.25" customHeight="1">
      <c r="A514" s="83"/>
      <c r="B514" s="83"/>
      <c r="C514" s="83"/>
      <c r="D514" s="126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4.25" customHeight="1">
      <c r="A515" s="83"/>
      <c r="B515" s="83"/>
      <c r="C515" s="83"/>
      <c r="D515" s="126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4.25" customHeight="1">
      <c r="A516" s="83"/>
      <c r="B516" s="83"/>
      <c r="C516" s="83"/>
      <c r="D516" s="126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4.25" customHeight="1">
      <c r="A517" s="83"/>
      <c r="B517" s="83"/>
      <c r="C517" s="83"/>
      <c r="D517" s="126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4.25" customHeight="1">
      <c r="A518" s="83"/>
      <c r="B518" s="83"/>
      <c r="C518" s="83"/>
      <c r="D518" s="126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4.25" customHeight="1">
      <c r="A519" s="83"/>
      <c r="B519" s="83"/>
      <c r="C519" s="83"/>
      <c r="D519" s="126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4.25" customHeight="1">
      <c r="A520" s="83"/>
      <c r="B520" s="83"/>
      <c r="C520" s="83"/>
      <c r="D520" s="126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4.25" customHeight="1">
      <c r="A521" s="83"/>
      <c r="B521" s="83"/>
      <c r="C521" s="83"/>
      <c r="D521" s="126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4.25" customHeight="1">
      <c r="A522" s="83"/>
      <c r="B522" s="83"/>
      <c r="C522" s="83"/>
      <c r="D522" s="126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4.25" customHeight="1">
      <c r="A523" s="83"/>
      <c r="B523" s="83"/>
      <c r="C523" s="83"/>
      <c r="D523" s="126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4.25" customHeight="1">
      <c r="A524" s="83"/>
      <c r="B524" s="83"/>
      <c r="C524" s="83"/>
      <c r="D524" s="126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4.25" customHeight="1">
      <c r="A525" s="83"/>
      <c r="B525" s="83"/>
      <c r="C525" s="83"/>
      <c r="D525" s="126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4.25" customHeight="1">
      <c r="A526" s="83"/>
      <c r="B526" s="83"/>
      <c r="C526" s="83"/>
      <c r="D526" s="126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4.25" customHeight="1">
      <c r="A527" s="83"/>
      <c r="B527" s="83"/>
      <c r="C527" s="83"/>
      <c r="D527" s="126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4.25" customHeight="1">
      <c r="A528" s="83"/>
      <c r="B528" s="83"/>
      <c r="C528" s="83"/>
      <c r="D528" s="126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4.25" customHeight="1">
      <c r="A529" s="83"/>
      <c r="B529" s="83"/>
      <c r="C529" s="83"/>
      <c r="D529" s="126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4.25" customHeight="1">
      <c r="A530" s="83"/>
      <c r="B530" s="83"/>
      <c r="C530" s="83"/>
      <c r="D530" s="126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4.25" customHeight="1">
      <c r="A531" s="83"/>
      <c r="B531" s="83"/>
      <c r="C531" s="83"/>
      <c r="D531" s="126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4.25" customHeight="1">
      <c r="A532" s="83"/>
      <c r="B532" s="83"/>
      <c r="C532" s="83"/>
      <c r="D532" s="126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4.25" customHeight="1">
      <c r="A533" s="83"/>
      <c r="B533" s="83"/>
      <c r="C533" s="83"/>
      <c r="D533" s="126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4.25" customHeight="1">
      <c r="A534" s="83"/>
      <c r="B534" s="83"/>
      <c r="C534" s="83"/>
      <c r="D534" s="126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4.25" customHeight="1">
      <c r="A535" s="83"/>
      <c r="B535" s="83"/>
      <c r="C535" s="83"/>
      <c r="D535" s="126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4.25" customHeight="1">
      <c r="A536" s="83"/>
      <c r="B536" s="83"/>
      <c r="C536" s="83"/>
      <c r="D536" s="126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4.25" customHeight="1">
      <c r="A537" s="83"/>
      <c r="B537" s="83"/>
      <c r="C537" s="83"/>
      <c r="D537" s="126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4.25" customHeight="1">
      <c r="A538" s="83"/>
      <c r="B538" s="83"/>
      <c r="C538" s="83"/>
      <c r="D538" s="126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4.25" customHeight="1">
      <c r="A539" s="83"/>
      <c r="B539" s="83"/>
      <c r="C539" s="83"/>
      <c r="D539" s="126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4.25" customHeight="1">
      <c r="A540" s="83"/>
      <c r="B540" s="83"/>
      <c r="C540" s="83"/>
      <c r="D540" s="126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4.25" customHeight="1">
      <c r="A541" s="83"/>
      <c r="B541" s="83"/>
      <c r="C541" s="83"/>
      <c r="D541" s="126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4.25" customHeight="1">
      <c r="A542" s="83"/>
      <c r="B542" s="83"/>
      <c r="C542" s="83"/>
      <c r="D542" s="126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4.25" customHeight="1">
      <c r="A543" s="83"/>
      <c r="B543" s="83"/>
      <c r="C543" s="83"/>
      <c r="D543" s="126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4.25" customHeight="1">
      <c r="A544" s="83"/>
      <c r="B544" s="83"/>
      <c r="C544" s="83"/>
      <c r="D544" s="126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4.25" customHeight="1">
      <c r="A545" s="83"/>
      <c r="B545" s="83"/>
      <c r="C545" s="83"/>
      <c r="D545" s="126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4.25" customHeight="1">
      <c r="A546" s="83"/>
      <c r="B546" s="83"/>
      <c r="C546" s="83"/>
      <c r="D546" s="126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4.25" customHeight="1">
      <c r="A547" s="83"/>
      <c r="B547" s="83"/>
      <c r="C547" s="83"/>
      <c r="D547" s="126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4.25" customHeight="1">
      <c r="A548" s="83"/>
      <c r="B548" s="83"/>
      <c r="C548" s="83"/>
      <c r="D548" s="126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4.25" customHeight="1">
      <c r="A549" s="83"/>
      <c r="B549" s="83"/>
      <c r="C549" s="83"/>
      <c r="D549" s="126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4.25" customHeight="1">
      <c r="A550" s="83"/>
      <c r="B550" s="83"/>
      <c r="C550" s="83"/>
      <c r="D550" s="126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4.25" customHeight="1">
      <c r="A551" s="83"/>
      <c r="B551" s="83"/>
      <c r="C551" s="83"/>
      <c r="D551" s="126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4.25" customHeight="1">
      <c r="A552" s="83"/>
      <c r="B552" s="83"/>
      <c r="C552" s="83"/>
      <c r="D552" s="126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4.25" customHeight="1">
      <c r="A553" s="83"/>
      <c r="B553" s="83"/>
      <c r="C553" s="83"/>
      <c r="D553" s="126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4.25" customHeight="1">
      <c r="A554" s="83"/>
      <c r="B554" s="83"/>
      <c r="C554" s="83"/>
      <c r="D554" s="126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4.25" customHeight="1">
      <c r="A555" s="83"/>
      <c r="B555" s="83"/>
      <c r="C555" s="83"/>
      <c r="D555" s="126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4.25" customHeight="1">
      <c r="A556" s="83"/>
      <c r="B556" s="83"/>
      <c r="C556" s="83"/>
      <c r="D556" s="126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4.25" customHeight="1">
      <c r="A557" s="83"/>
      <c r="B557" s="83"/>
      <c r="C557" s="83"/>
      <c r="D557" s="126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4.25" customHeight="1">
      <c r="A558" s="83"/>
      <c r="B558" s="83"/>
      <c r="C558" s="83"/>
      <c r="D558" s="126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4.25" customHeight="1">
      <c r="A559" s="83"/>
      <c r="B559" s="83"/>
      <c r="C559" s="83"/>
      <c r="D559" s="126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4.25" customHeight="1">
      <c r="A560" s="83"/>
      <c r="B560" s="83"/>
      <c r="C560" s="83"/>
      <c r="D560" s="126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4.25" customHeight="1">
      <c r="A561" s="83"/>
      <c r="B561" s="83"/>
      <c r="C561" s="83"/>
      <c r="D561" s="126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4.25" customHeight="1">
      <c r="A562" s="83"/>
      <c r="B562" s="83"/>
      <c r="C562" s="83"/>
      <c r="D562" s="126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4.25" customHeight="1">
      <c r="A563" s="83"/>
      <c r="B563" s="83"/>
      <c r="C563" s="83"/>
      <c r="D563" s="126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4.25" customHeight="1">
      <c r="A564" s="83"/>
      <c r="B564" s="83"/>
      <c r="C564" s="83"/>
      <c r="D564" s="126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4.25" customHeight="1">
      <c r="A565" s="83"/>
      <c r="B565" s="83"/>
      <c r="C565" s="83"/>
      <c r="D565" s="126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4.25" customHeight="1">
      <c r="A566" s="83"/>
      <c r="B566" s="83"/>
      <c r="C566" s="83"/>
      <c r="D566" s="126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4.25" customHeight="1">
      <c r="A567" s="83"/>
      <c r="B567" s="83"/>
      <c r="C567" s="83"/>
      <c r="D567" s="126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4.25" customHeight="1">
      <c r="A568" s="83"/>
      <c r="B568" s="83"/>
      <c r="C568" s="83"/>
      <c r="D568" s="126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4.25" customHeight="1">
      <c r="A569" s="83"/>
      <c r="B569" s="83"/>
      <c r="C569" s="83"/>
      <c r="D569" s="126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4.25" customHeight="1">
      <c r="A570" s="83"/>
      <c r="B570" s="83"/>
      <c r="C570" s="83"/>
      <c r="D570" s="126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4.25" customHeight="1">
      <c r="A571" s="83"/>
      <c r="B571" s="83"/>
      <c r="C571" s="83"/>
      <c r="D571" s="126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4.25" customHeight="1">
      <c r="A572" s="83"/>
      <c r="B572" s="83"/>
      <c r="C572" s="83"/>
      <c r="D572" s="126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4.25" customHeight="1">
      <c r="A573" s="83"/>
      <c r="B573" s="83"/>
      <c r="C573" s="83"/>
      <c r="D573" s="126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4.25" customHeight="1">
      <c r="A574" s="83"/>
      <c r="B574" s="83"/>
      <c r="C574" s="83"/>
      <c r="D574" s="126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4.25" customHeight="1">
      <c r="A575" s="83"/>
      <c r="B575" s="83"/>
      <c r="C575" s="83"/>
      <c r="D575" s="126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4.25" customHeight="1">
      <c r="A576" s="83"/>
      <c r="B576" s="83"/>
      <c r="C576" s="83"/>
      <c r="D576" s="126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4.25" customHeight="1">
      <c r="A577" s="83"/>
      <c r="B577" s="83"/>
      <c r="C577" s="83"/>
      <c r="D577" s="126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4.25" customHeight="1">
      <c r="A578" s="83"/>
      <c r="B578" s="83"/>
      <c r="C578" s="83"/>
      <c r="D578" s="126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4.25" customHeight="1">
      <c r="A579" s="83"/>
      <c r="B579" s="83"/>
      <c r="C579" s="83"/>
      <c r="D579" s="126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4.25" customHeight="1">
      <c r="A580" s="83"/>
      <c r="B580" s="83"/>
      <c r="C580" s="83"/>
      <c r="D580" s="126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4.25" customHeight="1">
      <c r="A581" s="83"/>
      <c r="B581" s="83"/>
      <c r="C581" s="83"/>
      <c r="D581" s="126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4.25" customHeight="1">
      <c r="A582" s="83"/>
      <c r="B582" s="83"/>
      <c r="C582" s="83"/>
      <c r="D582" s="126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4.25" customHeight="1">
      <c r="A583" s="83"/>
      <c r="B583" s="83"/>
      <c r="C583" s="83"/>
      <c r="D583" s="126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4.25" customHeight="1">
      <c r="A584" s="83"/>
      <c r="B584" s="83"/>
      <c r="C584" s="83"/>
      <c r="D584" s="126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4.25" customHeight="1">
      <c r="A585" s="83"/>
      <c r="B585" s="83"/>
      <c r="C585" s="83"/>
      <c r="D585" s="126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4.25" customHeight="1">
      <c r="A586" s="83"/>
      <c r="B586" s="83"/>
      <c r="C586" s="83"/>
      <c r="D586" s="126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4.25" customHeight="1">
      <c r="A587" s="83"/>
      <c r="B587" s="83"/>
      <c r="C587" s="83"/>
      <c r="D587" s="126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4.25" customHeight="1">
      <c r="A588" s="83"/>
      <c r="B588" s="83"/>
      <c r="C588" s="83"/>
      <c r="D588" s="126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4.25" customHeight="1">
      <c r="A589" s="83"/>
      <c r="B589" s="83"/>
      <c r="C589" s="83"/>
      <c r="D589" s="126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4.25" customHeight="1">
      <c r="A590" s="83"/>
      <c r="B590" s="83"/>
      <c r="C590" s="83"/>
      <c r="D590" s="126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4.25" customHeight="1">
      <c r="A591" s="83"/>
      <c r="B591" s="83"/>
      <c r="C591" s="83"/>
      <c r="D591" s="126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4.25" customHeight="1">
      <c r="A592" s="83"/>
      <c r="B592" s="83"/>
      <c r="C592" s="83"/>
      <c r="D592" s="126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4.25" customHeight="1">
      <c r="A593" s="83"/>
      <c r="B593" s="83"/>
      <c r="C593" s="83"/>
      <c r="D593" s="126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4.25" customHeight="1">
      <c r="A594" s="83"/>
      <c r="B594" s="83"/>
      <c r="C594" s="83"/>
      <c r="D594" s="126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4.25" customHeight="1">
      <c r="A595" s="83"/>
      <c r="B595" s="83"/>
      <c r="C595" s="83"/>
      <c r="D595" s="126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4.25" customHeight="1">
      <c r="A596" s="83"/>
      <c r="B596" s="83"/>
      <c r="C596" s="83"/>
      <c r="D596" s="126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4.25" customHeight="1">
      <c r="A597" s="83"/>
      <c r="B597" s="83"/>
      <c r="C597" s="83"/>
      <c r="D597" s="126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4.25" customHeight="1">
      <c r="A598" s="83"/>
      <c r="B598" s="83"/>
      <c r="C598" s="83"/>
      <c r="D598" s="126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4.25" customHeight="1">
      <c r="A599" s="83"/>
      <c r="B599" s="83"/>
      <c r="C599" s="83"/>
      <c r="D599" s="126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4.25" customHeight="1">
      <c r="A600" s="83"/>
      <c r="B600" s="83"/>
      <c r="C600" s="83"/>
      <c r="D600" s="126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4.25" customHeight="1">
      <c r="A601" s="83"/>
      <c r="B601" s="83"/>
      <c r="C601" s="83"/>
      <c r="D601" s="126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4.25" customHeight="1">
      <c r="A602" s="83"/>
      <c r="B602" s="83"/>
      <c r="C602" s="83"/>
      <c r="D602" s="126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4.25" customHeight="1">
      <c r="A603" s="83"/>
      <c r="B603" s="83"/>
      <c r="C603" s="83"/>
      <c r="D603" s="126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4.25" customHeight="1">
      <c r="A604" s="83"/>
      <c r="B604" s="83"/>
      <c r="C604" s="83"/>
      <c r="D604" s="126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4.25" customHeight="1">
      <c r="A605" s="83"/>
      <c r="B605" s="83"/>
      <c r="C605" s="83"/>
      <c r="D605" s="126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4.25" customHeight="1">
      <c r="A606" s="83"/>
      <c r="B606" s="83"/>
      <c r="C606" s="83"/>
      <c r="D606" s="126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4.25" customHeight="1">
      <c r="A607" s="83"/>
      <c r="B607" s="83"/>
      <c r="C607" s="83"/>
      <c r="D607" s="126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4.25" customHeight="1">
      <c r="A608" s="83"/>
      <c r="B608" s="83"/>
      <c r="C608" s="83"/>
      <c r="D608" s="126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4.25" customHeight="1">
      <c r="A609" s="83"/>
      <c r="B609" s="83"/>
      <c r="C609" s="83"/>
      <c r="D609" s="126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4.25" customHeight="1">
      <c r="A610" s="83"/>
      <c r="B610" s="83"/>
      <c r="C610" s="83"/>
      <c r="D610" s="126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4.25" customHeight="1">
      <c r="A611" s="83"/>
      <c r="B611" s="83"/>
      <c r="C611" s="83"/>
      <c r="D611" s="126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4.25" customHeight="1">
      <c r="A612" s="83"/>
      <c r="B612" s="83"/>
      <c r="C612" s="83"/>
      <c r="D612" s="126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4.25" customHeight="1">
      <c r="A613" s="83"/>
      <c r="B613" s="83"/>
      <c r="C613" s="83"/>
      <c r="D613" s="126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4.25" customHeight="1">
      <c r="A614" s="83"/>
      <c r="B614" s="83"/>
      <c r="C614" s="83"/>
      <c r="D614" s="126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4.25" customHeight="1">
      <c r="A615" s="83"/>
      <c r="B615" s="83"/>
      <c r="C615" s="83"/>
      <c r="D615" s="126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4.25" customHeight="1">
      <c r="A616" s="83"/>
      <c r="B616" s="83"/>
      <c r="C616" s="83"/>
      <c r="D616" s="126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4.25" customHeight="1">
      <c r="A617" s="83"/>
      <c r="B617" s="83"/>
      <c r="C617" s="83"/>
      <c r="D617" s="126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4.25" customHeight="1">
      <c r="A618" s="83"/>
      <c r="B618" s="83"/>
      <c r="C618" s="83"/>
      <c r="D618" s="126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4.25" customHeight="1">
      <c r="A619" s="83"/>
      <c r="B619" s="83"/>
      <c r="C619" s="83"/>
      <c r="D619" s="126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4.25" customHeight="1">
      <c r="A620" s="83"/>
      <c r="B620" s="83"/>
      <c r="C620" s="83"/>
      <c r="D620" s="126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4.25" customHeight="1">
      <c r="A621" s="83"/>
      <c r="B621" s="83"/>
      <c r="C621" s="83"/>
      <c r="D621" s="126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4.25" customHeight="1">
      <c r="A622" s="83"/>
      <c r="B622" s="83"/>
      <c r="C622" s="83"/>
      <c r="D622" s="126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4.25" customHeight="1">
      <c r="A623" s="83"/>
      <c r="B623" s="83"/>
      <c r="C623" s="83"/>
      <c r="D623" s="126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4.25" customHeight="1">
      <c r="A624" s="83"/>
      <c r="B624" s="83"/>
      <c r="C624" s="83"/>
      <c r="D624" s="126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4.25" customHeight="1">
      <c r="A625" s="83"/>
      <c r="B625" s="83"/>
      <c r="C625" s="83"/>
      <c r="D625" s="126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4.25" customHeight="1">
      <c r="A626" s="83"/>
      <c r="B626" s="83"/>
      <c r="C626" s="83"/>
      <c r="D626" s="126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4.25" customHeight="1">
      <c r="A627" s="83"/>
      <c r="B627" s="83"/>
      <c r="C627" s="83"/>
      <c r="D627" s="126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4.25" customHeight="1">
      <c r="A628" s="83"/>
      <c r="B628" s="83"/>
      <c r="C628" s="83"/>
      <c r="D628" s="126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4.25" customHeight="1">
      <c r="A629" s="83"/>
      <c r="B629" s="83"/>
      <c r="C629" s="83"/>
      <c r="D629" s="126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4.25" customHeight="1">
      <c r="A630" s="83"/>
      <c r="B630" s="83"/>
      <c r="C630" s="83"/>
      <c r="D630" s="126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4.25" customHeight="1">
      <c r="A631" s="83"/>
      <c r="B631" s="83"/>
      <c r="C631" s="83"/>
      <c r="D631" s="126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4.25" customHeight="1">
      <c r="A632" s="83"/>
      <c r="B632" s="83"/>
      <c r="C632" s="83"/>
      <c r="D632" s="126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4.25" customHeight="1">
      <c r="A633" s="83"/>
      <c r="B633" s="83"/>
      <c r="C633" s="83"/>
      <c r="D633" s="126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4.25" customHeight="1">
      <c r="A634" s="83"/>
      <c r="B634" s="83"/>
      <c r="C634" s="83"/>
      <c r="D634" s="126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4.25" customHeight="1">
      <c r="A635" s="83"/>
      <c r="B635" s="83"/>
      <c r="C635" s="83"/>
      <c r="D635" s="126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4.25" customHeight="1">
      <c r="A636" s="83"/>
      <c r="B636" s="83"/>
      <c r="C636" s="83"/>
      <c r="D636" s="126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4.25" customHeight="1">
      <c r="A637" s="83"/>
      <c r="B637" s="83"/>
      <c r="C637" s="83"/>
      <c r="D637" s="126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4.25" customHeight="1">
      <c r="A638" s="83"/>
      <c r="B638" s="83"/>
      <c r="C638" s="83"/>
      <c r="D638" s="126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4.25" customHeight="1">
      <c r="A639" s="83"/>
      <c r="B639" s="83"/>
      <c r="C639" s="83"/>
      <c r="D639" s="126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4.25" customHeight="1">
      <c r="A640" s="83"/>
      <c r="B640" s="83"/>
      <c r="C640" s="83"/>
      <c r="D640" s="126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4.25" customHeight="1">
      <c r="A641" s="83"/>
      <c r="B641" s="83"/>
      <c r="C641" s="83"/>
      <c r="D641" s="126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4.25" customHeight="1">
      <c r="A642" s="83"/>
      <c r="B642" s="83"/>
      <c r="C642" s="83"/>
      <c r="D642" s="126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4.25" customHeight="1">
      <c r="A643" s="83"/>
      <c r="B643" s="83"/>
      <c r="C643" s="83"/>
      <c r="D643" s="126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4.25" customHeight="1">
      <c r="A644" s="83"/>
      <c r="B644" s="83"/>
      <c r="C644" s="83"/>
      <c r="D644" s="126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4.25" customHeight="1">
      <c r="A645" s="83"/>
      <c r="B645" s="83"/>
      <c r="C645" s="83"/>
      <c r="D645" s="126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4.25" customHeight="1">
      <c r="A646" s="83"/>
      <c r="B646" s="83"/>
      <c r="C646" s="83"/>
      <c r="D646" s="126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4.25" customHeight="1">
      <c r="A647" s="83"/>
      <c r="B647" s="83"/>
      <c r="C647" s="83"/>
      <c r="D647" s="126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4.25" customHeight="1">
      <c r="A648" s="83"/>
      <c r="B648" s="83"/>
      <c r="C648" s="83"/>
      <c r="D648" s="126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4.25" customHeight="1">
      <c r="A649" s="83"/>
      <c r="B649" s="83"/>
      <c r="C649" s="83"/>
      <c r="D649" s="126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4.25" customHeight="1">
      <c r="A650" s="83"/>
      <c r="B650" s="83"/>
      <c r="C650" s="83"/>
      <c r="D650" s="126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4.25" customHeight="1">
      <c r="A651" s="83"/>
      <c r="B651" s="83"/>
      <c r="C651" s="83"/>
      <c r="D651" s="126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4.25" customHeight="1">
      <c r="A652" s="83"/>
      <c r="B652" s="83"/>
      <c r="C652" s="83"/>
      <c r="D652" s="126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4.25" customHeight="1">
      <c r="A653" s="83"/>
      <c r="B653" s="83"/>
      <c r="C653" s="83"/>
      <c r="D653" s="126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4.25" customHeight="1">
      <c r="A654" s="83"/>
      <c r="B654" s="83"/>
      <c r="C654" s="83"/>
      <c r="D654" s="126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4.25" customHeight="1">
      <c r="A655" s="83"/>
      <c r="B655" s="83"/>
      <c r="C655" s="83"/>
      <c r="D655" s="126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4.25" customHeight="1">
      <c r="A656" s="83"/>
      <c r="B656" s="83"/>
      <c r="C656" s="83"/>
      <c r="D656" s="126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4.25" customHeight="1">
      <c r="A657" s="83"/>
      <c r="B657" s="83"/>
      <c r="C657" s="83"/>
      <c r="D657" s="126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4.25" customHeight="1">
      <c r="A658" s="83"/>
      <c r="B658" s="83"/>
      <c r="C658" s="83"/>
      <c r="D658" s="126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4.25" customHeight="1">
      <c r="A659" s="83"/>
      <c r="B659" s="83"/>
      <c r="C659" s="83"/>
      <c r="D659" s="126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4.25" customHeight="1">
      <c r="A660" s="83"/>
      <c r="B660" s="83"/>
      <c r="C660" s="83"/>
      <c r="D660" s="126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4.25" customHeight="1">
      <c r="A661" s="83"/>
      <c r="B661" s="83"/>
      <c r="C661" s="83"/>
      <c r="D661" s="126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4.25" customHeight="1">
      <c r="A662" s="83"/>
      <c r="B662" s="83"/>
      <c r="C662" s="83"/>
      <c r="D662" s="126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4.25" customHeight="1">
      <c r="A663" s="83"/>
      <c r="B663" s="83"/>
      <c r="C663" s="83"/>
      <c r="D663" s="126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4.25" customHeight="1">
      <c r="A664" s="83"/>
      <c r="B664" s="83"/>
      <c r="C664" s="83"/>
      <c r="D664" s="126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4.25" customHeight="1">
      <c r="A665" s="83"/>
      <c r="B665" s="83"/>
      <c r="C665" s="83"/>
      <c r="D665" s="126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4.25" customHeight="1">
      <c r="A666" s="83"/>
      <c r="B666" s="83"/>
      <c r="C666" s="83"/>
      <c r="D666" s="126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4.25" customHeight="1">
      <c r="A667" s="83"/>
      <c r="B667" s="83"/>
      <c r="C667" s="83"/>
      <c r="D667" s="126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4.25" customHeight="1">
      <c r="A668" s="83"/>
      <c r="B668" s="83"/>
      <c r="C668" s="83"/>
      <c r="D668" s="126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4.25" customHeight="1">
      <c r="A669" s="83"/>
      <c r="B669" s="83"/>
      <c r="C669" s="83"/>
      <c r="D669" s="126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4.25" customHeight="1">
      <c r="A670" s="83"/>
      <c r="B670" s="83"/>
      <c r="C670" s="83"/>
      <c r="D670" s="126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4.25" customHeight="1">
      <c r="A671" s="83"/>
      <c r="B671" s="83"/>
      <c r="C671" s="83"/>
      <c r="D671" s="126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4.25" customHeight="1">
      <c r="A672" s="83"/>
      <c r="B672" s="83"/>
      <c r="C672" s="83"/>
      <c r="D672" s="126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4.25" customHeight="1">
      <c r="A673" s="83"/>
      <c r="B673" s="83"/>
      <c r="C673" s="83"/>
      <c r="D673" s="126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4.25" customHeight="1">
      <c r="A674" s="83"/>
      <c r="B674" s="83"/>
      <c r="C674" s="83"/>
      <c r="D674" s="126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4.25" customHeight="1">
      <c r="A675" s="83"/>
      <c r="B675" s="83"/>
      <c r="C675" s="83"/>
      <c r="D675" s="126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4.25" customHeight="1">
      <c r="A676" s="83"/>
      <c r="B676" s="83"/>
      <c r="C676" s="83"/>
      <c r="D676" s="126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4.25" customHeight="1">
      <c r="A677" s="83"/>
      <c r="B677" s="83"/>
      <c r="C677" s="83"/>
      <c r="D677" s="126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4.25" customHeight="1">
      <c r="A678" s="83"/>
      <c r="B678" s="83"/>
      <c r="C678" s="83"/>
      <c r="D678" s="126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4.25" customHeight="1">
      <c r="A679" s="83"/>
      <c r="B679" s="83"/>
      <c r="C679" s="83"/>
      <c r="D679" s="126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4.25" customHeight="1">
      <c r="A680" s="83"/>
      <c r="B680" s="83"/>
      <c r="C680" s="83"/>
      <c r="D680" s="126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4.25" customHeight="1">
      <c r="A681" s="83"/>
      <c r="B681" s="83"/>
      <c r="C681" s="83"/>
      <c r="D681" s="126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4.25" customHeight="1">
      <c r="A682" s="83"/>
      <c r="B682" s="83"/>
      <c r="C682" s="83"/>
      <c r="D682" s="126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4.25" customHeight="1">
      <c r="A683" s="83"/>
      <c r="B683" s="83"/>
      <c r="C683" s="83"/>
      <c r="D683" s="126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4.25" customHeight="1">
      <c r="A684" s="83"/>
      <c r="B684" s="83"/>
      <c r="C684" s="83"/>
      <c r="D684" s="126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4.25" customHeight="1">
      <c r="A685" s="83"/>
      <c r="B685" s="83"/>
      <c r="C685" s="83"/>
      <c r="D685" s="126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4.25" customHeight="1">
      <c r="A686" s="83"/>
      <c r="B686" s="83"/>
      <c r="C686" s="83"/>
      <c r="D686" s="126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4.25" customHeight="1">
      <c r="A687" s="83"/>
      <c r="B687" s="83"/>
      <c r="C687" s="83"/>
      <c r="D687" s="126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4.25" customHeight="1">
      <c r="A688" s="83"/>
      <c r="B688" s="83"/>
      <c r="C688" s="83"/>
      <c r="D688" s="126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4.25" customHeight="1">
      <c r="A689" s="83"/>
      <c r="B689" s="83"/>
      <c r="C689" s="83"/>
      <c r="D689" s="126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4.25" customHeight="1">
      <c r="A690" s="83"/>
      <c r="B690" s="83"/>
      <c r="C690" s="83"/>
      <c r="D690" s="126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4.25" customHeight="1">
      <c r="A691" s="83"/>
      <c r="B691" s="83"/>
      <c r="C691" s="83"/>
      <c r="D691" s="126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4.25" customHeight="1">
      <c r="A692" s="83"/>
      <c r="B692" s="83"/>
      <c r="C692" s="83"/>
      <c r="D692" s="126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4.25" customHeight="1">
      <c r="A693" s="83"/>
      <c r="B693" s="83"/>
      <c r="C693" s="83"/>
      <c r="D693" s="126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4.25" customHeight="1">
      <c r="A694" s="83"/>
      <c r="B694" s="83"/>
      <c r="C694" s="83"/>
      <c r="D694" s="126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4.25" customHeight="1">
      <c r="A695" s="83"/>
      <c r="B695" s="83"/>
      <c r="C695" s="83"/>
      <c r="D695" s="126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4.25" customHeight="1">
      <c r="A696" s="83"/>
      <c r="B696" s="83"/>
      <c r="C696" s="83"/>
      <c r="D696" s="126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4.25" customHeight="1">
      <c r="A697" s="83"/>
      <c r="B697" s="83"/>
      <c r="C697" s="83"/>
      <c r="D697" s="126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4.25" customHeight="1">
      <c r="A698" s="83"/>
      <c r="B698" s="83"/>
      <c r="C698" s="83"/>
      <c r="D698" s="126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4.25" customHeight="1">
      <c r="A699" s="83"/>
      <c r="B699" s="83"/>
      <c r="C699" s="83"/>
      <c r="D699" s="126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4.25" customHeight="1">
      <c r="A700" s="83"/>
      <c r="B700" s="83"/>
      <c r="C700" s="83"/>
      <c r="D700" s="126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4.25" customHeight="1">
      <c r="A701" s="83"/>
      <c r="B701" s="83"/>
      <c r="C701" s="83"/>
      <c r="D701" s="126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4.25" customHeight="1">
      <c r="A702" s="83"/>
      <c r="B702" s="83"/>
      <c r="C702" s="83"/>
      <c r="D702" s="126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4.25" customHeight="1">
      <c r="A703" s="83"/>
      <c r="B703" s="83"/>
      <c r="C703" s="83"/>
      <c r="D703" s="126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4.25" customHeight="1">
      <c r="A704" s="83"/>
      <c r="B704" s="83"/>
      <c r="C704" s="83"/>
      <c r="D704" s="126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4.25" customHeight="1">
      <c r="A705" s="83"/>
      <c r="B705" s="83"/>
      <c r="C705" s="83"/>
      <c r="D705" s="126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4.25" customHeight="1">
      <c r="A706" s="83"/>
      <c r="B706" s="83"/>
      <c r="C706" s="83"/>
      <c r="D706" s="126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4.25" customHeight="1">
      <c r="A707" s="83"/>
      <c r="B707" s="83"/>
      <c r="C707" s="83"/>
      <c r="D707" s="126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4.25" customHeight="1">
      <c r="A708" s="83"/>
      <c r="B708" s="83"/>
      <c r="C708" s="83"/>
      <c r="D708" s="126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4.25" customHeight="1">
      <c r="A709" s="83"/>
      <c r="B709" s="83"/>
      <c r="C709" s="83"/>
      <c r="D709" s="126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4.25" customHeight="1">
      <c r="A710" s="83"/>
      <c r="B710" s="83"/>
      <c r="C710" s="83"/>
      <c r="D710" s="126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4.25" customHeight="1">
      <c r="A711" s="83"/>
      <c r="B711" s="83"/>
      <c r="C711" s="83"/>
      <c r="D711" s="126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4.25" customHeight="1">
      <c r="A712" s="83"/>
      <c r="B712" s="83"/>
      <c r="C712" s="83"/>
      <c r="D712" s="126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4.25" customHeight="1">
      <c r="A713" s="83"/>
      <c r="B713" s="83"/>
      <c r="C713" s="83"/>
      <c r="D713" s="126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4.25" customHeight="1">
      <c r="A714" s="83"/>
      <c r="B714" s="83"/>
      <c r="C714" s="83"/>
      <c r="D714" s="126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4.25" customHeight="1">
      <c r="A715" s="83"/>
      <c r="B715" s="83"/>
      <c r="C715" s="83"/>
      <c r="D715" s="126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4.25" customHeight="1">
      <c r="A716" s="83"/>
      <c r="B716" s="83"/>
      <c r="C716" s="83"/>
      <c r="D716" s="126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4.25" customHeight="1">
      <c r="A717" s="83"/>
      <c r="B717" s="83"/>
      <c r="C717" s="83"/>
      <c r="D717" s="126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4.25" customHeight="1">
      <c r="A718" s="83"/>
      <c r="B718" s="83"/>
      <c r="C718" s="83"/>
      <c r="D718" s="126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4.25" customHeight="1">
      <c r="A719" s="83"/>
      <c r="B719" s="83"/>
      <c r="C719" s="83"/>
      <c r="D719" s="126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4.25" customHeight="1">
      <c r="A720" s="83"/>
      <c r="B720" s="83"/>
      <c r="C720" s="83"/>
      <c r="D720" s="126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4.25" customHeight="1">
      <c r="A721" s="83"/>
      <c r="B721" s="83"/>
      <c r="C721" s="83"/>
      <c r="D721" s="126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4.25" customHeight="1">
      <c r="A722" s="83"/>
      <c r="B722" s="83"/>
      <c r="C722" s="83"/>
      <c r="D722" s="126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4.25" customHeight="1">
      <c r="A723" s="83"/>
      <c r="B723" s="83"/>
      <c r="C723" s="83"/>
      <c r="D723" s="126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4.25" customHeight="1">
      <c r="A724" s="83"/>
      <c r="B724" s="83"/>
      <c r="C724" s="83"/>
      <c r="D724" s="126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4.25" customHeight="1">
      <c r="A725" s="83"/>
      <c r="B725" s="83"/>
      <c r="C725" s="83"/>
      <c r="D725" s="126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4.25" customHeight="1">
      <c r="A726" s="83"/>
      <c r="B726" s="83"/>
      <c r="C726" s="83"/>
      <c r="D726" s="126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4.25" customHeight="1">
      <c r="A727" s="83"/>
      <c r="B727" s="83"/>
      <c r="C727" s="83"/>
      <c r="D727" s="126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4.25" customHeight="1">
      <c r="A728" s="83"/>
      <c r="B728" s="83"/>
      <c r="C728" s="83"/>
      <c r="D728" s="126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4.25" customHeight="1">
      <c r="A729" s="83"/>
      <c r="B729" s="83"/>
      <c r="C729" s="83"/>
      <c r="D729" s="126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4.25" customHeight="1">
      <c r="A730" s="83"/>
      <c r="B730" s="83"/>
      <c r="C730" s="83"/>
      <c r="D730" s="126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4.25" customHeight="1">
      <c r="A731" s="83"/>
      <c r="B731" s="83"/>
      <c r="C731" s="83"/>
      <c r="D731" s="126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4.25" customHeight="1">
      <c r="A732" s="83"/>
      <c r="B732" s="83"/>
      <c r="C732" s="83"/>
      <c r="D732" s="126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4.25" customHeight="1">
      <c r="A733" s="83"/>
      <c r="B733" s="83"/>
      <c r="C733" s="83"/>
      <c r="D733" s="126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4.25" customHeight="1">
      <c r="A734" s="83"/>
      <c r="B734" s="83"/>
      <c r="C734" s="83"/>
      <c r="D734" s="126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4.25" customHeight="1">
      <c r="A735" s="83"/>
      <c r="B735" s="83"/>
      <c r="C735" s="83"/>
      <c r="D735" s="126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4.25" customHeight="1">
      <c r="A736" s="83"/>
      <c r="B736" s="83"/>
      <c r="C736" s="83"/>
      <c r="D736" s="126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4.25" customHeight="1">
      <c r="A737" s="83"/>
      <c r="B737" s="83"/>
      <c r="C737" s="83"/>
      <c r="D737" s="126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4.25" customHeight="1">
      <c r="A738" s="83"/>
      <c r="B738" s="83"/>
      <c r="C738" s="83"/>
      <c r="D738" s="126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4.25" customHeight="1">
      <c r="A739" s="83"/>
      <c r="B739" s="83"/>
      <c r="C739" s="83"/>
      <c r="D739" s="126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4.25" customHeight="1">
      <c r="A740" s="83"/>
      <c r="B740" s="83"/>
      <c r="C740" s="83"/>
      <c r="D740" s="126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4.25" customHeight="1">
      <c r="A741" s="83"/>
      <c r="B741" s="83"/>
      <c r="C741" s="83"/>
      <c r="D741" s="126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4.25" customHeight="1">
      <c r="A742" s="83"/>
      <c r="B742" s="83"/>
      <c r="C742" s="83"/>
      <c r="D742" s="126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4.25" customHeight="1">
      <c r="A743" s="83"/>
      <c r="B743" s="83"/>
      <c r="C743" s="83"/>
      <c r="D743" s="126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4.25" customHeight="1">
      <c r="A744" s="83"/>
      <c r="B744" s="83"/>
      <c r="C744" s="83"/>
      <c r="D744" s="126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4.25" customHeight="1">
      <c r="A745" s="83"/>
      <c r="B745" s="83"/>
      <c r="C745" s="83"/>
      <c r="D745" s="126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4.25" customHeight="1">
      <c r="A746" s="83"/>
      <c r="B746" s="83"/>
      <c r="C746" s="83"/>
      <c r="D746" s="126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4.25" customHeight="1">
      <c r="A747" s="83"/>
      <c r="B747" s="83"/>
      <c r="C747" s="83"/>
      <c r="D747" s="126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4.25" customHeight="1">
      <c r="A748" s="83"/>
      <c r="B748" s="83"/>
      <c r="C748" s="83"/>
      <c r="D748" s="126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4.25" customHeight="1">
      <c r="A749" s="83"/>
      <c r="B749" s="83"/>
      <c r="C749" s="83"/>
      <c r="D749" s="126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4.25" customHeight="1">
      <c r="A750" s="83"/>
      <c r="B750" s="83"/>
      <c r="C750" s="83"/>
      <c r="D750" s="126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4.25" customHeight="1">
      <c r="A751" s="83"/>
      <c r="B751" s="83"/>
      <c r="C751" s="83"/>
      <c r="D751" s="126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4.25" customHeight="1">
      <c r="A752" s="83"/>
      <c r="B752" s="83"/>
      <c r="C752" s="83"/>
      <c r="D752" s="126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4.25" customHeight="1">
      <c r="A753" s="83"/>
      <c r="B753" s="83"/>
      <c r="C753" s="83"/>
      <c r="D753" s="126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4.25" customHeight="1">
      <c r="A754" s="83"/>
      <c r="B754" s="83"/>
      <c r="C754" s="83"/>
      <c r="D754" s="126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4.25" customHeight="1">
      <c r="A755" s="83"/>
      <c r="B755" s="83"/>
      <c r="C755" s="83"/>
      <c r="D755" s="126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4.25" customHeight="1">
      <c r="A756" s="83"/>
      <c r="B756" s="83"/>
      <c r="C756" s="83"/>
      <c r="D756" s="126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4.25" customHeight="1">
      <c r="A757" s="83"/>
      <c r="B757" s="83"/>
      <c r="C757" s="83"/>
      <c r="D757" s="126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4.25" customHeight="1">
      <c r="A758" s="83"/>
      <c r="B758" s="83"/>
      <c r="C758" s="83"/>
      <c r="D758" s="126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4.25" customHeight="1">
      <c r="A759" s="83"/>
      <c r="B759" s="83"/>
      <c r="C759" s="83"/>
      <c r="D759" s="126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4.25" customHeight="1">
      <c r="A760" s="83"/>
      <c r="B760" s="83"/>
      <c r="C760" s="83"/>
      <c r="D760" s="126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4.25" customHeight="1">
      <c r="A761" s="83"/>
      <c r="B761" s="83"/>
      <c r="C761" s="83"/>
      <c r="D761" s="126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4.25" customHeight="1">
      <c r="A762" s="83"/>
      <c r="B762" s="83"/>
      <c r="C762" s="83"/>
      <c r="D762" s="126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4.25" customHeight="1">
      <c r="A763" s="83"/>
      <c r="B763" s="83"/>
      <c r="C763" s="83"/>
      <c r="D763" s="126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4.25" customHeight="1">
      <c r="A764" s="83"/>
      <c r="B764" s="83"/>
      <c r="C764" s="83"/>
      <c r="D764" s="126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4.25" customHeight="1">
      <c r="A765" s="83"/>
      <c r="B765" s="83"/>
      <c r="C765" s="83"/>
      <c r="D765" s="126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4.25" customHeight="1">
      <c r="A766" s="83"/>
      <c r="B766" s="83"/>
      <c r="C766" s="83"/>
      <c r="D766" s="126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4.25" customHeight="1">
      <c r="A767" s="83"/>
      <c r="B767" s="83"/>
      <c r="C767" s="83"/>
      <c r="D767" s="126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4.25" customHeight="1">
      <c r="A768" s="83"/>
      <c r="B768" s="83"/>
      <c r="C768" s="83"/>
      <c r="D768" s="126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4.25" customHeight="1">
      <c r="A769" s="83"/>
      <c r="B769" s="83"/>
      <c r="C769" s="83"/>
      <c r="D769" s="126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4.25" customHeight="1">
      <c r="A770" s="83"/>
      <c r="B770" s="83"/>
      <c r="C770" s="83"/>
      <c r="D770" s="126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4.25" customHeight="1">
      <c r="A771" s="83"/>
      <c r="B771" s="83"/>
      <c r="C771" s="83"/>
      <c r="D771" s="126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4.25" customHeight="1">
      <c r="A772" s="83"/>
      <c r="B772" s="83"/>
      <c r="C772" s="83"/>
      <c r="D772" s="126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4.25" customHeight="1">
      <c r="A773" s="83"/>
      <c r="B773" s="83"/>
      <c r="C773" s="83"/>
      <c r="D773" s="126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4.25" customHeight="1">
      <c r="A774" s="83"/>
      <c r="B774" s="83"/>
      <c r="C774" s="83"/>
      <c r="D774" s="126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4.25" customHeight="1">
      <c r="A775" s="83"/>
      <c r="B775" s="83"/>
      <c r="C775" s="83"/>
      <c r="D775" s="126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4.25" customHeight="1">
      <c r="A776" s="83"/>
      <c r="B776" s="83"/>
      <c r="C776" s="83"/>
      <c r="D776" s="126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4.25" customHeight="1">
      <c r="A777" s="83"/>
      <c r="B777" s="83"/>
      <c r="C777" s="83"/>
      <c r="D777" s="126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4.25" customHeight="1">
      <c r="A778" s="83"/>
      <c r="B778" s="83"/>
      <c r="C778" s="83"/>
      <c r="D778" s="126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4.25" customHeight="1">
      <c r="A779" s="83"/>
      <c r="B779" s="83"/>
      <c r="C779" s="83"/>
      <c r="D779" s="126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4.25" customHeight="1">
      <c r="A780" s="83"/>
      <c r="B780" s="83"/>
      <c r="C780" s="83"/>
      <c r="D780" s="126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4.25" customHeight="1">
      <c r="A781" s="83"/>
      <c r="B781" s="83"/>
      <c r="C781" s="83"/>
      <c r="D781" s="126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4.25" customHeight="1">
      <c r="A782" s="83"/>
      <c r="B782" s="83"/>
      <c r="C782" s="83"/>
      <c r="D782" s="126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4.25" customHeight="1">
      <c r="A783" s="83"/>
      <c r="B783" s="83"/>
      <c r="C783" s="83"/>
      <c r="D783" s="126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4.25" customHeight="1">
      <c r="A784" s="83"/>
      <c r="B784" s="83"/>
      <c r="C784" s="83"/>
      <c r="D784" s="126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4.25" customHeight="1">
      <c r="A785" s="83"/>
      <c r="B785" s="83"/>
      <c r="C785" s="83"/>
      <c r="D785" s="126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4.25" customHeight="1">
      <c r="A786" s="83"/>
      <c r="B786" s="83"/>
      <c r="C786" s="83"/>
      <c r="D786" s="126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4.25" customHeight="1">
      <c r="A787" s="83"/>
      <c r="B787" s="83"/>
      <c r="C787" s="83"/>
      <c r="D787" s="126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4.25" customHeight="1">
      <c r="A788" s="83"/>
      <c r="B788" s="83"/>
      <c r="C788" s="83"/>
      <c r="D788" s="126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4.25" customHeight="1">
      <c r="A789" s="83"/>
      <c r="B789" s="83"/>
      <c r="C789" s="83"/>
      <c r="D789" s="126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4.25" customHeight="1">
      <c r="A790" s="83"/>
      <c r="B790" s="83"/>
      <c r="C790" s="83"/>
      <c r="D790" s="126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4.25" customHeight="1">
      <c r="A791" s="83"/>
      <c r="B791" s="83"/>
      <c r="C791" s="83"/>
      <c r="D791" s="126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4.25" customHeight="1">
      <c r="A792" s="83"/>
      <c r="B792" s="83"/>
      <c r="C792" s="83"/>
      <c r="D792" s="126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4.25" customHeight="1">
      <c r="A793" s="83"/>
      <c r="B793" s="83"/>
      <c r="C793" s="83"/>
      <c r="D793" s="126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4.25" customHeight="1">
      <c r="A794" s="83"/>
      <c r="B794" s="83"/>
      <c r="C794" s="83"/>
      <c r="D794" s="126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4.25" customHeight="1">
      <c r="A795" s="83"/>
      <c r="B795" s="83"/>
      <c r="C795" s="83"/>
      <c r="D795" s="126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4.25" customHeight="1">
      <c r="A796" s="83"/>
      <c r="B796" s="83"/>
      <c r="C796" s="83"/>
      <c r="D796" s="126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4.25" customHeight="1">
      <c r="A797" s="83"/>
      <c r="B797" s="83"/>
      <c r="C797" s="83"/>
      <c r="D797" s="126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4.25" customHeight="1">
      <c r="A798" s="83"/>
      <c r="B798" s="83"/>
      <c r="C798" s="83"/>
      <c r="D798" s="126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4.25" customHeight="1">
      <c r="A799" s="83"/>
      <c r="B799" s="83"/>
      <c r="C799" s="83"/>
      <c r="D799" s="126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4.25" customHeight="1">
      <c r="A800" s="83"/>
      <c r="B800" s="83"/>
      <c r="C800" s="83"/>
      <c r="D800" s="126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4.25" customHeight="1">
      <c r="A801" s="83"/>
      <c r="B801" s="83"/>
      <c r="C801" s="83"/>
      <c r="D801" s="126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4.25" customHeight="1">
      <c r="A802" s="83"/>
      <c r="B802" s="83"/>
      <c r="C802" s="83"/>
      <c r="D802" s="126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4.25" customHeight="1">
      <c r="A803" s="83"/>
      <c r="B803" s="83"/>
      <c r="C803" s="83"/>
      <c r="D803" s="126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4.25" customHeight="1">
      <c r="A804" s="83"/>
      <c r="B804" s="83"/>
      <c r="C804" s="83"/>
      <c r="D804" s="126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4.25" customHeight="1">
      <c r="A805" s="83"/>
      <c r="B805" s="83"/>
      <c r="C805" s="83"/>
      <c r="D805" s="126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4.25" customHeight="1">
      <c r="A806" s="83"/>
      <c r="B806" s="83"/>
      <c r="C806" s="83"/>
      <c r="D806" s="126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4.25" customHeight="1">
      <c r="A807" s="83"/>
      <c r="B807" s="83"/>
      <c r="C807" s="83"/>
      <c r="D807" s="126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4.25" customHeight="1">
      <c r="A808" s="83"/>
      <c r="B808" s="83"/>
      <c r="C808" s="83"/>
      <c r="D808" s="126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4.25" customHeight="1">
      <c r="A809" s="83"/>
      <c r="B809" s="83"/>
      <c r="C809" s="83"/>
      <c r="D809" s="126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4.25" customHeight="1">
      <c r="A810" s="83"/>
      <c r="B810" s="83"/>
      <c r="C810" s="83"/>
      <c r="D810" s="126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4.25" customHeight="1">
      <c r="A811" s="83"/>
      <c r="B811" s="83"/>
      <c r="C811" s="83"/>
      <c r="D811" s="126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4.25" customHeight="1">
      <c r="A812" s="83"/>
      <c r="B812" s="83"/>
      <c r="C812" s="83"/>
      <c r="D812" s="126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4.25" customHeight="1">
      <c r="A813" s="83"/>
      <c r="B813" s="83"/>
      <c r="C813" s="83"/>
      <c r="D813" s="126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4.25" customHeight="1">
      <c r="A814" s="83"/>
      <c r="B814" s="83"/>
      <c r="C814" s="83"/>
      <c r="D814" s="126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4.25" customHeight="1">
      <c r="A815" s="83"/>
      <c r="B815" s="83"/>
      <c r="C815" s="83"/>
      <c r="D815" s="126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4.25" customHeight="1">
      <c r="A816" s="83"/>
      <c r="B816" s="83"/>
      <c r="C816" s="83"/>
      <c r="D816" s="126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4.25" customHeight="1">
      <c r="A817" s="83"/>
      <c r="B817" s="83"/>
      <c r="C817" s="83"/>
      <c r="D817" s="126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4.25" customHeight="1">
      <c r="A818" s="83"/>
      <c r="B818" s="83"/>
      <c r="C818" s="83"/>
      <c r="D818" s="126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4.25" customHeight="1">
      <c r="A819" s="83"/>
      <c r="B819" s="83"/>
      <c r="C819" s="83"/>
      <c r="D819" s="126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4.25" customHeight="1">
      <c r="A820" s="83"/>
      <c r="B820" s="83"/>
      <c r="C820" s="83"/>
      <c r="D820" s="126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4.25" customHeight="1">
      <c r="A821" s="83"/>
      <c r="B821" s="83"/>
      <c r="C821" s="83"/>
      <c r="D821" s="126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4.25" customHeight="1">
      <c r="A822" s="83"/>
      <c r="B822" s="83"/>
      <c r="C822" s="83"/>
      <c r="D822" s="126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4.25" customHeight="1">
      <c r="A823" s="83"/>
      <c r="B823" s="83"/>
      <c r="C823" s="83"/>
      <c r="D823" s="126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4.25" customHeight="1">
      <c r="A824" s="83"/>
      <c r="B824" s="83"/>
      <c r="C824" s="83"/>
      <c r="D824" s="126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4.25" customHeight="1">
      <c r="A825" s="83"/>
      <c r="B825" s="83"/>
      <c r="C825" s="83"/>
      <c r="D825" s="126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4.25" customHeight="1">
      <c r="A826" s="83"/>
      <c r="B826" s="83"/>
      <c r="C826" s="83"/>
      <c r="D826" s="126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4.25" customHeight="1">
      <c r="A827" s="83"/>
      <c r="B827" s="83"/>
      <c r="C827" s="83"/>
      <c r="D827" s="126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4.25" customHeight="1">
      <c r="A828" s="83"/>
      <c r="B828" s="83"/>
      <c r="C828" s="83"/>
      <c r="D828" s="126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4.25" customHeight="1">
      <c r="A829" s="83"/>
      <c r="B829" s="83"/>
      <c r="C829" s="83"/>
      <c r="D829" s="126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4.25" customHeight="1">
      <c r="A830" s="83"/>
      <c r="B830" s="83"/>
      <c r="C830" s="83"/>
      <c r="D830" s="126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4.25" customHeight="1">
      <c r="A831" s="83"/>
      <c r="B831" s="83"/>
      <c r="C831" s="83"/>
      <c r="D831" s="126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4.25" customHeight="1">
      <c r="A832" s="83"/>
      <c r="B832" s="83"/>
      <c r="C832" s="83"/>
      <c r="D832" s="126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4.25" customHeight="1">
      <c r="A833" s="83"/>
      <c r="B833" s="83"/>
      <c r="C833" s="83"/>
      <c r="D833" s="126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4.25" customHeight="1">
      <c r="A834" s="83"/>
      <c r="B834" s="83"/>
      <c r="C834" s="83"/>
      <c r="D834" s="126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4.25" customHeight="1">
      <c r="A835" s="83"/>
      <c r="B835" s="83"/>
      <c r="C835" s="83"/>
      <c r="D835" s="126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4.25" customHeight="1">
      <c r="A836" s="83"/>
      <c r="B836" s="83"/>
      <c r="C836" s="83"/>
      <c r="D836" s="126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4.25" customHeight="1">
      <c r="A837" s="83"/>
      <c r="B837" s="83"/>
      <c r="C837" s="83"/>
      <c r="D837" s="126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4.25" customHeight="1">
      <c r="A838" s="83"/>
      <c r="B838" s="83"/>
      <c r="C838" s="83"/>
      <c r="D838" s="126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4.25" customHeight="1">
      <c r="A839" s="83"/>
      <c r="B839" s="83"/>
      <c r="C839" s="83"/>
      <c r="D839" s="126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4.25" customHeight="1">
      <c r="A840" s="83"/>
      <c r="B840" s="83"/>
      <c r="C840" s="83"/>
      <c r="D840" s="126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4.25" customHeight="1">
      <c r="A841" s="83"/>
      <c r="B841" s="83"/>
      <c r="C841" s="83"/>
      <c r="D841" s="126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4.25" customHeight="1">
      <c r="A842" s="83"/>
      <c r="B842" s="83"/>
      <c r="C842" s="83"/>
      <c r="D842" s="126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4.25" customHeight="1">
      <c r="A843" s="83"/>
      <c r="B843" s="83"/>
      <c r="C843" s="83"/>
      <c r="D843" s="126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4.25" customHeight="1">
      <c r="A844" s="83"/>
      <c r="B844" s="83"/>
      <c r="C844" s="83"/>
      <c r="D844" s="126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4.25" customHeight="1">
      <c r="A845" s="83"/>
      <c r="B845" s="83"/>
      <c r="C845" s="83"/>
      <c r="D845" s="126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4.25" customHeight="1">
      <c r="A846" s="83"/>
      <c r="B846" s="83"/>
      <c r="C846" s="83"/>
      <c r="D846" s="126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4.25" customHeight="1">
      <c r="A847" s="83"/>
      <c r="B847" s="83"/>
      <c r="C847" s="83"/>
      <c r="D847" s="126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4.25" customHeight="1">
      <c r="A848" s="83"/>
      <c r="B848" s="83"/>
      <c r="C848" s="83"/>
      <c r="D848" s="126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4.25" customHeight="1">
      <c r="A849" s="83"/>
      <c r="B849" s="83"/>
      <c r="C849" s="83"/>
      <c r="D849" s="126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4.25" customHeight="1">
      <c r="A850" s="83"/>
      <c r="B850" s="83"/>
      <c r="C850" s="83"/>
      <c r="D850" s="126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4.25" customHeight="1">
      <c r="A851" s="83"/>
      <c r="B851" s="83"/>
      <c r="C851" s="83"/>
      <c r="D851" s="126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4.25" customHeight="1">
      <c r="A852" s="83"/>
      <c r="B852" s="83"/>
      <c r="C852" s="83"/>
      <c r="D852" s="126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4.25" customHeight="1">
      <c r="A853" s="83"/>
      <c r="B853" s="83"/>
      <c r="C853" s="83"/>
      <c r="D853" s="126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4.25" customHeight="1">
      <c r="A854" s="83"/>
      <c r="B854" s="83"/>
      <c r="C854" s="83"/>
      <c r="D854" s="126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4.25" customHeight="1">
      <c r="A855" s="83"/>
      <c r="B855" s="83"/>
      <c r="C855" s="83"/>
      <c r="D855" s="126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4.25" customHeight="1">
      <c r="A856" s="83"/>
      <c r="B856" s="83"/>
      <c r="C856" s="83"/>
      <c r="D856" s="126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4.25" customHeight="1">
      <c r="A857" s="83"/>
      <c r="B857" s="83"/>
      <c r="C857" s="83"/>
      <c r="D857" s="126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4.25" customHeight="1">
      <c r="A858" s="83"/>
      <c r="B858" s="83"/>
      <c r="C858" s="83"/>
      <c r="D858" s="126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4.25" customHeight="1">
      <c r="A859" s="83"/>
      <c r="B859" s="83"/>
      <c r="C859" s="83"/>
      <c r="D859" s="126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4.25" customHeight="1">
      <c r="A860" s="83"/>
      <c r="B860" s="83"/>
      <c r="C860" s="83"/>
      <c r="D860" s="126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4.25" customHeight="1">
      <c r="A861" s="83"/>
      <c r="B861" s="83"/>
      <c r="C861" s="83"/>
      <c r="D861" s="126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4.25" customHeight="1">
      <c r="A862" s="83"/>
      <c r="B862" s="83"/>
      <c r="C862" s="83"/>
      <c r="D862" s="126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4.25" customHeight="1">
      <c r="A863" s="83"/>
      <c r="B863" s="83"/>
      <c r="C863" s="83"/>
      <c r="D863" s="126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4.25" customHeight="1">
      <c r="A864" s="83"/>
      <c r="B864" s="83"/>
      <c r="C864" s="83"/>
      <c r="D864" s="126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4.25" customHeight="1">
      <c r="A865" s="83"/>
      <c r="B865" s="83"/>
      <c r="C865" s="83"/>
      <c r="D865" s="126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4.25" customHeight="1">
      <c r="A866" s="83"/>
      <c r="B866" s="83"/>
      <c r="C866" s="83"/>
      <c r="D866" s="126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4.25" customHeight="1">
      <c r="A867" s="83"/>
      <c r="B867" s="83"/>
      <c r="C867" s="83"/>
      <c r="D867" s="126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4.25" customHeight="1">
      <c r="A868" s="83"/>
      <c r="B868" s="83"/>
      <c r="C868" s="83"/>
      <c r="D868" s="126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4.25" customHeight="1">
      <c r="A869" s="83"/>
      <c r="B869" s="83"/>
      <c r="C869" s="83"/>
      <c r="D869" s="126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4.25" customHeight="1">
      <c r="A870" s="83"/>
      <c r="B870" s="83"/>
      <c r="C870" s="83"/>
      <c r="D870" s="126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4.25" customHeight="1">
      <c r="A871" s="83"/>
      <c r="B871" s="83"/>
      <c r="C871" s="83"/>
      <c r="D871" s="126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4.25" customHeight="1">
      <c r="A872" s="83"/>
      <c r="B872" s="83"/>
      <c r="C872" s="83"/>
      <c r="D872" s="126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4.25" customHeight="1">
      <c r="A873" s="83"/>
      <c r="B873" s="83"/>
      <c r="C873" s="83"/>
      <c r="D873" s="126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4.25" customHeight="1">
      <c r="A874" s="83"/>
      <c r="B874" s="83"/>
      <c r="C874" s="83"/>
      <c r="D874" s="126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4.25" customHeight="1">
      <c r="A875" s="83"/>
      <c r="B875" s="83"/>
      <c r="C875" s="83"/>
      <c r="D875" s="126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4.25" customHeight="1">
      <c r="A876" s="83"/>
      <c r="B876" s="83"/>
      <c r="C876" s="83"/>
      <c r="D876" s="126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4.25" customHeight="1">
      <c r="A877" s="83"/>
      <c r="B877" s="83"/>
      <c r="C877" s="83"/>
      <c r="D877" s="126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4.25" customHeight="1">
      <c r="A878" s="83"/>
      <c r="B878" s="83"/>
      <c r="C878" s="83"/>
      <c r="D878" s="126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4.25" customHeight="1">
      <c r="A879" s="83"/>
      <c r="B879" s="83"/>
      <c r="C879" s="83"/>
      <c r="D879" s="126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4.25" customHeight="1">
      <c r="A880" s="83"/>
      <c r="B880" s="83"/>
      <c r="C880" s="83"/>
      <c r="D880" s="126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4.25" customHeight="1">
      <c r="A881" s="83"/>
      <c r="B881" s="83"/>
      <c r="C881" s="83"/>
      <c r="D881" s="126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4.25" customHeight="1">
      <c r="A882" s="83"/>
      <c r="B882" s="83"/>
      <c r="C882" s="83"/>
      <c r="D882" s="126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4.25" customHeight="1">
      <c r="A883" s="83"/>
      <c r="B883" s="83"/>
      <c r="C883" s="83"/>
      <c r="D883" s="126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4.25" customHeight="1">
      <c r="A884" s="83"/>
      <c r="B884" s="83"/>
      <c r="C884" s="83"/>
      <c r="D884" s="126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4.25" customHeight="1">
      <c r="A885" s="83"/>
      <c r="B885" s="83"/>
      <c r="C885" s="83"/>
      <c r="D885" s="126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4.25" customHeight="1">
      <c r="A886" s="83"/>
      <c r="B886" s="83"/>
      <c r="C886" s="83"/>
      <c r="D886" s="126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4.25" customHeight="1">
      <c r="A887" s="83"/>
      <c r="B887" s="83"/>
      <c r="C887" s="83"/>
      <c r="D887" s="126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4.25" customHeight="1">
      <c r="A888" s="83"/>
      <c r="B888" s="83"/>
      <c r="C888" s="83"/>
      <c r="D888" s="126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4.25" customHeight="1">
      <c r="A889" s="83"/>
      <c r="B889" s="83"/>
      <c r="C889" s="83"/>
      <c r="D889" s="126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4.25" customHeight="1">
      <c r="A890" s="83"/>
      <c r="B890" s="83"/>
      <c r="C890" s="83"/>
      <c r="D890" s="126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4.25" customHeight="1">
      <c r="A891" s="83"/>
      <c r="B891" s="83"/>
      <c r="C891" s="83"/>
      <c r="D891" s="126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4.25" customHeight="1">
      <c r="A892" s="83"/>
      <c r="B892" s="83"/>
      <c r="C892" s="83"/>
      <c r="D892" s="126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4.25" customHeight="1">
      <c r="A893" s="83"/>
      <c r="B893" s="83"/>
      <c r="C893" s="83"/>
      <c r="D893" s="126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4.25" customHeight="1">
      <c r="A894" s="83"/>
      <c r="B894" s="83"/>
      <c r="C894" s="83"/>
      <c r="D894" s="126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4.25" customHeight="1">
      <c r="A895" s="83"/>
      <c r="B895" s="83"/>
      <c r="C895" s="83"/>
      <c r="D895" s="126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4.25" customHeight="1">
      <c r="A896" s="83"/>
      <c r="B896" s="83"/>
      <c r="C896" s="83"/>
      <c r="D896" s="126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4.25" customHeight="1">
      <c r="A897" s="83"/>
      <c r="B897" s="83"/>
      <c r="C897" s="83"/>
      <c r="D897" s="126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4.25" customHeight="1">
      <c r="A898" s="83"/>
      <c r="B898" s="83"/>
      <c r="C898" s="83"/>
      <c r="D898" s="126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4.25" customHeight="1">
      <c r="A899" s="83"/>
      <c r="B899" s="83"/>
      <c r="C899" s="83"/>
      <c r="D899" s="126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4.25" customHeight="1">
      <c r="A900" s="83"/>
      <c r="B900" s="83"/>
      <c r="C900" s="83"/>
      <c r="D900" s="126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4.25" customHeight="1">
      <c r="A901" s="83"/>
      <c r="B901" s="83"/>
      <c r="C901" s="83"/>
      <c r="D901" s="126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4.25" customHeight="1">
      <c r="A902" s="83"/>
      <c r="B902" s="83"/>
      <c r="C902" s="83"/>
      <c r="D902" s="126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4.25" customHeight="1">
      <c r="A903" s="83"/>
      <c r="B903" s="83"/>
      <c r="C903" s="83"/>
      <c r="D903" s="126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4.25" customHeight="1">
      <c r="A904" s="83"/>
      <c r="B904" s="83"/>
      <c r="C904" s="83"/>
      <c r="D904" s="126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4.25" customHeight="1">
      <c r="A905" s="83"/>
      <c r="B905" s="83"/>
      <c r="C905" s="83"/>
      <c r="D905" s="126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4.25" customHeight="1">
      <c r="A906" s="83"/>
      <c r="B906" s="83"/>
      <c r="C906" s="83"/>
      <c r="D906" s="126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4.25" customHeight="1">
      <c r="A907" s="83"/>
      <c r="B907" s="83"/>
      <c r="C907" s="83"/>
      <c r="D907" s="126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4.25" customHeight="1">
      <c r="A908" s="83"/>
      <c r="B908" s="83"/>
      <c r="C908" s="83"/>
      <c r="D908" s="126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4.25" customHeight="1">
      <c r="A909" s="83"/>
      <c r="B909" s="83"/>
      <c r="C909" s="83"/>
      <c r="D909" s="126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4.25" customHeight="1">
      <c r="A910" s="83"/>
      <c r="B910" s="83"/>
      <c r="C910" s="83"/>
      <c r="D910" s="126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4.25" customHeight="1">
      <c r="A911" s="83"/>
      <c r="B911" s="83"/>
      <c r="C911" s="83"/>
      <c r="D911" s="126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4.25" customHeight="1">
      <c r="A912" s="83"/>
      <c r="B912" s="83"/>
      <c r="C912" s="83"/>
      <c r="D912" s="126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4.25" customHeight="1">
      <c r="A913" s="83"/>
      <c r="B913" s="83"/>
      <c r="C913" s="83"/>
      <c r="D913" s="126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4.25" customHeight="1">
      <c r="A914" s="83"/>
      <c r="B914" s="83"/>
      <c r="C914" s="83"/>
      <c r="D914" s="126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4.25" customHeight="1">
      <c r="A915" s="83"/>
      <c r="B915" s="83"/>
      <c r="C915" s="83"/>
      <c r="D915" s="126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4.25" customHeight="1">
      <c r="A916" s="83"/>
      <c r="B916" s="83"/>
      <c r="C916" s="83"/>
      <c r="D916" s="126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4.25" customHeight="1">
      <c r="A917" s="83"/>
      <c r="B917" s="83"/>
      <c r="C917" s="83"/>
      <c r="D917" s="126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4.25" customHeight="1">
      <c r="A918" s="83"/>
      <c r="B918" s="83"/>
      <c r="C918" s="83"/>
      <c r="D918" s="126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4.25" customHeight="1">
      <c r="A919" s="83"/>
      <c r="B919" s="83"/>
      <c r="C919" s="83"/>
      <c r="D919" s="126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4.25" customHeight="1">
      <c r="A920" s="83"/>
      <c r="B920" s="83"/>
      <c r="C920" s="83"/>
      <c r="D920" s="126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4.25" customHeight="1">
      <c r="A921" s="83"/>
      <c r="B921" s="83"/>
      <c r="C921" s="83"/>
      <c r="D921" s="126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4.25" customHeight="1">
      <c r="A922" s="83"/>
      <c r="B922" s="83"/>
      <c r="C922" s="83"/>
      <c r="D922" s="126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4.25" customHeight="1">
      <c r="A923" s="83"/>
      <c r="B923" s="83"/>
      <c r="C923" s="83"/>
      <c r="D923" s="126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4.25" customHeight="1">
      <c r="A924" s="83"/>
      <c r="B924" s="83"/>
      <c r="C924" s="83"/>
      <c r="D924" s="126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4.25" customHeight="1">
      <c r="A925" s="83"/>
      <c r="B925" s="83"/>
      <c r="C925" s="83"/>
      <c r="D925" s="126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4.25" customHeight="1">
      <c r="A926" s="83"/>
      <c r="B926" s="83"/>
      <c r="C926" s="83"/>
      <c r="D926" s="126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4.25" customHeight="1">
      <c r="A927" s="83"/>
      <c r="B927" s="83"/>
      <c r="C927" s="83"/>
      <c r="D927" s="126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4.25" customHeight="1">
      <c r="A928" s="83"/>
      <c r="B928" s="83"/>
      <c r="C928" s="83"/>
      <c r="D928" s="126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4.25" customHeight="1">
      <c r="A929" s="83"/>
      <c r="B929" s="83"/>
      <c r="C929" s="83"/>
      <c r="D929" s="126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4.25" customHeight="1">
      <c r="A930" s="83"/>
      <c r="B930" s="83"/>
      <c r="C930" s="83"/>
      <c r="D930" s="126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4.25" customHeight="1">
      <c r="A931" s="83"/>
      <c r="B931" s="83"/>
      <c r="C931" s="83"/>
      <c r="D931" s="126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4.25" customHeight="1">
      <c r="A932" s="83"/>
      <c r="B932" s="83"/>
      <c r="C932" s="83"/>
      <c r="D932" s="126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4.25" customHeight="1">
      <c r="A933" s="83"/>
      <c r="B933" s="83"/>
      <c r="C933" s="83"/>
      <c r="D933" s="126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4.25" customHeight="1">
      <c r="A934" s="83"/>
      <c r="B934" s="83"/>
      <c r="C934" s="83"/>
      <c r="D934" s="126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4.25" customHeight="1">
      <c r="A935" s="83"/>
      <c r="B935" s="83"/>
      <c r="C935" s="83"/>
      <c r="D935" s="126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4.25" customHeight="1">
      <c r="A936" s="83"/>
      <c r="B936" s="83"/>
      <c r="C936" s="83"/>
      <c r="D936" s="126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4.25" customHeight="1">
      <c r="A937" s="83"/>
      <c r="B937" s="83"/>
      <c r="C937" s="83"/>
      <c r="D937" s="126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4.25" customHeight="1">
      <c r="A938" s="83"/>
      <c r="B938" s="83"/>
      <c r="C938" s="83"/>
      <c r="D938" s="126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4.25" customHeight="1">
      <c r="A939" s="83"/>
      <c r="B939" s="83"/>
      <c r="C939" s="83"/>
      <c r="D939" s="126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4.25" customHeight="1">
      <c r="A940" s="83"/>
      <c r="B940" s="83"/>
      <c r="C940" s="83"/>
      <c r="D940" s="126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4.25" customHeight="1">
      <c r="A941" s="83"/>
      <c r="B941" s="83"/>
      <c r="C941" s="83"/>
      <c r="D941" s="126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4.25" customHeight="1">
      <c r="A942" s="83"/>
      <c r="B942" s="83"/>
      <c r="C942" s="83"/>
      <c r="D942" s="126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4.25" customHeight="1">
      <c r="A943" s="83"/>
      <c r="B943" s="83"/>
      <c r="C943" s="83"/>
      <c r="D943" s="126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4.25" customHeight="1">
      <c r="A944" s="83"/>
      <c r="B944" s="83"/>
      <c r="C944" s="83"/>
      <c r="D944" s="126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4.25" customHeight="1">
      <c r="A945" s="83"/>
      <c r="B945" s="83"/>
      <c r="C945" s="83"/>
      <c r="D945" s="126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4.25" customHeight="1">
      <c r="A946" s="83"/>
      <c r="B946" s="83"/>
      <c r="C946" s="83"/>
      <c r="D946" s="126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4.25" customHeight="1">
      <c r="A947" s="83"/>
      <c r="B947" s="83"/>
      <c r="C947" s="83"/>
      <c r="D947" s="126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4.25" customHeight="1">
      <c r="A948" s="83"/>
      <c r="B948" s="83"/>
      <c r="C948" s="83"/>
      <c r="D948" s="126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4.25" customHeight="1">
      <c r="A949" s="83"/>
      <c r="B949" s="83"/>
      <c r="C949" s="83"/>
      <c r="D949" s="126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4.25" customHeight="1">
      <c r="A950" s="83"/>
      <c r="B950" s="83"/>
      <c r="C950" s="83"/>
      <c r="D950" s="126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4.25" customHeight="1">
      <c r="A951" s="83"/>
      <c r="B951" s="83"/>
      <c r="C951" s="83"/>
      <c r="D951" s="126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4.25" customHeight="1">
      <c r="A952" s="83"/>
      <c r="B952" s="83"/>
      <c r="C952" s="83"/>
      <c r="D952" s="126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4.25" customHeight="1">
      <c r="A953" s="83"/>
      <c r="B953" s="83"/>
      <c r="C953" s="83"/>
      <c r="D953" s="126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4.25" customHeight="1">
      <c r="A954" s="83"/>
      <c r="B954" s="83"/>
      <c r="C954" s="83"/>
      <c r="D954" s="126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4.25" customHeight="1">
      <c r="A955" s="83"/>
      <c r="B955" s="83"/>
      <c r="C955" s="83"/>
      <c r="D955" s="126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4.25" customHeight="1">
      <c r="A956" s="83"/>
      <c r="B956" s="83"/>
      <c r="C956" s="83"/>
      <c r="D956" s="126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4.25" customHeight="1">
      <c r="A957" s="83"/>
      <c r="B957" s="83"/>
      <c r="C957" s="83"/>
      <c r="D957" s="126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4.25" customHeight="1">
      <c r="A958" s="83"/>
      <c r="B958" s="83"/>
      <c r="C958" s="83"/>
      <c r="D958" s="126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4.25" customHeight="1">
      <c r="A959" s="83"/>
      <c r="B959" s="83"/>
      <c r="C959" s="83"/>
      <c r="D959" s="126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4.25" customHeight="1">
      <c r="A960" s="83"/>
      <c r="B960" s="83"/>
      <c r="C960" s="83"/>
      <c r="D960" s="126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4.25" customHeight="1">
      <c r="A961" s="83"/>
      <c r="B961" s="83"/>
      <c r="C961" s="83"/>
      <c r="D961" s="126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4.25" customHeight="1">
      <c r="A962" s="83"/>
      <c r="B962" s="83"/>
      <c r="C962" s="83"/>
      <c r="D962" s="126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4.25" customHeight="1">
      <c r="A963" s="83"/>
      <c r="B963" s="83"/>
      <c r="C963" s="83"/>
      <c r="D963" s="126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4.25" customHeight="1">
      <c r="A964" s="83"/>
      <c r="B964" s="83"/>
      <c r="C964" s="83"/>
      <c r="D964" s="126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4.25" customHeight="1">
      <c r="A965" s="83"/>
      <c r="B965" s="83"/>
      <c r="C965" s="83"/>
      <c r="D965" s="126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4.25" customHeight="1">
      <c r="A966" s="83"/>
      <c r="B966" s="83"/>
      <c r="C966" s="83"/>
      <c r="D966" s="126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4.25" customHeight="1">
      <c r="A967" s="83"/>
      <c r="B967" s="83"/>
      <c r="C967" s="83"/>
      <c r="D967" s="126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4.25" customHeight="1">
      <c r="A968" s="83"/>
      <c r="B968" s="83"/>
      <c r="C968" s="83"/>
      <c r="D968" s="126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4.25" customHeight="1">
      <c r="A969" s="83"/>
      <c r="B969" s="83"/>
      <c r="C969" s="83"/>
      <c r="D969" s="126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4.25" customHeight="1">
      <c r="A970" s="83"/>
      <c r="B970" s="83"/>
      <c r="C970" s="83"/>
      <c r="D970" s="126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4.25" customHeight="1">
      <c r="A971" s="83"/>
      <c r="B971" s="83"/>
      <c r="C971" s="83"/>
      <c r="D971" s="126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4.25" customHeight="1">
      <c r="A972" s="83"/>
      <c r="B972" s="83"/>
      <c r="C972" s="83"/>
      <c r="D972" s="126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4.25" customHeight="1">
      <c r="A973" s="83"/>
      <c r="B973" s="83"/>
      <c r="C973" s="83"/>
      <c r="D973" s="126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4.25" customHeight="1">
      <c r="A974" s="83"/>
      <c r="B974" s="83"/>
      <c r="C974" s="83"/>
      <c r="D974" s="126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4.25" customHeight="1">
      <c r="A975" s="83"/>
      <c r="B975" s="83"/>
      <c r="C975" s="83"/>
      <c r="D975" s="126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4.25" customHeight="1">
      <c r="A976" s="83"/>
      <c r="B976" s="83"/>
      <c r="C976" s="83"/>
      <c r="D976" s="126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4.25" customHeight="1">
      <c r="A977" s="83"/>
      <c r="B977" s="83"/>
      <c r="C977" s="83"/>
      <c r="D977" s="126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4.25" customHeight="1">
      <c r="A978" s="83"/>
      <c r="B978" s="83"/>
      <c r="C978" s="83"/>
      <c r="D978" s="126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4.25" customHeight="1">
      <c r="A979" s="83"/>
      <c r="B979" s="83"/>
      <c r="C979" s="83"/>
      <c r="D979" s="126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4.25" customHeight="1">
      <c r="A980" s="83"/>
      <c r="B980" s="83"/>
      <c r="C980" s="83"/>
      <c r="D980" s="126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4.25" customHeight="1">
      <c r="A981" s="83"/>
      <c r="B981" s="83"/>
      <c r="C981" s="83"/>
      <c r="D981" s="126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4.25" customHeight="1">
      <c r="A982" s="83"/>
      <c r="B982" s="83"/>
      <c r="C982" s="83"/>
      <c r="D982" s="126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4.25" customHeight="1">
      <c r="A983" s="83"/>
      <c r="B983" s="83"/>
      <c r="C983" s="83"/>
      <c r="D983" s="126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4.25" customHeight="1">
      <c r="A984" s="83"/>
      <c r="B984" s="83"/>
      <c r="C984" s="83"/>
      <c r="D984" s="126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4.25" customHeight="1">
      <c r="A985" s="83"/>
      <c r="B985" s="83"/>
      <c r="C985" s="83"/>
      <c r="D985" s="126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4.25" customHeight="1">
      <c r="A986" s="83"/>
      <c r="B986" s="83"/>
      <c r="C986" s="83"/>
      <c r="D986" s="126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4.25" customHeight="1">
      <c r="A987" s="83"/>
      <c r="B987" s="83"/>
      <c r="C987" s="83"/>
      <c r="D987" s="126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4.25" customHeight="1">
      <c r="A988" s="83"/>
      <c r="B988" s="83"/>
      <c r="C988" s="83"/>
      <c r="D988" s="126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4.25" customHeight="1">
      <c r="A989" s="83"/>
      <c r="B989" s="83"/>
      <c r="C989" s="83"/>
      <c r="D989" s="126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4.25" customHeight="1">
      <c r="A990" s="83"/>
      <c r="B990" s="83"/>
      <c r="C990" s="83"/>
      <c r="D990" s="126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4.25" customHeight="1">
      <c r="A991" s="83"/>
      <c r="B991" s="83"/>
      <c r="C991" s="83"/>
      <c r="D991" s="126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4.25" customHeight="1">
      <c r="A992" s="83"/>
      <c r="B992" s="83"/>
      <c r="C992" s="83"/>
      <c r="D992" s="126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4.25" customHeight="1">
      <c r="A993" s="83"/>
      <c r="B993" s="83"/>
      <c r="C993" s="83"/>
      <c r="D993" s="126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4.25" customHeight="1">
      <c r="A994" s="83"/>
      <c r="B994" s="83"/>
      <c r="C994" s="83"/>
      <c r="D994" s="126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4.25" customHeight="1">
      <c r="A995" s="83"/>
      <c r="B995" s="83"/>
      <c r="C995" s="83"/>
      <c r="D995" s="126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4.25" customHeight="1">
      <c r="A996" s="83"/>
      <c r="B996" s="83"/>
      <c r="C996" s="83"/>
      <c r="D996" s="126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4.25" customHeight="1">
      <c r="A997" s="83"/>
      <c r="B997" s="83"/>
      <c r="C997" s="83"/>
      <c r="D997" s="126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4.25" customHeight="1">
      <c r="A998" s="83"/>
      <c r="B998" s="83"/>
      <c r="C998" s="83"/>
      <c r="D998" s="126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4.25" customHeight="1">
      <c r="A999" s="83"/>
      <c r="B999" s="83"/>
      <c r="C999" s="83"/>
      <c r="D999" s="126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4.25" customHeight="1">
      <c r="A1000" s="83"/>
      <c r="B1000" s="83"/>
      <c r="C1000" s="83"/>
      <c r="D1000" s="126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6" width="16.86"/>
    <col customWidth="1" min="7" max="26" width="8.71"/>
  </cols>
  <sheetData>
    <row r="1" ht="14.25" customHeight="1">
      <c r="A1" s="127" t="s">
        <v>1756</v>
      </c>
      <c r="B1" s="127" t="s">
        <v>1757</v>
      </c>
      <c r="C1" s="127" t="s">
        <v>1758</v>
      </c>
      <c r="D1" s="127" t="s">
        <v>1759</v>
      </c>
      <c r="E1" s="127" t="s">
        <v>1760</v>
      </c>
      <c r="F1" s="127" t="s">
        <v>1761</v>
      </c>
    </row>
    <row r="2" ht="14.25" customHeight="1">
      <c r="A2" s="128" t="s">
        <v>1762</v>
      </c>
      <c r="B2" s="128" t="s">
        <v>1763</v>
      </c>
      <c r="C2" s="129">
        <v>0.005</v>
      </c>
      <c r="D2" s="129">
        <v>0.005</v>
      </c>
      <c r="E2" s="129">
        <v>0.005</v>
      </c>
      <c r="F2" s="129">
        <v>0.005</v>
      </c>
    </row>
    <row r="3" ht="14.25" customHeight="1">
      <c r="A3" s="128" t="s">
        <v>1764</v>
      </c>
      <c r="B3" s="128" t="s">
        <v>1765</v>
      </c>
      <c r="C3" s="129">
        <v>0.015</v>
      </c>
      <c r="D3" s="129">
        <v>0.015</v>
      </c>
      <c r="E3" s="130">
        <v>0.015</v>
      </c>
      <c r="F3" s="130">
        <v>0.025</v>
      </c>
    </row>
    <row r="4" ht="14.25" customHeight="1">
      <c r="A4" s="128" t="s">
        <v>1766</v>
      </c>
      <c r="B4" s="128" t="s">
        <v>1767</v>
      </c>
      <c r="C4" s="129">
        <v>0.015</v>
      </c>
      <c r="D4" s="129">
        <v>0.015</v>
      </c>
      <c r="E4" s="130">
        <v>0.015</v>
      </c>
      <c r="F4" s="130">
        <v>0.025</v>
      </c>
    </row>
    <row r="5" ht="14.25" customHeight="1">
      <c r="A5" s="128" t="s">
        <v>1768</v>
      </c>
      <c r="B5" s="128" t="s">
        <v>1769</v>
      </c>
      <c r="C5" s="129">
        <v>0.005</v>
      </c>
      <c r="D5" s="129">
        <v>0.005</v>
      </c>
      <c r="E5" s="130">
        <v>0.005</v>
      </c>
      <c r="F5" s="130">
        <v>0.01</v>
      </c>
    </row>
    <row r="6" ht="14.25" customHeight="1">
      <c r="A6" s="128" t="s">
        <v>1770</v>
      </c>
      <c r="B6" s="128" t="s">
        <v>1771</v>
      </c>
      <c r="C6" s="129">
        <v>0.013</v>
      </c>
      <c r="D6" s="129">
        <v>0.013</v>
      </c>
      <c r="E6" s="129">
        <v>0.013</v>
      </c>
      <c r="F6" s="129">
        <v>0.013</v>
      </c>
    </row>
    <row r="7" ht="14.25" customHeight="1">
      <c r="A7" s="128" t="s">
        <v>1772</v>
      </c>
      <c r="B7" s="128" t="s">
        <v>1773</v>
      </c>
      <c r="C7" s="129">
        <v>0.005</v>
      </c>
      <c r="D7" s="129">
        <v>0.005</v>
      </c>
      <c r="E7" s="129">
        <v>0.005</v>
      </c>
      <c r="F7" s="129">
        <v>0.005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8" t="s">
        <v>1463</v>
      </c>
      <c r="B1" s="78" t="s">
        <v>1757</v>
      </c>
      <c r="C1" s="78" t="s">
        <v>1774</v>
      </c>
      <c r="D1" s="78" t="s">
        <v>1775</v>
      </c>
      <c r="E1" s="78" t="s">
        <v>1776</v>
      </c>
      <c r="F1" s="78" t="s">
        <v>1777</v>
      </c>
      <c r="G1" s="82" t="s">
        <v>1778</v>
      </c>
    </row>
    <row r="2" ht="14.25" customHeight="1">
      <c r="A2" s="82" t="s">
        <v>1476</v>
      </c>
      <c r="B2" s="82" t="s">
        <v>1763</v>
      </c>
      <c r="C2" s="82" t="s">
        <v>1758</v>
      </c>
      <c r="D2" s="82" t="s">
        <v>1779</v>
      </c>
      <c r="E2" s="82" t="s">
        <v>1780</v>
      </c>
      <c r="F2" s="82" t="s">
        <v>1759</v>
      </c>
      <c r="G2" s="82" t="s">
        <v>1508</v>
      </c>
      <c r="H2" s="131"/>
      <c r="I2" s="131" t="s">
        <v>1781</v>
      </c>
      <c r="J2" s="131" t="s">
        <v>747</v>
      </c>
    </row>
    <row r="3" ht="14.25" customHeight="1">
      <c r="A3" s="82" t="s">
        <v>1466</v>
      </c>
      <c r="B3" s="82" t="s">
        <v>1763</v>
      </c>
      <c r="C3" s="82" t="s">
        <v>1758</v>
      </c>
      <c r="D3" s="82" t="s">
        <v>1782</v>
      </c>
      <c r="E3" s="82" t="s">
        <v>1783</v>
      </c>
      <c r="F3" s="82" t="s">
        <v>1759</v>
      </c>
      <c r="G3" s="82" t="s">
        <v>1737</v>
      </c>
      <c r="H3" s="132" t="s">
        <v>1784</v>
      </c>
      <c r="I3" s="132" t="s">
        <v>1466</v>
      </c>
      <c r="J3" s="132" t="s">
        <v>1476</v>
      </c>
    </row>
    <row r="4" ht="14.25" customHeight="1">
      <c r="A4" s="82" t="s">
        <v>1466</v>
      </c>
      <c r="B4" s="82" t="s">
        <v>1763</v>
      </c>
      <c r="C4" s="82" t="s">
        <v>1758</v>
      </c>
      <c r="D4" s="82" t="s">
        <v>1785</v>
      </c>
      <c r="E4" s="82" t="s">
        <v>1786</v>
      </c>
      <c r="F4" s="82" t="s">
        <v>1759</v>
      </c>
      <c r="G4" s="82" t="s">
        <v>1524</v>
      </c>
      <c r="H4" s="132" t="s">
        <v>1787</v>
      </c>
      <c r="I4" s="133" t="s">
        <v>1788</v>
      </c>
      <c r="J4" s="133"/>
    </row>
    <row r="5" ht="14.25" customHeight="1">
      <c r="A5" s="82" t="s">
        <v>1466</v>
      </c>
      <c r="B5" s="82" t="s">
        <v>1763</v>
      </c>
      <c r="C5" s="82" t="s">
        <v>1758</v>
      </c>
      <c r="D5" s="82" t="s">
        <v>1789</v>
      </c>
      <c r="E5" s="82" t="s">
        <v>1790</v>
      </c>
      <c r="F5" s="82" t="s">
        <v>1759</v>
      </c>
      <c r="G5" s="82" t="s">
        <v>1551</v>
      </c>
      <c r="H5" s="132" t="s">
        <v>1791</v>
      </c>
      <c r="I5" s="133"/>
      <c r="J5" s="133"/>
    </row>
    <row r="6" ht="14.25" customHeight="1">
      <c r="A6" s="82" t="s">
        <v>1466</v>
      </c>
      <c r="B6" s="82" t="s">
        <v>1763</v>
      </c>
      <c r="C6" s="82" t="s">
        <v>1758</v>
      </c>
      <c r="D6" s="82" t="s">
        <v>1792</v>
      </c>
      <c r="E6" s="82" t="s">
        <v>1793</v>
      </c>
      <c r="F6" s="82" t="s">
        <v>1759</v>
      </c>
      <c r="G6" s="82" t="s">
        <v>1502</v>
      </c>
    </row>
    <row r="7" ht="14.25" customHeight="1">
      <c r="A7" s="82" t="s">
        <v>1476</v>
      </c>
      <c r="B7" s="82" t="s">
        <v>1763</v>
      </c>
      <c r="C7" s="82" t="s">
        <v>1758</v>
      </c>
      <c r="D7" s="82" t="s">
        <v>1779</v>
      </c>
      <c r="E7" s="82" t="s">
        <v>1780</v>
      </c>
      <c r="F7" s="82" t="s">
        <v>1759</v>
      </c>
      <c r="G7" s="82" t="s">
        <v>1508</v>
      </c>
    </row>
    <row r="8" ht="14.25" customHeight="1">
      <c r="A8" s="82" t="s">
        <v>1476</v>
      </c>
      <c r="B8" s="82" t="s">
        <v>1763</v>
      </c>
      <c r="C8" s="82" t="s">
        <v>1758</v>
      </c>
      <c r="D8" s="82" t="s">
        <v>944</v>
      </c>
      <c r="E8" s="82" t="s">
        <v>1794</v>
      </c>
      <c r="F8" s="82" t="s">
        <v>1759</v>
      </c>
      <c r="G8" s="82" t="s">
        <v>1555</v>
      </c>
    </row>
    <row r="9" ht="14.25" customHeight="1">
      <c r="A9" s="82" t="s">
        <v>1476</v>
      </c>
      <c r="B9" s="82" t="s">
        <v>1763</v>
      </c>
      <c r="C9" s="82" t="s">
        <v>1758</v>
      </c>
      <c r="D9" s="82" t="s">
        <v>1795</v>
      </c>
      <c r="E9" s="82" t="s">
        <v>1796</v>
      </c>
      <c r="F9" s="82" t="s">
        <v>1759</v>
      </c>
      <c r="G9" s="82" t="s">
        <v>1748</v>
      </c>
    </row>
    <row r="10" ht="14.25" customHeight="1">
      <c r="A10" s="82" t="s">
        <v>1476</v>
      </c>
      <c r="B10" s="82" t="s">
        <v>1763</v>
      </c>
      <c r="C10" s="82" t="s">
        <v>1758</v>
      </c>
      <c r="D10" s="82" t="s">
        <v>1797</v>
      </c>
      <c r="E10" s="82" t="s">
        <v>1798</v>
      </c>
      <c r="F10" s="82" t="s">
        <v>1759</v>
      </c>
      <c r="G10" s="82" t="s">
        <v>1799</v>
      </c>
    </row>
    <row r="11" ht="14.25" customHeight="1">
      <c r="A11" s="82" t="s">
        <v>1800</v>
      </c>
      <c r="B11" s="82" t="s">
        <v>1763</v>
      </c>
      <c r="C11" s="82" t="s">
        <v>1758</v>
      </c>
      <c r="D11" s="82" t="s">
        <v>1277</v>
      </c>
      <c r="E11" s="82" t="s">
        <v>187</v>
      </c>
      <c r="F11" s="82" t="s">
        <v>1759</v>
      </c>
      <c r="G11" s="82" t="s">
        <v>1527</v>
      </c>
    </row>
    <row r="12" ht="14.25" customHeight="1">
      <c r="A12" s="82" t="s">
        <v>1800</v>
      </c>
      <c r="B12" s="82" t="s">
        <v>1763</v>
      </c>
      <c r="C12" s="82" t="s">
        <v>1758</v>
      </c>
      <c r="D12" s="82" t="s">
        <v>1801</v>
      </c>
      <c r="E12" s="82" t="s">
        <v>1802</v>
      </c>
      <c r="F12" s="82" t="s">
        <v>1759</v>
      </c>
      <c r="G12" s="82" t="s">
        <v>1734</v>
      </c>
    </row>
    <row r="13" ht="14.25" customHeight="1">
      <c r="A13" s="82" t="s">
        <v>1803</v>
      </c>
      <c r="B13" s="82" t="s">
        <v>1763</v>
      </c>
      <c r="C13" s="82" t="s">
        <v>1758</v>
      </c>
      <c r="D13" s="82" t="s">
        <v>1804</v>
      </c>
      <c r="E13" s="82" t="s">
        <v>693</v>
      </c>
      <c r="F13" s="82" t="s">
        <v>1759</v>
      </c>
      <c r="G13" s="82" t="s">
        <v>1592</v>
      </c>
    </row>
    <row r="14" ht="14.25" customHeight="1">
      <c r="A14" s="82" t="s">
        <v>1803</v>
      </c>
      <c r="B14" s="82" t="s">
        <v>1763</v>
      </c>
      <c r="C14" s="82" t="s">
        <v>1758</v>
      </c>
      <c r="D14" s="82" t="s">
        <v>158</v>
      </c>
      <c r="E14" s="82" t="s">
        <v>77</v>
      </c>
      <c r="F14" s="82" t="s">
        <v>1759</v>
      </c>
      <c r="G14" s="82" t="s">
        <v>1591</v>
      </c>
    </row>
    <row r="15" ht="14.25" customHeight="1">
      <c r="A15" s="82" t="s">
        <v>1466</v>
      </c>
      <c r="B15" s="82" t="s">
        <v>1765</v>
      </c>
      <c r="C15" s="82" t="s">
        <v>1758</v>
      </c>
      <c r="D15" s="82" t="s">
        <v>1805</v>
      </c>
      <c r="E15" s="82" t="s">
        <v>312</v>
      </c>
      <c r="F15" s="82" t="s">
        <v>1759</v>
      </c>
      <c r="G15" s="82" t="s">
        <v>1548</v>
      </c>
    </row>
    <row r="16" ht="14.25" customHeight="1">
      <c r="A16" s="82" t="s">
        <v>1466</v>
      </c>
      <c r="B16" s="82" t="s">
        <v>1765</v>
      </c>
      <c r="C16" s="82" t="s">
        <v>1758</v>
      </c>
      <c r="D16" s="82" t="s">
        <v>260</v>
      </c>
      <c r="E16" s="82" t="s">
        <v>196</v>
      </c>
      <c r="F16" s="82" t="s">
        <v>1759</v>
      </c>
      <c r="G16" s="82" t="s">
        <v>1547</v>
      </c>
    </row>
    <row r="17" ht="14.25" customHeight="1">
      <c r="A17" s="82" t="s">
        <v>1466</v>
      </c>
      <c r="B17" s="82" t="s">
        <v>1765</v>
      </c>
      <c r="C17" s="82" t="s">
        <v>1758</v>
      </c>
      <c r="D17" s="82" t="s">
        <v>1805</v>
      </c>
      <c r="E17" s="82" t="s">
        <v>312</v>
      </c>
      <c r="F17" s="82" t="s">
        <v>1759</v>
      </c>
      <c r="G17" s="82" t="s">
        <v>1548</v>
      </c>
    </row>
    <row r="18" ht="14.25" customHeight="1">
      <c r="A18" s="82" t="s">
        <v>1466</v>
      </c>
      <c r="B18" s="82" t="s">
        <v>1765</v>
      </c>
      <c r="C18" s="82" t="s">
        <v>1758</v>
      </c>
      <c r="D18" s="82" t="s">
        <v>865</v>
      </c>
      <c r="E18" s="82" t="s">
        <v>1806</v>
      </c>
      <c r="F18" s="82" t="s">
        <v>1759</v>
      </c>
      <c r="G18" s="82" t="s">
        <v>1539</v>
      </c>
    </row>
    <row r="19" ht="14.25" customHeight="1">
      <c r="A19" s="82" t="s">
        <v>1466</v>
      </c>
      <c r="B19" s="82" t="s">
        <v>1765</v>
      </c>
      <c r="C19" s="82" t="s">
        <v>1758</v>
      </c>
      <c r="D19" s="82" t="s">
        <v>1807</v>
      </c>
      <c r="E19" s="82" t="s">
        <v>1808</v>
      </c>
      <c r="F19" s="82" t="s">
        <v>1759</v>
      </c>
      <c r="G19" s="82" t="s">
        <v>1573</v>
      </c>
    </row>
    <row r="20" ht="14.25" customHeight="1">
      <c r="A20" s="82" t="s">
        <v>1466</v>
      </c>
      <c r="B20" s="82" t="s">
        <v>1765</v>
      </c>
      <c r="C20" s="82" t="s">
        <v>1758</v>
      </c>
      <c r="D20" s="82" t="s">
        <v>1809</v>
      </c>
      <c r="E20" s="82" t="s">
        <v>1810</v>
      </c>
      <c r="F20" s="82" t="s">
        <v>1759</v>
      </c>
      <c r="G20" s="82" t="s">
        <v>1559</v>
      </c>
    </row>
    <row r="21" ht="14.25" customHeight="1">
      <c r="A21" s="82" t="s">
        <v>1466</v>
      </c>
      <c r="B21" s="82" t="s">
        <v>1765</v>
      </c>
      <c r="C21" s="82" t="s">
        <v>1758</v>
      </c>
      <c r="D21" s="82" t="s">
        <v>1811</v>
      </c>
      <c r="E21" s="82" t="s">
        <v>1812</v>
      </c>
      <c r="F21" s="82" t="s">
        <v>1759</v>
      </c>
      <c r="G21" s="82" t="s">
        <v>1513</v>
      </c>
    </row>
    <row r="22" ht="14.25" customHeight="1">
      <c r="A22" s="82" t="s">
        <v>1466</v>
      </c>
      <c r="B22" s="82" t="s">
        <v>1765</v>
      </c>
      <c r="C22" s="82" t="s">
        <v>1758</v>
      </c>
      <c r="D22" s="82" t="s">
        <v>1813</v>
      </c>
      <c r="E22" s="82" t="s">
        <v>1814</v>
      </c>
      <c r="F22" s="82" t="s">
        <v>1759</v>
      </c>
      <c r="G22" s="82" t="s">
        <v>1506</v>
      </c>
    </row>
    <row r="23" ht="14.25" customHeight="1">
      <c r="A23" s="82" t="s">
        <v>1466</v>
      </c>
      <c r="B23" s="82" t="s">
        <v>1765</v>
      </c>
      <c r="C23" s="82" t="s">
        <v>1758</v>
      </c>
      <c r="D23" s="82" t="s">
        <v>221</v>
      </c>
      <c r="E23" s="82" t="s">
        <v>1815</v>
      </c>
      <c r="F23" s="82" t="s">
        <v>1759</v>
      </c>
      <c r="G23" s="82" t="s">
        <v>1515</v>
      </c>
    </row>
    <row r="24" ht="14.25" customHeight="1">
      <c r="A24" s="82" t="s">
        <v>1466</v>
      </c>
      <c r="B24" s="82" t="s">
        <v>1765</v>
      </c>
      <c r="C24" s="82" t="s">
        <v>1758</v>
      </c>
      <c r="D24" s="82" t="s">
        <v>1816</v>
      </c>
      <c r="E24" s="82" t="s">
        <v>846</v>
      </c>
      <c r="F24" s="82" t="s">
        <v>1759</v>
      </c>
      <c r="G24" s="82" t="s">
        <v>1509</v>
      </c>
    </row>
    <row r="25" ht="14.25" customHeight="1">
      <c r="A25" s="82" t="s">
        <v>1475</v>
      </c>
      <c r="B25" s="82" t="s">
        <v>1765</v>
      </c>
      <c r="C25" s="82" t="s">
        <v>1758</v>
      </c>
      <c r="D25" s="82" t="s">
        <v>1817</v>
      </c>
      <c r="E25" s="82" t="s">
        <v>1818</v>
      </c>
      <c r="F25" s="82" t="s">
        <v>1759</v>
      </c>
      <c r="G25" s="82" t="s">
        <v>1611</v>
      </c>
    </row>
    <row r="26" ht="14.25" customHeight="1">
      <c r="A26" s="82" t="s">
        <v>1475</v>
      </c>
      <c r="B26" s="82" t="s">
        <v>1765</v>
      </c>
      <c r="C26" s="82" t="s">
        <v>1758</v>
      </c>
      <c r="D26" s="82" t="s">
        <v>639</v>
      </c>
      <c r="E26" s="82" t="s">
        <v>1458</v>
      </c>
      <c r="F26" s="82" t="s">
        <v>1759</v>
      </c>
      <c r="G26" s="82" t="s">
        <v>1613</v>
      </c>
    </row>
    <row r="27" ht="14.25" customHeight="1">
      <c r="A27" s="82" t="s">
        <v>1475</v>
      </c>
      <c r="B27" s="82" t="s">
        <v>1765</v>
      </c>
      <c r="C27" s="82" t="s">
        <v>1758</v>
      </c>
      <c r="D27" s="82" t="s">
        <v>1329</v>
      </c>
      <c r="E27" s="82" t="s">
        <v>1819</v>
      </c>
      <c r="F27" s="82" t="s">
        <v>1759</v>
      </c>
      <c r="G27" s="82" t="s">
        <v>1621</v>
      </c>
    </row>
    <row r="28" ht="14.25" customHeight="1">
      <c r="A28" s="82" t="s">
        <v>1475</v>
      </c>
      <c r="B28" s="82" t="s">
        <v>1765</v>
      </c>
      <c r="C28" s="82" t="s">
        <v>1758</v>
      </c>
      <c r="D28" s="82" t="s">
        <v>1820</v>
      </c>
      <c r="E28" s="82" t="s">
        <v>1821</v>
      </c>
      <c r="F28" s="82" t="s">
        <v>1759</v>
      </c>
      <c r="G28" s="82" t="s">
        <v>1631</v>
      </c>
    </row>
    <row r="29" ht="14.25" customHeight="1">
      <c r="A29" s="82" t="s">
        <v>1475</v>
      </c>
      <c r="B29" s="82" t="s">
        <v>1765</v>
      </c>
      <c r="C29" s="82" t="s">
        <v>1758</v>
      </c>
      <c r="D29" s="82" t="s">
        <v>1822</v>
      </c>
      <c r="E29" s="82" t="s">
        <v>1823</v>
      </c>
      <c r="F29" s="82" t="s">
        <v>1759</v>
      </c>
      <c r="G29" s="82" t="s">
        <v>1632</v>
      </c>
    </row>
    <row r="30" ht="14.25" customHeight="1">
      <c r="A30" s="82" t="s">
        <v>1475</v>
      </c>
      <c r="B30" s="82" t="s">
        <v>1765</v>
      </c>
      <c r="C30" s="82" t="s">
        <v>1758</v>
      </c>
      <c r="D30" s="82" t="s">
        <v>1824</v>
      </c>
      <c r="E30" s="82" t="s">
        <v>1825</v>
      </c>
      <c r="F30" s="82" t="s">
        <v>1759</v>
      </c>
      <c r="G30" s="82" t="s">
        <v>1634</v>
      </c>
    </row>
    <row r="31" ht="14.25" customHeight="1">
      <c r="A31" s="82" t="s">
        <v>1475</v>
      </c>
      <c r="B31" s="82" t="s">
        <v>1765</v>
      </c>
      <c r="C31" s="82" t="s">
        <v>1758</v>
      </c>
      <c r="D31" s="82" t="s">
        <v>1826</v>
      </c>
      <c r="E31" s="82" t="s">
        <v>305</v>
      </c>
      <c r="F31" s="82" t="s">
        <v>1759</v>
      </c>
      <c r="G31" s="82" t="s">
        <v>1635</v>
      </c>
    </row>
    <row r="32" ht="14.25" customHeight="1">
      <c r="A32" s="82" t="s">
        <v>1800</v>
      </c>
      <c r="B32" s="82" t="s">
        <v>1765</v>
      </c>
      <c r="C32" s="82" t="s">
        <v>1758</v>
      </c>
      <c r="D32" s="82" t="s">
        <v>50</v>
      </c>
      <c r="E32" s="82" t="s">
        <v>131</v>
      </c>
      <c r="F32" s="82" t="s">
        <v>1759</v>
      </c>
      <c r="G32" s="82" t="s">
        <v>1732</v>
      </c>
    </row>
    <row r="33" ht="14.25" customHeight="1">
      <c r="A33" s="82" t="s">
        <v>1800</v>
      </c>
      <c r="B33" s="82" t="s">
        <v>1765</v>
      </c>
      <c r="C33" s="82" t="s">
        <v>1758</v>
      </c>
      <c r="D33" s="82" t="s">
        <v>1827</v>
      </c>
      <c r="E33" s="82" t="s">
        <v>464</v>
      </c>
      <c r="F33" s="82" t="s">
        <v>1759</v>
      </c>
      <c r="G33" s="82" t="s">
        <v>1736</v>
      </c>
    </row>
    <row r="34" ht="14.25" customHeight="1">
      <c r="A34" s="82" t="s">
        <v>1466</v>
      </c>
      <c r="B34" s="82" t="s">
        <v>1767</v>
      </c>
      <c r="C34" s="82" t="s">
        <v>1758</v>
      </c>
      <c r="D34" s="82" t="s">
        <v>1828</v>
      </c>
      <c r="E34" s="82" t="s">
        <v>1829</v>
      </c>
      <c r="F34" s="82" t="s">
        <v>1759</v>
      </c>
      <c r="G34" s="82" t="s">
        <v>1534</v>
      </c>
    </row>
    <row r="35" ht="14.25" customHeight="1">
      <c r="A35" s="82" t="s">
        <v>1466</v>
      </c>
      <c r="B35" s="82" t="s">
        <v>1767</v>
      </c>
      <c r="C35" s="82" t="s">
        <v>1758</v>
      </c>
      <c r="D35" s="82" t="s">
        <v>1830</v>
      </c>
      <c r="E35" s="82" t="s">
        <v>1831</v>
      </c>
      <c r="F35" s="82" t="s">
        <v>1759</v>
      </c>
      <c r="G35" s="82" t="s">
        <v>1647</v>
      </c>
    </row>
    <row r="36" ht="14.25" customHeight="1">
      <c r="A36" s="82" t="s">
        <v>1466</v>
      </c>
      <c r="B36" s="82" t="s">
        <v>1767</v>
      </c>
      <c r="C36" s="82" t="s">
        <v>1758</v>
      </c>
      <c r="D36" s="82" t="s">
        <v>619</v>
      </c>
      <c r="E36" s="82" t="s">
        <v>1832</v>
      </c>
      <c r="F36" s="82" t="s">
        <v>1759</v>
      </c>
      <c r="G36" s="82" t="s">
        <v>1627</v>
      </c>
    </row>
    <row r="37" ht="14.25" customHeight="1">
      <c r="A37" s="82" t="s">
        <v>1466</v>
      </c>
      <c r="B37" s="82" t="s">
        <v>1767</v>
      </c>
      <c r="C37" s="82" t="s">
        <v>1758</v>
      </c>
      <c r="D37" s="82" t="s">
        <v>1833</v>
      </c>
      <c r="E37" s="82" t="s">
        <v>1834</v>
      </c>
      <c r="F37" s="82" t="s">
        <v>1759</v>
      </c>
      <c r="G37" s="82" t="s">
        <v>1629</v>
      </c>
    </row>
    <row r="38" ht="14.25" customHeight="1">
      <c r="A38" s="82" t="s">
        <v>1466</v>
      </c>
      <c r="B38" s="82" t="s">
        <v>1767</v>
      </c>
      <c r="C38" s="82" t="s">
        <v>1758</v>
      </c>
      <c r="D38" s="82" t="s">
        <v>1835</v>
      </c>
      <c r="E38" s="82" t="s">
        <v>555</v>
      </c>
      <c r="F38" s="82" t="s">
        <v>1759</v>
      </c>
      <c r="G38" s="82" t="s">
        <v>1628</v>
      </c>
    </row>
    <row r="39" ht="14.25" customHeight="1">
      <c r="A39" s="82" t="s">
        <v>1475</v>
      </c>
      <c r="B39" s="82" t="s">
        <v>1767</v>
      </c>
      <c r="C39" s="82" t="s">
        <v>1758</v>
      </c>
      <c r="D39" s="82" t="s">
        <v>1836</v>
      </c>
      <c r="E39" s="82" t="s">
        <v>532</v>
      </c>
      <c r="F39" s="82" t="s">
        <v>1759</v>
      </c>
      <c r="G39" s="82" t="s">
        <v>1616</v>
      </c>
    </row>
    <row r="40" ht="14.25" customHeight="1">
      <c r="A40" s="82" t="s">
        <v>1475</v>
      </c>
      <c r="B40" s="82" t="s">
        <v>1767</v>
      </c>
      <c r="C40" s="82" t="s">
        <v>1758</v>
      </c>
      <c r="D40" s="82" t="s">
        <v>1837</v>
      </c>
      <c r="E40" s="82" t="s">
        <v>1838</v>
      </c>
      <c r="F40" s="82" t="s">
        <v>1759</v>
      </c>
      <c r="G40" s="82" t="s">
        <v>1625</v>
      </c>
    </row>
    <row r="41" ht="14.25" customHeight="1">
      <c r="A41" s="82" t="s">
        <v>1475</v>
      </c>
      <c r="B41" s="82" t="s">
        <v>1767</v>
      </c>
      <c r="C41" s="82" t="s">
        <v>1758</v>
      </c>
      <c r="D41" s="82" t="s">
        <v>1839</v>
      </c>
      <c r="E41" s="82" t="s">
        <v>1840</v>
      </c>
      <c r="F41" s="82" t="s">
        <v>1759</v>
      </c>
      <c r="G41" s="82" t="s">
        <v>1630</v>
      </c>
    </row>
    <row r="42" ht="14.25" customHeight="1">
      <c r="A42" s="82" t="s">
        <v>1475</v>
      </c>
      <c r="B42" s="82" t="s">
        <v>1767</v>
      </c>
      <c r="C42" s="82" t="s">
        <v>1758</v>
      </c>
      <c r="D42" s="82" t="s">
        <v>1841</v>
      </c>
      <c r="E42" s="82" t="s">
        <v>1842</v>
      </c>
      <c r="F42" s="82" t="s">
        <v>1759</v>
      </c>
      <c r="G42" s="82" t="s">
        <v>1619</v>
      </c>
    </row>
    <row r="43" ht="14.25" customHeight="1">
      <c r="A43" s="82" t="s">
        <v>1475</v>
      </c>
      <c r="B43" s="82" t="s">
        <v>1767</v>
      </c>
      <c r="C43" s="82" t="s">
        <v>1758</v>
      </c>
      <c r="D43" s="82" t="s">
        <v>1843</v>
      </c>
      <c r="E43" s="82" t="s">
        <v>1844</v>
      </c>
      <c r="F43" s="82" t="s">
        <v>1759</v>
      </c>
      <c r="G43" s="82" t="s">
        <v>1623</v>
      </c>
    </row>
    <row r="44" ht="14.25" customHeight="1">
      <c r="A44" s="82" t="s">
        <v>1466</v>
      </c>
      <c r="B44" s="82" t="s">
        <v>1767</v>
      </c>
      <c r="C44" s="82" t="s">
        <v>1758</v>
      </c>
      <c r="D44" s="82" t="s">
        <v>1845</v>
      </c>
      <c r="E44" s="82" t="s">
        <v>1846</v>
      </c>
      <c r="F44" s="82" t="s">
        <v>1759</v>
      </c>
      <c r="G44" s="82" t="s">
        <v>1531</v>
      </c>
    </row>
    <row r="45" ht="14.25" customHeight="1">
      <c r="A45" s="82" t="s">
        <v>1466</v>
      </c>
      <c r="B45" s="82" t="s">
        <v>1767</v>
      </c>
      <c r="C45" s="82" t="s">
        <v>1758</v>
      </c>
      <c r="D45" s="82" t="s">
        <v>1847</v>
      </c>
      <c r="E45" s="82" t="s">
        <v>1848</v>
      </c>
      <c r="F45" s="82" t="s">
        <v>1759</v>
      </c>
      <c r="G45" s="82" t="s">
        <v>1529</v>
      </c>
    </row>
    <row r="46" ht="14.25" customHeight="1">
      <c r="A46" s="82" t="s">
        <v>1849</v>
      </c>
      <c r="B46" s="82" t="s">
        <v>1767</v>
      </c>
      <c r="C46" s="82" t="s">
        <v>1758</v>
      </c>
      <c r="D46" s="82" t="s">
        <v>1850</v>
      </c>
      <c r="E46" s="82" t="s">
        <v>1851</v>
      </c>
      <c r="F46" s="82" t="s">
        <v>1759</v>
      </c>
      <c r="G46" s="82" t="s">
        <v>1598</v>
      </c>
    </row>
    <row r="47" ht="14.25" customHeight="1">
      <c r="A47" s="82" t="s">
        <v>1849</v>
      </c>
      <c r="B47" s="82" t="s">
        <v>1767</v>
      </c>
      <c r="C47" s="82" t="s">
        <v>1758</v>
      </c>
      <c r="D47" s="82" t="s">
        <v>316</v>
      </c>
      <c r="E47" s="82" t="s">
        <v>703</v>
      </c>
      <c r="F47" s="82" t="s">
        <v>1759</v>
      </c>
      <c r="G47" s="82" t="s">
        <v>1583</v>
      </c>
    </row>
    <row r="48" ht="14.25" customHeight="1">
      <c r="A48" s="82" t="s">
        <v>1849</v>
      </c>
      <c r="B48" s="82" t="s">
        <v>1767</v>
      </c>
      <c r="C48" s="82" t="s">
        <v>1758</v>
      </c>
      <c r="D48" s="82" t="s">
        <v>468</v>
      </c>
      <c r="E48" s="82" t="s">
        <v>699</v>
      </c>
      <c r="F48" s="82" t="s">
        <v>1759</v>
      </c>
      <c r="G48" s="82" t="s">
        <v>1579</v>
      </c>
    </row>
    <row r="49" ht="14.25" customHeight="1">
      <c r="A49" s="82" t="s">
        <v>1849</v>
      </c>
      <c r="B49" s="82" t="s">
        <v>1767</v>
      </c>
      <c r="C49" s="82" t="s">
        <v>1758</v>
      </c>
      <c r="D49" s="82" t="s">
        <v>1852</v>
      </c>
      <c r="E49" s="82" t="s">
        <v>442</v>
      </c>
      <c r="F49" s="82" t="s">
        <v>1759</v>
      </c>
      <c r="G49" s="82" t="s">
        <v>1580</v>
      </c>
    </row>
    <row r="50" ht="14.25" customHeight="1">
      <c r="A50" s="82" t="s">
        <v>1849</v>
      </c>
      <c r="B50" s="82" t="s">
        <v>1767</v>
      </c>
      <c r="C50" s="82" t="s">
        <v>1758</v>
      </c>
      <c r="D50" s="82" t="s">
        <v>192</v>
      </c>
      <c r="E50" s="82" t="s">
        <v>1853</v>
      </c>
      <c r="F50" s="82" t="s">
        <v>1759</v>
      </c>
      <c r="G50" s="82" t="s">
        <v>1590</v>
      </c>
    </row>
    <row r="51" ht="14.25" customHeight="1">
      <c r="A51" s="82" t="s">
        <v>1849</v>
      </c>
      <c r="B51" s="82" t="s">
        <v>1767</v>
      </c>
      <c r="C51" s="82" t="s">
        <v>1758</v>
      </c>
      <c r="D51" s="82" t="s">
        <v>1854</v>
      </c>
      <c r="E51" s="82" t="s">
        <v>1855</v>
      </c>
      <c r="F51" s="82" t="s">
        <v>1759</v>
      </c>
      <c r="G51" s="82" t="s">
        <v>1584</v>
      </c>
    </row>
    <row r="52" ht="14.25" customHeight="1">
      <c r="A52" s="82" t="s">
        <v>1849</v>
      </c>
      <c r="B52" s="82" t="s">
        <v>1767</v>
      </c>
      <c r="C52" s="82" t="s">
        <v>1758</v>
      </c>
      <c r="D52" s="82" t="s">
        <v>1856</v>
      </c>
      <c r="E52" s="82" t="s">
        <v>430</v>
      </c>
      <c r="F52" s="82" t="s">
        <v>1759</v>
      </c>
      <c r="G52" s="82" t="s">
        <v>1581</v>
      </c>
    </row>
    <row r="53" ht="14.25" customHeight="1">
      <c r="A53" s="82" t="s">
        <v>1849</v>
      </c>
      <c r="B53" s="82" t="s">
        <v>1767</v>
      </c>
      <c r="C53" s="82" t="s">
        <v>1758</v>
      </c>
      <c r="D53" s="82" t="s">
        <v>1857</v>
      </c>
      <c r="E53" s="82" t="s">
        <v>120</v>
      </c>
      <c r="F53" s="82" t="s">
        <v>1759</v>
      </c>
      <c r="G53" s="82" t="s">
        <v>1585</v>
      </c>
    </row>
    <row r="54" ht="14.25" customHeight="1">
      <c r="A54" s="82" t="s">
        <v>1849</v>
      </c>
      <c r="B54" s="82" t="s">
        <v>1767</v>
      </c>
      <c r="C54" s="82" t="s">
        <v>1758</v>
      </c>
      <c r="D54" s="82" t="s">
        <v>1858</v>
      </c>
      <c r="E54" s="82" t="s">
        <v>1859</v>
      </c>
      <c r="F54" s="82" t="s">
        <v>1759</v>
      </c>
      <c r="G54" s="82" t="s">
        <v>1594</v>
      </c>
    </row>
    <row r="55" ht="14.25" customHeight="1">
      <c r="A55" s="82" t="s">
        <v>1849</v>
      </c>
      <c r="B55" s="82" t="s">
        <v>1767</v>
      </c>
      <c r="C55" s="82" t="s">
        <v>1758</v>
      </c>
      <c r="D55" s="82" t="s">
        <v>287</v>
      </c>
      <c r="E55" s="82" t="s">
        <v>1860</v>
      </c>
      <c r="F55" s="82" t="s">
        <v>1759</v>
      </c>
      <c r="G55" s="82" t="s">
        <v>1596</v>
      </c>
    </row>
    <row r="56" ht="14.25" customHeight="1">
      <c r="A56" s="82" t="s">
        <v>1849</v>
      </c>
      <c r="B56" s="82" t="s">
        <v>1767</v>
      </c>
      <c r="C56" s="82" t="s">
        <v>1758</v>
      </c>
      <c r="D56" s="82" t="s">
        <v>1861</v>
      </c>
      <c r="E56" s="82" t="s">
        <v>1862</v>
      </c>
      <c r="F56" s="82" t="s">
        <v>1759</v>
      </c>
      <c r="G56" s="82" t="s">
        <v>1595</v>
      </c>
    </row>
    <row r="57" ht="14.25" customHeight="1">
      <c r="A57" s="82" t="s">
        <v>1469</v>
      </c>
      <c r="B57" s="82" t="s">
        <v>1767</v>
      </c>
      <c r="C57" s="82" t="s">
        <v>1758</v>
      </c>
      <c r="D57" s="82" t="s">
        <v>1863</v>
      </c>
      <c r="E57" s="82" t="s">
        <v>1864</v>
      </c>
      <c r="F57" s="82" t="s">
        <v>1759</v>
      </c>
      <c r="G57" s="82" t="s">
        <v>1643</v>
      </c>
    </row>
    <row r="58" ht="14.25" customHeight="1">
      <c r="A58" s="82" t="s">
        <v>1469</v>
      </c>
      <c r="B58" s="82" t="s">
        <v>1767</v>
      </c>
      <c r="C58" s="82" t="s">
        <v>1758</v>
      </c>
      <c r="D58" s="82" t="s">
        <v>1865</v>
      </c>
      <c r="E58" s="82" t="s">
        <v>1866</v>
      </c>
      <c r="F58" s="82" t="s">
        <v>1759</v>
      </c>
      <c r="G58" s="82" t="s">
        <v>1644</v>
      </c>
    </row>
    <row r="59" ht="14.25" customHeight="1">
      <c r="A59" s="82" t="s">
        <v>1469</v>
      </c>
      <c r="B59" s="82" t="s">
        <v>1767</v>
      </c>
      <c r="C59" s="82" t="s">
        <v>1758</v>
      </c>
      <c r="D59" s="82" t="s">
        <v>1867</v>
      </c>
      <c r="E59" s="82" t="s">
        <v>1868</v>
      </c>
      <c r="F59" s="82" t="s">
        <v>1759</v>
      </c>
      <c r="G59" s="82" t="s">
        <v>1609</v>
      </c>
    </row>
    <row r="60" ht="14.25" customHeight="1">
      <c r="A60" s="82" t="s">
        <v>1469</v>
      </c>
      <c r="B60" s="82" t="s">
        <v>1767</v>
      </c>
      <c r="C60" s="82" t="s">
        <v>1758</v>
      </c>
      <c r="D60" s="82" t="s">
        <v>1869</v>
      </c>
      <c r="E60" s="82" t="s">
        <v>1870</v>
      </c>
      <c r="F60" s="82" t="s">
        <v>1759</v>
      </c>
      <c r="G60" s="82" t="s">
        <v>1530</v>
      </c>
    </row>
    <row r="61" ht="14.25" customHeight="1">
      <c r="A61" s="82" t="s">
        <v>1469</v>
      </c>
      <c r="B61" s="82" t="s">
        <v>1767</v>
      </c>
      <c r="C61" s="82" t="s">
        <v>1758</v>
      </c>
      <c r="D61" s="82" t="s">
        <v>1871</v>
      </c>
      <c r="E61" s="82" t="s">
        <v>1872</v>
      </c>
      <c r="F61" s="82" t="s">
        <v>1759</v>
      </c>
      <c r="G61" s="82" t="s">
        <v>1546</v>
      </c>
    </row>
    <row r="62" ht="14.25" customHeight="1">
      <c r="A62" s="82" t="s">
        <v>1469</v>
      </c>
      <c r="B62" s="82" t="s">
        <v>1767</v>
      </c>
      <c r="C62" s="82" t="s">
        <v>1758</v>
      </c>
      <c r="D62" s="82" t="s">
        <v>1873</v>
      </c>
      <c r="E62" s="82" t="s">
        <v>1874</v>
      </c>
      <c r="F62" s="82" t="s">
        <v>1759</v>
      </c>
      <c r="G62" s="82" t="s">
        <v>1544</v>
      </c>
    </row>
    <row r="63" ht="14.25" customHeight="1">
      <c r="A63" s="82" t="s">
        <v>1875</v>
      </c>
      <c r="B63" s="82" t="s">
        <v>1767</v>
      </c>
      <c r="C63" s="82" t="s">
        <v>1758</v>
      </c>
      <c r="D63" s="82" t="s">
        <v>629</v>
      </c>
      <c r="E63" s="82" t="s">
        <v>561</v>
      </c>
      <c r="F63" s="82" t="s">
        <v>1759</v>
      </c>
      <c r="G63" s="82" t="s">
        <v>1650</v>
      </c>
    </row>
    <row r="64" ht="14.25" customHeight="1">
      <c r="A64" s="82" t="s">
        <v>1876</v>
      </c>
      <c r="B64" s="82" t="s">
        <v>1767</v>
      </c>
      <c r="C64" s="82" t="s">
        <v>1758</v>
      </c>
      <c r="D64" s="82" t="s">
        <v>1877</v>
      </c>
      <c r="E64" s="82" t="s">
        <v>1878</v>
      </c>
      <c r="F64" s="82" t="s">
        <v>1759</v>
      </c>
      <c r="G64" s="82" t="s">
        <v>1879</v>
      </c>
    </row>
    <row r="65" ht="14.25" customHeight="1">
      <c r="A65" s="82" t="s">
        <v>1467</v>
      </c>
      <c r="B65" s="82" t="s">
        <v>1769</v>
      </c>
      <c r="C65" s="82" t="s">
        <v>1758</v>
      </c>
      <c r="D65" s="82" t="s">
        <v>1880</v>
      </c>
      <c r="E65" s="82" t="s">
        <v>1881</v>
      </c>
      <c r="F65" s="82" t="s">
        <v>1759</v>
      </c>
      <c r="G65" s="82" t="s">
        <v>1516</v>
      </c>
    </row>
    <row r="66" ht="14.25" customHeight="1">
      <c r="A66" s="82" t="s">
        <v>1467</v>
      </c>
      <c r="B66" s="82" t="s">
        <v>1769</v>
      </c>
      <c r="C66" s="82" t="s">
        <v>1758</v>
      </c>
      <c r="D66" s="82" t="s">
        <v>1882</v>
      </c>
      <c r="E66" s="82" t="s">
        <v>1883</v>
      </c>
      <c r="F66" s="82" t="s">
        <v>1759</v>
      </c>
      <c r="G66" s="82" t="s">
        <v>1493</v>
      </c>
    </row>
    <row r="67" ht="14.25" customHeight="1">
      <c r="A67" s="82" t="s">
        <v>1467</v>
      </c>
      <c r="B67" s="82" t="s">
        <v>1769</v>
      </c>
      <c r="C67" s="82" t="s">
        <v>1758</v>
      </c>
      <c r="D67" s="82" t="s">
        <v>1884</v>
      </c>
      <c r="E67" s="82" t="s">
        <v>1885</v>
      </c>
      <c r="F67" s="82" t="s">
        <v>1759</v>
      </c>
      <c r="G67" s="82" t="s">
        <v>1500</v>
      </c>
    </row>
    <row r="68" ht="14.25" customHeight="1">
      <c r="A68" s="82" t="s">
        <v>1467</v>
      </c>
      <c r="B68" s="82" t="s">
        <v>1769</v>
      </c>
      <c r="C68" s="82" t="s">
        <v>1758</v>
      </c>
      <c r="D68" s="82" t="s">
        <v>1886</v>
      </c>
      <c r="E68" s="82" t="s">
        <v>1887</v>
      </c>
      <c r="F68" s="82" t="s">
        <v>1759</v>
      </c>
      <c r="G68" s="82" t="s">
        <v>1550</v>
      </c>
    </row>
    <row r="69" ht="14.25" customHeight="1">
      <c r="A69" s="82" t="s">
        <v>1467</v>
      </c>
      <c r="B69" s="82" t="s">
        <v>1773</v>
      </c>
      <c r="C69" s="82" t="s">
        <v>1758</v>
      </c>
      <c r="D69" s="82" t="s">
        <v>881</v>
      </c>
      <c r="E69" s="82" t="s">
        <v>1888</v>
      </c>
      <c r="F69" s="82" t="s">
        <v>1759</v>
      </c>
      <c r="G69" s="82" t="s">
        <v>1495</v>
      </c>
    </row>
    <row r="70" ht="14.25" customHeight="1">
      <c r="A70" s="82" t="s">
        <v>1467</v>
      </c>
      <c r="B70" s="82" t="s">
        <v>1773</v>
      </c>
      <c r="C70" s="82" t="s">
        <v>1758</v>
      </c>
      <c r="D70" s="82" t="s">
        <v>1889</v>
      </c>
      <c r="E70" s="82" t="s">
        <v>917</v>
      </c>
      <c r="F70" s="82" t="s">
        <v>1759</v>
      </c>
      <c r="G70" s="82" t="s">
        <v>1569</v>
      </c>
    </row>
    <row r="71" ht="14.25" customHeight="1">
      <c r="A71" s="82" t="s">
        <v>1476</v>
      </c>
      <c r="B71" s="82" t="s">
        <v>1773</v>
      </c>
      <c r="C71" s="82" t="s">
        <v>1758</v>
      </c>
      <c r="D71" s="82" t="s">
        <v>1890</v>
      </c>
      <c r="E71" s="82" t="s">
        <v>1891</v>
      </c>
      <c r="F71" s="82" t="s">
        <v>1759</v>
      </c>
      <c r="G71" s="82" t="s">
        <v>1492</v>
      </c>
    </row>
    <row r="72" ht="14.25" customHeight="1">
      <c r="A72" s="82" t="s">
        <v>1476</v>
      </c>
      <c r="B72" s="82" t="s">
        <v>1773</v>
      </c>
      <c r="C72" s="82" t="s">
        <v>1758</v>
      </c>
      <c r="D72" s="82" t="s">
        <v>1892</v>
      </c>
      <c r="E72" s="82" t="s">
        <v>1893</v>
      </c>
      <c r="F72" s="82" t="s">
        <v>1759</v>
      </c>
      <c r="G72" s="82" t="s">
        <v>1514</v>
      </c>
    </row>
    <row r="73" ht="14.25" customHeight="1">
      <c r="A73" s="82" t="s">
        <v>1476</v>
      </c>
      <c r="B73" s="82" t="s">
        <v>1773</v>
      </c>
      <c r="C73" s="82" t="s">
        <v>1758</v>
      </c>
      <c r="D73" s="82" t="s">
        <v>885</v>
      </c>
      <c r="E73" s="82" t="s">
        <v>1894</v>
      </c>
      <c r="F73" s="82" t="s">
        <v>1759</v>
      </c>
      <c r="G73" s="82" t="s">
        <v>1494</v>
      </c>
    </row>
    <row r="74" ht="14.25" customHeight="1">
      <c r="A74" s="82" t="s">
        <v>1467</v>
      </c>
      <c r="B74" s="82" t="s">
        <v>1773</v>
      </c>
      <c r="C74" s="82" t="s">
        <v>1758</v>
      </c>
      <c r="D74" s="82" t="s">
        <v>881</v>
      </c>
      <c r="E74" s="82" t="s">
        <v>1888</v>
      </c>
      <c r="F74" s="82" t="s">
        <v>1759</v>
      </c>
      <c r="G74" s="82" t="s">
        <v>1495</v>
      </c>
    </row>
    <row r="75" ht="14.25" customHeight="1">
      <c r="A75" s="82" t="s">
        <v>1467</v>
      </c>
      <c r="B75" s="82" t="s">
        <v>1773</v>
      </c>
      <c r="C75" s="82" t="s">
        <v>1758</v>
      </c>
      <c r="D75" s="82" t="s">
        <v>1889</v>
      </c>
      <c r="E75" s="82" t="s">
        <v>917</v>
      </c>
      <c r="F75" s="82" t="s">
        <v>1759</v>
      </c>
      <c r="G75" s="82" t="s">
        <v>1569</v>
      </c>
    </row>
    <row r="76" ht="14.25" customHeight="1">
      <c r="A76" s="82" t="s">
        <v>1800</v>
      </c>
      <c r="B76" s="82" t="s">
        <v>1773</v>
      </c>
      <c r="C76" s="82" t="s">
        <v>1758</v>
      </c>
      <c r="D76" s="82" t="s">
        <v>1895</v>
      </c>
      <c r="E76" s="82" t="s">
        <v>679</v>
      </c>
      <c r="F76" s="82" t="s">
        <v>1759</v>
      </c>
      <c r="G76" s="82" t="s">
        <v>1642</v>
      </c>
    </row>
    <row r="77" ht="14.25" customHeight="1">
      <c r="A77" s="82" t="s">
        <v>1800</v>
      </c>
      <c r="B77" s="82" t="s">
        <v>1773</v>
      </c>
      <c r="C77" s="82" t="s">
        <v>1758</v>
      </c>
      <c r="D77" s="82" t="s">
        <v>266</v>
      </c>
      <c r="E77" s="82" t="s">
        <v>143</v>
      </c>
      <c r="F77" s="82" t="s">
        <v>1759</v>
      </c>
      <c r="G77" s="82" t="s">
        <v>1636</v>
      </c>
    </row>
    <row r="78" ht="14.25" customHeight="1">
      <c r="A78" s="82" t="s">
        <v>1803</v>
      </c>
      <c r="B78" s="82" t="s">
        <v>1773</v>
      </c>
      <c r="C78" s="82" t="s">
        <v>1758</v>
      </c>
      <c r="D78" s="82" t="s">
        <v>204</v>
      </c>
      <c r="E78" s="82" t="s">
        <v>176</v>
      </c>
      <c r="F78" s="82" t="s">
        <v>1759</v>
      </c>
      <c r="G78" s="82" t="s">
        <v>1588</v>
      </c>
    </row>
    <row r="79" ht="14.25" customHeight="1">
      <c r="A79" s="82" t="s">
        <v>1803</v>
      </c>
      <c r="B79" s="82" t="s">
        <v>1773</v>
      </c>
      <c r="C79" s="82" t="s">
        <v>1758</v>
      </c>
      <c r="D79" s="82" t="s">
        <v>850</v>
      </c>
      <c r="E79" s="82" t="s">
        <v>482</v>
      </c>
      <c r="F79" s="82" t="s">
        <v>1759</v>
      </c>
      <c r="G79" s="82" t="s">
        <v>1593</v>
      </c>
    </row>
    <row r="80" ht="14.25" customHeight="1">
      <c r="A80" s="82" t="s">
        <v>1803</v>
      </c>
      <c r="B80" s="82" t="s">
        <v>1773</v>
      </c>
      <c r="C80" s="82" t="s">
        <v>1758</v>
      </c>
      <c r="D80" s="82" t="s">
        <v>151</v>
      </c>
      <c r="E80" s="82" t="s">
        <v>1896</v>
      </c>
      <c r="F80" s="82" t="s">
        <v>1759</v>
      </c>
      <c r="G80" s="82" t="s">
        <v>1597</v>
      </c>
    </row>
    <row r="81" ht="14.25" customHeight="1">
      <c r="A81" s="82" t="s">
        <v>1472</v>
      </c>
      <c r="B81" s="82" t="s">
        <v>1771</v>
      </c>
      <c r="C81" s="82" t="s">
        <v>1758</v>
      </c>
      <c r="D81" s="82" t="s">
        <v>1897</v>
      </c>
      <c r="E81" s="82" t="s">
        <v>1898</v>
      </c>
      <c r="F81" s="82" t="s">
        <v>1759</v>
      </c>
      <c r="G81" s="82" t="s">
        <v>1496</v>
      </c>
    </row>
    <row r="82" ht="14.25" customHeight="1">
      <c r="A82" s="82" t="s">
        <v>1472</v>
      </c>
      <c r="B82" s="82" t="s">
        <v>1771</v>
      </c>
      <c r="C82" s="82" t="s">
        <v>1758</v>
      </c>
      <c r="D82" s="82" t="s">
        <v>1899</v>
      </c>
      <c r="E82" s="82" t="s">
        <v>1900</v>
      </c>
      <c r="F82" s="82" t="s">
        <v>1759</v>
      </c>
      <c r="G82" s="82" t="s">
        <v>1499</v>
      </c>
    </row>
    <row r="83" ht="14.25" customHeight="1">
      <c r="A83" s="82" t="s">
        <v>1472</v>
      </c>
      <c r="B83" s="82" t="s">
        <v>1771</v>
      </c>
      <c r="C83" s="82" t="s">
        <v>1758</v>
      </c>
      <c r="D83" s="82" t="s">
        <v>1901</v>
      </c>
      <c r="E83" s="82" t="s">
        <v>1902</v>
      </c>
      <c r="F83" s="82" t="s">
        <v>1759</v>
      </c>
      <c r="G83" s="82" t="s">
        <v>1536</v>
      </c>
    </row>
    <row r="84" ht="14.25" customHeight="1">
      <c r="A84" s="82" t="s">
        <v>1472</v>
      </c>
      <c r="B84" s="82" t="s">
        <v>1771</v>
      </c>
      <c r="C84" s="82" t="s">
        <v>1758</v>
      </c>
      <c r="D84" s="82" t="s">
        <v>1903</v>
      </c>
      <c r="E84" s="82" t="s">
        <v>1904</v>
      </c>
      <c r="F84" s="82" t="s">
        <v>1759</v>
      </c>
      <c r="G84" s="82" t="s">
        <v>1535</v>
      </c>
    </row>
    <row r="85" ht="14.25" customHeight="1">
      <c r="A85" s="82" t="s">
        <v>1472</v>
      </c>
      <c r="B85" s="82" t="s">
        <v>1771</v>
      </c>
      <c r="C85" s="82" t="s">
        <v>1758</v>
      </c>
      <c r="D85" s="82" t="s">
        <v>1905</v>
      </c>
      <c r="E85" s="82" t="s">
        <v>1904</v>
      </c>
      <c r="F85" s="82" t="s">
        <v>1759</v>
      </c>
      <c r="G85" s="82" t="s">
        <v>1497</v>
      </c>
    </row>
    <row r="86" ht="14.25" customHeight="1">
      <c r="A86" s="82" t="s">
        <v>1472</v>
      </c>
      <c r="B86" s="82" t="s">
        <v>1771</v>
      </c>
      <c r="C86" s="82" t="s">
        <v>1758</v>
      </c>
      <c r="D86" s="82" t="s">
        <v>1906</v>
      </c>
      <c r="E86" s="82" t="s">
        <v>1904</v>
      </c>
      <c r="F86" s="82" t="s">
        <v>1759</v>
      </c>
      <c r="G86" s="82" t="s">
        <v>1733</v>
      </c>
    </row>
    <row r="87" ht="14.25" customHeight="1">
      <c r="A87" s="82" t="s">
        <v>1472</v>
      </c>
      <c r="B87" s="82" t="s">
        <v>1771</v>
      </c>
      <c r="C87" s="82" t="s">
        <v>1758</v>
      </c>
      <c r="D87" s="82" t="s">
        <v>1907</v>
      </c>
      <c r="E87" s="82" t="s">
        <v>1904</v>
      </c>
      <c r="F87" s="82" t="s">
        <v>1759</v>
      </c>
      <c r="G87" s="82" t="s">
        <v>1733</v>
      </c>
    </row>
    <row r="88" ht="14.25" customHeight="1">
      <c r="A88" s="82" t="s">
        <v>1472</v>
      </c>
      <c r="B88" s="82" t="s">
        <v>1771</v>
      </c>
      <c r="C88" s="82" t="s">
        <v>1758</v>
      </c>
      <c r="D88" s="82" t="s">
        <v>1433</v>
      </c>
      <c r="E88" s="82" t="s">
        <v>1904</v>
      </c>
      <c r="F88" s="82" t="s">
        <v>1759</v>
      </c>
      <c r="G88" s="82" t="s">
        <v>1519</v>
      </c>
    </row>
    <row r="89" ht="14.25" customHeight="1">
      <c r="A89" s="82" t="s">
        <v>1472</v>
      </c>
      <c r="B89" s="82" t="s">
        <v>1771</v>
      </c>
      <c r="C89" s="82" t="s">
        <v>1758</v>
      </c>
      <c r="D89" s="82" t="s">
        <v>1905</v>
      </c>
      <c r="E89" s="82" t="s">
        <v>1904</v>
      </c>
      <c r="F89" s="82" t="s">
        <v>1759</v>
      </c>
      <c r="G89" s="82" t="s">
        <v>1497</v>
      </c>
    </row>
    <row r="90" ht="14.25" customHeight="1">
      <c r="A90" s="82" t="s">
        <v>1472</v>
      </c>
      <c r="B90" s="82" t="s">
        <v>1771</v>
      </c>
      <c r="C90" s="82" t="s">
        <v>1758</v>
      </c>
      <c r="D90" s="82" t="s">
        <v>1908</v>
      </c>
      <c r="E90" s="82" t="s">
        <v>1904</v>
      </c>
      <c r="F90" s="82" t="s">
        <v>1759</v>
      </c>
      <c r="G90" s="82" t="s">
        <v>1505</v>
      </c>
    </row>
    <row r="91" ht="14.25" customHeight="1">
      <c r="A91" s="82" t="s">
        <v>1472</v>
      </c>
      <c r="B91" s="82" t="s">
        <v>1771</v>
      </c>
      <c r="C91" s="82" t="s">
        <v>1758</v>
      </c>
      <c r="D91" s="82" t="s">
        <v>1909</v>
      </c>
      <c r="E91" s="82" t="s">
        <v>1904</v>
      </c>
      <c r="F91" s="82" t="s">
        <v>1759</v>
      </c>
      <c r="G91" s="82" t="s">
        <v>1525</v>
      </c>
    </row>
    <row r="92" ht="14.25" customHeight="1">
      <c r="A92" s="82" t="s">
        <v>1472</v>
      </c>
      <c r="B92" s="82" t="s">
        <v>1771</v>
      </c>
      <c r="C92" s="82" t="s">
        <v>1758</v>
      </c>
      <c r="D92" s="82" t="s">
        <v>1910</v>
      </c>
      <c r="E92" s="82" t="s">
        <v>1904</v>
      </c>
      <c r="F92" s="82" t="s">
        <v>1759</v>
      </c>
      <c r="G92" s="82" t="s">
        <v>1505</v>
      </c>
    </row>
    <row r="93" ht="14.25" customHeight="1">
      <c r="A93" s="82" t="s">
        <v>1472</v>
      </c>
      <c r="B93" s="82" t="s">
        <v>1771</v>
      </c>
      <c r="C93" s="82" t="s">
        <v>1758</v>
      </c>
      <c r="D93" s="82" t="s">
        <v>1911</v>
      </c>
      <c r="E93" s="82" t="s">
        <v>1904</v>
      </c>
      <c r="F93" s="82" t="s">
        <v>1759</v>
      </c>
      <c r="G93" s="82" t="s">
        <v>1601</v>
      </c>
    </row>
    <row r="94" ht="14.25" customHeight="1">
      <c r="A94" s="82" t="s">
        <v>1803</v>
      </c>
      <c r="B94" s="82" t="s">
        <v>1771</v>
      </c>
      <c r="C94" s="82" t="s">
        <v>1758</v>
      </c>
      <c r="D94" s="82" t="s">
        <v>1912</v>
      </c>
      <c r="E94" s="82" t="s">
        <v>1904</v>
      </c>
      <c r="F94" s="82" t="s">
        <v>1759</v>
      </c>
      <c r="G94" s="82" t="s">
        <v>1587</v>
      </c>
    </row>
    <row r="95" ht="14.25" customHeight="1">
      <c r="A95" s="82" t="s">
        <v>1803</v>
      </c>
      <c r="B95" s="82" t="s">
        <v>1771</v>
      </c>
      <c r="C95" s="82" t="s">
        <v>1758</v>
      </c>
      <c r="D95" s="82" t="s">
        <v>1913</v>
      </c>
      <c r="E95" s="82" t="s">
        <v>1904</v>
      </c>
      <c r="F95" s="82" t="s">
        <v>1759</v>
      </c>
      <c r="G95" s="82" t="s">
        <v>1735</v>
      </c>
    </row>
    <row r="96" ht="14.25" customHeight="1">
      <c r="A96" s="82" t="s">
        <v>1914</v>
      </c>
      <c r="B96" s="82" t="s">
        <v>1771</v>
      </c>
      <c r="C96" s="82" t="s">
        <v>1758</v>
      </c>
      <c r="D96" s="82" t="s">
        <v>1915</v>
      </c>
      <c r="E96" s="82" t="s">
        <v>1904</v>
      </c>
      <c r="F96" s="82" t="s">
        <v>1759</v>
      </c>
      <c r="G96" s="82" t="s">
        <v>1565</v>
      </c>
    </row>
    <row r="97" ht="14.25" customHeight="1">
      <c r="A97" s="82" t="s">
        <v>1914</v>
      </c>
      <c r="B97" s="82" t="s">
        <v>1771</v>
      </c>
      <c r="C97" s="82" t="s">
        <v>1758</v>
      </c>
      <c r="D97" s="82" t="s">
        <v>1916</v>
      </c>
      <c r="E97" s="82" t="s">
        <v>1904</v>
      </c>
      <c r="F97" s="82" t="s">
        <v>1759</v>
      </c>
      <c r="G97" s="82" t="s">
        <v>1570</v>
      </c>
    </row>
    <row r="98" ht="14.25" customHeight="1">
      <c r="A98" s="82" t="s">
        <v>1476</v>
      </c>
      <c r="B98" s="82" t="s">
        <v>1763</v>
      </c>
      <c r="C98" s="82" t="s">
        <v>1759</v>
      </c>
      <c r="D98" s="82" t="s">
        <v>1780</v>
      </c>
      <c r="E98" s="82" t="s">
        <v>1779</v>
      </c>
      <c r="F98" s="82" t="s">
        <v>1758</v>
      </c>
      <c r="G98" s="82" t="s">
        <v>1669</v>
      </c>
    </row>
    <row r="99" ht="14.25" customHeight="1">
      <c r="A99" s="82" t="s">
        <v>1466</v>
      </c>
      <c r="B99" s="82" t="s">
        <v>1763</v>
      </c>
      <c r="C99" s="82" t="s">
        <v>1759</v>
      </c>
      <c r="D99" s="82" t="s">
        <v>1783</v>
      </c>
      <c r="E99" s="82" t="s">
        <v>1782</v>
      </c>
      <c r="F99" s="82" t="s">
        <v>1758</v>
      </c>
      <c r="G99" s="82" t="s">
        <v>1741</v>
      </c>
    </row>
    <row r="100" ht="14.25" customHeight="1">
      <c r="A100" s="82" t="s">
        <v>1466</v>
      </c>
      <c r="B100" s="82" t="s">
        <v>1763</v>
      </c>
      <c r="C100" s="82" t="s">
        <v>1759</v>
      </c>
      <c r="D100" s="82" t="s">
        <v>1786</v>
      </c>
      <c r="E100" s="82" t="s">
        <v>1785</v>
      </c>
      <c r="F100" s="82" t="s">
        <v>1758</v>
      </c>
      <c r="G100" s="82" t="s">
        <v>1712</v>
      </c>
    </row>
    <row r="101" ht="14.25" customHeight="1">
      <c r="A101" s="82" t="s">
        <v>1466</v>
      </c>
      <c r="B101" s="82" t="s">
        <v>1763</v>
      </c>
      <c r="C101" s="82" t="s">
        <v>1759</v>
      </c>
      <c r="D101" s="82" t="s">
        <v>1790</v>
      </c>
      <c r="E101" s="82" t="s">
        <v>1789</v>
      </c>
      <c r="F101" s="82" t="s">
        <v>1758</v>
      </c>
      <c r="G101" s="82" t="s">
        <v>1746</v>
      </c>
    </row>
    <row r="102" ht="14.25" customHeight="1">
      <c r="A102" s="82" t="s">
        <v>1466</v>
      </c>
      <c r="B102" s="77" t="s">
        <v>1763</v>
      </c>
      <c r="C102" s="77" t="s">
        <v>1759</v>
      </c>
      <c r="D102" s="77" t="s">
        <v>1793</v>
      </c>
      <c r="E102" s="77" t="s">
        <v>1792</v>
      </c>
      <c r="F102" s="77" t="s">
        <v>1758</v>
      </c>
      <c r="G102" s="82" t="s">
        <v>1738</v>
      </c>
    </row>
    <row r="103" ht="14.25" customHeight="1">
      <c r="A103" s="82" t="s">
        <v>1476</v>
      </c>
      <c r="B103" s="82" t="s">
        <v>1763</v>
      </c>
      <c r="C103" s="82" t="s">
        <v>1759</v>
      </c>
      <c r="D103" s="82" t="s">
        <v>1780</v>
      </c>
      <c r="E103" s="82" t="s">
        <v>1779</v>
      </c>
      <c r="F103" s="82" t="s">
        <v>1758</v>
      </c>
      <c r="G103" s="82" t="s">
        <v>1669</v>
      </c>
    </row>
    <row r="104" ht="14.25" customHeight="1">
      <c r="A104" s="82" t="s">
        <v>1476</v>
      </c>
      <c r="B104" s="82" t="s">
        <v>1763</v>
      </c>
      <c r="C104" s="82" t="s">
        <v>1759</v>
      </c>
      <c r="D104" s="82" t="s">
        <v>1783</v>
      </c>
      <c r="E104" s="82" t="s">
        <v>1782</v>
      </c>
      <c r="F104" s="82" t="s">
        <v>1758</v>
      </c>
      <c r="G104" s="82" t="s">
        <v>1741</v>
      </c>
    </row>
    <row r="105" ht="14.25" customHeight="1">
      <c r="A105" s="82" t="s">
        <v>1476</v>
      </c>
      <c r="B105" s="82" t="s">
        <v>1763</v>
      </c>
      <c r="C105" s="82" t="s">
        <v>1759</v>
      </c>
      <c r="D105" s="82" t="s">
        <v>1794</v>
      </c>
      <c r="E105" s="82" t="s">
        <v>944</v>
      </c>
      <c r="F105" s="82" t="s">
        <v>1758</v>
      </c>
      <c r="G105" s="82" t="s">
        <v>1751</v>
      </c>
    </row>
    <row r="106" ht="14.25" customHeight="1">
      <c r="A106" s="82" t="s">
        <v>1476</v>
      </c>
      <c r="B106" s="82" t="s">
        <v>1763</v>
      </c>
      <c r="C106" s="82" t="s">
        <v>1759</v>
      </c>
      <c r="D106" s="82" t="s">
        <v>1796</v>
      </c>
      <c r="E106" s="82" t="s">
        <v>1795</v>
      </c>
      <c r="F106" s="82" t="s">
        <v>1758</v>
      </c>
      <c r="G106" s="82" t="s">
        <v>1754</v>
      </c>
    </row>
    <row r="107" ht="14.25" customHeight="1">
      <c r="A107" s="82" t="s">
        <v>1476</v>
      </c>
      <c r="B107" s="82" t="s">
        <v>1763</v>
      </c>
      <c r="C107" s="82" t="s">
        <v>1759</v>
      </c>
      <c r="D107" s="82" t="s">
        <v>1798</v>
      </c>
      <c r="E107" s="82" t="s">
        <v>1797</v>
      </c>
      <c r="F107" s="82" t="s">
        <v>1758</v>
      </c>
      <c r="G107" s="82" t="s">
        <v>1917</v>
      </c>
    </row>
    <row r="108" ht="14.25" customHeight="1">
      <c r="A108" s="82" t="s">
        <v>1800</v>
      </c>
      <c r="B108" s="82" t="s">
        <v>1763</v>
      </c>
      <c r="C108" s="82" t="s">
        <v>1759</v>
      </c>
      <c r="D108" s="82" t="s">
        <v>187</v>
      </c>
      <c r="E108" s="82" t="s">
        <v>1277</v>
      </c>
      <c r="F108" s="82" t="s">
        <v>1758</v>
      </c>
      <c r="G108" s="82" t="s">
        <v>1710</v>
      </c>
    </row>
    <row r="109" ht="14.25" customHeight="1">
      <c r="A109" s="82" t="s">
        <v>1800</v>
      </c>
      <c r="B109" s="82" t="s">
        <v>1763</v>
      </c>
      <c r="C109" s="82" t="s">
        <v>1759</v>
      </c>
      <c r="D109" s="82" t="s">
        <v>1802</v>
      </c>
      <c r="E109" s="82" t="s">
        <v>1801</v>
      </c>
      <c r="F109" s="82" t="s">
        <v>1758</v>
      </c>
      <c r="G109" s="82" t="s">
        <v>1725</v>
      </c>
    </row>
    <row r="110" ht="14.25" customHeight="1">
      <c r="A110" s="82" t="s">
        <v>1803</v>
      </c>
      <c r="B110" s="82" t="s">
        <v>1763</v>
      </c>
      <c r="C110" s="82" t="s">
        <v>1759</v>
      </c>
      <c r="D110" s="82" t="s">
        <v>693</v>
      </c>
      <c r="E110" s="82" t="s">
        <v>1804</v>
      </c>
      <c r="F110" s="82" t="s">
        <v>1758</v>
      </c>
      <c r="G110" s="82" t="s">
        <v>1663</v>
      </c>
    </row>
    <row r="111" ht="14.25" customHeight="1">
      <c r="A111" s="82" t="s">
        <v>1803</v>
      </c>
      <c r="B111" s="82" t="s">
        <v>1763</v>
      </c>
      <c r="C111" s="82" t="s">
        <v>1759</v>
      </c>
      <c r="D111" s="82" t="s">
        <v>77</v>
      </c>
      <c r="E111" s="82" t="s">
        <v>158</v>
      </c>
      <c r="F111" s="82" t="s">
        <v>1758</v>
      </c>
      <c r="G111" s="82" t="s">
        <v>1662</v>
      </c>
    </row>
    <row r="112" ht="14.25" customHeight="1">
      <c r="A112" s="82" t="s">
        <v>1466</v>
      </c>
      <c r="B112" s="82" t="s">
        <v>1765</v>
      </c>
      <c r="C112" s="82" t="s">
        <v>1759</v>
      </c>
      <c r="D112" s="82" t="s">
        <v>312</v>
      </c>
      <c r="E112" s="82" t="s">
        <v>1805</v>
      </c>
      <c r="F112" s="82" t="s">
        <v>1758</v>
      </c>
      <c r="G112" s="82" t="s">
        <v>1568</v>
      </c>
    </row>
    <row r="113" ht="14.25" customHeight="1">
      <c r="A113" s="82" t="s">
        <v>1466</v>
      </c>
      <c r="B113" s="82" t="s">
        <v>1765</v>
      </c>
      <c r="C113" s="82" t="s">
        <v>1759</v>
      </c>
      <c r="D113" s="82" t="s">
        <v>196</v>
      </c>
      <c r="E113" s="82" t="s">
        <v>260</v>
      </c>
      <c r="F113" s="82" t="s">
        <v>1758</v>
      </c>
      <c r="G113" s="82" t="s">
        <v>1698</v>
      </c>
    </row>
    <row r="114" ht="14.25" customHeight="1">
      <c r="A114" s="82" t="s">
        <v>1466</v>
      </c>
      <c r="B114" s="82" t="s">
        <v>1765</v>
      </c>
      <c r="C114" s="82" t="s">
        <v>1759</v>
      </c>
      <c r="D114" s="82" t="s">
        <v>312</v>
      </c>
      <c r="E114" s="82" t="s">
        <v>1805</v>
      </c>
      <c r="F114" s="82" t="s">
        <v>1758</v>
      </c>
      <c r="G114" s="82" t="s">
        <v>1568</v>
      </c>
    </row>
    <row r="115" ht="14.25" customHeight="1">
      <c r="A115" s="82" t="s">
        <v>1466</v>
      </c>
      <c r="B115" s="82" t="s">
        <v>1765</v>
      </c>
      <c r="C115" s="82" t="s">
        <v>1759</v>
      </c>
      <c r="D115" s="82" t="s">
        <v>1806</v>
      </c>
      <c r="E115" s="82" t="s">
        <v>865</v>
      </c>
      <c r="F115" s="82" t="s">
        <v>1758</v>
      </c>
      <c r="G115" s="82" t="s">
        <v>1561</v>
      </c>
    </row>
    <row r="116" ht="14.25" customHeight="1">
      <c r="A116" s="82" t="s">
        <v>1466</v>
      </c>
      <c r="B116" s="82" t="s">
        <v>1765</v>
      </c>
      <c r="C116" s="82" t="s">
        <v>1759</v>
      </c>
      <c r="D116" s="82" t="s">
        <v>1808</v>
      </c>
      <c r="E116" s="82" t="s">
        <v>1807</v>
      </c>
      <c r="F116" s="82" t="s">
        <v>1758</v>
      </c>
      <c r="G116" s="82" t="s">
        <v>1572</v>
      </c>
    </row>
    <row r="117" ht="14.25" customHeight="1">
      <c r="A117" s="82" t="s">
        <v>1466</v>
      </c>
      <c r="B117" s="82" t="s">
        <v>1765</v>
      </c>
      <c r="C117" s="82" t="s">
        <v>1759</v>
      </c>
      <c r="D117" s="82" t="s">
        <v>1810</v>
      </c>
      <c r="E117" s="82" t="s">
        <v>1809</v>
      </c>
      <c r="F117" s="82" t="s">
        <v>1758</v>
      </c>
      <c r="G117" s="82" t="s">
        <v>1560</v>
      </c>
    </row>
    <row r="118" ht="14.25" customHeight="1">
      <c r="A118" s="82" t="s">
        <v>1466</v>
      </c>
      <c r="B118" s="82" t="s">
        <v>1765</v>
      </c>
      <c r="C118" s="82" t="s">
        <v>1759</v>
      </c>
      <c r="D118" s="82" t="s">
        <v>1812</v>
      </c>
      <c r="E118" s="82" t="s">
        <v>1811</v>
      </c>
      <c r="F118" s="82" t="s">
        <v>1758</v>
      </c>
      <c r="G118" s="82" t="s">
        <v>1667</v>
      </c>
    </row>
    <row r="119" ht="14.25" customHeight="1">
      <c r="A119" s="82" t="s">
        <v>1466</v>
      </c>
      <c r="B119" s="82" t="s">
        <v>1765</v>
      </c>
      <c r="C119" s="82" t="s">
        <v>1759</v>
      </c>
      <c r="D119" s="82" t="s">
        <v>1814</v>
      </c>
      <c r="E119" s="82" t="s">
        <v>1813</v>
      </c>
      <c r="F119" s="82" t="s">
        <v>1758</v>
      </c>
      <c r="G119" s="82" t="s">
        <v>1680</v>
      </c>
    </row>
    <row r="120" ht="14.25" customHeight="1">
      <c r="A120" s="82" t="s">
        <v>1466</v>
      </c>
      <c r="B120" s="82" t="s">
        <v>1765</v>
      </c>
      <c r="C120" s="82" t="s">
        <v>1759</v>
      </c>
      <c r="D120" s="82" t="s">
        <v>1815</v>
      </c>
      <c r="E120" s="82" t="s">
        <v>221</v>
      </c>
      <c r="F120" s="82" t="s">
        <v>1758</v>
      </c>
      <c r="G120" s="82" t="s">
        <v>1641</v>
      </c>
    </row>
    <row r="121" ht="14.25" customHeight="1">
      <c r="A121" s="82" t="s">
        <v>1466</v>
      </c>
      <c r="B121" s="82" t="s">
        <v>1765</v>
      </c>
      <c r="C121" s="82" t="s">
        <v>1759</v>
      </c>
      <c r="D121" s="82" t="s">
        <v>846</v>
      </c>
      <c r="E121" s="82" t="s">
        <v>1816</v>
      </c>
      <c r="F121" s="82" t="s">
        <v>1758</v>
      </c>
      <c r="G121" s="82" t="s">
        <v>1648</v>
      </c>
    </row>
    <row r="122" ht="14.25" customHeight="1">
      <c r="A122" s="82" t="s">
        <v>1475</v>
      </c>
      <c r="B122" s="82" t="s">
        <v>1765</v>
      </c>
      <c r="C122" s="82" t="s">
        <v>1759</v>
      </c>
      <c r="D122" s="82" t="s">
        <v>1818</v>
      </c>
      <c r="E122" s="82" t="s">
        <v>1817</v>
      </c>
      <c r="F122" s="82" t="s">
        <v>1758</v>
      </c>
      <c r="G122" s="82" t="s">
        <v>1918</v>
      </c>
    </row>
    <row r="123" ht="14.25" customHeight="1">
      <c r="A123" s="82" t="s">
        <v>1475</v>
      </c>
      <c r="B123" s="82" t="s">
        <v>1765</v>
      </c>
      <c r="C123" s="82" t="s">
        <v>1759</v>
      </c>
      <c r="D123" s="82" t="s">
        <v>1458</v>
      </c>
      <c r="E123" s="82" t="s">
        <v>639</v>
      </c>
      <c r="F123" s="82" t="s">
        <v>1758</v>
      </c>
      <c r="G123" s="82" t="s">
        <v>1690</v>
      </c>
    </row>
    <row r="124" ht="14.25" customHeight="1">
      <c r="A124" s="82" t="s">
        <v>1475</v>
      </c>
      <c r="B124" s="82" t="s">
        <v>1765</v>
      </c>
      <c r="C124" s="82" t="s">
        <v>1759</v>
      </c>
      <c r="D124" s="82" t="s">
        <v>1819</v>
      </c>
      <c r="E124" s="82" t="s">
        <v>1329</v>
      </c>
      <c r="F124" s="82" t="s">
        <v>1758</v>
      </c>
      <c r="G124" s="82" t="s">
        <v>1696</v>
      </c>
    </row>
    <row r="125" ht="14.25" customHeight="1">
      <c r="A125" s="82" t="s">
        <v>1475</v>
      </c>
      <c r="B125" s="82" t="s">
        <v>1765</v>
      </c>
      <c r="C125" s="82" t="s">
        <v>1759</v>
      </c>
      <c r="D125" s="82" t="s">
        <v>1821</v>
      </c>
      <c r="E125" s="82" t="s">
        <v>1820</v>
      </c>
      <c r="F125" s="82" t="s">
        <v>1758</v>
      </c>
      <c r="G125" s="82" t="s">
        <v>1699</v>
      </c>
    </row>
    <row r="126" ht="14.25" customHeight="1">
      <c r="A126" s="82" t="s">
        <v>1475</v>
      </c>
      <c r="B126" s="82" t="s">
        <v>1765</v>
      </c>
      <c r="C126" s="82" t="s">
        <v>1759</v>
      </c>
      <c r="D126" s="82" t="s">
        <v>1823</v>
      </c>
      <c r="E126" s="82" t="s">
        <v>1822</v>
      </c>
      <c r="F126" s="82" t="s">
        <v>1758</v>
      </c>
      <c r="G126" s="82" t="s">
        <v>1700</v>
      </c>
    </row>
    <row r="127" ht="14.25" customHeight="1">
      <c r="A127" s="82" t="s">
        <v>1475</v>
      </c>
      <c r="B127" s="82" t="s">
        <v>1765</v>
      </c>
      <c r="C127" s="82" t="s">
        <v>1759</v>
      </c>
      <c r="D127" s="82" t="s">
        <v>1825</v>
      </c>
      <c r="E127" s="82" t="s">
        <v>1824</v>
      </c>
      <c r="F127" s="82" t="s">
        <v>1758</v>
      </c>
      <c r="G127" s="82" t="s">
        <v>1702</v>
      </c>
    </row>
    <row r="128" ht="14.25" customHeight="1">
      <c r="A128" s="82" t="s">
        <v>1475</v>
      </c>
      <c r="B128" s="82" t="s">
        <v>1765</v>
      </c>
      <c r="C128" s="82" t="s">
        <v>1759</v>
      </c>
      <c r="D128" s="82" t="s">
        <v>305</v>
      </c>
      <c r="E128" s="82" t="s">
        <v>1826</v>
      </c>
      <c r="F128" s="82" t="s">
        <v>1758</v>
      </c>
      <c r="G128" s="82" t="s">
        <v>1703</v>
      </c>
    </row>
    <row r="129" ht="14.25" customHeight="1">
      <c r="A129" s="82" t="s">
        <v>1800</v>
      </c>
      <c r="B129" s="82" t="s">
        <v>1765</v>
      </c>
      <c r="C129" s="82" t="s">
        <v>1759</v>
      </c>
      <c r="D129" s="82" t="s">
        <v>131</v>
      </c>
      <c r="E129" s="82" t="s">
        <v>50</v>
      </c>
      <c r="F129" s="82" t="s">
        <v>1758</v>
      </c>
      <c r="G129" s="82" t="s">
        <v>1724</v>
      </c>
    </row>
    <row r="130" ht="14.25" customHeight="1">
      <c r="A130" s="82" t="s">
        <v>1800</v>
      </c>
      <c r="B130" s="82" t="s">
        <v>1765</v>
      </c>
      <c r="C130" s="82" t="s">
        <v>1759</v>
      </c>
      <c r="D130" s="82" t="s">
        <v>464</v>
      </c>
      <c r="E130" s="82" t="s">
        <v>1827</v>
      </c>
      <c r="F130" s="82" t="s">
        <v>1758</v>
      </c>
      <c r="G130" s="82" t="s">
        <v>1526</v>
      </c>
    </row>
    <row r="131" ht="14.25" customHeight="1">
      <c r="A131" s="82" t="s">
        <v>1466</v>
      </c>
      <c r="B131" s="82" t="s">
        <v>1767</v>
      </c>
      <c r="C131" s="82" t="s">
        <v>1759</v>
      </c>
      <c r="D131" s="82" t="s">
        <v>1829</v>
      </c>
      <c r="E131" s="82" t="s">
        <v>1828</v>
      </c>
      <c r="F131" s="82" t="s">
        <v>1758</v>
      </c>
      <c r="G131" s="82" t="s">
        <v>1716</v>
      </c>
    </row>
    <row r="132" ht="14.25" customHeight="1">
      <c r="A132" s="82" t="s">
        <v>1466</v>
      </c>
      <c r="B132" s="82" t="s">
        <v>1767</v>
      </c>
      <c r="C132" s="82" t="s">
        <v>1759</v>
      </c>
      <c r="D132" s="82" t="s">
        <v>1831</v>
      </c>
      <c r="E132" s="82" t="s">
        <v>1830</v>
      </c>
      <c r="F132" s="82" t="s">
        <v>1758</v>
      </c>
      <c r="G132" s="82" t="s">
        <v>1720</v>
      </c>
    </row>
    <row r="133" ht="14.25" customHeight="1">
      <c r="A133" s="82" t="s">
        <v>1466</v>
      </c>
      <c r="B133" s="82" t="s">
        <v>1767</v>
      </c>
      <c r="C133" s="82" t="s">
        <v>1759</v>
      </c>
      <c r="D133" s="82" t="s">
        <v>1832</v>
      </c>
      <c r="E133" s="82" t="s">
        <v>619</v>
      </c>
      <c r="F133" s="82" t="s">
        <v>1758</v>
      </c>
      <c r="G133" s="82" t="s">
        <v>1678</v>
      </c>
    </row>
    <row r="134" ht="14.25" customHeight="1">
      <c r="A134" s="82" t="s">
        <v>1466</v>
      </c>
      <c r="B134" s="82" t="s">
        <v>1767</v>
      </c>
      <c r="C134" s="82" t="s">
        <v>1759</v>
      </c>
      <c r="D134" s="82" t="s">
        <v>1834</v>
      </c>
      <c r="E134" s="82" t="s">
        <v>1833</v>
      </c>
      <c r="F134" s="82" t="s">
        <v>1758</v>
      </c>
      <c r="G134" s="82" t="s">
        <v>1679</v>
      </c>
    </row>
    <row r="135" ht="14.25" customHeight="1">
      <c r="A135" s="82" t="s">
        <v>1466</v>
      </c>
      <c r="B135" s="82" t="s">
        <v>1767</v>
      </c>
      <c r="C135" s="82" t="s">
        <v>1759</v>
      </c>
      <c r="D135" s="82" t="s">
        <v>555</v>
      </c>
      <c r="E135" s="82" t="s">
        <v>1835</v>
      </c>
      <c r="F135" s="82" t="s">
        <v>1758</v>
      </c>
      <c r="G135" s="82" t="s">
        <v>1677</v>
      </c>
    </row>
    <row r="136" ht="14.25" customHeight="1">
      <c r="A136" s="82" t="s">
        <v>1475</v>
      </c>
      <c r="B136" s="82" t="s">
        <v>1767</v>
      </c>
      <c r="C136" s="82" t="s">
        <v>1759</v>
      </c>
      <c r="D136" s="82" t="s">
        <v>532</v>
      </c>
      <c r="E136" s="82" t="s">
        <v>1836</v>
      </c>
      <c r="F136" s="82" t="s">
        <v>1758</v>
      </c>
      <c r="G136" s="82" t="s">
        <v>1686</v>
      </c>
    </row>
    <row r="137" ht="14.25" customHeight="1">
      <c r="A137" s="82" t="s">
        <v>1475</v>
      </c>
      <c r="B137" s="82" t="s">
        <v>1767</v>
      </c>
      <c r="C137" s="82" t="s">
        <v>1759</v>
      </c>
      <c r="D137" s="82" t="s">
        <v>1838</v>
      </c>
      <c r="E137" s="82" t="s">
        <v>1837</v>
      </c>
      <c r="F137" s="82" t="s">
        <v>1758</v>
      </c>
      <c r="G137" s="82" t="s">
        <v>1693</v>
      </c>
    </row>
    <row r="138" ht="14.25" customHeight="1">
      <c r="A138" s="82" t="s">
        <v>1475</v>
      </c>
      <c r="B138" s="82" t="s">
        <v>1767</v>
      </c>
      <c r="C138" s="82" t="s">
        <v>1759</v>
      </c>
      <c r="D138" s="82" t="s">
        <v>1840</v>
      </c>
      <c r="E138" s="82" t="s">
        <v>1839</v>
      </c>
      <c r="F138" s="82" t="s">
        <v>1758</v>
      </c>
      <c r="G138" s="82" t="s">
        <v>1691</v>
      </c>
    </row>
    <row r="139" ht="14.25" customHeight="1">
      <c r="A139" s="82" t="s">
        <v>1475</v>
      </c>
      <c r="B139" s="82" t="s">
        <v>1767</v>
      </c>
      <c r="C139" s="82" t="s">
        <v>1759</v>
      </c>
      <c r="D139" s="82" t="s">
        <v>1842</v>
      </c>
      <c r="E139" s="82" t="s">
        <v>1841</v>
      </c>
      <c r="F139" s="82" t="s">
        <v>1758</v>
      </c>
      <c r="G139" s="82" t="s">
        <v>1689</v>
      </c>
    </row>
    <row r="140" ht="14.25" customHeight="1">
      <c r="A140" s="82" t="s">
        <v>1475</v>
      </c>
      <c r="B140" s="82" t="s">
        <v>1767</v>
      </c>
      <c r="C140" s="82" t="s">
        <v>1759</v>
      </c>
      <c r="D140" s="82" t="s">
        <v>1844</v>
      </c>
      <c r="E140" s="82" t="s">
        <v>1843</v>
      </c>
      <c r="F140" s="82" t="s">
        <v>1758</v>
      </c>
      <c r="G140" s="82" t="s">
        <v>1697</v>
      </c>
    </row>
    <row r="141" ht="14.25" customHeight="1">
      <c r="A141" s="82" t="s">
        <v>1466</v>
      </c>
      <c r="B141" s="82" t="s">
        <v>1767</v>
      </c>
      <c r="C141" s="82" t="s">
        <v>1759</v>
      </c>
      <c r="D141" s="82" t="s">
        <v>1846</v>
      </c>
      <c r="E141" s="82" t="s">
        <v>1845</v>
      </c>
      <c r="F141" s="82" t="s">
        <v>1758</v>
      </c>
      <c r="G141" s="82" t="s">
        <v>1722</v>
      </c>
    </row>
    <row r="142" ht="14.25" customHeight="1">
      <c r="A142" s="82" t="s">
        <v>1466</v>
      </c>
      <c r="B142" s="82" t="s">
        <v>1767</v>
      </c>
      <c r="C142" s="82" t="s">
        <v>1759</v>
      </c>
      <c r="D142" s="82" t="s">
        <v>1848</v>
      </c>
      <c r="E142" s="82" t="s">
        <v>1847</v>
      </c>
      <c r="F142" s="82" t="s">
        <v>1758</v>
      </c>
      <c r="G142" s="82" t="s">
        <v>1719</v>
      </c>
    </row>
    <row r="143" ht="14.25" customHeight="1">
      <c r="A143" s="82" t="s">
        <v>1849</v>
      </c>
      <c r="B143" s="82" t="s">
        <v>1767</v>
      </c>
      <c r="C143" s="82" t="s">
        <v>1759</v>
      </c>
      <c r="D143" s="82" t="s">
        <v>1851</v>
      </c>
      <c r="E143" s="82" t="s">
        <v>1850</v>
      </c>
      <c r="F143" s="82" t="s">
        <v>1758</v>
      </c>
      <c r="G143" s="82" t="s">
        <v>1666</v>
      </c>
    </row>
    <row r="144" ht="14.25" customHeight="1">
      <c r="A144" s="82" t="s">
        <v>1849</v>
      </c>
      <c r="B144" s="82" t="s">
        <v>1767</v>
      </c>
      <c r="C144" s="82" t="s">
        <v>1759</v>
      </c>
      <c r="D144" s="82" t="s">
        <v>703</v>
      </c>
      <c r="E144" s="82" t="s">
        <v>316</v>
      </c>
      <c r="F144" s="82" t="s">
        <v>1758</v>
      </c>
      <c r="G144" s="82" t="s">
        <v>1654</v>
      </c>
    </row>
    <row r="145" ht="14.25" customHeight="1">
      <c r="A145" s="82" t="s">
        <v>1849</v>
      </c>
      <c r="B145" s="82" t="s">
        <v>1767</v>
      </c>
      <c r="C145" s="82" t="s">
        <v>1759</v>
      </c>
      <c r="D145" s="82" t="s">
        <v>699</v>
      </c>
      <c r="E145" s="82" t="s">
        <v>468</v>
      </c>
      <c r="F145" s="82" t="s">
        <v>1758</v>
      </c>
      <c r="G145" s="82" t="s">
        <v>1651</v>
      </c>
    </row>
    <row r="146" ht="14.25" customHeight="1">
      <c r="A146" s="82" t="s">
        <v>1849</v>
      </c>
      <c r="B146" s="82" t="s">
        <v>1767</v>
      </c>
      <c r="C146" s="82" t="s">
        <v>1759</v>
      </c>
      <c r="D146" s="82" t="s">
        <v>442</v>
      </c>
      <c r="E146" s="82" t="s">
        <v>1852</v>
      </c>
      <c r="F146" s="82" t="s">
        <v>1758</v>
      </c>
      <c r="G146" s="82" t="s">
        <v>1652</v>
      </c>
    </row>
    <row r="147" ht="14.25" customHeight="1">
      <c r="A147" s="82" t="s">
        <v>1849</v>
      </c>
      <c r="B147" s="82" t="s">
        <v>1767</v>
      </c>
      <c r="C147" s="82" t="s">
        <v>1759</v>
      </c>
      <c r="D147" s="82" t="s">
        <v>1853</v>
      </c>
      <c r="E147" s="82" t="s">
        <v>192</v>
      </c>
      <c r="F147" s="82" t="s">
        <v>1758</v>
      </c>
      <c r="G147" s="82" t="s">
        <v>1661</v>
      </c>
    </row>
    <row r="148" ht="14.25" customHeight="1">
      <c r="A148" s="82" t="s">
        <v>1849</v>
      </c>
      <c r="B148" s="82" t="s">
        <v>1767</v>
      </c>
      <c r="C148" s="82" t="s">
        <v>1759</v>
      </c>
      <c r="D148" s="82" t="s">
        <v>1855</v>
      </c>
      <c r="E148" s="82" t="s">
        <v>1854</v>
      </c>
      <c r="F148" s="82" t="s">
        <v>1758</v>
      </c>
      <c r="G148" s="82" t="s">
        <v>1655</v>
      </c>
    </row>
    <row r="149" ht="14.25" customHeight="1">
      <c r="A149" s="82" t="s">
        <v>1849</v>
      </c>
      <c r="B149" s="82" t="s">
        <v>1767</v>
      </c>
      <c r="C149" s="82" t="s">
        <v>1759</v>
      </c>
      <c r="D149" s="82" t="s">
        <v>430</v>
      </c>
      <c r="E149" s="82" t="s">
        <v>1856</v>
      </c>
      <c r="F149" s="82" t="s">
        <v>1758</v>
      </c>
      <c r="G149" s="82" t="s">
        <v>1653</v>
      </c>
    </row>
    <row r="150" ht="14.25" customHeight="1">
      <c r="A150" s="82" t="s">
        <v>1849</v>
      </c>
      <c r="B150" s="82" t="s">
        <v>1767</v>
      </c>
      <c r="C150" s="82" t="s">
        <v>1759</v>
      </c>
      <c r="D150" s="82" t="s">
        <v>120</v>
      </c>
      <c r="E150" s="82" t="s">
        <v>1857</v>
      </c>
      <c r="F150" s="82" t="s">
        <v>1758</v>
      </c>
      <c r="G150" s="82" t="s">
        <v>1656</v>
      </c>
    </row>
    <row r="151" ht="14.25" customHeight="1">
      <c r="A151" s="82" t="s">
        <v>1849</v>
      </c>
      <c r="B151" s="82" t="s">
        <v>1767</v>
      </c>
      <c r="C151" s="82" t="s">
        <v>1759</v>
      </c>
      <c r="D151" s="82" t="s">
        <v>1859</v>
      </c>
      <c r="E151" s="82" t="s">
        <v>1858</v>
      </c>
      <c r="F151" s="82" t="s">
        <v>1758</v>
      </c>
      <c r="G151" s="82" t="s">
        <v>1919</v>
      </c>
    </row>
    <row r="152" ht="14.25" customHeight="1">
      <c r="A152" s="82" t="s">
        <v>1849</v>
      </c>
      <c r="B152" s="82" t="s">
        <v>1767</v>
      </c>
      <c r="C152" s="82" t="s">
        <v>1759</v>
      </c>
      <c r="D152" s="82" t="s">
        <v>1860</v>
      </c>
      <c r="E152" s="82" t="s">
        <v>287</v>
      </c>
      <c r="F152" s="82" t="s">
        <v>1758</v>
      </c>
      <c r="G152" s="82" t="s">
        <v>1920</v>
      </c>
    </row>
    <row r="153" ht="14.25" customHeight="1">
      <c r="A153" s="82" t="s">
        <v>1849</v>
      </c>
      <c r="B153" s="82" t="s">
        <v>1767</v>
      </c>
      <c r="C153" s="82" t="s">
        <v>1759</v>
      </c>
      <c r="D153" s="82" t="s">
        <v>1862</v>
      </c>
      <c r="E153" s="82" t="s">
        <v>1861</v>
      </c>
      <c r="F153" s="82" t="s">
        <v>1758</v>
      </c>
      <c r="G153" s="82" t="s">
        <v>1921</v>
      </c>
    </row>
    <row r="154" ht="14.25" customHeight="1">
      <c r="A154" s="82" t="s">
        <v>1469</v>
      </c>
      <c r="B154" s="82" t="s">
        <v>1767</v>
      </c>
      <c r="C154" s="82" t="s">
        <v>1759</v>
      </c>
      <c r="D154" s="82" t="s">
        <v>1864</v>
      </c>
      <c r="E154" s="82" t="s">
        <v>1863</v>
      </c>
      <c r="F154" s="82" t="s">
        <v>1758</v>
      </c>
      <c r="G154" s="82" t="s">
        <v>1726</v>
      </c>
    </row>
    <row r="155" ht="14.25" customHeight="1">
      <c r="A155" s="82" t="s">
        <v>1469</v>
      </c>
      <c r="B155" s="82" t="s">
        <v>1767</v>
      </c>
      <c r="C155" s="82" t="s">
        <v>1759</v>
      </c>
      <c r="D155" s="82" t="s">
        <v>1866</v>
      </c>
      <c r="E155" s="82" t="s">
        <v>1865</v>
      </c>
      <c r="F155" s="82" t="s">
        <v>1758</v>
      </c>
      <c r="G155" s="82" t="s">
        <v>1727</v>
      </c>
    </row>
    <row r="156" ht="14.25" customHeight="1">
      <c r="A156" s="82" t="s">
        <v>1469</v>
      </c>
      <c r="B156" s="82" t="s">
        <v>1767</v>
      </c>
      <c r="C156" s="82" t="s">
        <v>1759</v>
      </c>
      <c r="D156" s="82" t="s">
        <v>1868</v>
      </c>
      <c r="E156" s="82" t="s">
        <v>1867</v>
      </c>
      <c r="F156" s="82" t="s">
        <v>1758</v>
      </c>
      <c r="G156" s="82" t="s">
        <v>1540</v>
      </c>
    </row>
    <row r="157" ht="14.25" customHeight="1">
      <c r="A157" s="82" t="s">
        <v>1469</v>
      </c>
      <c r="B157" s="82" t="s">
        <v>1767</v>
      </c>
      <c r="C157" s="82" t="s">
        <v>1759</v>
      </c>
      <c r="D157" s="82" t="s">
        <v>1870</v>
      </c>
      <c r="E157" s="82" t="s">
        <v>1869</v>
      </c>
      <c r="F157" s="82" t="s">
        <v>1758</v>
      </c>
      <c r="G157" s="82" t="s">
        <v>1721</v>
      </c>
    </row>
    <row r="158" ht="14.25" customHeight="1">
      <c r="A158" s="82" t="s">
        <v>1469</v>
      </c>
      <c r="B158" s="82" t="s">
        <v>1767</v>
      </c>
      <c r="C158" s="82" t="s">
        <v>1759</v>
      </c>
      <c r="D158" s="82" t="s">
        <v>1872</v>
      </c>
      <c r="E158" s="82" t="s">
        <v>1871</v>
      </c>
      <c r="F158" s="82" t="s">
        <v>1758</v>
      </c>
      <c r="G158" s="82" t="s">
        <v>1567</v>
      </c>
    </row>
    <row r="159" ht="14.25" customHeight="1">
      <c r="A159" s="82" t="s">
        <v>1469</v>
      </c>
      <c r="B159" s="82" t="s">
        <v>1767</v>
      </c>
      <c r="C159" s="82" t="s">
        <v>1759</v>
      </c>
      <c r="D159" s="82" t="s">
        <v>1874</v>
      </c>
      <c r="E159" s="82" t="s">
        <v>1873</v>
      </c>
      <c r="F159" s="82" t="s">
        <v>1758</v>
      </c>
      <c r="G159" s="82" t="s">
        <v>1563</v>
      </c>
    </row>
    <row r="160" ht="14.25" customHeight="1">
      <c r="A160" s="82" t="s">
        <v>1875</v>
      </c>
      <c r="B160" s="82" t="s">
        <v>1767</v>
      </c>
      <c r="C160" s="82" t="s">
        <v>1759</v>
      </c>
      <c r="D160" s="82" t="s">
        <v>561</v>
      </c>
      <c r="E160" s="82" t="s">
        <v>629</v>
      </c>
      <c r="F160" s="82" t="s">
        <v>1758</v>
      </c>
      <c r="G160" s="82" t="s">
        <v>1599</v>
      </c>
    </row>
    <row r="161" ht="14.25" customHeight="1">
      <c r="A161" s="82" t="s">
        <v>1876</v>
      </c>
      <c r="B161" s="82" t="s">
        <v>1767</v>
      </c>
      <c r="C161" s="82" t="s">
        <v>1759</v>
      </c>
      <c r="D161" s="82" t="s">
        <v>1878</v>
      </c>
      <c r="E161" s="82" t="s">
        <v>1877</v>
      </c>
      <c r="F161" s="82" t="s">
        <v>1758</v>
      </c>
      <c r="G161" s="82" t="s">
        <v>1922</v>
      </c>
    </row>
    <row r="162" ht="14.25" customHeight="1">
      <c r="A162" s="82" t="s">
        <v>1467</v>
      </c>
      <c r="B162" s="82" t="s">
        <v>1769</v>
      </c>
      <c r="C162" s="82" t="s">
        <v>1759</v>
      </c>
      <c r="D162" s="82" t="s">
        <v>1881</v>
      </c>
      <c r="E162" s="82" t="s">
        <v>1880</v>
      </c>
      <c r="F162" s="82" t="s">
        <v>1758</v>
      </c>
      <c r="G162" s="82" t="s">
        <v>1731</v>
      </c>
    </row>
    <row r="163" ht="14.25" customHeight="1">
      <c r="A163" s="82" t="s">
        <v>1467</v>
      </c>
      <c r="B163" s="82" t="s">
        <v>1769</v>
      </c>
      <c r="C163" s="82" t="s">
        <v>1759</v>
      </c>
      <c r="D163" s="82" t="s">
        <v>1883</v>
      </c>
      <c r="E163" s="82" t="s">
        <v>1882</v>
      </c>
      <c r="F163" s="82" t="s">
        <v>1758</v>
      </c>
      <c r="G163" s="82" t="s">
        <v>1676</v>
      </c>
    </row>
    <row r="164" ht="14.25" customHeight="1">
      <c r="A164" s="82" t="s">
        <v>1467</v>
      </c>
      <c r="B164" s="82" t="s">
        <v>1769</v>
      </c>
      <c r="C164" s="82" t="s">
        <v>1759</v>
      </c>
      <c r="D164" s="82" t="s">
        <v>1885</v>
      </c>
      <c r="E164" s="82" t="s">
        <v>1884</v>
      </c>
      <c r="F164" s="82" t="s">
        <v>1758</v>
      </c>
      <c r="G164" s="82" t="s">
        <v>1709</v>
      </c>
    </row>
    <row r="165" ht="14.25" customHeight="1">
      <c r="A165" s="82" t="s">
        <v>1467</v>
      </c>
      <c r="B165" s="82" t="s">
        <v>1769</v>
      </c>
      <c r="C165" s="82" t="s">
        <v>1759</v>
      </c>
      <c r="D165" s="82" t="s">
        <v>1887</v>
      </c>
      <c r="E165" s="82" t="s">
        <v>1886</v>
      </c>
      <c r="F165" s="82" t="s">
        <v>1758</v>
      </c>
      <c r="G165" s="82" t="s">
        <v>1745</v>
      </c>
    </row>
    <row r="166" ht="14.25" customHeight="1">
      <c r="A166" s="82" t="s">
        <v>1467</v>
      </c>
      <c r="B166" s="82" t="s">
        <v>1773</v>
      </c>
      <c r="C166" s="82" t="s">
        <v>1759</v>
      </c>
      <c r="D166" s="82" t="s">
        <v>1888</v>
      </c>
      <c r="E166" s="82" t="s">
        <v>881</v>
      </c>
      <c r="F166" s="82" t="s">
        <v>1758</v>
      </c>
      <c r="G166" s="82" t="s">
        <v>1708</v>
      </c>
    </row>
    <row r="167" ht="14.25" customHeight="1">
      <c r="A167" s="82" t="s">
        <v>1467</v>
      </c>
      <c r="B167" s="82" t="s">
        <v>1773</v>
      </c>
      <c r="C167" s="82" t="s">
        <v>1759</v>
      </c>
      <c r="D167" s="82" t="s">
        <v>917</v>
      </c>
      <c r="E167" s="82" t="s">
        <v>1889</v>
      </c>
      <c r="F167" s="82" t="s">
        <v>1758</v>
      </c>
      <c r="G167" s="82" t="s">
        <v>1730</v>
      </c>
    </row>
    <row r="168" ht="14.25" customHeight="1">
      <c r="A168" s="82" t="s">
        <v>1476</v>
      </c>
      <c r="B168" s="82" t="s">
        <v>1773</v>
      </c>
      <c r="C168" s="82" t="s">
        <v>1759</v>
      </c>
      <c r="D168" s="82" t="s">
        <v>1891</v>
      </c>
      <c r="E168" s="82" t="s">
        <v>1890</v>
      </c>
      <c r="F168" s="82" t="s">
        <v>1758</v>
      </c>
      <c r="G168" s="82" t="s">
        <v>1671</v>
      </c>
    </row>
    <row r="169" ht="14.25" customHeight="1">
      <c r="A169" s="82" t="s">
        <v>1476</v>
      </c>
      <c r="B169" s="82" t="s">
        <v>1773</v>
      </c>
      <c r="C169" s="82" t="s">
        <v>1759</v>
      </c>
      <c r="D169" s="82" t="s">
        <v>1893</v>
      </c>
      <c r="E169" s="82" t="s">
        <v>1892</v>
      </c>
      <c r="F169" s="82" t="s">
        <v>1758</v>
      </c>
      <c r="G169" s="82" t="s">
        <v>1705</v>
      </c>
    </row>
    <row r="170" ht="14.25" customHeight="1">
      <c r="A170" s="82" t="s">
        <v>1476</v>
      </c>
      <c r="B170" s="82" t="s">
        <v>1773</v>
      </c>
      <c r="C170" s="82" t="s">
        <v>1759</v>
      </c>
      <c r="D170" s="82" t="s">
        <v>1894</v>
      </c>
      <c r="E170" s="82" t="s">
        <v>885</v>
      </c>
      <c r="F170" s="82" t="s">
        <v>1758</v>
      </c>
      <c r="G170" s="82" t="s">
        <v>1673</v>
      </c>
    </row>
    <row r="171" ht="14.25" customHeight="1">
      <c r="A171" s="82" t="s">
        <v>1467</v>
      </c>
      <c r="B171" s="82" t="s">
        <v>1773</v>
      </c>
      <c r="C171" s="82" t="s">
        <v>1759</v>
      </c>
      <c r="D171" s="82" t="s">
        <v>1888</v>
      </c>
      <c r="E171" s="82" t="s">
        <v>881</v>
      </c>
      <c r="F171" s="82" t="s">
        <v>1758</v>
      </c>
      <c r="G171" s="82" t="s">
        <v>1708</v>
      </c>
    </row>
    <row r="172" ht="14.25" customHeight="1">
      <c r="A172" s="82" t="s">
        <v>1472</v>
      </c>
      <c r="B172" s="82" t="s">
        <v>1773</v>
      </c>
      <c r="C172" s="82" t="s">
        <v>1759</v>
      </c>
      <c r="D172" s="82" t="s">
        <v>917</v>
      </c>
      <c r="E172" s="82" t="s">
        <v>1889</v>
      </c>
      <c r="F172" s="82" t="s">
        <v>1758</v>
      </c>
      <c r="G172" s="82" t="s">
        <v>1730</v>
      </c>
    </row>
    <row r="173" ht="14.25" customHeight="1">
      <c r="A173" s="82" t="s">
        <v>1800</v>
      </c>
      <c r="B173" s="82" t="s">
        <v>1773</v>
      </c>
      <c r="C173" s="82" t="s">
        <v>1759</v>
      </c>
      <c r="D173" s="82" t="s">
        <v>679</v>
      </c>
      <c r="E173" s="82" t="s">
        <v>1895</v>
      </c>
      <c r="F173" s="82" t="s">
        <v>1758</v>
      </c>
      <c r="G173" s="82" t="s">
        <v>1672</v>
      </c>
    </row>
    <row r="174" ht="14.25" customHeight="1">
      <c r="A174" s="82" t="s">
        <v>1800</v>
      </c>
      <c r="B174" s="82" t="s">
        <v>1773</v>
      </c>
      <c r="C174" s="82" t="s">
        <v>1759</v>
      </c>
      <c r="D174" s="82" t="s">
        <v>143</v>
      </c>
      <c r="E174" s="82" t="s">
        <v>266</v>
      </c>
      <c r="F174" s="82" t="s">
        <v>1758</v>
      </c>
      <c r="G174" s="82" t="s">
        <v>1704</v>
      </c>
    </row>
    <row r="175" ht="14.25" customHeight="1">
      <c r="A175" s="82" t="s">
        <v>1803</v>
      </c>
      <c r="B175" s="82" t="s">
        <v>1773</v>
      </c>
      <c r="C175" s="82" t="s">
        <v>1759</v>
      </c>
      <c r="D175" s="82" t="s">
        <v>176</v>
      </c>
      <c r="E175" s="82" t="s">
        <v>204</v>
      </c>
      <c r="F175" s="82" t="s">
        <v>1758</v>
      </c>
      <c r="G175" s="82" t="s">
        <v>1659</v>
      </c>
    </row>
    <row r="176" ht="14.25" customHeight="1">
      <c r="A176" s="82" t="s">
        <v>1803</v>
      </c>
      <c r="B176" s="82" t="s">
        <v>1773</v>
      </c>
      <c r="C176" s="82" t="s">
        <v>1759</v>
      </c>
      <c r="D176" s="82" t="s">
        <v>482</v>
      </c>
      <c r="E176" s="82" t="s">
        <v>850</v>
      </c>
      <c r="F176" s="82" t="s">
        <v>1758</v>
      </c>
      <c r="G176" s="82" t="s">
        <v>1664</v>
      </c>
    </row>
    <row r="177" ht="14.25" customHeight="1">
      <c r="A177" s="82" t="s">
        <v>1803</v>
      </c>
      <c r="B177" s="82" t="s">
        <v>1773</v>
      </c>
      <c r="C177" s="82" t="s">
        <v>1759</v>
      </c>
      <c r="D177" s="82" t="s">
        <v>1896</v>
      </c>
      <c r="E177" s="82" t="s">
        <v>151</v>
      </c>
      <c r="F177" s="82" t="s">
        <v>1758</v>
      </c>
      <c r="G177" s="82" t="s">
        <v>1665</v>
      </c>
    </row>
    <row r="178" ht="14.25" customHeight="1">
      <c r="A178" s="82" t="s">
        <v>1472</v>
      </c>
      <c r="B178" s="82" t="s">
        <v>1771</v>
      </c>
      <c r="C178" s="82" t="s">
        <v>1759</v>
      </c>
      <c r="D178" s="82" t="s">
        <v>1898</v>
      </c>
      <c r="E178" s="82" t="s">
        <v>1897</v>
      </c>
      <c r="F178" s="82" t="s">
        <v>1758</v>
      </c>
      <c r="G178" s="82" t="s">
        <v>1706</v>
      </c>
    </row>
    <row r="179" ht="14.25" customHeight="1">
      <c r="A179" s="82" t="s">
        <v>1472</v>
      </c>
      <c r="B179" s="82" t="s">
        <v>1771</v>
      </c>
      <c r="C179" s="82" t="s">
        <v>1759</v>
      </c>
      <c r="D179" s="82" t="s">
        <v>1900</v>
      </c>
      <c r="E179" s="82" t="s">
        <v>1899</v>
      </c>
      <c r="F179" s="82" t="s">
        <v>1758</v>
      </c>
      <c r="G179" s="82" t="s">
        <v>1707</v>
      </c>
    </row>
    <row r="180" ht="14.25" customHeight="1">
      <c r="A180" s="82" t="s">
        <v>1472</v>
      </c>
      <c r="B180" s="82" t="s">
        <v>1771</v>
      </c>
      <c r="C180" s="82" t="s">
        <v>1759</v>
      </c>
      <c r="D180" s="82" t="s">
        <v>1902</v>
      </c>
      <c r="E180" s="82" t="s">
        <v>1901</v>
      </c>
      <c r="F180" s="82" t="s">
        <v>1758</v>
      </c>
      <c r="G180" s="82" t="s">
        <v>1649</v>
      </c>
    </row>
    <row r="181" ht="14.25" customHeight="1">
      <c r="A181" s="82" t="s">
        <v>1472</v>
      </c>
      <c r="B181" s="82" t="s">
        <v>1771</v>
      </c>
      <c r="C181" s="82" t="s">
        <v>1759</v>
      </c>
      <c r="D181" s="82" t="s">
        <v>1904</v>
      </c>
      <c r="E181" s="82" t="s">
        <v>1903</v>
      </c>
      <c r="F181" s="82" t="s">
        <v>1758</v>
      </c>
      <c r="G181" s="82" t="s">
        <v>1904</v>
      </c>
    </row>
    <row r="182" ht="14.25" customHeight="1">
      <c r="A182" s="82" t="s">
        <v>1472</v>
      </c>
      <c r="B182" s="82" t="s">
        <v>1771</v>
      </c>
      <c r="C182" s="82" t="s">
        <v>1759</v>
      </c>
      <c r="D182" s="82" t="s">
        <v>1904</v>
      </c>
      <c r="E182" s="82" t="s">
        <v>1905</v>
      </c>
      <c r="F182" s="82" t="s">
        <v>1758</v>
      </c>
      <c r="G182" s="82" t="s">
        <v>1904</v>
      </c>
    </row>
    <row r="183" ht="14.25" customHeight="1">
      <c r="A183" s="82" t="s">
        <v>1472</v>
      </c>
      <c r="B183" s="82" t="s">
        <v>1771</v>
      </c>
      <c r="C183" s="82" t="s">
        <v>1759</v>
      </c>
      <c r="D183" s="82" t="s">
        <v>1904</v>
      </c>
      <c r="E183" s="82" t="s">
        <v>1906</v>
      </c>
      <c r="F183" s="82" t="s">
        <v>1758</v>
      </c>
      <c r="G183" s="82" t="s">
        <v>1904</v>
      </c>
    </row>
    <row r="184" ht="14.25" customHeight="1">
      <c r="A184" s="82" t="s">
        <v>1472</v>
      </c>
      <c r="B184" s="82" t="s">
        <v>1771</v>
      </c>
      <c r="C184" s="82" t="s">
        <v>1759</v>
      </c>
      <c r="D184" s="82" t="s">
        <v>1904</v>
      </c>
      <c r="E184" s="82" t="s">
        <v>1907</v>
      </c>
      <c r="F184" s="82" t="s">
        <v>1758</v>
      </c>
      <c r="G184" s="82" t="s">
        <v>1904</v>
      </c>
    </row>
    <row r="185" ht="14.25" customHeight="1">
      <c r="A185" s="82" t="s">
        <v>1472</v>
      </c>
      <c r="B185" s="82" t="s">
        <v>1771</v>
      </c>
      <c r="C185" s="82" t="s">
        <v>1759</v>
      </c>
      <c r="D185" s="82" t="s">
        <v>1904</v>
      </c>
      <c r="E185" s="82" t="s">
        <v>1899</v>
      </c>
      <c r="F185" s="82" t="s">
        <v>1758</v>
      </c>
      <c r="G185" s="82" t="s">
        <v>1904</v>
      </c>
    </row>
    <row r="186" ht="14.25" customHeight="1">
      <c r="A186" s="82" t="s">
        <v>1472</v>
      </c>
      <c r="B186" s="82" t="s">
        <v>1771</v>
      </c>
      <c r="C186" s="82" t="s">
        <v>1759</v>
      </c>
      <c r="D186" s="82" t="s">
        <v>1904</v>
      </c>
      <c r="E186" s="82" t="s">
        <v>1433</v>
      </c>
      <c r="F186" s="82" t="s">
        <v>1758</v>
      </c>
      <c r="G186" s="82" t="s">
        <v>1904</v>
      </c>
    </row>
    <row r="187" ht="14.25" customHeight="1">
      <c r="A187" s="82" t="s">
        <v>1472</v>
      </c>
      <c r="B187" s="82" t="s">
        <v>1771</v>
      </c>
      <c r="C187" s="82" t="s">
        <v>1759</v>
      </c>
      <c r="D187" s="82" t="s">
        <v>1904</v>
      </c>
      <c r="E187" s="82" t="s">
        <v>1905</v>
      </c>
      <c r="F187" s="82" t="s">
        <v>1758</v>
      </c>
      <c r="G187" s="82" t="s">
        <v>1904</v>
      </c>
    </row>
    <row r="188" ht="14.25" customHeight="1">
      <c r="A188" s="82" t="s">
        <v>1472</v>
      </c>
      <c r="B188" s="82" t="s">
        <v>1771</v>
      </c>
      <c r="C188" s="82" t="s">
        <v>1759</v>
      </c>
      <c r="D188" s="82" t="s">
        <v>1904</v>
      </c>
      <c r="E188" s="82" t="s">
        <v>1908</v>
      </c>
      <c r="F188" s="82" t="s">
        <v>1758</v>
      </c>
      <c r="G188" s="82" t="s">
        <v>1904</v>
      </c>
    </row>
    <row r="189" ht="14.25" customHeight="1">
      <c r="A189" s="82" t="s">
        <v>1472</v>
      </c>
      <c r="B189" s="82" t="s">
        <v>1771</v>
      </c>
      <c r="C189" s="82" t="s">
        <v>1759</v>
      </c>
      <c r="D189" s="82" t="s">
        <v>1904</v>
      </c>
      <c r="E189" s="82" t="s">
        <v>1909</v>
      </c>
      <c r="F189" s="82" t="s">
        <v>1758</v>
      </c>
      <c r="G189" s="82" t="s">
        <v>1904</v>
      </c>
    </row>
    <row r="190" ht="14.25" customHeight="1">
      <c r="A190" s="82" t="s">
        <v>1472</v>
      </c>
      <c r="B190" s="82" t="s">
        <v>1771</v>
      </c>
      <c r="C190" s="82" t="s">
        <v>1759</v>
      </c>
      <c r="D190" s="82" t="s">
        <v>1904</v>
      </c>
      <c r="E190" s="82" t="s">
        <v>1911</v>
      </c>
      <c r="F190" s="82" t="s">
        <v>1758</v>
      </c>
      <c r="G190" s="82" t="s">
        <v>1904</v>
      </c>
    </row>
    <row r="191" ht="14.25" customHeight="1">
      <c r="A191" s="82" t="s">
        <v>1803</v>
      </c>
      <c r="B191" s="82" t="s">
        <v>1771</v>
      </c>
      <c r="C191" s="82" t="s">
        <v>1759</v>
      </c>
      <c r="D191" s="82" t="s">
        <v>1904</v>
      </c>
      <c r="E191" s="82" t="s">
        <v>1912</v>
      </c>
      <c r="F191" s="82" t="s">
        <v>1758</v>
      </c>
      <c r="G191" s="82" t="s">
        <v>1904</v>
      </c>
    </row>
    <row r="192" ht="14.25" customHeight="1">
      <c r="A192" s="82" t="s">
        <v>1914</v>
      </c>
      <c r="B192" s="82" t="s">
        <v>1771</v>
      </c>
      <c r="C192" s="82" t="s">
        <v>1759</v>
      </c>
      <c r="D192" s="82" t="s">
        <v>1904</v>
      </c>
      <c r="E192" s="82" t="s">
        <v>1915</v>
      </c>
      <c r="F192" s="82" t="s">
        <v>1758</v>
      </c>
      <c r="G192" s="82" t="s">
        <v>1904</v>
      </c>
    </row>
    <row r="193" ht="14.25" customHeight="1">
      <c r="A193" s="82" t="s">
        <v>1914</v>
      </c>
      <c r="B193" s="82" t="s">
        <v>1771</v>
      </c>
      <c r="C193" s="82" t="s">
        <v>1759</v>
      </c>
      <c r="D193" s="82" t="s">
        <v>1904</v>
      </c>
      <c r="E193" s="82" t="s">
        <v>1916</v>
      </c>
      <c r="F193" s="82" t="s">
        <v>1758</v>
      </c>
      <c r="G193" s="82" t="s">
        <v>1904</v>
      </c>
    </row>
    <row r="194" ht="14.25" customHeight="1">
      <c r="A194" s="82" t="s">
        <v>1475</v>
      </c>
      <c r="B194" s="82" t="s">
        <v>1767</v>
      </c>
      <c r="C194" s="82" t="s">
        <v>1758</v>
      </c>
      <c r="D194" s="82" t="s">
        <v>1923</v>
      </c>
      <c r="E194" s="82" t="s">
        <v>1924</v>
      </c>
      <c r="F194" s="82" t="s">
        <v>1759</v>
      </c>
      <c r="G194" s="82" t="s">
        <v>1608</v>
      </c>
    </row>
    <row r="195" ht="14.25" customHeight="1">
      <c r="A195" s="82" t="s">
        <v>1475</v>
      </c>
      <c r="B195" s="82" t="s">
        <v>1767</v>
      </c>
      <c r="C195" s="82" t="s">
        <v>1759</v>
      </c>
      <c r="D195" s="82" t="s">
        <v>1924</v>
      </c>
      <c r="E195" s="82" t="s">
        <v>1923</v>
      </c>
      <c r="F195" s="82" t="s">
        <v>1758</v>
      </c>
      <c r="G195" s="82" t="s">
        <v>1610</v>
      </c>
    </row>
    <row r="196" ht="14.25" customHeight="1">
      <c r="A196" s="82" t="s">
        <v>1475</v>
      </c>
      <c r="B196" s="82" t="s">
        <v>1767</v>
      </c>
      <c r="C196" s="82" t="s">
        <v>1759</v>
      </c>
      <c r="D196" s="82" t="s">
        <v>1925</v>
      </c>
      <c r="E196" s="82" t="s">
        <v>1841</v>
      </c>
      <c r="F196" s="82" t="s">
        <v>1758</v>
      </c>
      <c r="G196" s="82" t="s">
        <v>1689</v>
      </c>
    </row>
    <row r="197" ht="14.25" customHeight="1">
      <c r="A197" s="82" t="s">
        <v>1926</v>
      </c>
      <c r="B197" s="82" t="s">
        <v>1926</v>
      </c>
      <c r="C197" s="82" t="s">
        <v>1926</v>
      </c>
      <c r="D197" s="82" t="s">
        <v>1927</v>
      </c>
      <c r="E197" s="82" t="s">
        <v>1926</v>
      </c>
      <c r="F197" s="82" t="s">
        <v>1926</v>
      </c>
      <c r="G197" s="82" t="s">
        <v>1928</v>
      </c>
    </row>
    <row r="198" ht="14.25" customHeight="1">
      <c r="A198" s="82" t="s">
        <v>1476</v>
      </c>
      <c r="B198" s="82" t="s">
        <v>1926</v>
      </c>
      <c r="C198" s="82" t="s">
        <v>1926</v>
      </c>
      <c r="D198" s="82" t="s">
        <v>1929</v>
      </c>
      <c r="E198" s="82" t="s">
        <v>1926</v>
      </c>
      <c r="F198" s="82" t="s">
        <v>1926</v>
      </c>
      <c r="G198" s="82" t="s">
        <v>1514</v>
      </c>
    </row>
    <row r="199" ht="14.25" customHeight="1">
      <c r="A199" s="82" t="s">
        <v>1476</v>
      </c>
      <c r="B199" s="82" t="s">
        <v>1926</v>
      </c>
      <c r="C199" s="82" t="s">
        <v>1926</v>
      </c>
      <c r="D199" s="82" t="s">
        <v>1930</v>
      </c>
      <c r="E199" s="82" t="s">
        <v>1926</v>
      </c>
      <c r="F199" s="82" t="s">
        <v>1926</v>
      </c>
      <c r="G199" s="82" t="s">
        <v>1705</v>
      </c>
    </row>
    <row r="200" ht="14.25" customHeight="1">
      <c r="A200" s="82" t="s">
        <v>1926</v>
      </c>
      <c r="B200" s="82" t="s">
        <v>1926</v>
      </c>
      <c r="C200" s="82" t="s">
        <v>1926</v>
      </c>
      <c r="D200" s="82" t="s">
        <v>1931</v>
      </c>
      <c r="E200" s="82" t="s">
        <v>1926</v>
      </c>
      <c r="F200" s="82" t="s">
        <v>1926</v>
      </c>
      <c r="G200" s="82" t="s">
        <v>1752</v>
      </c>
    </row>
    <row r="201" ht="14.25" customHeight="1">
      <c r="A201" s="82" t="s">
        <v>1926</v>
      </c>
      <c r="B201" s="82" t="s">
        <v>1926</v>
      </c>
      <c r="C201" s="82" t="s">
        <v>1926</v>
      </c>
      <c r="D201" s="82" t="s">
        <v>1932</v>
      </c>
      <c r="E201" s="82" t="s">
        <v>1926</v>
      </c>
      <c r="F201" s="82" t="s">
        <v>1926</v>
      </c>
      <c r="G201" s="82" t="s">
        <v>1753</v>
      </c>
    </row>
    <row r="202" ht="14.25" customHeight="1">
      <c r="A202" s="82" t="s">
        <v>1803</v>
      </c>
      <c r="B202" s="82" t="s">
        <v>1926</v>
      </c>
      <c r="C202" s="82" t="s">
        <v>1926</v>
      </c>
      <c r="D202" s="82" t="s">
        <v>1933</v>
      </c>
      <c r="E202" s="82" t="s">
        <v>1926</v>
      </c>
      <c r="F202" s="82" t="s">
        <v>1926</v>
      </c>
      <c r="G202" s="82" t="s">
        <v>1588</v>
      </c>
    </row>
    <row r="203" ht="14.25" customHeight="1">
      <c r="A203" s="82" t="s">
        <v>1803</v>
      </c>
      <c r="B203" s="82" t="s">
        <v>1926</v>
      </c>
      <c r="C203" s="82" t="s">
        <v>1926</v>
      </c>
      <c r="D203" s="82" t="s">
        <v>1934</v>
      </c>
      <c r="E203" s="82" t="s">
        <v>1926</v>
      </c>
      <c r="F203" s="82" t="s">
        <v>1926</v>
      </c>
      <c r="G203" s="82" t="s">
        <v>1659</v>
      </c>
    </row>
    <row r="204" ht="14.25" customHeight="1">
      <c r="A204" s="82" t="s">
        <v>1926</v>
      </c>
      <c r="B204" s="82" t="s">
        <v>1926</v>
      </c>
      <c r="C204" s="82" t="s">
        <v>1926</v>
      </c>
      <c r="D204" s="82" t="s">
        <v>1935</v>
      </c>
      <c r="E204" s="82" t="s">
        <v>1926</v>
      </c>
      <c r="F204" s="82" t="s">
        <v>1926</v>
      </c>
      <c r="G204" s="82" t="s">
        <v>1936</v>
      </c>
    </row>
    <row r="205" ht="14.25" customHeight="1">
      <c r="A205" s="82" t="s">
        <v>1926</v>
      </c>
      <c r="B205" s="82" t="s">
        <v>1926</v>
      </c>
      <c r="C205" s="82" t="s">
        <v>1926</v>
      </c>
      <c r="D205" s="82" t="s">
        <v>1937</v>
      </c>
      <c r="E205" s="82" t="s">
        <v>1926</v>
      </c>
      <c r="F205" s="82" t="s">
        <v>1926</v>
      </c>
      <c r="G205" s="82" t="s">
        <v>1938</v>
      </c>
    </row>
    <row r="206" ht="14.25" customHeight="1">
      <c r="A206" s="82" t="s">
        <v>1926</v>
      </c>
      <c r="B206" s="82" t="s">
        <v>1926</v>
      </c>
      <c r="C206" s="82" t="s">
        <v>1926</v>
      </c>
      <c r="D206" s="82" t="s">
        <v>1939</v>
      </c>
      <c r="E206" s="82" t="s">
        <v>1926</v>
      </c>
      <c r="F206" s="82" t="s">
        <v>1926</v>
      </c>
      <c r="G206" s="82" t="s">
        <v>1529</v>
      </c>
    </row>
    <row r="207" ht="14.25" customHeight="1">
      <c r="A207" s="82" t="s">
        <v>1926</v>
      </c>
      <c r="B207" s="82" t="s">
        <v>1926</v>
      </c>
      <c r="C207" s="82" t="s">
        <v>1926</v>
      </c>
      <c r="D207" s="82" t="s">
        <v>1940</v>
      </c>
      <c r="E207" s="82" t="s">
        <v>1926</v>
      </c>
      <c r="F207" s="82" t="s">
        <v>1926</v>
      </c>
      <c r="G207" s="82" t="s">
        <v>1941</v>
      </c>
    </row>
    <row r="208" ht="14.25" customHeight="1">
      <c r="A208" s="82" t="s">
        <v>1942</v>
      </c>
      <c r="B208" s="82" t="s">
        <v>1926</v>
      </c>
      <c r="C208" s="82" t="s">
        <v>1926</v>
      </c>
      <c r="D208" s="82" t="s">
        <v>1943</v>
      </c>
      <c r="E208" s="82" t="s">
        <v>1926</v>
      </c>
      <c r="F208" s="82" t="s">
        <v>1926</v>
      </c>
      <c r="G208" s="82" t="s">
        <v>1578</v>
      </c>
    </row>
    <row r="209" ht="14.25" customHeight="1">
      <c r="A209" s="82" t="s">
        <v>1942</v>
      </c>
      <c r="B209" s="82" t="s">
        <v>1926</v>
      </c>
      <c r="C209" s="82" t="s">
        <v>1926</v>
      </c>
      <c r="D209" s="82" t="s">
        <v>1944</v>
      </c>
      <c r="E209" s="82" t="s">
        <v>1926</v>
      </c>
      <c r="F209" s="82" t="s">
        <v>1926</v>
      </c>
      <c r="G209" s="82" t="s">
        <v>1542</v>
      </c>
    </row>
    <row r="210" ht="14.25" customHeight="1">
      <c r="A210" s="82" t="s">
        <v>1942</v>
      </c>
      <c r="B210" s="82" t="s">
        <v>1926</v>
      </c>
      <c r="C210" s="82" t="s">
        <v>1926</v>
      </c>
      <c r="D210" s="82" t="s">
        <v>1945</v>
      </c>
      <c r="E210" s="82" t="s">
        <v>1926</v>
      </c>
      <c r="F210" s="82" t="s">
        <v>1926</v>
      </c>
      <c r="G210" s="82" t="s">
        <v>1541</v>
      </c>
    </row>
    <row r="211" ht="14.25" customHeight="1">
      <c r="A211" s="82" t="s">
        <v>1942</v>
      </c>
      <c r="B211" s="82" t="s">
        <v>1767</v>
      </c>
      <c r="D211" s="82" t="s">
        <v>1946</v>
      </c>
      <c r="G211" s="82" t="s">
        <v>1557</v>
      </c>
    </row>
    <row r="212" ht="14.25" customHeight="1">
      <c r="A212" s="82" t="s">
        <v>1926</v>
      </c>
      <c r="B212" s="82" t="s">
        <v>1926</v>
      </c>
      <c r="D212" s="82" t="s">
        <v>1947</v>
      </c>
      <c r="G212" s="82" t="s">
        <v>1646</v>
      </c>
    </row>
    <row r="213" ht="14.25" customHeight="1">
      <c r="A213" s="82" t="s">
        <v>1800</v>
      </c>
      <c r="B213" s="82" t="s">
        <v>1765</v>
      </c>
      <c r="D213" s="82" t="s">
        <v>1948</v>
      </c>
      <c r="G213" s="82" t="s">
        <v>1736</v>
      </c>
    </row>
    <row r="214" ht="14.25" customHeight="1">
      <c r="A214" s="82" t="s">
        <v>1800</v>
      </c>
      <c r="B214" s="82" t="s">
        <v>1765</v>
      </c>
      <c r="D214" s="82" t="s">
        <v>1949</v>
      </c>
      <c r="G214" s="82" t="s">
        <v>1526</v>
      </c>
    </row>
    <row r="215" ht="14.25" customHeight="1">
      <c r="A215" s="82" t="s">
        <v>1472</v>
      </c>
      <c r="B215" s="82" t="s">
        <v>1771</v>
      </c>
      <c r="D215" s="82" t="s">
        <v>1950</v>
      </c>
      <c r="G215" s="82" t="s">
        <v>1536</v>
      </c>
    </row>
    <row r="216" ht="14.25" customHeight="1">
      <c r="A216" s="82" t="s">
        <v>1466</v>
      </c>
      <c r="B216" s="82" t="s">
        <v>1765</v>
      </c>
      <c r="D216" s="82" t="s">
        <v>1951</v>
      </c>
      <c r="G216" s="82" t="s">
        <v>1548</v>
      </c>
    </row>
    <row r="217" ht="14.25" customHeight="1">
      <c r="A217" s="82" t="s">
        <v>1926</v>
      </c>
      <c r="B217" s="82" t="s">
        <v>1926</v>
      </c>
      <c r="D217" s="82" t="s">
        <v>1952</v>
      </c>
      <c r="G217" s="82" t="s">
        <v>1568</v>
      </c>
    </row>
    <row r="218" ht="14.25" customHeight="1">
      <c r="A218" s="82" t="s">
        <v>1472</v>
      </c>
      <c r="B218" s="82" t="s">
        <v>1771</v>
      </c>
      <c r="D218" s="82" t="s">
        <v>1953</v>
      </c>
      <c r="G218" s="82" t="s">
        <v>1535</v>
      </c>
    </row>
    <row r="219" ht="14.25" customHeight="1">
      <c r="A219" s="82" t="s">
        <v>1467</v>
      </c>
      <c r="B219" s="82" t="s">
        <v>1773</v>
      </c>
      <c r="D219" s="82" t="s">
        <v>1954</v>
      </c>
      <c r="G219" s="82" t="s">
        <v>1569</v>
      </c>
    </row>
    <row r="220" ht="14.25" customHeight="1">
      <c r="A220" s="82" t="s">
        <v>1926</v>
      </c>
      <c r="B220" s="82" t="s">
        <v>1926</v>
      </c>
      <c r="D220" s="82" t="s">
        <v>1955</v>
      </c>
      <c r="G220" s="82" t="s">
        <v>1730</v>
      </c>
    </row>
    <row r="221" ht="14.25" customHeight="1">
      <c r="A221" s="82" t="s">
        <v>1466</v>
      </c>
      <c r="B221" s="82" t="s">
        <v>1765</v>
      </c>
      <c r="D221" s="82" t="s">
        <v>1956</v>
      </c>
      <c r="G221" s="82" t="s">
        <v>1547</v>
      </c>
    </row>
    <row r="222" ht="14.25" customHeight="1">
      <c r="A222" s="82" t="s">
        <v>1475</v>
      </c>
      <c r="B222" s="82" t="s">
        <v>1767</v>
      </c>
      <c r="D222" s="82" t="s">
        <v>1957</v>
      </c>
      <c r="G222" s="82" t="s">
        <v>1616</v>
      </c>
    </row>
    <row r="223" ht="14.25" customHeight="1">
      <c r="A223" s="82" t="s">
        <v>1475</v>
      </c>
      <c r="B223" s="82" t="s">
        <v>1767</v>
      </c>
      <c r="D223" s="82" t="s">
        <v>1958</v>
      </c>
      <c r="G223" s="82" t="s">
        <v>1686</v>
      </c>
    </row>
    <row r="224" ht="14.25" customHeight="1">
      <c r="A224" s="82" t="s">
        <v>1466</v>
      </c>
      <c r="B224" s="82" t="s">
        <v>1765</v>
      </c>
      <c r="D224" s="82" t="s">
        <v>1959</v>
      </c>
      <c r="G224" s="82" t="s">
        <v>1698</v>
      </c>
    </row>
    <row r="225" ht="14.25" customHeight="1">
      <c r="A225" s="82" t="s">
        <v>1472</v>
      </c>
      <c r="B225" s="82" t="s">
        <v>1771</v>
      </c>
      <c r="D225" s="82" t="s">
        <v>1960</v>
      </c>
      <c r="G225" s="82" t="s">
        <v>1519</v>
      </c>
    </row>
    <row r="226" ht="14.25" customHeight="1">
      <c r="A226" s="82" t="s">
        <v>1472</v>
      </c>
      <c r="B226" s="82" t="s">
        <v>1771</v>
      </c>
      <c r="D226" s="82" t="s">
        <v>1961</v>
      </c>
      <c r="G226" s="82" t="s">
        <v>1525</v>
      </c>
    </row>
    <row r="227" ht="14.25" customHeight="1">
      <c r="A227" s="82" t="s">
        <v>1472</v>
      </c>
      <c r="B227" s="82" t="s">
        <v>1771</v>
      </c>
      <c r="C227" s="82" t="s">
        <v>1758</v>
      </c>
      <c r="D227" s="82" t="s">
        <v>877</v>
      </c>
      <c r="E227" s="82" t="s">
        <v>1898</v>
      </c>
      <c r="F227" s="82" t="s">
        <v>1759</v>
      </c>
      <c r="G227" s="82" t="s">
        <v>1496</v>
      </c>
    </row>
    <row r="228" ht="14.25" customHeight="1">
      <c r="A228" s="82" t="s">
        <v>1466</v>
      </c>
      <c r="B228" s="82" t="s">
        <v>1765</v>
      </c>
      <c r="D228" s="82" t="s">
        <v>1962</v>
      </c>
      <c r="G228" s="82" t="s">
        <v>1637</v>
      </c>
    </row>
    <row r="229" ht="14.25" customHeight="1">
      <c r="A229" s="82" t="s">
        <v>1466</v>
      </c>
      <c r="B229" s="82" t="s">
        <v>1765</v>
      </c>
      <c r="D229" s="82" t="s">
        <v>1963</v>
      </c>
      <c r="G229" s="82" t="s">
        <v>1675</v>
      </c>
    </row>
    <row r="230" ht="14.25" customHeight="1">
      <c r="A230" s="82" t="s">
        <v>1467</v>
      </c>
      <c r="B230" s="82" t="s">
        <v>1964</v>
      </c>
      <c r="D230" s="82" t="s">
        <v>1965</v>
      </c>
      <c r="G230" s="82" t="s">
        <v>1708</v>
      </c>
    </row>
    <row r="231" ht="14.25" customHeight="1">
      <c r="A231" s="82" t="s">
        <v>1926</v>
      </c>
      <c r="B231" s="82" t="s">
        <v>1926</v>
      </c>
      <c r="D231" s="82" t="s">
        <v>1966</v>
      </c>
      <c r="G231" s="82" t="s">
        <v>1709</v>
      </c>
    </row>
    <row r="232" ht="14.25" customHeight="1">
      <c r="A232" s="82" t="s">
        <v>1926</v>
      </c>
      <c r="B232" s="82" t="s">
        <v>1926</v>
      </c>
      <c r="D232" s="82" t="s">
        <v>1967</v>
      </c>
      <c r="G232" s="82" t="s">
        <v>1500</v>
      </c>
    </row>
    <row r="233" ht="14.25" customHeight="1">
      <c r="A233" s="82" t="s">
        <v>1472</v>
      </c>
      <c r="B233" s="82" t="s">
        <v>1771</v>
      </c>
      <c r="D233" s="82" t="s">
        <v>1968</v>
      </c>
      <c r="G233" s="82" t="s">
        <v>1497</v>
      </c>
    </row>
    <row r="234" ht="14.25" customHeight="1">
      <c r="A234" s="82" t="s">
        <v>1926</v>
      </c>
      <c r="B234" s="82" t="s">
        <v>1926</v>
      </c>
      <c r="D234" s="82" t="s">
        <v>1969</v>
      </c>
      <c r="G234" s="82" t="s">
        <v>1706</v>
      </c>
    </row>
    <row r="235" ht="14.25" customHeight="1">
      <c r="A235" s="82" t="s">
        <v>1472</v>
      </c>
      <c r="B235" s="82" t="s">
        <v>1771</v>
      </c>
      <c r="D235" s="82" t="s">
        <v>1970</v>
      </c>
      <c r="G235" s="82" t="s">
        <v>1707</v>
      </c>
    </row>
    <row r="236" ht="14.25" customHeight="1">
      <c r="A236" s="82" t="s">
        <v>1467</v>
      </c>
      <c r="B236" s="82" t="s">
        <v>1964</v>
      </c>
      <c r="D236" s="82" t="s">
        <v>1971</v>
      </c>
      <c r="G236" s="82" t="s">
        <v>1495</v>
      </c>
    </row>
    <row r="237" ht="14.25" customHeight="1">
      <c r="A237" s="82" t="s">
        <v>1472</v>
      </c>
      <c r="B237" s="82" t="s">
        <v>1771</v>
      </c>
      <c r="D237" s="82" t="s">
        <v>1972</v>
      </c>
      <c r="G237" s="82" t="s">
        <v>1499</v>
      </c>
    </row>
    <row r="238" ht="14.25" customHeight="1">
      <c r="A238" s="82" t="s">
        <v>1472</v>
      </c>
      <c r="B238" s="82" t="s">
        <v>1771</v>
      </c>
      <c r="D238" s="82" t="s">
        <v>1973</v>
      </c>
      <c r="G238" s="82" t="s">
        <v>1496</v>
      </c>
    </row>
    <row r="239" ht="14.25" customHeight="1">
      <c r="A239" s="82" t="s">
        <v>1926</v>
      </c>
      <c r="B239" s="82" t="s">
        <v>1926</v>
      </c>
      <c r="D239" s="82" t="s">
        <v>1974</v>
      </c>
      <c r="G239" s="82" t="s">
        <v>1566</v>
      </c>
    </row>
    <row r="240" ht="14.25" customHeight="1">
      <c r="A240" s="82" t="s">
        <v>1926</v>
      </c>
      <c r="B240" s="82" t="s">
        <v>1926</v>
      </c>
      <c r="D240" s="82" t="s">
        <v>1975</v>
      </c>
      <c r="G240" s="82" t="s">
        <v>1603</v>
      </c>
    </row>
    <row r="241" ht="14.25" customHeight="1">
      <c r="A241" s="82" t="s">
        <v>1926</v>
      </c>
      <c r="B241" s="82" t="s">
        <v>1926</v>
      </c>
      <c r="D241" s="82" t="s">
        <v>1976</v>
      </c>
      <c r="G241" s="82" t="s">
        <v>1604</v>
      </c>
    </row>
    <row r="242" ht="14.25" customHeight="1">
      <c r="A242" s="82" t="s">
        <v>1926</v>
      </c>
      <c r="B242" s="82" t="s">
        <v>1926</v>
      </c>
      <c r="D242" s="82" t="s">
        <v>1977</v>
      </c>
      <c r="G242" s="82" t="s">
        <v>1605</v>
      </c>
    </row>
    <row r="243" ht="14.25" customHeight="1">
      <c r="A243" s="82" t="s">
        <v>1926</v>
      </c>
      <c r="B243" s="82" t="s">
        <v>1926</v>
      </c>
      <c r="D243" s="82" t="s">
        <v>1978</v>
      </c>
      <c r="G243" s="82" t="s">
        <v>1607</v>
      </c>
    </row>
    <row r="244" ht="14.25" customHeight="1">
      <c r="A244" s="82" t="s">
        <v>1926</v>
      </c>
      <c r="B244" s="82" t="s">
        <v>1926</v>
      </c>
      <c r="D244" s="82" t="s">
        <v>1979</v>
      </c>
      <c r="G244" s="82" t="s">
        <v>1749</v>
      </c>
    </row>
    <row r="245" ht="14.25" customHeight="1">
      <c r="A245" s="82" t="s">
        <v>1475</v>
      </c>
      <c r="B245" s="82" t="s">
        <v>1767</v>
      </c>
      <c r="C245" s="82" t="s">
        <v>1758</v>
      </c>
      <c r="D245" s="82" t="s">
        <v>1980</v>
      </c>
      <c r="E245" s="82" t="s">
        <v>1981</v>
      </c>
      <c r="F245" s="82" t="s">
        <v>1759</v>
      </c>
      <c r="G245" s="82" t="s">
        <v>1623</v>
      </c>
    </row>
    <row r="246" ht="14.25" customHeight="1">
      <c r="A246" s="82" t="s">
        <v>1475</v>
      </c>
      <c r="B246" s="82" t="s">
        <v>1767</v>
      </c>
      <c r="C246" s="82" t="s">
        <v>1759</v>
      </c>
      <c r="D246" s="82" t="s">
        <v>1981</v>
      </c>
      <c r="E246" s="82" t="s">
        <v>1980</v>
      </c>
      <c r="F246" s="82" t="s">
        <v>1758</v>
      </c>
      <c r="G246" s="82" t="s">
        <v>1697</v>
      </c>
    </row>
    <row r="247" ht="14.25" customHeight="1">
      <c r="A247" s="82" t="s">
        <v>1803</v>
      </c>
      <c r="B247" s="82" t="s">
        <v>1765</v>
      </c>
      <c r="C247" s="82" t="s">
        <v>1758</v>
      </c>
      <c r="D247" s="82" t="s">
        <v>757</v>
      </c>
      <c r="E247" s="82" t="s">
        <v>494</v>
      </c>
      <c r="F247" s="82" t="s">
        <v>1759</v>
      </c>
      <c r="G247" s="82" t="s">
        <v>1602</v>
      </c>
    </row>
    <row r="248" ht="14.25" customHeight="1">
      <c r="A248" s="82" t="s">
        <v>1803</v>
      </c>
      <c r="B248" s="82" t="s">
        <v>1765</v>
      </c>
      <c r="C248" s="82" t="s">
        <v>1759</v>
      </c>
      <c r="D248" s="82" t="s">
        <v>494</v>
      </c>
      <c r="E248" s="82" t="s">
        <v>757</v>
      </c>
      <c r="F248" s="82" t="s">
        <v>1758</v>
      </c>
      <c r="G248" s="82" t="s">
        <v>1743</v>
      </c>
    </row>
    <row r="249" ht="14.25" customHeight="1">
      <c r="A249" s="82" t="s">
        <v>1803</v>
      </c>
      <c r="B249" s="82" t="s">
        <v>1767</v>
      </c>
      <c r="C249" s="82" t="s">
        <v>1759</v>
      </c>
      <c r="D249" s="82" t="s">
        <v>1982</v>
      </c>
      <c r="E249" s="82" t="s">
        <v>1983</v>
      </c>
      <c r="F249" s="82" t="s">
        <v>1758</v>
      </c>
      <c r="G249" s="82" t="s">
        <v>1984</v>
      </c>
    </row>
    <row r="250" ht="14.25" customHeight="1">
      <c r="A250" s="82" t="s">
        <v>1803</v>
      </c>
      <c r="B250" s="82" t="s">
        <v>1767</v>
      </c>
      <c r="C250" s="82" t="s">
        <v>1758</v>
      </c>
      <c r="D250" s="82" t="s">
        <v>1983</v>
      </c>
      <c r="E250" s="82" t="s">
        <v>1982</v>
      </c>
      <c r="F250" s="82" t="s">
        <v>1759</v>
      </c>
      <c r="G250" s="82" t="s">
        <v>1985</v>
      </c>
    </row>
    <row r="251" ht="14.25" customHeight="1">
      <c r="A251" s="82" t="s">
        <v>1469</v>
      </c>
      <c r="B251" s="82" t="s">
        <v>1767</v>
      </c>
      <c r="C251" s="82" t="s">
        <v>1759</v>
      </c>
      <c r="D251" s="82" t="s">
        <v>1986</v>
      </c>
      <c r="F251" s="82" t="s">
        <v>1758</v>
      </c>
      <c r="G251" s="134" t="s">
        <v>1540</v>
      </c>
    </row>
    <row r="252" ht="14.25" customHeight="1">
      <c r="A252" s="82" t="s">
        <v>1472</v>
      </c>
      <c r="B252" s="82" t="s">
        <v>1771</v>
      </c>
      <c r="C252" s="82" t="s">
        <v>1759</v>
      </c>
      <c r="D252" s="82" t="s">
        <v>1987</v>
      </c>
      <c r="E252" s="82" t="s">
        <v>1897</v>
      </c>
      <c r="F252" s="82" t="s">
        <v>1758</v>
      </c>
      <c r="G252" s="82" t="s">
        <v>1706</v>
      </c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8" t="s">
        <v>1463</v>
      </c>
      <c r="B1" s="78" t="s">
        <v>1757</v>
      </c>
      <c r="C1" s="78" t="s">
        <v>1774</v>
      </c>
      <c r="D1" s="78" t="s">
        <v>1775</v>
      </c>
      <c r="E1" s="78" t="s">
        <v>1776</v>
      </c>
      <c r="F1" s="78" t="s">
        <v>1777</v>
      </c>
      <c r="G1" s="82" t="s">
        <v>1778</v>
      </c>
    </row>
    <row r="2" ht="14.25" customHeight="1">
      <c r="A2" s="82" t="s">
        <v>1466</v>
      </c>
      <c r="B2" s="82" t="s">
        <v>1763</v>
      </c>
      <c r="C2" s="82" t="s">
        <v>1758</v>
      </c>
      <c r="D2" s="82" t="s">
        <v>1779</v>
      </c>
      <c r="E2" s="82" t="s">
        <v>1780</v>
      </c>
      <c r="F2" s="82" t="s">
        <v>1759</v>
      </c>
      <c r="G2" s="82" t="s">
        <v>1508</v>
      </c>
      <c r="H2" s="131"/>
      <c r="I2" s="131" t="s">
        <v>1781</v>
      </c>
      <c r="J2" s="131" t="s">
        <v>747</v>
      </c>
    </row>
    <row r="3" ht="14.25" customHeight="1">
      <c r="A3" s="82" t="s">
        <v>1466</v>
      </c>
      <c r="B3" s="82" t="s">
        <v>1763</v>
      </c>
      <c r="C3" s="82" t="s">
        <v>1758</v>
      </c>
      <c r="D3" s="82" t="s">
        <v>1782</v>
      </c>
      <c r="E3" s="82" t="s">
        <v>1783</v>
      </c>
      <c r="F3" s="82" t="s">
        <v>1759</v>
      </c>
      <c r="G3" s="82" t="s">
        <v>1737</v>
      </c>
      <c r="H3" s="132" t="s">
        <v>1784</v>
      </c>
      <c r="I3" s="132" t="s">
        <v>1466</v>
      </c>
      <c r="J3" s="132" t="s">
        <v>1476</v>
      </c>
    </row>
    <row r="4" ht="14.25" customHeight="1">
      <c r="A4" s="82" t="s">
        <v>1466</v>
      </c>
      <c r="B4" s="82" t="s">
        <v>1763</v>
      </c>
      <c r="C4" s="82" t="s">
        <v>1758</v>
      </c>
      <c r="D4" s="82" t="s">
        <v>1785</v>
      </c>
      <c r="E4" s="82" t="s">
        <v>1786</v>
      </c>
      <c r="F4" s="82" t="s">
        <v>1759</v>
      </c>
      <c r="G4" s="82" t="s">
        <v>1524</v>
      </c>
      <c r="H4" s="132" t="s">
        <v>1787</v>
      </c>
      <c r="I4" s="133" t="s">
        <v>1788</v>
      </c>
      <c r="J4" s="133"/>
    </row>
    <row r="5" ht="14.25" customHeight="1">
      <c r="A5" s="82" t="s">
        <v>1466</v>
      </c>
      <c r="B5" s="82" t="s">
        <v>1763</v>
      </c>
      <c r="C5" s="82" t="s">
        <v>1758</v>
      </c>
      <c r="D5" s="82" t="s">
        <v>1789</v>
      </c>
      <c r="E5" s="82" t="s">
        <v>1790</v>
      </c>
      <c r="F5" s="82" t="s">
        <v>1759</v>
      </c>
      <c r="G5" s="82" t="s">
        <v>1551</v>
      </c>
      <c r="H5" s="132" t="s">
        <v>1791</v>
      </c>
      <c r="I5" s="133"/>
      <c r="J5" s="133"/>
    </row>
    <row r="6" ht="14.25" customHeight="1">
      <c r="A6" s="82" t="s">
        <v>1466</v>
      </c>
      <c r="B6" s="82" t="s">
        <v>1763</v>
      </c>
      <c r="C6" s="82" t="s">
        <v>1758</v>
      </c>
      <c r="D6" s="82" t="s">
        <v>1792</v>
      </c>
      <c r="E6" s="82" t="s">
        <v>1793</v>
      </c>
      <c r="F6" s="82" t="s">
        <v>1759</v>
      </c>
      <c r="G6" s="82" t="s">
        <v>1502</v>
      </c>
    </row>
    <row r="7" ht="14.25" customHeight="1">
      <c r="A7" s="82" t="s">
        <v>1466</v>
      </c>
      <c r="B7" s="82" t="s">
        <v>1763</v>
      </c>
      <c r="C7" s="82" t="s">
        <v>1758</v>
      </c>
      <c r="D7" s="82" t="s">
        <v>1779</v>
      </c>
      <c r="E7" s="82" t="s">
        <v>1780</v>
      </c>
      <c r="F7" s="82" t="s">
        <v>1759</v>
      </c>
      <c r="G7" s="82" t="s">
        <v>1508</v>
      </c>
    </row>
    <row r="8" ht="14.25" customHeight="1">
      <c r="A8" s="82" t="s">
        <v>1476</v>
      </c>
      <c r="B8" s="82" t="s">
        <v>1763</v>
      </c>
      <c r="C8" s="82" t="s">
        <v>1758</v>
      </c>
      <c r="D8" s="82" t="s">
        <v>944</v>
      </c>
      <c r="E8" s="82" t="s">
        <v>1794</v>
      </c>
      <c r="F8" s="82" t="s">
        <v>1759</v>
      </c>
      <c r="G8" s="82" t="s">
        <v>1555</v>
      </c>
    </row>
    <row r="9" ht="14.25" customHeight="1">
      <c r="A9" s="82" t="s">
        <v>1476</v>
      </c>
      <c r="B9" s="82" t="s">
        <v>1763</v>
      </c>
      <c r="C9" s="82" t="s">
        <v>1758</v>
      </c>
      <c r="D9" s="82" t="s">
        <v>1795</v>
      </c>
      <c r="E9" s="82" t="s">
        <v>1796</v>
      </c>
      <c r="F9" s="82" t="s">
        <v>1759</v>
      </c>
      <c r="G9" s="82" t="s">
        <v>1748</v>
      </c>
    </row>
    <row r="10" ht="14.25" customHeight="1">
      <c r="A10" s="82" t="s">
        <v>1476</v>
      </c>
      <c r="B10" s="82" t="s">
        <v>1763</v>
      </c>
      <c r="C10" s="82" t="s">
        <v>1758</v>
      </c>
      <c r="D10" s="82" t="s">
        <v>1797</v>
      </c>
      <c r="E10" s="82" t="s">
        <v>1798</v>
      </c>
      <c r="F10" s="82" t="s">
        <v>1759</v>
      </c>
      <c r="G10" s="82" t="s">
        <v>1799</v>
      </c>
    </row>
    <row r="11" ht="14.25" customHeight="1">
      <c r="A11" s="82" t="s">
        <v>1800</v>
      </c>
      <c r="B11" s="82" t="s">
        <v>1763</v>
      </c>
      <c r="C11" s="82" t="s">
        <v>1758</v>
      </c>
      <c r="D11" s="82" t="s">
        <v>1277</v>
      </c>
      <c r="E11" s="82" t="s">
        <v>187</v>
      </c>
      <c r="F11" s="82" t="s">
        <v>1759</v>
      </c>
      <c r="G11" s="82" t="s">
        <v>1527</v>
      </c>
    </row>
    <row r="12" ht="14.25" customHeight="1">
      <c r="A12" s="82" t="s">
        <v>1800</v>
      </c>
      <c r="B12" s="82" t="s">
        <v>1763</v>
      </c>
      <c r="C12" s="82" t="s">
        <v>1758</v>
      </c>
      <c r="D12" s="82" t="s">
        <v>1801</v>
      </c>
      <c r="E12" s="82" t="s">
        <v>1802</v>
      </c>
      <c r="F12" s="82" t="s">
        <v>1759</v>
      </c>
      <c r="G12" s="82" t="s">
        <v>1734</v>
      </c>
    </row>
    <row r="13" ht="14.25" customHeight="1">
      <c r="A13" s="82" t="s">
        <v>1803</v>
      </c>
      <c r="B13" s="82" t="s">
        <v>1763</v>
      </c>
      <c r="C13" s="82" t="s">
        <v>1758</v>
      </c>
      <c r="D13" s="82" t="s">
        <v>1804</v>
      </c>
      <c r="E13" s="82" t="s">
        <v>693</v>
      </c>
      <c r="F13" s="82" t="s">
        <v>1759</v>
      </c>
      <c r="G13" s="82" t="s">
        <v>1592</v>
      </c>
    </row>
    <row r="14" ht="14.25" customHeight="1">
      <c r="A14" s="82" t="s">
        <v>1803</v>
      </c>
      <c r="B14" s="82" t="s">
        <v>1763</v>
      </c>
      <c r="C14" s="82" t="s">
        <v>1758</v>
      </c>
      <c r="D14" s="82" t="s">
        <v>158</v>
      </c>
      <c r="E14" s="82" t="s">
        <v>77</v>
      </c>
      <c r="F14" s="82" t="s">
        <v>1759</v>
      </c>
      <c r="G14" s="82" t="s">
        <v>1591</v>
      </c>
    </row>
    <row r="15" ht="14.25" customHeight="1">
      <c r="A15" s="82" t="s">
        <v>1466</v>
      </c>
      <c r="B15" s="82" t="s">
        <v>1765</v>
      </c>
      <c r="C15" s="82" t="s">
        <v>1758</v>
      </c>
      <c r="D15" s="82" t="s">
        <v>1805</v>
      </c>
      <c r="E15" s="82" t="s">
        <v>312</v>
      </c>
      <c r="F15" s="82" t="s">
        <v>1759</v>
      </c>
      <c r="G15" s="82" t="s">
        <v>1548</v>
      </c>
    </row>
    <row r="16" ht="14.25" customHeight="1">
      <c r="A16" s="82" t="s">
        <v>1466</v>
      </c>
      <c r="B16" s="82" t="s">
        <v>1765</v>
      </c>
      <c r="C16" s="82" t="s">
        <v>1758</v>
      </c>
      <c r="D16" s="82" t="s">
        <v>260</v>
      </c>
      <c r="E16" s="82" t="s">
        <v>196</v>
      </c>
      <c r="F16" s="82" t="s">
        <v>1759</v>
      </c>
      <c r="G16" s="82" t="s">
        <v>1547</v>
      </c>
    </row>
    <row r="17" ht="14.25" customHeight="1">
      <c r="A17" s="82" t="s">
        <v>1466</v>
      </c>
      <c r="B17" s="82" t="s">
        <v>1765</v>
      </c>
      <c r="C17" s="82" t="s">
        <v>1758</v>
      </c>
      <c r="D17" s="82" t="s">
        <v>1805</v>
      </c>
      <c r="E17" s="82" t="s">
        <v>312</v>
      </c>
      <c r="F17" s="82" t="s">
        <v>1759</v>
      </c>
      <c r="G17" s="82" t="s">
        <v>1548</v>
      </c>
    </row>
    <row r="18" ht="14.25" customHeight="1">
      <c r="A18" s="82" t="s">
        <v>1466</v>
      </c>
      <c r="B18" s="82" t="s">
        <v>1765</v>
      </c>
      <c r="C18" s="82" t="s">
        <v>1758</v>
      </c>
      <c r="D18" s="82" t="s">
        <v>865</v>
      </c>
      <c r="E18" s="82" t="s">
        <v>1806</v>
      </c>
      <c r="F18" s="82" t="s">
        <v>1759</v>
      </c>
      <c r="G18" s="82" t="s">
        <v>1539</v>
      </c>
    </row>
    <row r="19" ht="14.25" customHeight="1">
      <c r="A19" s="82" t="s">
        <v>1466</v>
      </c>
      <c r="B19" s="82" t="s">
        <v>1765</v>
      </c>
      <c r="C19" s="82" t="s">
        <v>1758</v>
      </c>
      <c r="D19" s="82" t="s">
        <v>1807</v>
      </c>
      <c r="E19" s="82" t="s">
        <v>1808</v>
      </c>
      <c r="F19" s="82" t="s">
        <v>1759</v>
      </c>
      <c r="G19" s="82" t="s">
        <v>1573</v>
      </c>
    </row>
    <row r="20" ht="14.25" customHeight="1">
      <c r="A20" s="82" t="s">
        <v>1466</v>
      </c>
      <c r="B20" s="82" t="s">
        <v>1765</v>
      </c>
      <c r="C20" s="82" t="s">
        <v>1758</v>
      </c>
      <c r="D20" s="82" t="s">
        <v>1809</v>
      </c>
      <c r="E20" s="82" t="s">
        <v>1810</v>
      </c>
      <c r="F20" s="82" t="s">
        <v>1759</v>
      </c>
      <c r="G20" s="82" t="s">
        <v>1559</v>
      </c>
    </row>
    <row r="21" ht="14.25" customHeight="1">
      <c r="A21" s="82" t="s">
        <v>1466</v>
      </c>
      <c r="B21" s="82" t="s">
        <v>1765</v>
      </c>
      <c r="C21" s="82" t="s">
        <v>1758</v>
      </c>
      <c r="D21" s="82" t="s">
        <v>1811</v>
      </c>
      <c r="E21" s="82" t="s">
        <v>1812</v>
      </c>
      <c r="F21" s="82" t="s">
        <v>1759</v>
      </c>
      <c r="G21" s="82" t="s">
        <v>1513</v>
      </c>
    </row>
    <row r="22" ht="14.25" customHeight="1">
      <c r="A22" s="82" t="s">
        <v>1466</v>
      </c>
      <c r="B22" s="82" t="s">
        <v>1765</v>
      </c>
      <c r="C22" s="82" t="s">
        <v>1758</v>
      </c>
      <c r="D22" s="82" t="s">
        <v>1813</v>
      </c>
      <c r="E22" s="82" t="s">
        <v>1814</v>
      </c>
      <c r="F22" s="82" t="s">
        <v>1759</v>
      </c>
      <c r="G22" s="82" t="s">
        <v>1506</v>
      </c>
    </row>
    <row r="23" ht="14.25" customHeight="1">
      <c r="A23" s="82" t="s">
        <v>1466</v>
      </c>
      <c r="B23" s="82" t="s">
        <v>1765</v>
      </c>
      <c r="C23" s="82" t="s">
        <v>1758</v>
      </c>
      <c r="D23" s="82" t="s">
        <v>221</v>
      </c>
      <c r="E23" s="82" t="s">
        <v>1815</v>
      </c>
      <c r="F23" s="82" t="s">
        <v>1759</v>
      </c>
      <c r="G23" s="82" t="s">
        <v>1515</v>
      </c>
    </row>
    <row r="24" ht="14.25" customHeight="1">
      <c r="A24" s="82" t="s">
        <v>1466</v>
      </c>
      <c r="B24" s="82" t="s">
        <v>1765</v>
      </c>
      <c r="C24" s="82" t="s">
        <v>1758</v>
      </c>
      <c r="D24" s="82" t="s">
        <v>1816</v>
      </c>
      <c r="E24" s="82" t="s">
        <v>846</v>
      </c>
      <c r="F24" s="82" t="s">
        <v>1759</v>
      </c>
      <c r="G24" s="82" t="s">
        <v>1509</v>
      </c>
    </row>
    <row r="25" ht="14.25" customHeight="1">
      <c r="A25" s="82" t="s">
        <v>1475</v>
      </c>
      <c r="B25" s="82" t="s">
        <v>1765</v>
      </c>
      <c r="C25" s="82" t="s">
        <v>1758</v>
      </c>
      <c r="D25" s="82" t="s">
        <v>1817</v>
      </c>
      <c r="E25" s="82" t="s">
        <v>1818</v>
      </c>
      <c r="F25" s="82" t="s">
        <v>1759</v>
      </c>
      <c r="G25" s="82" t="s">
        <v>1611</v>
      </c>
    </row>
    <row r="26" ht="14.25" customHeight="1">
      <c r="A26" s="82" t="s">
        <v>1475</v>
      </c>
      <c r="B26" s="82" t="s">
        <v>1765</v>
      </c>
      <c r="C26" s="82" t="s">
        <v>1758</v>
      </c>
      <c r="D26" s="82" t="s">
        <v>639</v>
      </c>
      <c r="E26" s="82" t="s">
        <v>1458</v>
      </c>
      <c r="F26" s="82" t="s">
        <v>1759</v>
      </c>
      <c r="G26" s="82" t="s">
        <v>1613</v>
      </c>
    </row>
    <row r="27" ht="14.25" customHeight="1">
      <c r="A27" s="82" t="s">
        <v>1475</v>
      </c>
      <c r="B27" s="82" t="s">
        <v>1765</v>
      </c>
      <c r="C27" s="82" t="s">
        <v>1758</v>
      </c>
      <c r="D27" s="82" t="s">
        <v>1329</v>
      </c>
      <c r="E27" s="82" t="s">
        <v>1819</v>
      </c>
      <c r="F27" s="82" t="s">
        <v>1759</v>
      </c>
      <c r="G27" s="82" t="s">
        <v>1621</v>
      </c>
    </row>
    <row r="28" ht="14.25" customHeight="1">
      <c r="A28" s="82" t="s">
        <v>1475</v>
      </c>
      <c r="B28" s="82" t="s">
        <v>1765</v>
      </c>
      <c r="C28" s="82" t="s">
        <v>1758</v>
      </c>
      <c r="D28" s="82" t="s">
        <v>1820</v>
      </c>
      <c r="E28" s="82" t="s">
        <v>1821</v>
      </c>
      <c r="F28" s="82" t="s">
        <v>1759</v>
      </c>
      <c r="G28" s="82" t="s">
        <v>1631</v>
      </c>
    </row>
    <row r="29" ht="14.25" customHeight="1">
      <c r="A29" s="82" t="s">
        <v>1475</v>
      </c>
      <c r="B29" s="82" t="s">
        <v>1765</v>
      </c>
      <c r="C29" s="82" t="s">
        <v>1758</v>
      </c>
      <c r="D29" s="82" t="s">
        <v>1822</v>
      </c>
      <c r="E29" s="82" t="s">
        <v>1823</v>
      </c>
      <c r="F29" s="82" t="s">
        <v>1759</v>
      </c>
      <c r="G29" s="82" t="s">
        <v>1632</v>
      </c>
    </row>
    <row r="30" ht="14.25" customHeight="1">
      <c r="A30" s="82" t="s">
        <v>1475</v>
      </c>
      <c r="B30" s="82" t="s">
        <v>1765</v>
      </c>
      <c r="C30" s="82" t="s">
        <v>1758</v>
      </c>
      <c r="D30" s="82" t="s">
        <v>1824</v>
      </c>
      <c r="E30" s="82" t="s">
        <v>1825</v>
      </c>
      <c r="F30" s="82" t="s">
        <v>1759</v>
      </c>
      <c r="G30" s="82" t="s">
        <v>1634</v>
      </c>
    </row>
    <row r="31" ht="14.25" customHeight="1">
      <c r="A31" s="82" t="s">
        <v>1475</v>
      </c>
      <c r="B31" s="82" t="s">
        <v>1765</v>
      </c>
      <c r="C31" s="82" t="s">
        <v>1758</v>
      </c>
      <c r="D31" s="82" t="s">
        <v>1826</v>
      </c>
      <c r="E31" s="82" t="s">
        <v>305</v>
      </c>
      <c r="F31" s="82" t="s">
        <v>1759</v>
      </c>
      <c r="G31" s="82" t="s">
        <v>1635</v>
      </c>
    </row>
    <row r="32" ht="14.25" customHeight="1">
      <c r="A32" s="82" t="s">
        <v>1800</v>
      </c>
      <c r="B32" s="82" t="s">
        <v>1765</v>
      </c>
      <c r="C32" s="82" t="s">
        <v>1758</v>
      </c>
      <c r="D32" s="82" t="s">
        <v>50</v>
      </c>
      <c r="E32" s="82" t="s">
        <v>131</v>
      </c>
      <c r="F32" s="82" t="s">
        <v>1759</v>
      </c>
      <c r="G32" s="82" t="s">
        <v>1732</v>
      </c>
    </row>
    <row r="33" ht="14.25" customHeight="1">
      <c r="A33" s="82" t="s">
        <v>1800</v>
      </c>
      <c r="B33" s="82" t="s">
        <v>1765</v>
      </c>
      <c r="C33" s="82" t="s">
        <v>1758</v>
      </c>
      <c r="D33" s="82" t="s">
        <v>1827</v>
      </c>
      <c r="E33" s="82" t="s">
        <v>464</v>
      </c>
      <c r="F33" s="82" t="s">
        <v>1759</v>
      </c>
      <c r="G33" s="82" t="s">
        <v>1736</v>
      </c>
    </row>
    <row r="34" ht="14.25" customHeight="1">
      <c r="A34" s="82" t="s">
        <v>1466</v>
      </c>
      <c r="B34" s="82" t="s">
        <v>1767</v>
      </c>
      <c r="C34" s="82" t="s">
        <v>1758</v>
      </c>
      <c r="D34" s="82" t="s">
        <v>1828</v>
      </c>
      <c r="E34" s="82" t="s">
        <v>1829</v>
      </c>
      <c r="F34" s="82" t="s">
        <v>1759</v>
      </c>
      <c r="G34" s="82" t="s">
        <v>1534</v>
      </c>
    </row>
    <row r="35" ht="14.25" customHeight="1">
      <c r="A35" s="82" t="s">
        <v>1466</v>
      </c>
      <c r="B35" s="82" t="s">
        <v>1767</v>
      </c>
      <c r="C35" s="82" t="s">
        <v>1758</v>
      </c>
      <c r="D35" s="82" t="s">
        <v>1830</v>
      </c>
      <c r="E35" s="82" t="s">
        <v>1831</v>
      </c>
      <c r="F35" s="82" t="s">
        <v>1759</v>
      </c>
      <c r="G35" s="82" t="s">
        <v>1647</v>
      </c>
    </row>
    <row r="36" ht="14.25" customHeight="1">
      <c r="A36" s="82" t="s">
        <v>1466</v>
      </c>
      <c r="B36" s="82" t="s">
        <v>1767</v>
      </c>
      <c r="C36" s="82" t="s">
        <v>1758</v>
      </c>
      <c r="D36" s="82" t="s">
        <v>619</v>
      </c>
      <c r="E36" s="82" t="s">
        <v>1832</v>
      </c>
      <c r="F36" s="82" t="s">
        <v>1759</v>
      </c>
      <c r="G36" s="82" t="s">
        <v>1627</v>
      </c>
    </row>
    <row r="37" ht="14.25" customHeight="1">
      <c r="A37" s="82" t="s">
        <v>1466</v>
      </c>
      <c r="B37" s="82" t="s">
        <v>1767</v>
      </c>
      <c r="C37" s="82" t="s">
        <v>1758</v>
      </c>
      <c r="D37" s="82" t="s">
        <v>1833</v>
      </c>
      <c r="E37" s="82" t="s">
        <v>1834</v>
      </c>
      <c r="F37" s="82" t="s">
        <v>1759</v>
      </c>
      <c r="G37" s="82" t="s">
        <v>1629</v>
      </c>
    </row>
    <row r="38" ht="14.25" customHeight="1">
      <c r="A38" s="82" t="s">
        <v>1466</v>
      </c>
      <c r="B38" s="82" t="s">
        <v>1767</v>
      </c>
      <c r="C38" s="82" t="s">
        <v>1758</v>
      </c>
      <c r="D38" s="82" t="s">
        <v>1835</v>
      </c>
      <c r="E38" s="82" t="s">
        <v>555</v>
      </c>
      <c r="F38" s="82" t="s">
        <v>1759</v>
      </c>
      <c r="G38" s="82" t="s">
        <v>1628</v>
      </c>
    </row>
    <row r="39" ht="14.25" customHeight="1">
      <c r="A39" s="82" t="s">
        <v>1475</v>
      </c>
      <c r="B39" s="82" t="s">
        <v>1767</v>
      </c>
      <c r="C39" s="82" t="s">
        <v>1758</v>
      </c>
      <c r="D39" s="82" t="s">
        <v>1836</v>
      </c>
      <c r="E39" s="82" t="s">
        <v>532</v>
      </c>
      <c r="F39" s="82" t="s">
        <v>1759</v>
      </c>
      <c r="G39" s="82" t="s">
        <v>1616</v>
      </c>
    </row>
    <row r="40" ht="14.25" customHeight="1">
      <c r="A40" s="82" t="s">
        <v>1475</v>
      </c>
      <c r="B40" s="82" t="s">
        <v>1767</v>
      </c>
      <c r="C40" s="82" t="s">
        <v>1758</v>
      </c>
      <c r="D40" s="82" t="s">
        <v>1837</v>
      </c>
      <c r="E40" s="82" t="s">
        <v>1838</v>
      </c>
      <c r="F40" s="82" t="s">
        <v>1759</v>
      </c>
      <c r="G40" s="82" t="s">
        <v>1625</v>
      </c>
    </row>
    <row r="41" ht="14.25" customHeight="1">
      <c r="A41" s="82" t="s">
        <v>1475</v>
      </c>
      <c r="B41" s="82" t="s">
        <v>1767</v>
      </c>
      <c r="C41" s="82" t="s">
        <v>1758</v>
      </c>
      <c r="D41" s="82" t="s">
        <v>1839</v>
      </c>
      <c r="E41" s="82" t="s">
        <v>1840</v>
      </c>
      <c r="F41" s="82" t="s">
        <v>1759</v>
      </c>
      <c r="G41" s="82" t="s">
        <v>1630</v>
      </c>
    </row>
    <row r="42" ht="14.25" customHeight="1">
      <c r="A42" s="82" t="s">
        <v>1475</v>
      </c>
      <c r="B42" s="82" t="s">
        <v>1767</v>
      </c>
      <c r="C42" s="82" t="s">
        <v>1758</v>
      </c>
      <c r="D42" s="82" t="s">
        <v>1841</v>
      </c>
      <c r="E42" s="82" t="s">
        <v>1842</v>
      </c>
      <c r="F42" s="82" t="s">
        <v>1759</v>
      </c>
      <c r="G42" s="82" t="s">
        <v>1619</v>
      </c>
    </row>
    <row r="43" ht="14.25" customHeight="1">
      <c r="A43" s="82" t="s">
        <v>1475</v>
      </c>
      <c r="B43" s="82" t="s">
        <v>1767</v>
      </c>
      <c r="C43" s="82" t="s">
        <v>1758</v>
      </c>
      <c r="D43" s="82" t="s">
        <v>1843</v>
      </c>
      <c r="E43" s="82" t="s">
        <v>1844</v>
      </c>
      <c r="F43" s="82" t="s">
        <v>1759</v>
      </c>
      <c r="G43" s="82" t="s">
        <v>1623</v>
      </c>
    </row>
    <row r="44" ht="14.25" customHeight="1">
      <c r="A44" s="82" t="s">
        <v>1466</v>
      </c>
      <c r="B44" s="82" t="s">
        <v>1767</v>
      </c>
      <c r="C44" s="82" t="s">
        <v>1758</v>
      </c>
      <c r="D44" s="82" t="s">
        <v>1845</v>
      </c>
      <c r="E44" s="82" t="s">
        <v>1846</v>
      </c>
      <c r="F44" s="82" t="s">
        <v>1759</v>
      </c>
      <c r="G44" s="82" t="s">
        <v>1531</v>
      </c>
    </row>
    <row r="45" ht="14.25" customHeight="1">
      <c r="A45" s="82" t="s">
        <v>1466</v>
      </c>
      <c r="B45" s="82" t="s">
        <v>1767</v>
      </c>
      <c r="C45" s="82" t="s">
        <v>1758</v>
      </c>
      <c r="D45" s="82" t="s">
        <v>1847</v>
      </c>
      <c r="E45" s="82" t="s">
        <v>1848</v>
      </c>
      <c r="F45" s="82" t="s">
        <v>1759</v>
      </c>
      <c r="G45" s="82" t="s">
        <v>1529</v>
      </c>
    </row>
    <row r="46" ht="14.25" customHeight="1">
      <c r="A46" s="82" t="s">
        <v>1849</v>
      </c>
      <c r="B46" s="82" t="s">
        <v>1767</v>
      </c>
      <c r="C46" s="82" t="s">
        <v>1758</v>
      </c>
      <c r="D46" s="82" t="s">
        <v>1850</v>
      </c>
      <c r="E46" s="82" t="s">
        <v>1851</v>
      </c>
      <c r="F46" s="82" t="s">
        <v>1759</v>
      </c>
      <c r="G46" s="82" t="s">
        <v>1598</v>
      </c>
    </row>
    <row r="47" ht="14.25" customHeight="1">
      <c r="A47" s="82" t="s">
        <v>1849</v>
      </c>
      <c r="B47" s="82" t="s">
        <v>1767</v>
      </c>
      <c r="C47" s="82" t="s">
        <v>1758</v>
      </c>
      <c r="D47" s="82" t="s">
        <v>316</v>
      </c>
      <c r="E47" s="82" t="s">
        <v>703</v>
      </c>
      <c r="F47" s="82" t="s">
        <v>1759</v>
      </c>
      <c r="G47" s="82" t="s">
        <v>1583</v>
      </c>
    </row>
    <row r="48" ht="14.25" customHeight="1">
      <c r="A48" s="82" t="s">
        <v>1849</v>
      </c>
      <c r="B48" s="82" t="s">
        <v>1767</v>
      </c>
      <c r="C48" s="82" t="s">
        <v>1758</v>
      </c>
      <c r="D48" s="82" t="s">
        <v>468</v>
      </c>
      <c r="E48" s="82" t="s">
        <v>699</v>
      </c>
      <c r="F48" s="82" t="s">
        <v>1759</v>
      </c>
      <c r="G48" s="82" t="s">
        <v>1579</v>
      </c>
    </row>
    <row r="49" ht="14.25" customHeight="1">
      <c r="A49" s="82" t="s">
        <v>1849</v>
      </c>
      <c r="B49" s="82" t="s">
        <v>1767</v>
      </c>
      <c r="C49" s="82" t="s">
        <v>1758</v>
      </c>
      <c r="D49" s="82" t="s">
        <v>1852</v>
      </c>
      <c r="E49" s="82" t="s">
        <v>442</v>
      </c>
      <c r="F49" s="82" t="s">
        <v>1759</v>
      </c>
      <c r="G49" s="82" t="s">
        <v>1580</v>
      </c>
    </row>
    <row r="50" ht="14.25" customHeight="1">
      <c r="A50" s="82" t="s">
        <v>1849</v>
      </c>
      <c r="B50" s="82" t="s">
        <v>1767</v>
      </c>
      <c r="C50" s="82" t="s">
        <v>1758</v>
      </c>
      <c r="D50" s="82" t="s">
        <v>192</v>
      </c>
      <c r="E50" s="82" t="s">
        <v>1853</v>
      </c>
      <c r="F50" s="82" t="s">
        <v>1759</v>
      </c>
      <c r="G50" s="82" t="s">
        <v>1590</v>
      </c>
    </row>
    <row r="51" ht="14.25" customHeight="1">
      <c r="A51" s="82" t="s">
        <v>1849</v>
      </c>
      <c r="B51" s="82" t="s">
        <v>1767</v>
      </c>
      <c r="C51" s="82" t="s">
        <v>1758</v>
      </c>
      <c r="D51" s="82" t="s">
        <v>1854</v>
      </c>
      <c r="E51" s="82" t="s">
        <v>1855</v>
      </c>
      <c r="F51" s="82" t="s">
        <v>1759</v>
      </c>
      <c r="G51" s="82" t="s">
        <v>1584</v>
      </c>
    </row>
    <row r="52" ht="14.25" customHeight="1">
      <c r="A52" s="82" t="s">
        <v>1849</v>
      </c>
      <c r="B52" s="82" t="s">
        <v>1767</v>
      </c>
      <c r="C52" s="82" t="s">
        <v>1758</v>
      </c>
      <c r="D52" s="82" t="s">
        <v>1856</v>
      </c>
      <c r="E52" s="82" t="s">
        <v>430</v>
      </c>
      <c r="F52" s="82" t="s">
        <v>1759</v>
      </c>
      <c r="G52" s="82" t="s">
        <v>1581</v>
      </c>
    </row>
    <row r="53" ht="14.25" customHeight="1">
      <c r="A53" s="82" t="s">
        <v>1849</v>
      </c>
      <c r="B53" s="82" t="s">
        <v>1767</v>
      </c>
      <c r="C53" s="82" t="s">
        <v>1758</v>
      </c>
      <c r="D53" s="82" t="s">
        <v>1857</v>
      </c>
      <c r="E53" s="82" t="s">
        <v>120</v>
      </c>
      <c r="F53" s="82" t="s">
        <v>1759</v>
      </c>
      <c r="G53" s="82" t="s">
        <v>1585</v>
      </c>
    </row>
    <row r="54" ht="14.25" customHeight="1">
      <c r="A54" s="82" t="s">
        <v>1849</v>
      </c>
      <c r="B54" s="82" t="s">
        <v>1767</v>
      </c>
      <c r="C54" s="82" t="s">
        <v>1758</v>
      </c>
      <c r="D54" s="82" t="s">
        <v>1858</v>
      </c>
      <c r="E54" s="82" t="s">
        <v>1859</v>
      </c>
      <c r="F54" s="82" t="s">
        <v>1759</v>
      </c>
      <c r="G54" s="82" t="s">
        <v>1594</v>
      </c>
    </row>
    <row r="55" ht="14.25" customHeight="1">
      <c r="A55" s="82" t="s">
        <v>1849</v>
      </c>
      <c r="B55" s="82" t="s">
        <v>1767</v>
      </c>
      <c r="C55" s="82" t="s">
        <v>1758</v>
      </c>
      <c r="D55" s="82" t="s">
        <v>287</v>
      </c>
      <c r="E55" s="82" t="s">
        <v>1860</v>
      </c>
      <c r="F55" s="82" t="s">
        <v>1759</v>
      </c>
      <c r="G55" s="82" t="s">
        <v>1596</v>
      </c>
    </row>
    <row r="56" ht="14.25" customHeight="1">
      <c r="A56" s="82" t="s">
        <v>1849</v>
      </c>
      <c r="B56" s="82" t="s">
        <v>1767</v>
      </c>
      <c r="C56" s="82" t="s">
        <v>1758</v>
      </c>
      <c r="D56" s="82" t="s">
        <v>1861</v>
      </c>
      <c r="E56" s="82" t="s">
        <v>1862</v>
      </c>
      <c r="F56" s="82" t="s">
        <v>1759</v>
      </c>
      <c r="G56" s="82" t="s">
        <v>1595</v>
      </c>
    </row>
    <row r="57" ht="14.25" customHeight="1">
      <c r="A57" s="82" t="s">
        <v>1469</v>
      </c>
      <c r="B57" s="82" t="s">
        <v>1767</v>
      </c>
      <c r="C57" s="82" t="s">
        <v>1758</v>
      </c>
      <c r="D57" s="82" t="s">
        <v>1863</v>
      </c>
      <c r="E57" s="82" t="s">
        <v>1864</v>
      </c>
      <c r="F57" s="82" t="s">
        <v>1759</v>
      </c>
      <c r="G57" s="82" t="s">
        <v>1643</v>
      </c>
    </row>
    <row r="58" ht="14.25" customHeight="1">
      <c r="A58" s="82" t="s">
        <v>1469</v>
      </c>
      <c r="B58" s="82" t="s">
        <v>1767</v>
      </c>
      <c r="C58" s="82" t="s">
        <v>1758</v>
      </c>
      <c r="D58" s="82" t="s">
        <v>1865</v>
      </c>
      <c r="E58" s="82" t="s">
        <v>1866</v>
      </c>
      <c r="F58" s="82" t="s">
        <v>1759</v>
      </c>
      <c r="G58" s="82" t="s">
        <v>1644</v>
      </c>
    </row>
    <row r="59" ht="14.25" customHeight="1">
      <c r="A59" s="82" t="s">
        <v>1469</v>
      </c>
      <c r="B59" s="82" t="s">
        <v>1767</v>
      </c>
      <c r="C59" s="82" t="s">
        <v>1758</v>
      </c>
      <c r="D59" s="82" t="s">
        <v>1867</v>
      </c>
      <c r="E59" s="82" t="s">
        <v>1868</v>
      </c>
      <c r="F59" s="82" t="s">
        <v>1759</v>
      </c>
      <c r="G59" s="82" t="s">
        <v>1609</v>
      </c>
    </row>
    <row r="60" ht="14.25" customHeight="1">
      <c r="A60" s="82" t="s">
        <v>1469</v>
      </c>
      <c r="B60" s="82" t="s">
        <v>1767</v>
      </c>
      <c r="C60" s="82" t="s">
        <v>1758</v>
      </c>
      <c r="D60" s="82" t="s">
        <v>1869</v>
      </c>
      <c r="E60" s="82" t="s">
        <v>1870</v>
      </c>
      <c r="F60" s="82" t="s">
        <v>1759</v>
      </c>
      <c r="G60" s="82" t="s">
        <v>1530</v>
      </c>
    </row>
    <row r="61" ht="14.25" customHeight="1">
      <c r="A61" s="82" t="s">
        <v>1469</v>
      </c>
      <c r="B61" s="82" t="s">
        <v>1767</v>
      </c>
      <c r="C61" s="82" t="s">
        <v>1758</v>
      </c>
      <c r="D61" s="82" t="s">
        <v>1871</v>
      </c>
      <c r="E61" s="82" t="s">
        <v>1872</v>
      </c>
      <c r="F61" s="82" t="s">
        <v>1759</v>
      </c>
      <c r="G61" s="82" t="s">
        <v>1546</v>
      </c>
    </row>
    <row r="62" ht="14.25" customHeight="1">
      <c r="A62" s="82" t="s">
        <v>1469</v>
      </c>
      <c r="B62" s="82" t="s">
        <v>1767</v>
      </c>
      <c r="C62" s="82" t="s">
        <v>1758</v>
      </c>
      <c r="D62" s="82" t="s">
        <v>1873</v>
      </c>
      <c r="E62" s="82" t="s">
        <v>1874</v>
      </c>
      <c r="F62" s="82" t="s">
        <v>1759</v>
      </c>
      <c r="G62" s="82" t="s">
        <v>1544</v>
      </c>
    </row>
    <row r="63" ht="14.25" customHeight="1">
      <c r="A63" s="82" t="s">
        <v>1875</v>
      </c>
      <c r="B63" s="82" t="s">
        <v>1767</v>
      </c>
      <c r="C63" s="82" t="s">
        <v>1758</v>
      </c>
      <c r="D63" s="82" t="s">
        <v>629</v>
      </c>
      <c r="E63" s="82" t="s">
        <v>561</v>
      </c>
      <c r="F63" s="82" t="s">
        <v>1759</v>
      </c>
      <c r="G63" s="82" t="s">
        <v>1650</v>
      </c>
    </row>
    <row r="64" ht="14.25" customHeight="1">
      <c r="A64" s="82" t="s">
        <v>1876</v>
      </c>
      <c r="B64" s="82" t="s">
        <v>1767</v>
      </c>
      <c r="C64" s="82" t="s">
        <v>1758</v>
      </c>
      <c r="D64" s="82" t="s">
        <v>1877</v>
      </c>
      <c r="E64" s="82" t="s">
        <v>1878</v>
      </c>
      <c r="F64" s="82" t="s">
        <v>1759</v>
      </c>
      <c r="G64" s="82" t="s">
        <v>1879</v>
      </c>
    </row>
    <row r="65" ht="14.25" customHeight="1">
      <c r="A65" s="82" t="s">
        <v>1467</v>
      </c>
      <c r="B65" s="82" t="s">
        <v>1769</v>
      </c>
      <c r="C65" s="82" t="s">
        <v>1758</v>
      </c>
      <c r="D65" s="82" t="s">
        <v>1880</v>
      </c>
      <c r="E65" s="82" t="s">
        <v>1881</v>
      </c>
      <c r="F65" s="82" t="s">
        <v>1759</v>
      </c>
      <c r="G65" s="82" t="s">
        <v>1516</v>
      </c>
    </row>
    <row r="66" ht="14.25" customHeight="1">
      <c r="A66" s="82" t="s">
        <v>1467</v>
      </c>
      <c r="B66" s="82" t="s">
        <v>1769</v>
      </c>
      <c r="C66" s="82" t="s">
        <v>1758</v>
      </c>
      <c r="D66" s="82" t="s">
        <v>1882</v>
      </c>
      <c r="E66" s="82" t="s">
        <v>1883</v>
      </c>
      <c r="F66" s="82" t="s">
        <v>1759</v>
      </c>
      <c r="G66" s="82" t="s">
        <v>1493</v>
      </c>
    </row>
    <row r="67" ht="14.25" customHeight="1">
      <c r="A67" s="82" t="s">
        <v>1467</v>
      </c>
      <c r="B67" s="82" t="s">
        <v>1769</v>
      </c>
      <c r="C67" s="82" t="s">
        <v>1758</v>
      </c>
      <c r="D67" s="82" t="s">
        <v>1884</v>
      </c>
      <c r="E67" s="82" t="s">
        <v>1885</v>
      </c>
      <c r="F67" s="82" t="s">
        <v>1759</v>
      </c>
      <c r="G67" s="82" t="s">
        <v>1500</v>
      </c>
    </row>
    <row r="68" ht="14.25" customHeight="1">
      <c r="A68" s="82" t="s">
        <v>1467</v>
      </c>
      <c r="B68" s="82" t="s">
        <v>1769</v>
      </c>
      <c r="C68" s="82" t="s">
        <v>1758</v>
      </c>
      <c r="D68" s="82" t="s">
        <v>1886</v>
      </c>
      <c r="E68" s="82" t="s">
        <v>1887</v>
      </c>
      <c r="F68" s="82" t="s">
        <v>1759</v>
      </c>
      <c r="G68" s="82" t="s">
        <v>1550</v>
      </c>
    </row>
    <row r="69" ht="14.25" customHeight="1">
      <c r="A69" s="82" t="s">
        <v>1467</v>
      </c>
      <c r="B69" s="82" t="s">
        <v>1773</v>
      </c>
      <c r="C69" s="82" t="s">
        <v>1758</v>
      </c>
      <c r="D69" s="82" t="s">
        <v>881</v>
      </c>
      <c r="E69" s="82" t="s">
        <v>1888</v>
      </c>
      <c r="F69" s="82" t="s">
        <v>1759</v>
      </c>
      <c r="G69" s="82" t="s">
        <v>1495</v>
      </c>
    </row>
    <row r="70" ht="14.25" customHeight="1">
      <c r="A70" s="82" t="s">
        <v>1467</v>
      </c>
      <c r="B70" s="82" t="s">
        <v>1773</v>
      </c>
      <c r="C70" s="82" t="s">
        <v>1758</v>
      </c>
      <c r="D70" s="82" t="s">
        <v>1889</v>
      </c>
      <c r="E70" s="82" t="s">
        <v>917</v>
      </c>
      <c r="F70" s="82" t="s">
        <v>1759</v>
      </c>
      <c r="G70" s="82" t="s">
        <v>1569</v>
      </c>
    </row>
    <row r="71" ht="14.25" customHeight="1">
      <c r="A71" s="82" t="s">
        <v>1476</v>
      </c>
      <c r="B71" s="82" t="s">
        <v>1773</v>
      </c>
      <c r="C71" s="82" t="s">
        <v>1758</v>
      </c>
      <c r="D71" s="82" t="s">
        <v>1890</v>
      </c>
      <c r="E71" s="82" t="s">
        <v>1891</v>
      </c>
      <c r="F71" s="82" t="s">
        <v>1759</v>
      </c>
      <c r="G71" s="82" t="s">
        <v>1492</v>
      </c>
    </row>
    <row r="72" ht="14.25" customHeight="1">
      <c r="A72" s="82" t="s">
        <v>1476</v>
      </c>
      <c r="B72" s="82" t="s">
        <v>1773</v>
      </c>
      <c r="C72" s="82" t="s">
        <v>1758</v>
      </c>
      <c r="D72" s="82" t="s">
        <v>1892</v>
      </c>
      <c r="E72" s="82" t="s">
        <v>1893</v>
      </c>
      <c r="F72" s="82" t="s">
        <v>1759</v>
      </c>
      <c r="G72" s="82" t="s">
        <v>1514</v>
      </c>
    </row>
    <row r="73" ht="14.25" customHeight="1">
      <c r="A73" s="82" t="s">
        <v>1476</v>
      </c>
      <c r="B73" s="82" t="s">
        <v>1773</v>
      </c>
      <c r="C73" s="82" t="s">
        <v>1758</v>
      </c>
      <c r="D73" s="82" t="s">
        <v>885</v>
      </c>
      <c r="E73" s="82" t="s">
        <v>1894</v>
      </c>
      <c r="F73" s="82" t="s">
        <v>1759</v>
      </c>
      <c r="G73" s="82" t="s">
        <v>1494</v>
      </c>
    </row>
    <row r="74" ht="14.25" customHeight="1">
      <c r="A74" s="82" t="s">
        <v>1467</v>
      </c>
      <c r="B74" s="82" t="s">
        <v>1773</v>
      </c>
      <c r="C74" s="82" t="s">
        <v>1758</v>
      </c>
      <c r="D74" s="82" t="s">
        <v>881</v>
      </c>
      <c r="E74" s="82" t="s">
        <v>1888</v>
      </c>
      <c r="F74" s="82" t="s">
        <v>1759</v>
      </c>
      <c r="G74" s="82" t="s">
        <v>1495</v>
      </c>
    </row>
    <row r="75" ht="14.25" customHeight="1">
      <c r="A75" s="82" t="s">
        <v>1467</v>
      </c>
      <c r="B75" s="82" t="s">
        <v>1773</v>
      </c>
      <c r="C75" s="82" t="s">
        <v>1758</v>
      </c>
      <c r="D75" s="82" t="s">
        <v>1889</v>
      </c>
      <c r="E75" s="82" t="s">
        <v>917</v>
      </c>
      <c r="F75" s="82" t="s">
        <v>1759</v>
      </c>
      <c r="G75" s="82" t="s">
        <v>1569</v>
      </c>
    </row>
    <row r="76" ht="14.25" customHeight="1">
      <c r="A76" s="82" t="s">
        <v>1800</v>
      </c>
      <c r="B76" s="82" t="s">
        <v>1773</v>
      </c>
      <c r="C76" s="82" t="s">
        <v>1758</v>
      </c>
      <c r="D76" s="82" t="s">
        <v>1895</v>
      </c>
      <c r="E76" s="82" t="s">
        <v>679</v>
      </c>
      <c r="F76" s="82" t="s">
        <v>1759</v>
      </c>
      <c r="G76" s="82" t="s">
        <v>1642</v>
      </c>
    </row>
    <row r="77" ht="14.25" customHeight="1">
      <c r="A77" s="82" t="s">
        <v>1800</v>
      </c>
      <c r="B77" s="82" t="s">
        <v>1773</v>
      </c>
      <c r="C77" s="82" t="s">
        <v>1758</v>
      </c>
      <c r="D77" s="82" t="s">
        <v>266</v>
      </c>
      <c r="E77" s="82" t="s">
        <v>143</v>
      </c>
      <c r="F77" s="82" t="s">
        <v>1759</v>
      </c>
      <c r="G77" s="82" t="s">
        <v>1636</v>
      </c>
    </row>
    <row r="78" ht="14.25" customHeight="1">
      <c r="A78" s="82" t="s">
        <v>1803</v>
      </c>
      <c r="B78" s="82" t="s">
        <v>1773</v>
      </c>
      <c r="C78" s="82" t="s">
        <v>1758</v>
      </c>
      <c r="D78" s="82" t="s">
        <v>204</v>
      </c>
      <c r="E78" s="82" t="s">
        <v>176</v>
      </c>
      <c r="F78" s="82" t="s">
        <v>1759</v>
      </c>
      <c r="G78" s="82" t="s">
        <v>1588</v>
      </c>
    </row>
    <row r="79" ht="14.25" customHeight="1">
      <c r="A79" s="82" t="s">
        <v>1803</v>
      </c>
      <c r="B79" s="82" t="s">
        <v>1773</v>
      </c>
      <c r="C79" s="82" t="s">
        <v>1758</v>
      </c>
      <c r="D79" s="82" t="s">
        <v>850</v>
      </c>
      <c r="E79" s="82" t="s">
        <v>482</v>
      </c>
      <c r="F79" s="82" t="s">
        <v>1759</v>
      </c>
      <c r="G79" s="82" t="s">
        <v>1593</v>
      </c>
    </row>
    <row r="80" ht="14.25" customHeight="1">
      <c r="A80" s="82" t="s">
        <v>1803</v>
      </c>
      <c r="B80" s="82" t="s">
        <v>1773</v>
      </c>
      <c r="C80" s="82" t="s">
        <v>1758</v>
      </c>
      <c r="D80" s="82" t="s">
        <v>151</v>
      </c>
      <c r="E80" s="82" t="s">
        <v>1896</v>
      </c>
      <c r="F80" s="82" t="s">
        <v>1759</v>
      </c>
      <c r="G80" s="82" t="s">
        <v>1597</v>
      </c>
    </row>
    <row r="81" ht="14.25" customHeight="1">
      <c r="A81" s="82" t="s">
        <v>1472</v>
      </c>
      <c r="B81" s="82" t="s">
        <v>1771</v>
      </c>
      <c r="C81" s="82" t="s">
        <v>1758</v>
      </c>
      <c r="D81" s="82" t="s">
        <v>1897</v>
      </c>
      <c r="E81" s="82" t="s">
        <v>1898</v>
      </c>
      <c r="F81" s="82" t="s">
        <v>1759</v>
      </c>
      <c r="G81" s="82" t="s">
        <v>1496</v>
      </c>
    </row>
    <row r="82" ht="14.25" customHeight="1">
      <c r="A82" s="82" t="s">
        <v>1472</v>
      </c>
      <c r="B82" s="82" t="s">
        <v>1771</v>
      </c>
      <c r="C82" s="82" t="s">
        <v>1758</v>
      </c>
      <c r="D82" s="82" t="s">
        <v>1899</v>
      </c>
      <c r="E82" s="82" t="s">
        <v>1900</v>
      </c>
      <c r="F82" s="82" t="s">
        <v>1759</v>
      </c>
      <c r="G82" s="82" t="s">
        <v>1499</v>
      </c>
    </row>
    <row r="83" ht="14.25" customHeight="1">
      <c r="A83" s="82" t="s">
        <v>1472</v>
      </c>
      <c r="B83" s="82" t="s">
        <v>1771</v>
      </c>
      <c r="C83" s="82" t="s">
        <v>1758</v>
      </c>
      <c r="D83" s="82" t="s">
        <v>1901</v>
      </c>
      <c r="E83" s="82" t="s">
        <v>1902</v>
      </c>
      <c r="F83" s="82" t="s">
        <v>1759</v>
      </c>
      <c r="G83" s="82" t="s">
        <v>1536</v>
      </c>
    </row>
    <row r="84" ht="14.25" customHeight="1">
      <c r="A84" s="82" t="s">
        <v>1472</v>
      </c>
      <c r="B84" s="82" t="s">
        <v>1771</v>
      </c>
      <c r="C84" s="82" t="s">
        <v>1758</v>
      </c>
      <c r="D84" s="82" t="s">
        <v>1903</v>
      </c>
      <c r="E84" s="82" t="s">
        <v>1904</v>
      </c>
      <c r="F84" s="82" t="s">
        <v>1759</v>
      </c>
      <c r="G84" s="82" t="s">
        <v>1535</v>
      </c>
    </row>
    <row r="85" ht="14.25" customHeight="1">
      <c r="A85" s="82" t="s">
        <v>1472</v>
      </c>
      <c r="B85" s="82" t="s">
        <v>1771</v>
      </c>
      <c r="C85" s="82" t="s">
        <v>1758</v>
      </c>
      <c r="D85" s="82" t="s">
        <v>1905</v>
      </c>
      <c r="E85" s="82" t="s">
        <v>1904</v>
      </c>
      <c r="F85" s="82" t="s">
        <v>1759</v>
      </c>
      <c r="G85" s="82" t="s">
        <v>1497</v>
      </c>
    </row>
    <row r="86" ht="14.25" customHeight="1">
      <c r="A86" s="82" t="s">
        <v>1472</v>
      </c>
      <c r="B86" s="82" t="s">
        <v>1771</v>
      </c>
      <c r="C86" s="82" t="s">
        <v>1758</v>
      </c>
      <c r="D86" s="82" t="s">
        <v>1906</v>
      </c>
      <c r="E86" s="82" t="s">
        <v>1904</v>
      </c>
      <c r="F86" s="82" t="s">
        <v>1759</v>
      </c>
      <c r="G86" s="82" t="s">
        <v>1733</v>
      </c>
    </row>
    <row r="87" ht="14.25" customHeight="1">
      <c r="A87" s="82" t="s">
        <v>1472</v>
      </c>
      <c r="B87" s="82" t="s">
        <v>1771</v>
      </c>
      <c r="C87" s="82" t="s">
        <v>1758</v>
      </c>
      <c r="D87" s="82" t="s">
        <v>1907</v>
      </c>
      <c r="E87" s="82" t="s">
        <v>1904</v>
      </c>
      <c r="F87" s="82" t="s">
        <v>1759</v>
      </c>
      <c r="G87" s="82" t="s">
        <v>1733</v>
      </c>
    </row>
    <row r="88" ht="14.25" customHeight="1">
      <c r="A88" s="82" t="s">
        <v>1472</v>
      </c>
      <c r="B88" s="82" t="s">
        <v>1771</v>
      </c>
      <c r="C88" s="82" t="s">
        <v>1758</v>
      </c>
      <c r="D88" s="82" t="s">
        <v>1433</v>
      </c>
      <c r="E88" s="82" t="s">
        <v>1904</v>
      </c>
      <c r="F88" s="82" t="s">
        <v>1759</v>
      </c>
      <c r="G88" s="82" t="s">
        <v>1519</v>
      </c>
    </row>
    <row r="89" ht="14.25" customHeight="1">
      <c r="A89" s="82" t="s">
        <v>1472</v>
      </c>
      <c r="B89" s="82" t="s">
        <v>1771</v>
      </c>
      <c r="C89" s="82" t="s">
        <v>1758</v>
      </c>
      <c r="D89" s="82" t="s">
        <v>1905</v>
      </c>
      <c r="E89" s="82" t="s">
        <v>1904</v>
      </c>
      <c r="F89" s="82" t="s">
        <v>1759</v>
      </c>
      <c r="G89" s="82" t="s">
        <v>1497</v>
      </c>
    </row>
    <row r="90" ht="14.25" customHeight="1">
      <c r="A90" s="82" t="s">
        <v>1472</v>
      </c>
      <c r="B90" s="82" t="s">
        <v>1771</v>
      </c>
      <c r="C90" s="82" t="s">
        <v>1758</v>
      </c>
      <c r="D90" s="82" t="s">
        <v>1908</v>
      </c>
      <c r="E90" s="82" t="s">
        <v>1904</v>
      </c>
      <c r="F90" s="82" t="s">
        <v>1759</v>
      </c>
      <c r="G90" s="82" t="s">
        <v>1505</v>
      </c>
    </row>
    <row r="91" ht="14.25" customHeight="1">
      <c r="A91" s="82" t="s">
        <v>1472</v>
      </c>
      <c r="B91" s="82" t="s">
        <v>1771</v>
      </c>
      <c r="C91" s="82" t="s">
        <v>1758</v>
      </c>
      <c r="D91" s="82" t="s">
        <v>1909</v>
      </c>
      <c r="E91" s="82" t="s">
        <v>1904</v>
      </c>
      <c r="F91" s="82" t="s">
        <v>1759</v>
      </c>
      <c r="G91" s="82" t="s">
        <v>1525</v>
      </c>
    </row>
    <row r="92" ht="14.25" customHeight="1">
      <c r="A92" s="82" t="s">
        <v>1472</v>
      </c>
      <c r="B92" s="82" t="s">
        <v>1771</v>
      </c>
      <c r="C92" s="82" t="s">
        <v>1758</v>
      </c>
      <c r="D92" s="82" t="s">
        <v>1910</v>
      </c>
      <c r="E92" s="82" t="s">
        <v>1904</v>
      </c>
      <c r="F92" s="82" t="s">
        <v>1759</v>
      </c>
      <c r="G92" s="82" t="s">
        <v>1505</v>
      </c>
    </row>
    <row r="93" ht="14.25" customHeight="1">
      <c r="A93" s="82" t="s">
        <v>1472</v>
      </c>
      <c r="B93" s="82" t="s">
        <v>1771</v>
      </c>
      <c r="C93" s="82" t="s">
        <v>1758</v>
      </c>
      <c r="D93" s="82" t="s">
        <v>1911</v>
      </c>
      <c r="E93" s="82" t="s">
        <v>1904</v>
      </c>
      <c r="F93" s="82" t="s">
        <v>1759</v>
      </c>
      <c r="G93" s="82" t="s">
        <v>1601</v>
      </c>
    </row>
    <row r="94" ht="14.25" customHeight="1">
      <c r="A94" s="82" t="s">
        <v>1803</v>
      </c>
      <c r="B94" s="82" t="s">
        <v>1771</v>
      </c>
      <c r="C94" s="82" t="s">
        <v>1758</v>
      </c>
      <c r="D94" s="82" t="s">
        <v>1912</v>
      </c>
      <c r="E94" s="82" t="s">
        <v>1904</v>
      </c>
      <c r="F94" s="82" t="s">
        <v>1759</v>
      </c>
      <c r="G94" s="82" t="s">
        <v>1587</v>
      </c>
    </row>
    <row r="95" ht="14.25" customHeight="1">
      <c r="A95" s="82" t="s">
        <v>1803</v>
      </c>
      <c r="B95" s="82" t="s">
        <v>1771</v>
      </c>
      <c r="C95" s="82" t="s">
        <v>1758</v>
      </c>
      <c r="D95" s="82" t="s">
        <v>1913</v>
      </c>
      <c r="E95" s="82" t="s">
        <v>1904</v>
      </c>
      <c r="F95" s="82" t="s">
        <v>1759</v>
      </c>
      <c r="G95" s="82" t="s">
        <v>1735</v>
      </c>
    </row>
    <row r="96" ht="14.25" customHeight="1">
      <c r="A96" s="82" t="s">
        <v>1914</v>
      </c>
      <c r="B96" s="82" t="s">
        <v>1771</v>
      </c>
      <c r="C96" s="82" t="s">
        <v>1758</v>
      </c>
      <c r="D96" s="82" t="s">
        <v>1915</v>
      </c>
      <c r="E96" s="82" t="s">
        <v>1904</v>
      </c>
      <c r="F96" s="82" t="s">
        <v>1759</v>
      </c>
      <c r="G96" s="82" t="s">
        <v>1565</v>
      </c>
    </row>
    <row r="97" ht="14.25" customHeight="1">
      <c r="A97" s="82" t="s">
        <v>1914</v>
      </c>
      <c r="B97" s="82" t="s">
        <v>1771</v>
      </c>
      <c r="C97" s="82" t="s">
        <v>1758</v>
      </c>
      <c r="D97" s="82" t="s">
        <v>1916</v>
      </c>
      <c r="E97" s="82" t="s">
        <v>1904</v>
      </c>
      <c r="F97" s="82" t="s">
        <v>1759</v>
      </c>
      <c r="G97" s="82" t="s">
        <v>1570</v>
      </c>
    </row>
    <row r="98" ht="14.25" customHeight="1">
      <c r="A98" s="82" t="s">
        <v>1466</v>
      </c>
      <c r="B98" s="82" t="s">
        <v>1763</v>
      </c>
      <c r="C98" s="82" t="s">
        <v>1759</v>
      </c>
      <c r="D98" s="82" t="s">
        <v>1780</v>
      </c>
      <c r="E98" s="82" t="s">
        <v>1779</v>
      </c>
      <c r="F98" s="82" t="s">
        <v>1758</v>
      </c>
      <c r="G98" s="82" t="s">
        <v>1669</v>
      </c>
    </row>
    <row r="99" ht="14.25" customHeight="1">
      <c r="A99" s="82" t="s">
        <v>1466</v>
      </c>
      <c r="B99" s="82" t="s">
        <v>1763</v>
      </c>
      <c r="C99" s="82" t="s">
        <v>1759</v>
      </c>
      <c r="D99" s="82" t="s">
        <v>1783</v>
      </c>
      <c r="E99" s="82" t="s">
        <v>1782</v>
      </c>
      <c r="F99" s="82" t="s">
        <v>1758</v>
      </c>
      <c r="G99" s="82" t="s">
        <v>1741</v>
      </c>
    </row>
    <row r="100" ht="14.25" customHeight="1">
      <c r="A100" s="82" t="s">
        <v>1466</v>
      </c>
      <c r="B100" s="82" t="s">
        <v>1763</v>
      </c>
      <c r="C100" s="82" t="s">
        <v>1759</v>
      </c>
      <c r="D100" s="82" t="s">
        <v>1786</v>
      </c>
      <c r="E100" s="82" t="s">
        <v>1785</v>
      </c>
      <c r="F100" s="82" t="s">
        <v>1758</v>
      </c>
      <c r="G100" s="82" t="s">
        <v>1712</v>
      </c>
    </row>
    <row r="101" ht="14.25" customHeight="1">
      <c r="A101" s="82" t="s">
        <v>1466</v>
      </c>
      <c r="B101" s="82" t="s">
        <v>1763</v>
      </c>
      <c r="C101" s="82" t="s">
        <v>1759</v>
      </c>
      <c r="D101" s="82" t="s">
        <v>1790</v>
      </c>
      <c r="E101" s="82" t="s">
        <v>1789</v>
      </c>
      <c r="F101" s="82" t="s">
        <v>1758</v>
      </c>
      <c r="G101" s="82" t="s">
        <v>1746</v>
      </c>
    </row>
    <row r="102" ht="14.25" customHeight="1">
      <c r="A102" s="77" t="s">
        <v>1466</v>
      </c>
      <c r="B102" s="77" t="s">
        <v>1763</v>
      </c>
      <c r="C102" s="77" t="s">
        <v>1759</v>
      </c>
      <c r="D102" s="77" t="s">
        <v>1793</v>
      </c>
      <c r="E102" s="77" t="s">
        <v>1792</v>
      </c>
      <c r="F102" s="77" t="s">
        <v>1758</v>
      </c>
      <c r="G102" s="82" t="s">
        <v>1738</v>
      </c>
    </row>
    <row r="103" ht="14.25" customHeight="1">
      <c r="A103" s="82" t="s">
        <v>1466</v>
      </c>
      <c r="B103" s="82" t="s">
        <v>1763</v>
      </c>
      <c r="C103" s="82" t="s">
        <v>1759</v>
      </c>
      <c r="D103" s="82" t="s">
        <v>1780</v>
      </c>
      <c r="E103" s="82" t="s">
        <v>1779</v>
      </c>
      <c r="F103" s="82" t="s">
        <v>1758</v>
      </c>
      <c r="G103" s="82" t="s">
        <v>1669</v>
      </c>
    </row>
    <row r="104" ht="14.25" customHeight="1">
      <c r="A104" s="82" t="s">
        <v>1476</v>
      </c>
      <c r="B104" s="82" t="s">
        <v>1763</v>
      </c>
      <c r="C104" s="82" t="s">
        <v>1759</v>
      </c>
      <c r="D104" s="82" t="s">
        <v>1783</v>
      </c>
      <c r="E104" s="82" t="s">
        <v>1782</v>
      </c>
      <c r="F104" s="82" t="s">
        <v>1758</v>
      </c>
      <c r="G104" s="82" t="s">
        <v>1741</v>
      </c>
    </row>
    <row r="105" ht="14.25" customHeight="1">
      <c r="A105" s="82" t="s">
        <v>1476</v>
      </c>
      <c r="B105" s="82" t="s">
        <v>1763</v>
      </c>
      <c r="C105" s="82" t="s">
        <v>1759</v>
      </c>
      <c r="D105" s="82" t="s">
        <v>1794</v>
      </c>
      <c r="E105" s="82" t="s">
        <v>944</v>
      </c>
      <c r="F105" s="82" t="s">
        <v>1758</v>
      </c>
      <c r="G105" s="82" t="s">
        <v>1751</v>
      </c>
    </row>
    <row r="106" ht="14.25" customHeight="1">
      <c r="A106" s="82" t="s">
        <v>1476</v>
      </c>
      <c r="B106" s="82" t="s">
        <v>1763</v>
      </c>
      <c r="C106" s="82" t="s">
        <v>1759</v>
      </c>
      <c r="D106" s="82" t="s">
        <v>1796</v>
      </c>
      <c r="E106" s="82" t="s">
        <v>1795</v>
      </c>
      <c r="F106" s="82" t="s">
        <v>1758</v>
      </c>
      <c r="G106" s="82" t="s">
        <v>1754</v>
      </c>
    </row>
    <row r="107" ht="14.25" customHeight="1">
      <c r="A107" s="82" t="s">
        <v>1476</v>
      </c>
      <c r="B107" s="82" t="s">
        <v>1763</v>
      </c>
      <c r="C107" s="82" t="s">
        <v>1759</v>
      </c>
      <c r="D107" s="82" t="s">
        <v>1798</v>
      </c>
      <c r="E107" s="82" t="s">
        <v>1797</v>
      </c>
      <c r="F107" s="82" t="s">
        <v>1758</v>
      </c>
      <c r="G107" s="82" t="s">
        <v>1917</v>
      </c>
    </row>
    <row r="108" ht="14.25" customHeight="1">
      <c r="A108" s="82" t="s">
        <v>1800</v>
      </c>
      <c r="B108" s="82" t="s">
        <v>1763</v>
      </c>
      <c r="C108" s="82" t="s">
        <v>1759</v>
      </c>
      <c r="D108" s="82" t="s">
        <v>187</v>
      </c>
      <c r="E108" s="82" t="s">
        <v>1277</v>
      </c>
      <c r="F108" s="82" t="s">
        <v>1758</v>
      </c>
      <c r="G108" s="82" t="s">
        <v>1710</v>
      </c>
    </row>
    <row r="109" ht="14.25" customHeight="1">
      <c r="A109" s="82" t="s">
        <v>1800</v>
      </c>
      <c r="B109" s="82" t="s">
        <v>1763</v>
      </c>
      <c r="C109" s="82" t="s">
        <v>1759</v>
      </c>
      <c r="D109" s="82" t="s">
        <v>1802</v>
      </c>
      <c r="E109" s="82" t="s">
        <v>1801</v>
      </c>
      <c r="F109" s="82" t="s">
        <v>1758</v>
      </c>
      <c r="G109" s="82" t="s">
        <v>1725</v>
      </c>
    </row>
    <row r="110" ht="14.25" customHeight="1">
      <c r="A110" s="82" t="s">
        <v>1803</v>
      </c>
      <c r="B110" s="82" t="s">
        <v>1763</v>
      </c>
      <c r="C110" s="82" t="s">
        <v>1759</v>
      </c>
      <c r="D110" s="82" t="s">
        <v>693</v>
      </c>
      <c r="E110" s="82" t="s">
        <v>1804</v>
      </c>
      <c r="F110" s="82" t="s">
        <v>1758</v>
      </c>
      <c r="G110" s="82" t="s">
        <v>1663</v>
      </c>
    </row>
    <row r="111" ht="14.25" customHeight="1">
      <c r="A111" s="82" t="s">
        <v>1803</v>
      </c>
      <c r="B111" s="82" t="s">
        <v>1763</v>
      </c>
      <c r="C111" s="82" t="s">
        <v>1759</v>
      </c>
      <c r="D111" s="82" t="s">
        <v>77</v>
      </c>
      <c r="E111" s="82" t="s">
        <v>158</v>
      </c>
      <c r="F111" s="82" t="s">
        <v>1758</v>
      </c>
      <c r="G111" s="82" t="s">
        <v>1662</v>
      </c>
    </row>
    <row r="112" ht="14.25" customHeight="1">
      <c r="A112" s="82" t="s">
        <v>1466</v>
      </c>
      <c r="B112" s="82" t="s">
        <v>1765</v>
      </c>
      <c r="C112" s="82" t="s">
        <v>1759</v>
      </c>
      <c r="D112" s="82" t="s">
        <v>312</v>
      </c>
      <c r="E112" s="82" t="s">
        <v>1805</v>
      </c>
      <c r="F112" s="82" t="s">
        <v>1758</v>
      </c>
      <c r="G112" s="82" t="s">
        <v>1568</v>
      </c>
    </row>
    <row r="113" ht="14.25" customHeight="1">
      <c r="A113" s="82" t="s">
        <v>1466</v>
      </c>
      <c r="B113" s="82" t="s">
        <v>1765</v>
      </c>
      <c r="C113" s="82" t="s">
        <v>1759</v>
      </c>
      <c r="D113" s="82" t="s">
        <v>196</v>
      </c>
      <c r="E113" s="82" t="s">
        <v>260</v>
      </c>
      <c r="F113" s="82" t="s">
        <v>1758</v>
      </c>
      <c r="G113" s="82" t="s">
        <v>1698</v>
      </c>
    </row>
    <row r="114" ht="14.25" customHeight="1">
      <c r="A114" s="82" t="s">
        <v>1466</v>
      </c>
      <c r="B114" s="82" t="s">
        <v>1765</v>
      </c>
      <c r="C114" s="82" t="s">
        <v>1759</v>
      </c>
      <c r="D114" s="82" t="s">
        <v>312</v>
      </c>
      <c r="E114" s="82" t="s">
        <v>1805</v>
      </c>
      <c r="F114" s="82" t="s">
        <v>1758</v>
      </c>
      <c r="G114" s="82" t="s">
        <v>1568</v>
      </c>
    </row>
    <row r="115" ht="14.25" customHeight="1">
      <c r="A115" s="82" t="s">
        <v>1466</v>
      </c>
      <c r="B115" s="82" t="s">
        <v>1765</v>
      </c>
      <c r="C115" s="82" t="s">
        <v>1759</v>
      </c>
      <c r="D115" s="82" t="s">
        <v>1806</v>
      </c>
      <c r="E115" s="82" t="s">
        <v>865</v>
      </c>
      <c r="F115" s="82" t="s">
        <v>1758</v>
      </c>
      <c r="G115" s="82" t="s">
        <v>1561</v>
      </c>
    </row>
    <row r="116" ht="14.25" customHeight="1">
      <c r="A116" s="82" t="s">
        <v>1466</v>
      </c>
      <c r="B116" s="82" t="s">
        <v>1765</v>
      </c>
      <c r="C116" s="82" t="s">
        <v>1759</v>
      </c>
      <c r="D116" s="82" t="s">
        <v>1808</v>
      </c>
      <c r="E116" s="82" t="s">
        <v>1807</v>
      </c>
      <c r="F116" s="82" t="s">
        <v>1758</v>
      </c>
      <c r="G116" s="82" t="s">
        <v>1572</v>
      </c>
    </row>
    <row r="117" ht="14.25" customHeight="1">
      <c r="A117" s="82" t="s">
        <v>1466</v>
      </c>
      <c r="B117" s="82" t="s">
        <v>1765</v>
      </c>
      <c r="C117" s="82" t="s">
        <v>1759</v>
      </c>
      <c r="D117" s="82" t="s">
        <v>1810</v>
      </c>
      <c r="E117" s="82" t="s">
        <v>1809</v>
      </c>
      <c r="F117" s="82" t="s">
        <v>1758</v>
      </c>
      <c r="G117" s="82" t="s">
        <v>1560</v>
      </c>
    </row>
    <row r="118" ht="14.25" customHeight="1">
      <c r="A118" s="82" t="s">
        <v>1466</v>
      </c>
      <c r="B118" s="82" t="s">
        <v>1765</v>
      </c>
      <c r="C118" s="82" t="s">
        <v>1759</v>
      </c>
      <c r="D118" s="82" t="s">
        <v>1812</v>
      </c>
      <c r="E118" s="82" t="s">
        <v>1811</v>
      </c>
      <c r="F118" s="82" t="s">
        <v>1758</v>
      </c>
      <c r="G118" s="82" t="s">
        <v>1667</v>
      </c>
    </row>
    <row r="119" ht="14.25" customHeight="1">
      <c r="A119" s="82" t="s">
        <v>1466</v>
      </c>
      <c r="B119" s="82" t="s">
        <v>1765</v>
      </c>
      <c r="C119" s="82" t="s">
        <v>1759</v>
      </c>
      <c r="D119" s="82" t="s">
        <v>1814</v>
      </c>
      <c r="E119" s="82" t="s">
        <v>1813</v>
      </c>
      <c r="F119" s="82" t="s">
        <v>1758</v>
      </c>
      <c r="G119" s="82" t="s">
        <v>1680</v>
      </c>
    </row>
    <row r="120" ht="14.25" customHeight="1">
      <c r="A120" s="82" t="s">
        <v>1466</v>
      </c>
      <c r="B120" s="82" t="s">
        <v>1765</v>
      </c>
      <c r="C120" s="82" t="s">
        <v>1759</v>
      </c>
      <c r="D120" s="82" t="s">
        <v>1815</v>
      </c>
      <c r="E120" s="82" t="s">
        <v>221</v>
      </c>
      <c r="F120" s="82" t="s">
        <v>1758</v>
      </c>
      <c r="G120" s="82" t="s">
        <v>1641</v>
      </c>
    </row>
    <row r="121" ht="14.25" customHeight="1">
      <c r="A121" s="82" t="s">
        <v>1466</v>
      </c>
      <c r="B121" s="82" t="s">
        <v>1765</v>
      </c>
      <c r="C121" s="82" t="s">
        <v>1759</v>
      </c>
      <c r="D121" s="82" t="s">
        <v>846</v>
      </c>
      <c r="E121" s="82" t="s">
        <v>1816</v>
      </c>
      <c r="F121" s="82" t="s">
        <v>1758</v>
      </c>
      <c r="G121" s="82" t="s">
        <v>1648</v>
      </c>
    </row>
    <row r="122" ht="14.25" customHeight="1">
      <c r="A122" s="82" t="s">
        <v>1475</v>
      </c>
      <c r="B122" s="82" t="s">
        <v>1765</v>
      </c>
      <c r="C122" s="82" t="s">
        <v>1759</v>
      </c>
      <c r="D122" s="82" t="s">
        <v>1818</v>
      </c>
      <c r="E122" s="82" t="s">
        <v>1817</v>
      </c>
      <c r="F122" s="82" t="s">
        <v>1758</v>
      </c>
      <c r="G122" s="82" t="s">
        <v>1918</v>
      </c>
    </row>
    <row r="123" ht="14.25" customHeight="1">
      <c r="A123" s="82" t="s">
        <v>1475</v>
      </c>
      <c r="B123" s="82" t="s">
        <v>1765</v>
      </c>
      <c r="C123" s="82" t="s">
        <v>1759</v>
      </c>
      <c r="D123" s="82" t="s">
        <v>1458</v>
      </c>
      <c r="E123" s="82" t="s">
        <v>639</v>
      </c>
      <c r="F123" s="82" t="s">
        <v>1758</v>
      </c>
      <c r="G123" s="82" t="s">
        <v>1690</v>
      </c>
    </row>
    <row r="124" ht="14.25" customHeight="1">
      <c r="A124" s="82" t="s">
        <v>1475</v>
      </c>
      <c r="B124" s="82" t="s">
        <v>1765</v>
      </c>
      <c r="C124" s="82" t="s">
        <v>1759</v>
      </c>
      <c r="D124" s="82" t="s">
        <v>1819</v>
      </c>
      <c r="E124" s="82" t="s">
        <v>1329</v>
      </c>
      <c r="F124" s="82" t="s">
        <v>1758</v>
      </c>
      <c r="G124" s="82" t="s">
        <v>1696</v>
      </c>
    </row>
    <row r="125" ht="14.25" customHeight="1">
      <c r="A125" s="82" t="s">
        <v>1475</v>
      </c>
      <c r="B125" s="82" t="s">
        <v>1765</v>
      </c>
      <c r="C125" s="82" t="s">
        <v>1759</v>
      </c>
      <c r="D125" s="82" t="s">
        <v>1821</v>
      </c>
      <c r="E125" s="82" t="s">
        <v>1820</v>
      </c>
      <c r="F125" s="82" t="s">
        <v>1758</v>
      </c>
      <c r="G125" s="82" t="s">
        <v>1699</v>
      </c>
    </row>
    <row r="126" ht="14.25" customHeight="1">
      <c r="A126" s="82" t="s">
        <v>1475</v>
      </c>
      <c r="B126" s="82" t="s">
        <v>1765</v>
      </c>
      <c r="C126" s="82" t="s">
        <v>1759</v>
      </c>
      <c r="D126" s="82" t="s">
        <v>1823</v>
      </c>
      <c r="E126" s="82" t="s">
        <v>1822</v>
      </c>
      <c r="F126" s="82" t="s">
        <v>1758</v>
      </c>
      <c r="G126" s="82" t="s">
        <v>1700</v>
      </c>
    </row>
    <row r="127" ht="14.25" customHeight="1">
      <c r="A127" s="82" t="s">
        <v>1475</v>
      </c>
      <c r="B127" s="82" t="s">
        <v>1765</v>
      </c>
      <c r="C127" s="82" t="s">
        <v>1759</v>
      </c>
      <c r="D127" s="82" t="s">
        <v>1825</v>
      </c>
      <c r="E127" s="82" t="s">
        <v>1824</v>
      </c>
      <c r="F127" s="82" t="s">
        <v>1758</v>
      </c>
      <c r="G127" s="82" t="s">
        <v>1702</v>
      </c>
    </row>
    <row r="128" ht="14.25" customHeight="1">
      <c r="A128" s="82" t="s">
        <v>1475</v>
      </c>
      <c r="B128" s="82" t="s">
        <v>1765</v>
      </c>
      <c r="C128" s="82" t="s">
        <v>1759</v>
      </c>
      <c r="D128" s="82" t="s">
        <v>305</v>
      </c>
      <c r="E128" s="82" t="s">
        <v>1826</v>
      </c>
      <c r="F128" s="82" t="s">
        <v>1758</v>
      </c>
      <c r="G128" s="82" t="s">
        <v>1703</v>
      </c>
    </row>
    <row r="129" ht="14.25" customHeight="1">
      <c r="A129" s="82" t="s">
        <v>1800</v>
      </c>
      <c r="B129" s="82" t="s">
        <v>1765</v>
      </c>
      <c r="C129" s="82" t="s">
        <v>1759</v>
      </c>
      <c r="D129" s="82" t="s">
        <v>131</v>
      </c>
      <c r="E129" s="82" t="s">
        <v>50</v>
      </c>
      <c r="F129" s="82" t="s">
        <v>1758</v>
      </c>
      <c r="G129" s="82" t="s">
        <v>1724</v>
      </c>
    </row>
    <row r="130" ht="14.25" customHeight="1">
      <c r="A130" s="82" t="s">
        <v>1800</v>
      </c>
      <c r="B130" s="82" t="s">
        <v>1765</v>
      </c>
      <c r="C130" s="82" t="s">
        <v>1759</v>
      </c>
      <c r="D130" s="82" t="s">
        <v>464</v>
      </c>
      <c r="E130" s="82" t="s">
        <v>1827</v>
      </c>
      <c r="F130" s="82" t="s">
        <v>1758</v>
      </c>
      <c r="G130" s="82" t="s">
        <v>1526</v>
      </c>
    </row>
    <row r="131" ht="14.25" customHeight="1">
      <c r="A131" s="82" t="s">
        <v>1466</v>
      </c>
      <c r="B131" s="82" t="s">
        <v>1767</v>
      </c>
      <c r="C131" s="82" t="s">
        <v>1759</v>
      </c>
      <c r="D131" s="82" t="s">
        <v>1829</v>
      </c>
      <c r="E131" s="82" t="s">
        <v>1828</v>
      </c>
      <c r="F131" s="82" t="s">
        <v>1758</v>
      </c>
      <c r="G131" s="82" t="s">
        <v>1716</v>
      </c>
    </row>
    <row r="132" ht="14.25" customHeight="1">
      <c r="A132" s="82" t="s">
        <v>1466</v>
      </c>
      <c r="B132" s="82" t="s">
        <v>1767</v>
      </c>
      <c r="C132" s="82" t="s">
        <v>1759</v>
      </c>
      <c r="D132" s="82" t="s">
        <v>1831</v>
      </c>
      <c r="E132" s="82" t="s">
        <v>1830</v>
      </c>
      <c r="F132" s="82" t="s">
        <v>1758</v>
      </c>
      <c r="G132" s="82" t="s">
        <v>1720</v>
      </c>
    </row>
    <row r="133" ht="14.25" customHeight="1">
      <c r="A133" s="82" t="s">
        <v>1466</v>
      </c>
      <c r="B133" s="82" t="s">
        <v>1767</v>
      </c>
      <c r="C133" s="82" t="s">
        <v>1759</v>
      </c>
      <c r="D133" s="82" t="s">
        <v>1832</v>
      </c>
      <c r="E133" s="82" t="s">
        <v>619</v>
      </c>
      <c r="F133" s="82" t="s">
        <v>1758</v>
      </c>
      <c r="G133" s="82" t="s">
        <v>1678</v>
      </c>
    </row>
    <row r="134" ht="14.25" customHeight="1">
      <c r="A134" s="82" t="s">
        <v>1466</v>
      </c>
      <c r="B134" s="82" t="s">
        <v>1767</v>
      </c>
      <c r="C134" s="82" t="s">
        <v>1759</v>
      </c>
      <c r="D134" s="82" t="s">
        <v>1834</v>
      </c>
      <c r="E134" s="82" t="s">
        <v>1833</v>
      </c>
      <c r="F134" s="82" t="s">
        <v>1758</v>
      </c>
      <c r="G134" s="82" t="s">
        <v>1679</v>
      </c>
    </row>
    <row r="135" ht="14.25" customHeight="1">
      <c r="A135" s="82" t="s">
        <v>1466</v>
      </c>
      <c r="B135" s="82" t="s">
        <v>1767</v>
      </c>
      <c r="C135" s="82" t="s">
        <v>1759</v>
      </c>
      <c r="D135" s="82" t="s">
        <v>555</v>
      </c>
      <c r="E135" s="82" t="s">
        <v>1835</v>
      </c>
      <c r="F135" s="82" t="s">
        <v>1758</v>
      </c>
      <c r="G135" s="82" t="s">
        <v>1677</v>
      </c>
    </row>
    <row r="136" ht="14.25" customHeight="1">
      <c r="A136" s="82" t="s">
        <v>1475</v>
      </c>
      <c r="B136" s="82" t="s">
        <v>1767</v>
      </c>
      <c r="C136" s="82" t="s">
        <v>1759</v>
      </c>
      <c r="D136" s="82" t="s">
        <v>532</v>
      </c>
      <c r="E136" s="82" t="s">
        <v>1836</v>
      </c>
      <c r="F136" s="82" t="s">
        <v>1758</v>
      </c>
      <c r="G136" s="82" t="s">
        <v>1686</v>
      </c>
    </row>
    <row r="137" ht="14.25" customHeight="1">
      <c r="A137" s="82" t="s">
        <v>1475</v>
      </c>
      <c r="B137" s="82" t="s">
        <v>1767</v>
      </c>
      <c r="C137" s="82" t="s">
        <v>1759</v>
      </c>
      <c r="D137" s="82" t="s">
        <v>1838</v>
      </c>
      <c r="E137" s="82" t="s">
        <v>1837</v>
      </c>
      <c r="F137" s="82" t="s">
        <v>1758</v>
      </c>
      <c r="G137" s="82" t="s">
        <v>1693</v>
      </c>
    </row>
    <row r="138" ht="14.25" customHeight="1">
      <c r="A138" s="82" t="s">
        <v>1475</v>
      </c>
      <c r="B138" s="82" t="s">
        <v>1767</v>
      </c>
      <c r="C138" s="82" t="s">
        <v>1759</v>
      </c>
      <c r="D138" s="82" t="s">
        <v>1840</v>
      </c>
      <c r="E138" s="82" t="s">
        <v>1839</v>
      </c>
      <c r="F138" s="82" t="s">
        <v>1758</v>
      </c>
      <c r="G138" s="82" t="s">
        <v>1691</v>
      </c>
    </row>
    <row r="139" ht="14.25" customHeight="1">
      <c r="A139" s="82" t="s">
        <v>1475</v>
      </c>
      <c r="B139" s="82" t="s">
        <v>1767</v>
      </c>
      <c r="C139" s="82" t="s">
        <v>1759</v>
      </c>
      <c r="D139" s="82" t="s">
        <v>1842</v>
      </c>
      <c r="E139" s="82" t="s">
        <v>1841</v>
      </c>
      <c r="F139" s="82" t="s">
        <v>1758</v>
      </c>
      <c r="G139" s="82" t="s">
        <v>1689</v>
      </c>
    </row>
    <row r="140" ht="14.25" customHeight="1">
      <c r="A140" s="82" t="s">
        <v>1475</v>
      </c>
      <c r="B140" s="82" t="s">
        <v>1767</v>
      </c>
      <c r="C140" s="82" t="s">
        <v>1759</v>
      </c>
      <c r="D140" s="82" t="s">
        <v>1844</v>
      </c>
      <c r="E140" s="82" t="s">
        <v>1843</v>
      </c>
      <c r="F140" s="82" t="s">
        <v>1758</v>
      </c>
      <c r="G140" s="82" t="s">
        <v>1697</v>
      </c>
    </row>
    <row r="141" ht="14.25" customHeight="1">
      <c r="A141" s="82" t="s">
        <v>1466</v>
      </c>
      <c r="B141" s="82" t="s">
        <v>1767</v>
      </c>
      <c r="C141" s="82" t="s">
        <v>1759</v>
      </c>
      <c r="D141" s="82" t="s">
        <v>1846</v>
      </c>
      <c r="E141" s="82" t="s">
        <v>1845</v>
      </c>
      <c r="F141" s="82" t="s">
        <v>1758</v>
      </c>
      <c r="G141" s="82" t="s">
        <v>1722</v>
      </c>
    </row>
    <row r="142" ht="14.25" customHeight="1">
      <c r="A142" s="82" t="s">
        <v>1466</v>
      </c>
      <c r="B142" s="82" t="s">
        <v>1767</v>
      </c>
      <c r="C142" s="82" t="s">
        <v>1759</v>
      </c>
      <c r="D142" s="82" t="s">
        <v>1848</v>
      </c>
      <c r="E142" s="82" t="s">
        <v>1847</v>
      </c>
      <c r="F142" s="82" t="s">
        <v>1758</v>
      </c>
      <c r="G142" s="82" t="s">
        <v>1719</v>
      </c>
    </row>
    <row r="143" ht="14.25" customHeight="1">
      <c r="A143" s="82" t="s">
        <v>1849</v>
      </c>
      <c r="B143" s="82" t="s">
        <v>1767</v>
      </c>
      <c r="C143" s="82" t="s">
        <v>1759</v>
      </c>
      <c r="D143" s="82" t="s">
        <v>1851</v>
      </c>
      <c r="E143" s="82" t="s">
        <v>1850</v>
      </c>
      <c r="F143" s="82" t="s">
        <v>1758</v>
      </c>
      <c r="G143" s="82" t="s">
        <v>1666</v>
      </c>
    </row>
    <row r="144" ht="14.25" customHeight="1">
      <c r="A144" s="82" t="s">
        <v>1849</v>
      </c>
      <c r="B144" s="82" t="s">
        <v>1767</v>
      </c>
      <c r="C144" s="82" t="s">
        <v>1759</v>
      </c>
      <c r="D144" s="82" t="s">
        <v>703</v>
      </c>
      <c r="E144" s="82" t="s">
        <v>316</v>
      </c>
      <c r="F144" s="82" t="s">
        <v>1758</v>
      </c>
      <c r="G144" s="82" t="s">
        <v>1654</v>
      </c>
    </row>
    <row r="145" ht="14.25" customHeight="1">
      <c r="A145" s="82" t="s">
        <v>1849</v>
      </c>
      <c r="B145" s="82" t="s">
        <v>1767</v>
      </c>
      <c r="C145" s="82" t="s">
        <v>1759</v>
      </c>
      <c r="D145" s="82" t="s">
        <v>699</v>
      </c>
      <c r="E145" s="82" t="s">
        <v>468</v>
      </c>
      <c r="F145" s="82" t="s">
        <v>1758</v>
      </c>
      <c r="G145" s="82" t="s">
        <v>1651</v>
      </c>
    </row>
    <row r="146" ht="14.25" customHeight="1">
      <c r="A146" s="82" t="s">
        <v>1849</v>
      </c>
      <c r="B146" s="82" t="s">
        <v>1767</v>
      </c>
      <c r="C146" s="82" t="s">
        <v>1759</v>
      </c>
      <c r="D146" s="82" t="s">
        <v>442</v>
      </c>
      <c r="E146" s="82" t="s">
        <v>1852</v>
      </c>
      <c r="F146" s="82" t="s">
        <v>1758</v>
      </c>
      <c r="G146" s="82" t="s">
        <v>1652</v>
      </c>
    </row>
    <row r="147" ht="14.25" customHeight="1">
      <c r="A147" s="82" t="s">
        <v>1849</v>
      </c>
      <c r="B147" s="82" t="s">
        <v>1767</v>
      </c>
      <c r="C147" s="82" t="s">
        <v>1759</v>
      </c>
      <c r="D147" s="82" t="s">
        <v>1853</v>
      </c>
      <c r="E147" s="82" t="s">
        <v>192</v>
      </c>
      <c r="F147" s="82" t="s">
        <v>1758</v>
      </c>
      <c r="G147" s="82" t="s">
        <v>1661</v>
      </c>
    </row>
    <row r="148" ht="14.25" customHeight="1">
      <c r="A148" s="82" t="s">
        <v>1849</v>
      </c>
      <c r="B148" s="82" t="s">
        <v>1767</v>
      </c>
      <c r="C148" s="82" t="s">
        <v>1759</v>
      </c>
      <c r="D148" s="82" t="s">
        <v>1855</v>
      </c>
      <c r="E148" s="82" t="s">
        <v>1854</v>
      </c>
      <c r="F148" s="82" t="s">
        <v>1758</v>
      </c>
      <c r="G148" s="82" t="s">
        <v>1655</v>
      </c>
    </row>
    <row r="149" ht="14.25" customHeight="1">
      <c r="A149" s="82" t="s">
        <v>1849</v>
      </c>
      <c r="B149" s="82" t="s">
        <v>1767</v>
      </c>
      <c r="C149" s="82" t="s">
        <v>1759</v>
      </c>
      <c r="D149" s="82" t="s">
        <v>430</v>
      </c>
      <c r="E149" s="82" t="s">
        <v>1856</v>
      </c>
      <c r="F149" s="82" t="s">
        <v>1758</v>
      </c>
      <c r="G149" s="82" t="s">
        <v>1653</v>
      </c>
    </row>
    <row r="150" ht="14.25" customHeight="1">
      <c r="A150" s="82" t="s">
        <v>1849</v>
      </c>
      <c r="B150" s="82" t="s">
        <v>1767</v>
      </c>
      <c r="C150" s="82" t="s">
        <v>1759</v>
      </c>
      <c r="D150" s="82" t="s">
        <v>120</v>
      </c>
      <c r="E150" s="82" t="s">
        <v>1857</v>
      </c>
      <c r="F150" s="82" t="s">
        <v>1758</v>
      </c>
      <c r="G150" s="82" t="s">
        <v>1656</v>
      </c>
    </row>
    <row r="151" ht="14.25" customHeight="1">
      <c r="A151" s="82" t="s">
        <v>1849</v>
      </c>
      <c r="B151" s="82" t="s">
        <v>1767</v>
      </c>
      <c r="C151" s="82" t="s">
        <v>1759</v>
      </c>
      <c r="D151" s="82" t="s">
        <v>1859</v>
      </c>
      <c r="E151" s="82" t="s">
        <v>1858</v>
      </c>
      <c r="F151" s="82" t="s">
        <v>1758</v>
      </c>
      <c r="G151" s="82" t="s">
        <v>1919</v>
      </c>
    </row>
    <row r="152" ht="14.25" customHeight="1">
      <c r="A152" s="82" t="s">
        <v>1849</v>
      </c>
      <c r="B152" s="82" t="s">
        <v>1767</v>
      </c>
      <c r="C152" s="82" t="s">
        <v>1759</v>
      </c>
      <c r="D152" s="82" t="s">
        <v>1860</v>
      </c>
      <c r="E152" s="82" t="s">
        <v>287</v>
      </c>
      <c r="F152" s="82" t="s">
        <v>1758</v>
      </c>
      <c r="G152" s="82" t="s">
        <v>1920</v>
      </c>
    </row>
    <row r="153" ht="14.25" customHeight="1">
      <c r="A153" s="82" t="s">
        <v>1849</v>
      </c>
      <c r="B153" s="82" t="s">
        <v>1767</v>
      </c>
      <c r="C153" s="82" t="s">
        <v>1759</v>
      </c>
      <c r="D153" s="82" t="s">
        <v>1862</v>
      </c>
      <c r="E153" s="82" t="s">
        <v>1861</v>
      </c>
      <c r="F153" s="82" t="s">
        <v>1758</v>
      </c>
      <c r="G153" s="82" t="s">
        <v>1921</v>
      </c>
    </row>
    <row r="154" ht="14.25" customHeight="1">
      <c r="A154" s="82" t="s">
        <v>1469</v>
      </c>
      <c r="B154" s="82" t="s">
        <v>1767</v>
      </c>
      <c r="C154" s="82" t="s">
        <v>1759</v>
      </c>
      <c r="D154" s="82" t="s">
        <v>1864</v>
      </c>
      <c r="E154" s="82" t="s">
        <v>1863</v>
      </c>
      <c r="F154" s="82" t="s">
        <v>1758</v>
      </c>
      <c r="G154" s="82" t="s">
        <v>1726</v>
      </c>
    </row>
    <row r="155" ht="14.25" customHeight="1">
      <c r="A155" s="82" t="s">
        <v>1469</v>
      </c>
      <c r="B155" s="82" t="s">
        <v>1767</v>
      </c>
      <c r="C155" s="82" t="s">
        <v>1759</v>
      </c>
      <c r="D155" s="82" t="s">
        <v>1866</v>
      </c>
      <c r="E155" s="82" t="s">
        <v>1865</v>
      </c>
      <c r="F155" s="82" t="s">
        <v>1758</v>
      </c>
      <c r="G155" s="82" t="s">
        <v>1727</v>
      </c>
    </row>
    <row r="156" ht="14.25" customHeight="1">
      <c r="A156" s="82" t="s">
        <v>1469</v>
      </c>
      <c r="B156" s="82" t="s">
        <v>1767</v>
      </c>
      <c r="C156" s="82" t="s">
        <v>1759</v>
      </c>
      <c r="D156" s="82" t="s">
        <v>1868</v>
      </c>
      <c r="E156" s="82" t="s">
        <v>1867</v>
      </c>
      <c r="F156" s="82" t="s">
        <v>1758</v>
      </c>
      <c r="G156" s="82" t="s">
        <v>1540</v>
      </c>
    </row>
    <row r="157" ht="14.25" customHeight="1">
      <c r="A157" s="82" t="s">
        <v>1469</v>
      </c>
      <c r="B157" s="82" t="s">
        <v>1767</v>
      </c>
      <c r="C157" s="82" t="s">
        <v>1759</v>
      </c>
      <c r="D157" s="82" t="s">
        <v>1870</v>
      </c>
      <c r="E157" s="82" t="s">
        <v>1869</v>
      </c>
      <c r="F157" s="82" t="s">
        <v>1758</v>
      </c>
      <c r="G157" s="82" t="s">
        <v>1721</v>
      </c>
    </row>
    <row r="158" ht="14.25" customHeight="1">
      <c r="A158" s="82" t="s">
        <v>1469</v>
      </c>
      <c r="B158" s="82" t="s">
        <v>1767</v>
      </c>
      <c r="C158" s="82" t="s">
        <v>1759</v>
      </c>
      <c r="D158" s="82" t="s">
        <v>1872</v>
      </c>
      <c r="E158" s="82" t="s">
        <v>1871</v>
      </c>
      <c r="F158" s="82" t="s">
        <v>1758</v>
      </c>
      <c r="G158" s="82" t="s">
        <v>1567</v>
      </c>
    </row>
    <row r="159" ht="14.25" customHeight="1">
      <c r="A159" s="82" t="s">
        <v>1469</v>
      </c>
      <c r="B159" s="82" t="s">
        <v>1767</v>
      </c>
      <c r="C159" s="82" t="s">
        <v>1759</v>
      </c>
      <c r="D159" s="82" t="s">
        <v>1874</v>
      </c>
      <c r="E159" s="82" t="s">
        <v>1873</v>
      </c>
      <c r="F159" s="82" t="s">
        <v>1758</v>
      </c>
      <c r="G159" s="82" t="s">
        <v>1563</v>
      </c>
    </row>
    <row r="160" ht="14.25" customHeight="1">
      <c r="A160" s="82" t="s">
        <v>1875</v>
      </c>
      <c r="B160" s="82" t="s">
        <v>1767</v>
      </c>
      <c r="C160" s="82" t="s">
        <v>1759</v>
      </c>
      <c r="D160" s="82" t="s">
        <v>561</v>
      </c>
      <c r="E160" s="82" t="s">
        <v>629</v>
      </c>
      <c r="F160" s="82" t="s">
        <v>1758</v>
      </c>
      <c r="G160" s="82" t="s">
        <v>1599</v>
      </c>
    </row>
    <row r="161" ht="14.25" customHeight="1">
      <c r="A161" s="82" t="s">
        <v>1876</v>
      </c>
      <c r="B161" s="82" t="s">
        <v>1767</v>
      </c>
      <c r="C161" s="82" t="s">
        <v>1759</v>
      </c>
      <c r="D161" s="82" t="s">
        <v>1878</v>
      </c>
      <c r="E161" s="82" t="s">
        <v>1877</v>
      </c>
      <c r="F161" s="82" t="s">
        <v>1758</v>
      </c>
      <c r="G161" s="82" t="s">
        <v>1922</v>
      </c>
    </row>
    <row r="162" ht="14.25" customHeight="1">
      <c r="A162" s="82" t="s">
        <v>1467</v>
      </c>
      <c r="B162" s="82" t="s">
        <v>1769</v>
      </c>
      <c r="C162" s="82" t="s">
        <v>1759</v>
      </c>
      <c r="D162" s="82" t="s">
        <v>1881</v>
      </c>
      <c r="E162" s="82" t="s">
        <v>1880</v>
      </c>
      <c r="F162" s="82" t="s">
        <v>1758</v>
      </c>
      <c r="G162" s="82" t="s">
        <v>1731</v>
      </c>
    </row>
    <row r="163" ht="14.25" customHeight="1">
      <c r="A163" s="82" t="s">
        <v>1467</v>
      </c>
      <c r="B163" s="82" t="s">
        <v>1769</v>
      </c>
      <c r="C163" s="82" t="s">
        <v>1759</v>
      </c>
      <c r="D163" s="82" t="s">
        <v>1883</v>
      </c>
      <c r="E163" s="82" t="s">
        <v>1882</v>
      </c>
      <c r="F163" s="82" t="s">
        <v>1758</v>
      </c>
      <c r="G163" s="82" t="s">
        <v>1676</v>
      </c>
    </row>
    <row r="164" ht="14.25" customHeight="1">
      <c r="A164" s="82" t="s">
        <v>1467</v>
      </c>
      <c r="B164" s="82" t="s">
        <v>1769</v>
      </c>
      <c r="C164" s="82" t="s">
        <v>1759</v>
      </c>
      <c r="D164" s="82" t="s">
        <v>1885</v>
      </c>
      <c r="E164" s="82" t="s">
        <v>1884</v>
      </c>
      <c r="F164" s="82" t="s">
        <v>1758</v>
      </c>
      <c r="G164" s="82" t="s">
        <v>1709</v>
      </c>
    </row>
    <row r="165" ht="14.25" customHeight="1">
      <c r="A165" s="82" t="s">
        <v>1467</v>
      </c>
      <c r="B165" s="82" t="s">
        <v>1769</v>
      </c>
      <c r="C165" s="82" t="s">
        <v>1759</v>
      </c>
      <c r="D165" s="82" t="s">
        <v>1887</v>
      </c>
      <c r="E165" s="82" t="s">
        <v>1886</v>
      </c>
      <c r="F165" s="82" t="s">
        <v>1758</v>
      </c>
      <c r="G165" s="82" t="s">
        <v>1745</v>
      </c>
    </row>
    <row r="166" ht="14.25" customHeight="1">
      <c r="A166" s="82" t="s">
        <v>1467</v>
      </c>
      <c r="B166" s="82" t="s">
        <v>1773</v>
      </c>
      <c r="C166" s="82" t="s">
        <v>1759</v>
      </c>
      <c r="D166" s="82" t="s">
        <v>1888</v>
      </c>
      <c r="E166" s="82" t="s">
        <v>881</v>
      </c>
      <c r="F166" s="82" t="s">
        <v>1758</v>
      </c>
      <c r="G166" s="82" t="s">
        <v>1708</v>
      </c>
    </row>
    <row r="167" ht="14.25" customHeight="1">
      <c r="A167" s="82" t="s">
        <v>1467</v>
      </c>
      <c r="B167" s="82" t="s">
        <v>1773</v>
      </c>
      <c r="C167" s="82" t="s">
        <v>1759</v>
      </c>
      <c r="D167" s="82" t="s">
        <v>917</v>
      </c>
      <c r="E167" s="82" t="s">
        <v>1889</v>
      </c>
      <c r="F167" s="82" t="s">
        <v>1758</v>
      </c>
      <c r="G167" s="82" t="s">
        <v>1730</v>
      </c>
    </row>
    <row r="168" ht="14.25" customHeight="1">
      <c r="A168" s="82" t="s">
        <v>1476</v>
      </c>
      <c r="B168" s="82" t="s">
        <v>1773</v>
      </c>
      <c r="C168" s="82" t="s">
        <v>1759</v>
      </c>
      <c r="D168" s="82" t="s">
        <v>1891</v>
      </c>
      <c r="E168" s="82" t="s">
        <v>1890</v>
      </c>
      <c r="F168" s="82" t="s">
        <v>1758</v>
      </c>
      <c r="G168" s="82" t="s">
        <v>1671</v>
      </c>
    </row>
    <row r="169" ht="14.25" customHeight="1">
      <c r="A169" s="82" t="s">
        <v>1476</v>
      </c>
      <c r="B169" s="82" t="s">
        <v>1773</v>
      </c>
      <c r="C169" s="82" t="s">
        <v>1759</v>
      </c>
      <c r="D169" s="82" t="s">
        <v>1893</v>
      </c>
      <c r="E169" s="82" t="s">
        <v>1892</v>
      </c>
      <c r="F169" s="82" t="s">
        <v>1758</v>
      </c>
      <c r="G169" s="82" t="s">
        <v>1705</v>
      </c>
    </row>
    <row r="170" ht="14.25" customHeight="1">
      <c r="A170" s="82" t="s">
        <v>1476</v>
      </c>
      <c r="B170" s="82" t="s">
        <v>1773</v>
      </c>
      <c r="C170" s="82" t="s">
        <v>1759</v>
      </c>
      <c r="D170" s="82" t="s">
        <v>1894</v>
      </c>
      <c r="E170" s="82" t="s">
        <v>885</v>
      </c>
      <c r="F170" s="82" t="s">
        <v>1758</v>
      </c>
      <c r="G170" s="82" t="s">
        <v>1673</v>
      </c>
    </row>
    <row r="171" ht="14.25" customHeight="1">
      <c r="A171" s="82" t="s">
        <v>1467</v>
      </c>
      <c r="B171" s="82" t="s">
        <v>1773</v>
      </c>
      <c r="C171" s="82" t="s">
        <v>1759</v>
      </c>
      <c r="D171" s="82" t="s">
        <v>1888</v>
      </c>
      <c r="E171" s="82" t="s">
        <v>881</v>
      </c>
      <c r="F171" s="82" t="s">
        <v>1758</v>
      </c>
      <c r="G171" s="82" t="s">
        <v>1708</v>
      </c>
    </row>
    <row r="172" ht="14.25" customHeight="1">
      <c r="A172" s="82" t="s">
        <v>1472</v>
      </c>
      <c r="B172" s="82" t="s">
        <v>1773</v>
      </c>
      <c r="C172" s="82" t="s">
        <v>1759</v>
      </c>
      <c r="D172" s="82" t="s">
        <v>917</v>
      </c>
      <c r="E172" s="82" t="s">
        <v>1889</v>
      </c>
      <c r="F172" s="82" t="s">
        <v>1758</v>
      </c>
      <c r="G172" s="82" t="s">
        <v>1730</v>
      </c>
    </row>
    <row r="173" ht="14.25" customHeight="1">
      <c r="A173" s="82" t="s">
        <v>1800</v>
      </c>
      <c r="B173" s="82" t="s">
        <v>1773</v>
      </c>
      <c r="C173" s="82" t="s">
        <v>1759</v>
      </c>
      <c r="D173" s="82" t="s">
        <v>679</v>
      </c>
      <c r="E173" s="82" t="s">
        <v>1895</v>
      </c>
      <c r="F173" s="82" t="s">
        <v>1758</v>
      </c>
      <c r="G173" s="82" t="s">
        <v>1672</v>
      </c>
    </row>
    <row r="174" ht="14.25" customHeight="1">
      <c r="A174" s="82" t="s">
        <v>1800</v>
      </c>
      <c r="B174" s="82" t="s">
        <v>1773</v>
      </c>
      <c r="C174" s="82" t="s">
        <v>1759</v>
      </c>
      <c r="D174" s="82" t="s">
        <v>143</v>
      </c>
      <c r="E174" s="82" t="s">
        <v>266</v>
      </c>
      <c r="F174" s="82" t="s">
        <v>1758</v>
      </c>
      <c r="G174" s="82" t="s">
        <v>1704</v>
      </c>
    </row>
    <row r="175" ht="14.25" customHeight="1">
      <c r="A175" s="82" t="s">
        <v>1803</v>
      </c>
      <c r="B175" s="82" t="s">
        <v>1773</v>
      </c>
      <c r="C175" s="82" t="s">
        <v>1759</v>
      </c>
      <c r="D175" s="82" t="s">
        <v>176</v>
      </c>
      <c r="E175" s="82" t="s">
        <v>204</v>
      </c>
      <c r="F175" s="82" t="s">
        <v>1758</v>
      </c>
      <c r="G175" s="82" t="s">
        <v>1659</v>
      </c>
    </row>
    <row r="176" ht="14.25" customHeight="1">
      <c r="A176" s="82" t="s">
        <v>1803</v>
      </c>
      <c r="B176" s="82" t="s">
        <v>1773</v>
      </c>
      <c r="C176" s="82" t="s">
        <v>1759</v>
      </c>
      <c r="D176" s="82" t="s">
        <v>482</v>
      </c>
      <c r="E176" s="82" t="s">
        <v>850</v>
      </c>
      <c r="F176" s="82" t="s">
        <v>1758</v>
      </c>
      <c r="G176" s="82" t="s">
        <v>1664</v>
      </c>
    </row>
    <row r="177" ht="14.25" customHeight="1">
      <c r="A177" s="82" t="s">
        <v>1803</v>
      </c>
      <c r="B177" s="82" t="s">
        <v>1773</v>
      </c>
      <c r="C177" s="82" t="s">
        <v>1759</v>
      </c>
      <c r="D177" s="82" t="s">
        <v>1896</v>
      </c>
      <c r="E177" s="82" t="s">
        <v>151</v>
      </c>
      <c r="F177" s="82" t="s">
        <v>1758</v>
      </c>
      <c r="G177" s="82" t="s">
        <v>1665</v>
      </c>
    </row>
    <row r="178" ht="14.25" customHeight="1">
      <c r="A178" s="82" t="s">
        <v>1472</v>
      </c>
      <c r="B178" s="82" t="s">
        <v>1771</v>
      </c>
      <c r="C178" s="82" t="s">
        <v>1759</v>
      </c>
      <c r="D178" s="82" t="s">
        <v>1987</v>
      </c>
      <c r="E178" s="82" t="s">
        <v>1897</v>
      </c>
      <c r="F178" s="82" t="s">
        <v>1758</v>
      </c>
      <c r="G178" s="82" t="s">
        <v>1706</v>
      </c>
    </row>
    <row r="179" ht="14.25" customHeight="1">
      <c r="A179" s="82" t="s">
        <v>1472</v>
      </c>
      <c r="B179" s="82" t="s">
        <v>1771</v>
      </c>
      <c r="C179" s="82" t="s">
        <v>1759</v>
      </c>
      <c r="D179" s="82" t="s">
        <v>1900</v>
      </c>
      <c r="E179" s="82" t="s">
        <v>1899</v>
      </c>
      <c r="F179" s="82" t="s">
        <v>1758</v>
      </c>
      <c r="G179" s="82" t="s">
        <v>1707</v>
      </c>
    </row>
    <row r="180" ht="14.25" customHeight="1">
      <c r="A180" s="82" t="s">
        <v>1472</v>
      </c>
      <c r="B180" s="82" t="s">
        <v>1771</v>
      </c>
      <c r="C180" s="82" t="s">
        <v>1759</v>
      </c>
      <c r="D180" s="82" t="s">
        <v>1902</v>
      </c>
      <c r="E180" s="82" t="s">
        <v>1901</v>
      </c>
      <c r="F180" s="82" t="s">
        <v>1758</v>
      </c>
      <c r="G180" s="82" t="s">
        <v>1649</v>
      </c>
    </row>
    <row r="181" ht="14.25" customHeight="1">
      <c r="A181" s="82" t="s">
        <v>1472</v>
      </c>
      <c r="B181" s="82" t="s">
        <v>1771</v>
      </c>
      <c r="C181" s="82" t="s">
        <v>1759</v>
      </c>
      <c r="D181" s="82" t="s">
        <v>1904</v>
      </c>
      <c r="E181" s="82" t="s">
        <v>1903</v>
      </c>
      <c r="F181" s="82" t="s">
        <v>1758</v>
      </c>
      <c r="G181" s="82" t="s">
        <v>1904</v>
      </c>
    </row>
    <row r="182" ht="14.25" customHeight="1">
      <c r="A182" s="82" t="s">
        <v>1472</v>
      </c>
      <c r="B182" s="82" t="s">
        <v>1771</v>
      </c>
      <c r="C182" s="82" t="s">
        <v>1759</v>
      </c>
      <c r="D182" s="82" t="s">
        <v>1904</v>
      </c>
      <c r="E182" s="82" t="s">
        <v>1905</v>
      </c>
      <c r="F182" s="82" t="s">
        <v>1758</v>
      </c>
      <c r="G182" s="82" t="s">
        <v>1904</v>
      </c>
    </row>
    <row r="183" ht="14.25" customHeight="1">
      <c r="A183" s="82" t="s">
        <v>1472</v>
      </c>
      <c r="B183" s="82" t="s">
        <v>1771</v>
      </c>
      <c r="C183" s="82" t="s">
        <v>1759</v>
      </c>
      <c r="D183" s="82" t="s">
        <v>1904</v>
      </c>
      <c r="E183" s="82" t="s">
        <v>1906</v>
      </c>
      <c r="F183" s="82" t="s">
        <v>1758</v>
      </c>
      <c r="G183" s="82" t="s">
        <v>1904</v>
      </c>
    </row>
    <row r="184" ht="14.25" customHeight="1">
      <c r="A184" s="82" t="s">
        <v>1472</v>
      </c>
      <c r="B184" s="82" t="s">
        <v>1771</v>
      </c>
      <c r="C184" s="82" t="s">
        <v>1759</v>
      </c>
      <c r="D184" s="82" t="s">
        <v>1904</v>
      </c>
      <c r="E184" s="82" t="s">
        <v>1907</v>
      </c>
      <c r="F184" s="82" t="s">
        <v>1758</v>
      </c>
      <c r="G184" s="82" t="s">
        <v>1904</v>
      </c>
    </row>
    <row r="185" ht="14.25" customHeight="1">
      <c r="A185" s="82" t="s">
        <v>1472</v>
      </c>
      <c r="B185" s="82" t="s">
        <v>1771</v>
      </c>
      <c r="C185" s="82" t="s">
        <v>1759</v>
      </c>
      <c r="D185" s="82" t="s">
        <v>1904</v>
      </c>
      <c r="E185" s="82" t="s">
        <v>1899</v>
      </c>
      <c r="F185" s="82" t="s">
        <v>1758</v>
      </c>
      <c r="G185" s="82" t="s">
        <v>1904</v>
      </c>
    </row>
    <row r="186" ht="14.25" customHeight="1">
      <c r="A186" s="82" t="s">
        <v>1472</v>
      </c>
      <c r="B186" s="82" t="s">
        <v>1771</v>
      </c>
      <c r="C186" s="82" t="s">
        <v>1759</v>
      </c>
      <c r="D186" s="82" t="s">
        <v>1904</v>
      </c>
      <c r="E186" s="82" t="s">
        <v>1433</v>
      </c>
      <c r="F186" s="82" t="s">
        <v>1758</v>
      </c>
      <c r="G186" s="82" t="s">
        <v>1904</v>
      </c>
    </row>
    <row r="187" ht="14.25" customHeight="1">
      <c r="A187" s="82" t="s">
        <v>1472</v>
      </c>
      <c r="B187" s="82" t="s">
        <v>1771</v>
      </c>
      <c r="C187" s="82" t="s">
        <v>1759</v>
      </c>
      <c r="D187" s="82" t="s">
        <v>1904</v>
      </c>
      <c r="E187" s="82" t="s">
        <v>1905</v>
      </c>
      <c r="F187" s="82" t="s">
        <v>1758</v>
      </c>
      <c r="G187" s="82" t="s">
        <v>1904</v>
      </c>
    </row>
    <row r="188" ht="14.25" customHeight="1">
      <c r="A188" s="82" t="s">
        <v>1472</v>
      </c>
      <c r="B188" s="82" t="s">
        <v>1771</v>
      </c>
      <c r="C188" s="82" t="s">
        <v>1759</v>
      </c>
      <c r="D188" s="82" t="s">
        <v>1904</v>
      </c>
      <c r="E188" s="82" t="s">
        <v>1908</v>
      </c>
      <c r="F188" s="82" t="s">
        <v>1758</v>
      </c>
      <c r="G188" s="82" t="s">
        <v>1904</v>
      </c>
    </row>
    <row r="189" ht="14.25" customHeight="1">
      <c r="A189" s="82" t="s">
        <v>1472</v>
      </c>
      <c r="B189" s="82" t="s">
        <v>1771</v>
      </c>
      <c r="C189" s="82" t="s">
        <v>1759</v>
      </c>
      <c r="D189" s="82" t="s">
        <v>1904</v>
      </c>
      <c r="E189" s="82" t="s">
        <v>1909</v>
      </c>
      <c r="F189" s="82" t="s">
        <v>1758</v>
      </c>
      <c r="G189" s="82" t="s">
        <v>1904</v>
      </c>
    </row>
    <row r="190" ht="14.25" customHeight="1">
      <c r="A190" s="82" t="s">
        <v>1472</v>
      </c>
      <c r="B190" s="82" t="s">
        <v>1771</v>
      </c>
      <c r="C190" s="82" t="s">
        <v>1759</v>
      </c>
      <c r="D190" s="82" t="s">
        <v>1904</v>
      </c>
      <c r="E190" s="82" t="s">
        <v>1911</v>
      </c>
      <c r="F190" s="82" t="s">
        <v>1758</v>
      </c>
      <c r="G190" s="82" t="s">
        <v>1904</v>
      </c>
    </row>
    <row r="191" ht="14.25" customHeight="1">
      <c r="A191" s="82" t="s">
        <v>1472</v>
      </c>
      <c r="B191" s="82" t="s">
        <v>1771</v>
      </c>
      <c r="C191" s="82" t="s">
        <v>1759</v>
      </c>
      <c r="D191" s="82" t="s">
        <v>877</v>
      </c>
      <c r="E191" s="82" t="s">
        <v>877</v>
      </c>
      <c r="F191" s="82" t="s">
        <v>1758</v>
      </c>
      <c r="G191" s="82" t="s">
        <v>877</v>
      </c>
    </row>
    <row r="192" ht="14.25" customHeight="1">
      <c r="A192" s="82" t="s">
        <v>1803</v>
      </c>
      <c r="B192" s="82" t="s">
        <v>1771</v>
      </c>
      <c r="C192" s="82" t="s">
        <v>1759</v>
      </c>
      <c r="D192" s="82" t="s">
        <v>1904</v>
      </c>
      <c r="E192" s="82" t="s">
        <v>1912</v>
      </c>
      <c r="F192" s="82" t="s">
        <v>1758</v>
      </c>
      <c r="G192" s="82" t="s">
        <v>1904</v>
      </c>
    </row>
    <row r="193" ht="14.25" customHeight="1">
      <c r="A193" s="82" t="s">
        <v>1914</v>
      </c>
      <c r="B193" s="82" t="s">
        <v>1771</v>
      </c>
      <c r="C193" s="82" t="s">
        <v>1759</v>
      </c>
      <c r="D193" s="82" t="s">
        <v>1904</v>
      </c>
      <c r="E193" s="82" t="s">
        <v>1915</v>
      </c>
      <c r="F193" s="82" t="s">
        <v>1758</v>
      </c>
      <c r="G193" s="82" t="s">
        <v>1904</v>
      </c>
    </row>
    <row r="194" ht="14.25" customHeight="1">
      <c r="A194" s="82" t="s">
        <v>1914</v>
      </c>
      <c r="B194" s="82" t="s">
        <v>1771</v>
      </c>
      <c r="C194" s="82" t="s">
        <v>1759</v>
      </c>
      <c r="D194" s="82" t="s">
        <v>1904</v>
      </c>
      <c r="E194" s="82" t="s">
        <v>1916</v>
      </c>
      <c r="F194" s="82" t="s">
        <v>1758</v>
      </c>
      <c r="G194" s="82" t="s">
        <v>1904</v>
      </c>
    </row>
    <row r="195" ht="14.25" customHeight="1">
      <c r="A195" s="82" t="s">
        <v>1475</v>
      </c>
      <c r="B195" s="82" t="s">
        <v>1767</v>
      </c>
      <c r="C195" s="82" t="s">
        <v>1758</v>
      </c>
      <c r="D195" s="82" t="s">
        <v>1923</v>
      </c>
      <c r="E195" s="82" t="s">
        <v>1924</v>
      </c>
      <c r="F195" s="82" t="s">
        <v>1759</v>
      </c>
      <c r="G195" s="82" t="s">
        <v>1608</v>
      </c>
    </row>
    <row r="196" ht="14.25" customHeight="1">
      <c r="A196" s="82" t="s">
        <v>1475</v>
      </c>
      <c r="B196" s="82" t="s">
        <v>1767</v>
      </c>
      <c r="C196" s="82" t="s">
        <v>1759</v>
      </c>
      <c r="D196" s="82" t="s">
        <v>1924</v>
      </c>
      <c r="E196" s="82" t="s">
        <v>1923</v>
      </c>
      <c r="F196" s="82" t="s">
        <v>1758</v>
      </c>
      <c r="G196" s="82" t="s">
        <v>1610</v>
      </c>
    </row>
    <row r="197" ht="14.25" customHeight="1">
      <c r="A197" s="82" t="s">
        <v>1475</v>
      </c>
      <c r="B197" s="82" t="s">
        <v>1767</v>
      </c>
      <c r="C197" s="82" t="s">
        <v>1759</v>
      </c>
      <c r="D197" s="82" t="s">
        <v>1925</v>
      </c>
      <c r="E197" s="82" t="s">
        <v>1841</v>
      </c>
      <c r="F197" s="82" t="s">
        <v>1758</v>
      </c>
      <c r="G197" s="82" t="s">
        <v>1689</v>
      </c>
    </row>
    <row r="198" ht="14.25" customHeight="1">
      <c r="A198" s="82" t="s">
        <v>1926</v>
      </c>
      <c r="B198" s="82" t="s">
        <v>1926</v>
      </c>
      <c r="C198" s="82" t="s">
        <v>1926</v>
      </c>
      <c r="D198" s="82" t="s">
        <v>1927</v>
      </c>
      <c r="E198" s="82" t="s">
        <v>1926</v>
      </c>
      <c r="F198" s="82" t="s">
        <v>1926</v>
      </c>
      <c r="G198" s="82" t="s">
        <v>1928</v>
      </c>
    </row>
    <row r="199" ht="14.25" customHeight="1">
      <c r="A199" s="82" t="s">
        <v>1476</v>
      </c>
      <c r="B199" s="82" t="s">
        <v>1773</v>
      </c>
      <c r="C199" s="82" t="s">
        <v>1758</v>
      </c>
      <c r="D199" s="82" t="s">
        <v>1929</v>
      </c>
      <c r="E199" s="82" t="s">
        <v>1926</v>
      </c>
      <c r="F199" s="82" t="s">
        <v>1926</v>
      </c>
      <c r="G199" s="82" t="s">
        <v>1514</v>
      </c>
    </row>
    <row r="200" ht="14.25" customHeight="1">
      <c r="A200" s="82" t="s">
        <v>1476</v>
      </c>
      <c r="B200" s="82" t="s">
        <v>1926</v>
      </c>
      <c r="C200" s="82" t="s">
        <v>1926</v>
      </c>
      <c r="D200" s="82" t="s">
        <v>1930</v>
      </c>
      <c r="E200" s="82" t="s">
        <v>1926</v>
      </c>
      <c r="F200" s="82" t="s">
        <v>1926</v>
      </c>
      <c r="G200" s="82" t="s">
        <v>1705</v>
      </c>
    </row>
    <row r="201" ht="14.25" customHeight="1">
      <c r="A201" s="82" t="s">
        <v>1926</v>
      </c>
      <c r="B201" s="82" t="s">
        <v>1926</v>
      </c>
      <c r="C201" s="82" t="s">
        <v>1926</v>
      </c>
      <c r="D201" s="82" t="s">
        <v>1931</v>
      </c>
      <c r="E201" s="82" t="s">
        <v>1926</v>
      </c>
      <c r="F201" s="82" t="s">
        <v>1926</v>
      </c>
      <c r="G201" s="82" t="s">
        <v>1752</v>
      </c>
    </row>
    <row r="202" ht="14.25" customHeight="1">
      <c r="A202" s="82" t="s">
        <v>1926</v>
      </c>
      <c r="B202" s="82" t="s">
        <v>1926</v>
      </c>
      <c r="C202" s="82" t="s">
        <v>1926</v>
      </c>
      <c r="D202" s="82" t="s">
        <v>1932</v>
      </c>
      <c r="E202" s="82" t="s">
        <v>1926</v>
      </c>
      <c r="F202" s="82" t="s">
        <v>1926</v>
      </c>
      <c r="G202" s="82" t="s">
        <v>1753</v>
      </c>
    </row>
    <row r="203" ht="14.25" customHeight="1">
      <c r="A203" s="82" t="s">
        <v>1803</v>
      </c>
      <c r="B203" s="82" t="s">
        <v>1926</v>
      </c>
      <c r="C203" s="82" t="s">
        <v>1926</v>
      </c>
      <c r="D203" s="82" t="s">
        <v>1933</v>
      </c>
      <c r="E203" s="82" t="s">
        <v>1926</v>
      </c>
      <c r="F203" s="82" t="s">
        <v>1926</v>
      </c>
      <c r="G203" s="82" t="s">
        <v>1588</v>
      </c>
    </row>
    <row r="204" ht="14.25" customHeight="1">
      <c r="A204" s="82" t="s">
        <v>1803</v>
      </c>
      <c r="B204" s="82" t="s">
        <v>1926</v>
      </c>
      <c r="C204" s="82" t="s">
        <v>1926</v>
      </c>
      <c r="D204" s="82" t="s">
        <v>1934</v>
      </c>
      <c r="E204" s="82" t="s">
        <v>1926</v>
      </c>
      <c r="F204" s="82" t="s">
        <v>1926</v>
      </c>
      <c r="G204" s="82" t="s">
        <v>1659</v>
      </c>
    </row>
    <row r="205" ht="14.25" customHeight="1">
      <c r="A205" s="82" t="s">
        <v>1926</v>
      </c>
      <c r="B205" s="82" t="s">
        <v>1926</v>
      </c>
      <c r="C205" s="82" t="s">
        <v>1926</v>
      </c>
      <c r="D205" s="82" t="s">
        <v>1935</v>
      </c>
      <c r="E205" s="82" t="s">
        <v>1926</v>
      </c>
      <c r="F205" s="82" t="s">
        <v>1926</v>
      </c>
      <c r="G205" s="82" t="s">
        <v>1936</v>
      </c>
    </row>
    <row r="206" ht="14.25" customHeight="1">
      <c r="A206" s="82" t="s">
        <v>1926</v>
      </c>
      <c r="B206" s="82" t="s">
        <v>1926</v>
      </c>
      <c r="C206" s="82" t="s">
        <v>1926</v>
      </c>
      <c r="D206" s="82" t="s">
        <v>1937</v>
      </c>
      <c r="E206" s="82" t="s">
        <v>1926</v>
      </c>
      <c r="F206" s="82" t="s">
        <v>1926</v>
      </c>
      <c r="G206" s="82" t="s">
        <v>1938</v>
      </c>
    </row>
    <row r="207" ht="14.25" customHeight="1">
      <c r="A207" s="82" t="s">
        <v>1926</v>
      </c>
      <c r="B207" s="82" t="s">
        <v>1926</v>
      </c>
      <c r="C207" s="82" t="s">
        <v>1926</v>
      </c>
      <c r="D207" s="82" t="s">
        <v>1939</v>
      </c>
      <c r="E207" s="82" t="s">
        <v>1926</v>
      </c>
      <c r="F207" s="82" t="s">
        <v>1926</v>
      </c>
      <c r="G207" s="82" t="s">
        <v>1529</v>
      </c>
    </row>
    <row r="208" ht="14.25" customHeight="1">
      <c r="A208" s="82" t="s">
        <v>1926</v>
      </c>
      <c r="B208" s="82" t="s">
        <v>1926</v>
      </c>
      <c r="C208" s="82" t="s">
        <v>1926</v>
      </c>
      <c r="D208" s="82" t="s">
        <v>1940</v>
      </c>
      <c r="E208" s="82" t="s">
        <v>1926</v>
      </c>
      <c r="F208" s="82" t="s">
        <v>1926</v>
      </c>
      <c r="G208" s="82" t="s">
        <v>1941</v>
      </c>
    </row>
    <row r="209" ht="14.25" customHeight="1">
      <c r="A209" s="82" t="s">
        <v>1942</v>
      </c>
      <c r="B209" s="82" t="s">
        <v>1926</v>
      </c>
      <c r="C209" s="82" t="s">
        <v>1926</v>
      </c>
      <c r="D209" s="82" t="s">
        <v>1943</v>
      </c>
      <c r="E209" s="82" t="s">
        <v>1926</v>
      </c>
      <c r="F209" s="82" t="s">
        <v>1926</v>
      </c>
      <c r="G209" s="82" t="s">
        <v>1578</v>
      </c>
    </row>
    <row r="210" ht="14.25" customHeight="1">
      <c r="A210" s="82" t="s">
        <v>1942</v>
      </c>
      <c r="B210" s="82" t="s">
        <v>1926</v>
      </c>
      <c r="C210" s="82" t="s">
        <v>1926</v>
      </c>
      <c r="D210" s="82" t="s">
        <v>1944</v>
      </c>
      <c r="E210" s="82" t="s">
        <v>1926</v>
      </c>
      <c r="F210" s="82" t="s">
        <v>1926</v>
      </c>
      <c r="G210" s="82" t="s">
        <v>1542</v>
      </c>
    </row>
    <row r="211" ht="14.25" customHeight="1">
      <c r="A211" s="82" t="s">
        <v>1942</v>
      </c>
      <c r="B211" s="82" t="s">
        <v>1926</v>
      </c>
      <c r="C211" s="82" t="s">
        <v>1926</v>
      </c>
      <c r="D211" s="82" t="s">
        <v>1945</v>
      </c>
      <c r="E211" s="82" t="s">
        <v>1926</v>
      </c>
      <c r="F211" s="82" t="s">
        <v>1926</v>
      </c>
      <c r="G211" s="82" t="s">
        <v>1541</v>
      </c>
    </row>
    <row r="212" ht="14.25" customHeight="1">
      <c r="A212" s="82" t="s">
        <v>1942</v>
      </c>
      <c r="B212" s="82" t="s">
        <v>1767</v>
      </c>
      <c r="D212" s="82" t="s">
        <v>1946</v>
      </c>
      <c r="G212" s="82" t="s">
        <v>1557</v>
      </c>
    </row>
    <row r="213" ht="14.25" customHeight="1">
      <c r="A213" s="82" t="s">
        <v>1926</v>
      </c>
      <c r="B213" s="82" t="s">
        <v>1926</v>
      </c>
      <c r="D213" s="82" t="s">
        <v>1947</v>
      </c>
      <c r="G213" s="82" t="s">
        <v>1646</v>
      </c>
    </row>
    <row r="214" ht="14.25" customHeight="1">
      <c r="A214" s="82" t="s">
        <v>1800</v>
      </c>
      <c r="B214" s="82" t="s">
        <v>1765</v>
      </c>
      <c r="D214" s="82" t="s">
        <v>1948</v>
      </c>
      <c r="G214" s="82" t="s">
        <v>1736</v>
      </c>
    </row>
    <row r="215" ht="14.25" customHeight="1">
      <c r="A215" s="82" t="s">
        <v>1800</v>
      </c>
      <c r="B215" s="82" t="s">
        <v>1765</v>
      </c>
      <c r="D215" s="82" t="s">
        <v>1949</v>
      </c>
      <c r="G215" s="82" t="s">
        <v>1526</v>
      </c>
    </row>
    <row r="216" ht="14.25" customHeight="1">
      <c r="A216" s="82" t="s">
        <v>1472</v>
      </c>
      <c r="B216" s="82" t="s">
        <v>1771</v>
      </c>
      <c r="D216" s="82" t="s">
        <v>1950</v>
      </c>
      <c r="G216" s="82" t="s">
        <v>1536</v>
      </c>
    </row>
    <row r="217" ht="14.25" customHeight="1">
      <c r="A217" s="82" t="s">
        <v>1466</v>
      </c>
      <c r="B217" s="82" t="s">
        <v>1765</v>
      </c>
      <c r="D217" s="82" t="s">
        <v>1951</v>
      </c>
      <c r="G217" s="82" t="s">
        <v>1548</v>
      </c>
    </row>
    <row r="218" ht="14.25" customHeight="1">
      <c r="A218" s="82" t="s">
        <v>1926</v>
      </c>
      <c r="B218" s="82" t="s">
        <v>1926</v>
      </c>
      <c r="D218" s="82" t="s">
        <v>1952</v>
      </c>
      <c r="G218" s="82" t="s">
        <v>1568</v>
      </c>
    </row>
    <row r="219" ht="14.25" customHeight="1">
      <c r="A219" s="82" t="s">
        <v>1472</v>
      </c>
      <c r="B219" s="82" t="s">
        <v>1771</v>
      </c>
      <c r="D219" s="82" t="s">
        <v>1953</v>
      </c>
      <c r="G219" s="82" t="s">
        <v>1535</v>
      </c>
    </row>
    <row r="220" ht="14.25" customHeight="1">
      <c r="A220" s="82" t="s">
        <v>1467</v>
      </c>
      <c r="B220" s="82" t="s">
        <v>1773</v>
      </c>
      <c r="D220" s="82" t="s">
        <v>1954</v>
      </c>
      <c r="G220" s="82" t="s">
        <v>1569</v>
      </c>
    </row>
    <row r="221" ht="14.25" customHeight="1">
      <c r="A221" s="82" t="s">
        <v>1926</v>
      </c>
      <c r="B221" s="82" t="s">
        <v>1926</v>
      </c>
      <c r="D221" s="82" t="s">
        <v>1955</v>
      </c>
      <c r="G221" s="82" t="s">
        <v>1730</v>
      </c>
    </row>
    <row r="222" ht="14.25" customHeight="1">
      <c r="A222" s="82" t="s">
        <v>1466</v>
      </c>
      <c r="B222" s="82" t="s">
        <v>1765</v>
      </c>
      <c r="D222" s="82" t="s">
        <v>1956</v>
      </c>
      <c r="G222" s="82" t="s">
        <v>1547</v>
      </c>
    </row>
    <row r="223" ht="14.25" customHeight="1">
      <c r="A223" s="82" t="s">
        <v>1475</v>
      </c>
      <c r="B223" s="82" t="s">
        <v>1767</v>
      </c>
      <c r="D223" s="82" t="s">
        <v>1957</v>
      </c>
      <c r="G223" s="82" t="s">
        <v>1616</v>
      </c>
    </row>
    <row r="224" ht="14.25" customHeight="1">
      <c r="A224" s="82" t="s">
        <v>1475</v>
      </c>
      <c r="B224" s="82" t="s">
        <v>1767</v>
      </c>
      <c r="D224" s="82" t="s">
        <v>1958</v>
      </c>
      <c r="G224" s="82" t="s">
        <v>1686</v>
      </c>
    </row>
    <row r="225" ht="14.25" customHeight="1">
      <c r="A225" s="82" t="s">
        <v>1466</v>
      </c>
      <c r="B225" s="82" t="s">
        <v>1765</v>
      </c>
      <c r="D225" s="82" t="s">
        <v>1959</v>
      </c>
      <c r="G225" s="82" t="s">
        <v>1698</v>
      </c>
    </row>
    <row r="226" ht="14.25" customHeight="1">
      <c r="A226" s="82" t="s">
        <v>1472</v>
      </c>
      <c r="B226" s="82" t="s">
        <v>1771</v>
      </c>
      <c r="D226" s="82" t="s">
        <v>1960</v>
      </c>
      <c r="G226" s="82" t="s">
        <v>1519</v>
      </c>
    </row>
    <row r="227" ht="14.25" customHeight="1">
      <c r="A227" s="82" t="s">
        <v>1472</v>
      </c>
      <c r="B227" s="82" t="s">
        <v>1771</v>
      </c>
      <c r="D227" s="82" t="s">
        <v>1961</v>
      </c>
      <c r="G227" s="82" t="s">
        <v>1525</v>
      </c>
    </row>
    <row r="228" ht="14.25" customHeight="1">
      <c r="A228" s="82" t="s">
        <v>1466</v>
      </c>
      <c r="B228" s="82" t="s">
        <v>1765</v>
      </c>
      <c r="D228" s="82" t="s">
        <v>1962</v>
      </c>
      <c r="G228" s="82" t="s">
        <v>1637</v>
      </c>
    </row>
    <row r="229" ht="14.25" customHeight="1">
      <c r="A229" s="82" t="s">
        <v>1466</v>
      </c>
      <c r="B229" s="82" t="s">
        <v>1765</v>
      </c>
      <c r="D229" s="82" t="s">
        <v>1963</v>
      </c>
      <c r="G229" s="82" t="s">
        <v>1675</v>
      </c>
    </row>
    <row r="230" ht="14.25" customHeight="1">
      <c r="A230" s="82" t="s">
        <v>1467</v>
      </c>
      <c r="B230" s="82" t="s">
        <v>1964</v>
      </c>
      <c r="D230" s="82" t="s">
        <v>1965</v>
      </c>
      <c r="G230" s="82" t="s">
        <v>1708</v>
      </c>
    </row>
    <row r="231" ht="14.25" customHeight="1">
      <c r="A231" s="82" t="s">
        <v>1926</v>
      </c>
      <c r="B231" s="82" t="s">
        <v>1926</v>
      </c>
      <c r="D231" s="82" t="s">
        <v>1966</v>
      </c>
      <c r="G231" s="82" t="s">
        <v>1709</v>
      </c>
    </row>
    <row r="232" ht="14.25" customHeight="1">
      <c r="A232" s="82" t="s">
        <v>1926</v>
      </c>
      <c r="B232" s="82" t="s">
        <v>1926</v>
      </c>
      <c r="D232" s="82" t="s">
        <v>1967</v>
      </c>
      <c r="G232" s="82" t="s">
        <v>1500</v>
      </c>
    </row>
    <row r="233" ht="14.25" customHeight="1">
      <c r="A233" s="82" t="s">
        <v>1472</v>
      </c>
      <c r="B233" s="82" t="s">
        <v>1771</v>
      </c>
      <c r="D233" s="82" t="s">
        <v>1968</v>
      </c>
      <c r="G233" s="82" t="s">
        <v>1497</v>
      </c>
    </row>
    <row r="234" ht="14.25" customHeight="1">
      <c r="A234" s="82" t="s">
        <v>1472</v>
      </c>
      <c r="B234" s="82" t="s">
        <v>1771</v>
      </c>
      <c r="C234" s="82" t="s">
        <v>1897</v>
      </c>
      <c r="D234" s="82" t="s">
        <v>1758</v>
      </c>
      <c r="E234" s="82" t="s">
        <v>1759</v>
      </c>
      <c r="F234" s="82" t="s">
        <v>1898</v>
      </c>
      <c r="G234" s="134" t="s">
        <v>1496</v>
      </c>
    </row>
    <row r="235" ht="14.25" customHeight="1">
      <c r="A235" s="82" t="s">
        <v>1472</v>
      </c>
      <c r="B235" s="82" t="s">
        <v>1771</v>
      </c>
      <c r="D235" s="82" t="s">
        <v>1970</v>
      </c>
      <c r="G235" s="82" t="s">
        <v>1707</v>
      </c>
    </row>
    <row r="236" ht="14.25" customHeight="1">
      <c r="A236" s="82" t="s">
        <v>1467</v>
      </c>
      <c r="B236" s="82" t="s">
        <v>1964</v>
      </c>
      <c r="D236" s="82" t="s">
        <v>1971</v>
      </c>
      <c r="G236" s="82" t="s">
        <v>1495</v>
      </c>
    </row>
    <row r="237" ht="14.25" customHeight="1">
      <c r="A237" s="82" t="s">
        <v>1472</v>
      </c>
      <c r="B237" s="82" t="s">
        <v>1771</v>
      </c>
      <c r="D237" s="82" t="s">
        <v>1972</v>
      </c>
      <c r="G237" s="82" t="s">
        <v>1499</v>
      </c>
    </row>
    <row r="238" ht="14.25" customHeight="1">
      <c r="A238" s="82" t="s">
        <v>1472</v>
      </c>
      <c r="B238" s="82" t="s">
        <v>1771</v>
      </c>
      <c r="D238" s="82" t="s">
        <v>1973</v>
      </c>
      <c r="G238" s="82" t="s">
        <v>1496</v>
      </c>
    </row>
    <row r="239" ht="14.25" customHeight="1">
      <c r="A239" s="82" t="s">
        <v>1926</v>
      </c>
      <c r="B239" s="82" t="s">
        <v>1926</v>
      </c>
      <c r="D239" s="82" t="s">
        <v>1974</v>
      </c>
      <c r="G239" s="82" t="s">
        <v>1566</v>
      </c>
    </row>
    <row r="240" ht="14.25" customHeight="1">
      <c r="A240" s="82" t="s">
        <v>1926</v>
      </c>
      <c r="B240" s="82" t="s">
        <v>1926</v>
      </c>
      <c r="D240" s="82" t="s">
        <v>1975</v>
      </c>
      <c r="G240" s="82" t="s">
        <v>1603</v>
      </c>
    </row>
    <row r="241" ht="14.25" customHeight="1">
      <c r="A241" s="82" t="s">
        <v>1926</v>
      </c>
      <c r="B241" s="82" t="s">
        <v>1926</v>
      </c>
      <c r="D241" s="82" t="s">
        <v>1976</v>
      </c>
      <c r="G241" s="82" t="s">
        <v>1604</v>
      </c>
    </row>
    <row r="242" ht="14.25" customHeight="1">
      <c r="A242" s="82" t="s">
        <v>1926</v>
      </c>
      <c r="B242" s="82" t="s">
        <v>1926</v>
      </c>
      <c r="D242" s="82" t="s">
        <v>1977</v>
      </c>
      <c r="G242" s="82" t="s">
        <v>1605</v>
      </c>
    </row>
    <row r="243" ht="14.25" customHeight="1">
      <c r="A243" s="82" t="s">
        <v>1926</v>
      </c>
      <c r="B243" s="82" t="s">
        <v>1926</v>
      </c>
      <c r="D243" s="82" t="s">
        <v>1978</v>
      </c>
      <c r="G243" s="82" t="s">
        <v>1607</v>
      </c>
    </row>
    <row r="244" ht="14.25" customHeight="1">
      <c r="A244" s="82" t="s">
        <v>1926</v>
      </c>
      <c r="B244" s="82" t="s">
        <v>1926</v>
      </c>
      <c r="D244" s="82" t="s">
        <v>1979</v>
      </c>
      <c r="G244" s="82" t="s">
        <v>1749</v>
      </c>
    </row>
    <row r="245" ht="14.25" customHeight="1">
      <c r="A245" s="82" t="s">
        <v>1475</v>
      </c>
      <c r="B245" s="82" t="s">
        <v>1767</v>
      </c>
      <c r="C245" s="82" t="s">
        <v>1758</v>
      </c>
      <c r="D245" s="82" t="s">
        <v>1980</v>
      </c>
      <c r="E245" s="82" t="s">
        <v>1981</v>
      </c>
      <c r="F245" s="82" t="s">
        <v>1759</v>
      </c>
      <c r="G245" s="82" t="s">
        <v>1623</v>
      </c>
    </row>
    <row r="246" ht="14.25" customHeight="1">
      <c r="A246" s="82" t="s">
        <v>1475</v>
      </c>
      <c r="B246" s="82" t="s">
        <v>1767</v>
      </c>
      <c r="C246" s="82" t="s">
        <v>1759</v>
      </c>
      <c r="D246" s="82" t="s">
        <v>1981</v>
      </c>
      <c r="E246" s="82" t="s">
        <v>1980</v>
      </c>
      <c r="F246" s="82" t="s">
        <v>1758</v>
      </c>
      <c r="G246" s="82" t="s">
        <v>1697</v>
      </c>
    </row>
    <row r="247" ht="14.25" customHeight="1">
      <c r="A247" s="82" t="s">
        <v>1803</v>
      </c>
      <c r="B247" s="82" t="s">
        <v>1765</v>
      </c>
      <c r="C247" s="82" t="s">
        <v>1758</v>
      </c>
      <c r="D247" s="82" t="s">
        <v>757</v>
      </c>
      <c r="E247" s="82" t="s">
        <v>494</v>
      </c>
      <c r="F247" s="82" t="s">
        <v>1759</v>
      </c>
      <c r="G247" s="82" t="s">
        <v>1602</v>
      </c>
    </row>
    <row r="248" ht="14.25" customHeight="1">
      <c r="A248" s="82" t="s">
        <v>1803</v>
      </c>
      <c r="B248" s="82" t="s">
        <v>1765</v>
      </c>
      <c r="C248" s="82" t="s">
        <v>1759</v>
      </c>
      <c r="D248" s="82" t="s">
        <v>494</v>
      </c>
      <c r="E248" s="82" t="s">
        <v>757</v>
      </c>
      <c r="F248" s="82" t="s">
        <v>1758</v>
      </c>
      <c r="G248" s="82" t="s">
        <v>1743</v>
      </c>
    </row>
    <row r="249" ht="14.25" customHeight="1">
      <c r="A249" s="82" t="s">
        <v>1803</v>
      </c>
      <c r="B249" s="82" t="s">
        <v>1767</v>
      </c>
      <c r="C249" s="82" t="s">
        <v>1759</v>
      </c>
      <c r="D249" s="82" t="s">
        <v>1982</v>
      </c>
      <c r="E249" s="82" t="s">
        <v>1983</v>
      </c>
      <c r="F249" s="82" t="s">
        <v>1758</v>
      </c>
      <c r="G249" s="82" t="s">
        <v>1984</v>
      </c>
    </row>
    <row r="250" ht="14.25" customHeight="1">
      <c r="A250" s="82" t="s">
        <v>1803</v>
      </c>
      <c r="B250" s="82" t="s">
        <v>1767</v>
      </c>
      <c r="C250" s="82" t="s">
        <v>1758</v>
      </c>
      <c r="D250" s="82" t="s">
        <v>1983</v>
      </c>
      <c r="E250" s="82" t="s">
        <v>1982</v>
      </c>
      <c r="F250" s="82" t="s">
        <v>1759</v>
      </c>
      <c r="G250" s="82" t="s">
        <v>1985</v>
      </c>
    </row>
    <row r="251" ht="14.25" customHeight="1">
      <c r="A251" s="82" t="s">
        <v>1803</v>
      </c>
      <c r="B251" s="82" t="s">
        <v>1773</v>
      </c>
      <c r="C251" s="82" t="s">
        <v>1758</v>
      </c>
      <c r="D251" s="82" t="s">
        <v>1988</v>
      </c>
      <c r="E251" s="82" t="s">
        <v>1989</v>
      </c>
      <c r="F251" s="82" t="s">
        <v>1759</v>
      </c>
      <c r="G251" s="82" t="s">
        <v>1658</v>
      </c>
    </row>
    <row r="252" ht="14.25" customHeight="1">
      <c r="A252" s="82" t="s">
        <v>1803</v>
      </c>
      <c r="B252" s="82" t="s">
        <v>1773</v>
      </c>
      <c r="C252" s="82" t="s">
        <v>1759</v>
      </c>
      <c r="D252" s="82" t="s">
        <v>1989</v>
      </c>
      <c r="E252" s="82" t="s">
        <v>1988</v>
      </c>
      <c r="F252" s="82" t="s">
        <v>1758</v>
      </c>
      <c r="G252" s="82" t="s">
        <v>1582</v>
      </c>
    </row>
    <row r="253" ht="14.25" customHeight="1">
      <c r="A253" s="82" t="s">
        <v>1803</v>
      </c>
      <c r="B253" s="82" t="s">
        <v>1773</v>
      </c>
      <c r="C253" s="82" t="s">
        <v>1758</v>
      </c>
      <c r="D253" s="82" t="s">
        <v>1990</v>
      </c>
      <c r="E253" s="82" t="s">
        <v>1862</v>
      </c>
      <c r="F253" s="82" t="s">
        <v>1759</v>
      </c>
      <c r="G253" s="82" t="s">
        <v>1921</v>
      </c>
    </row>
    <row r="254" ht="14.25" customHeight="1">
      <c r="A254" s="82" t="s">
        <v>1803</v>
      </c>
      <c r="B254" s="82" t="s">
        <v>1773</v>
      </c>
      <c r="C254" s="82" t="s">
        <v>1759</v>
      </c>
      <c r="D254" s="82" t="s">
        <v>1862</v>
      </c>
      <c r="E254" s="82" t="s">
        <v>1990</v>
      </c>
      <c r="F254" s="82" t="s">
        <v>1758</v>
      </c>
      <c r="G254" s="82" t="s">
        <v>1586</v>
      </c>
    </row>
    <row r="255" ht="14.25" customHeight="1">
      <c r="A255" s="82" t="s">
        <v>1469</v>
      </c>
      <c r="B255" s="82" t="s">
        <v>1767</v>
      </c>
      <c r="C255" s="82" t="s">
        <v>1759</v>
      </c>
      <c r="D255" s="82" t="s">
        <v>1986</v>
      </c>
      <c r="F255" s="82" t="s">
        <v>1758</v>
      </c>
      <c r="G255" s="134" t="s">
        <v>1540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2" t="s">
        <v>1991</v>
      </c>
      <c r="F1" s="82" t="s">
        <v>1992</v>
      </c>
    </row>
    <row r="2" ht="14.25" customHeight="1">
      <c r="A2" s="82" t="s">
        <v>1993</v>
      </c>
      <c r="B2" s="82" t="s">
        <v>1994</v>
      </c>
      <c r="C2" s="82" t="s">
        <v>36</v>
      </c>
      <c r="D2" s="82">
        <v>1.0</v>
      </c>
      <c r="F2" s="82">
        <v>1.0</v>
      </c>
    </row>
    <row r="3" ht="14.25" customHeight="1">
      <c r="C3" s="82" t="s">
        <v>1480</v>
      </c>
      <c r="D3" s="96">
        <v>1.3758602435150873</v>
      </c>
      <c r="F3" s="82" t="s">
        <v>1995</v>
      </c>
    </row>
    <row r="4" ht="14.25" customHeight="1">
      <c r="D4" s="96"/>
    </row>
    <row r="5" ht="14.25" customHeight="1">
      <c r="A5" s="82" t="s">
        <v>1996</v>
      </c>
      <c r="B5" s="82" t="s">
        <v>1997</v>
      </c>
      <c r="C5" s="82" t="s">
        <v>36</v>
      </c>
      <c r="D5" s="96">
        <v>0.15691540910978818</v>
      </c>
      <c r="F5" s="82" t="s">
        <v>1998</v>
      </c>
    </row>
    <row r="6" ht="14.25" customHeight="1">
      <c r="C6" s="82" t="s">
        <v>1480</v>
      </c>
      <c r="D6" s="96">
        <v>0.2158936729890627</v>
      </c>
      <c r="F6" s="82" t="s">
        <v>1999</v>
      </c>
    </row>
    <row r="7" ht="14.25" customHeight="1">
      <c r="D7" s="96"/>
    </row>
    <row r="8" ht="14.25" customHeight="1">
      <c r="A8" s="82" t="s">
        <v>2000</v>
      </c>
      <c r="B8" s="82" t="s">
        <v>2001</v>
      </c>
      <c r="C8" s="82" t="s">
        <v>36</v>
      </c>
      <c r="D8" s="96">
        <v>1.1334</v>
      </c>
      <c r="F8" s="82">
        <v>1.0649</v>
      </c>
    </row>
    <row r="9" ht="14.25" customHeight="1">
      <c r="C9" s="82" t="s">
        <v>1480</v>
      </c>
      <c r="D9" s="96">
        <v>1.5594</v>
      </c>
      <c r="F9" s="82">
        <v>1.5859</v>
      </c>
    </row>
    <row r="10" ht="14.25" customHeight="1">
      <c r="D10" s="96"/>
    </row>
    <row r="11" ht="14.25" customHeight="1">
      <c r="A11" s="82" t="s">
        <v>2002</v>
      </c>
      <c r="B11" s="82" t="s">
        <v>2003</v>
      </c>
      <c r="C11" s="82" t="s">
        <v>36</v>
      </c>
      <c r="D11" s="96">
        <v>1.3504110568330752</v>
      </c>
      <c r="F11" s="82">
        <v>1.2026109837491106</v>
      </c>
    </row>
    <row r="12" ht="14.25" customHeight="1">
      <c r="C12" s="82" t="s">
        <v>1480</v>
      </c>
      <c r="D12" s="96">
        <v>1.857976885499821</v>
      </c>
      <c r="F12" s="82">
        <v>1.7909857818834771</v>
      </c>
    </row>
    <row r="13" ht="14.25" customHeight="1">
      <c r="D13" s="96"/>
    </row>
    <row r="14" ht="14.25" customHeight="1">
      <c r="B14" s="82" t="s">
        <v>2004</v>
      </c>
      <c r="C14" s="82" t="s">
        <v>36</v>
      </c>
      <c r="D14" s="96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